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60" yWindow="1515" windowWidth="11505" windowHeight="6930" tabRatio="899" firstSheet="7" activeTab="8"/>
  </bookViews>
  <sheets>
    <sheet name="1 bevétel (kötelező,önként)" sheetId="239" r:id="rId1"/>
    <sheet name="2 kiadás (kötelező, önként)" sheetId="240" r:id="rId2"/>
    <sheet name="3 bevétel(szűkített)" sheetId="261" r:id="rId3"/>
    <sheet name="4 kiadás(szűkített)" sheetId="260" r:id="rId4"/>
    <sheet name="5 egyenleg" sheetId="266" r:id="rId5"/>
    <sheet name="7int.bevétel" sheetId="282" r:id="rId6"/>
    <sheet name="8int.kiadás " sheetId="283" r:id="rId7"/>
    <sheet name="9 álláshely" sheetId="296" r:id="rId8"/>
    <sheet name="10 ök kiadás" sheetId="244" r:id="rId9"/>
    <sheet name="11melléklet" sheetId="302" r:id="rId10"/>
    <sheet name="12 Fejlesztés " sheetId="303" r:id="rId11"/>
    <sheet name=" 14 Int.felúj" sheetId="304" r:id="rId12"/>
    <sheet name="16működési és felhalm " sheetId="299" r:id="rId13"/>
    <sheet name="17előirányzat felhasz. " sheetId="306" r:id="rId14"/>
    <sheet name="19projektek" sheetId="305" r:id="rId15"/>
  </sheets>
  <externalReferences>
    <externalReference r:id="rId16"/>
    <externalReference r:id="rId17"/>
    <externalReference r:id="rId18"/>
  </externalReferences>
  <definedNames>
    <definedName name="_____________b00001" localSheetId="11">[1]Munka3!#REF!</definedName>
    <definedName name="_____________b00001" localSheetId="10">[1]Munka3!#REF!</definedName>
    <definedName name="_____________b00001" localSheetId="13">[1]Munka3!#REF!</definedName>
    <definedName name="_____________b00001">[1]Munka3!#REF!</definedName>
    <definedName name="_____________e00001" localSheetId="11">[1]Munka3!#REF!</definedName>
    <definedName name="_____________e00001" localSheetId="10">[1]Munka3!#REF!</definedName>
    <definedName name="_____________e00001" localSheetId="13">[1]Munka3!#REF!</definedName>
    <definedName name="_____________e00001">[1]Munka3!#REF!</definedName>
    <definedName name="____________b00001" localSheetId="11">[1]Munka3!#REF!</definedName>
    <definedName name="____________b00001" localSheetId="9">[1]Munka3!#REF!</definedName>
    <definedName name="____________b00001" localSheetId="10">[1]Munka3!#REF!</definedName>
    <definedName name="____________b00001" localSheetId="13">[1]Munka3!#REF!</definedName>
    <definedName name="____________b00001">[1]Munka3!#REF!</definedName>
    <definedName name="____________e00001" localSheetId="11">[1]Munka3!#REF!</definedName>
    <definedName name="____________e00001" localSheetId="9">[1]Munka3!#REF!</definedName>
    <definedName name="____________e00001" localSheetId="10">[1]Munka3!#REF!</definedName>
    <definedName name="____________e00001" localSheetId="13">[1]Munka3!#REF!</definedName>
    <definedName name="____________e00001">[1]Munka3!#REF!</definedName>
    <definedName name="___________b00001" localSheetId="11">[1]Munka3!#REF!</definedName>
    <definedName name="___________b00001" localSheetId="9">[1]Munka3!#REF!</definedName>
    <definedName name="___________b00001" localSheetId="10">[1]Munka3!#REF!</definedName>
    <definedName name="___________b00001" localSheetId="13">[1]Munka3!#REF!</definedName>
    <definedName name="___________b00001">[1]Munka3!#REF!</definedName>
    <definedName name="___________e00001" localSheetId="11">[1]Munka3!#REF!</definedName>
    <definedName name="___________e00001" localSheetId="9">[1]Munka3!#REF!</definedName>
    <definedName name="___________e00001" localSheetId="10">[1]Munka3!#REF!</definedName>
    <definedName name="___________e00001" localSheetId="13">[1]Munka3!#REF!</definedName>
    <definedName name="___________e00001">[1]Munka3!#REF!</definedName>
    <definedName name="__________b00001" localSheetId="11">[1]Munka3!#REF!</definedName>
    <definedName name="__________b00001" localSheetId="9">[1]Munka3!#REF!</definedName>
    <definedName name="__________b00001" localSheetId="10">[1]Munka3!#REF!</definedName>
    <definedName name="__________b00001" localSheetId="13">[1]Munka3!#REF!</definedName>
    <definedName name="__________b00001">[1]Munka3!#REF!</definedName>
    <definedName name="__________e00001" localSheetId="11">[1]Munka3!#REF!</definedName>
    <definedName name="__________e00001" localSheetId="9">[1]Munka3!#REF!</definedName>
    <definedName name="__________e00001" localSheetId="10">[1]Munka3!#REF!</definedName>
    <definedName name="__________e00001" localSheetId="13">[1]Munka3!#REF!</definedName>
    <definedName name="__________e00001">[1]Munka3!#REF!</definedName>
    <definedName name="_________b00001" localSheetId="11">[1]Munka3!#REF!</definedName>
    <definedName name="_________b00001" localSheetId="9">[1]Munka3!#REF!</definedName>
    <definedName name="_________b00001" localSheetId="10">[1]Munka3!#REF!</definedName>
    <definedName name="_________b00001" localSheetId="13">[1]Munka3!#REF!</definedName>
    <definedName name="_________b00001">[1]Munka3!#REF!</definedName>
    <definedName name="_________e00001" localSheetId="11">[1]Munka3!#REF!</definedName>
    <definedName name="_________e00001" localSheetId="9">[1]Munka3!#REF!</definedName>
    <definedName name="_________e00001" localSheetId="10">[1]Munka3!#REF!</definedName>
    <definedName name="_________e00001" localSheetId="13">[1]Munka3!#REF!</definedName>
    <definedName name="_________e00001">[1]Munka3!#REF!</definedName>
    <definedName name="________b00001" localSheetId="11">[1]Munka3!#REF!</definedName>
    <definedName name="________b00001" localSheetId="9">[1]Munka3!#REF!</definedName>
    <definedName name="________b00001" localSheetId="10">[1]Munka3!#REF!</definedName>
    <definedName name="________b00001" localSheetId="13">[1]Munka3!#REF!</definedName>
    <definedName name="________b00001">[1]Munka3!#REF!</definedName>
    <definedName name="________e00001" localSheetId="11">[1]Munka3!#REF!</definedName>
    <definedName name="________e00001" localSheetId="9">[1]Munka3!#REF!</definedName>
    <definedName name="________e00001" localSheetId="10">[1]Munka3!#REF!</definedName>
    <definedName name="________e00001" localSheetId="13">[1]Munka3!#REF!</definedName>
    <definedName name="________e00001">[1]Munka3!#REF!</definedName>
    <definedName name="_______b00001" localSheetId="11">[1]Munka3!#REF!</definedName>
    <definedName name="_______b00001" localSheetId="9">[1]Munka3!#REF!</definedName>
    <definedName name="_______b00001" localSheetId="10">[1]Munka3!#REF!</definedName>
    <definedName name="_______b00001" localSheetId="13">[1]Munka3!#REF!</definedName>
    <definedName name="_______b00001">[1]Munka3!#REF!</definedName>
    <definedName name="_______e00001" localSheetId="11">[1]Munka3!#REF!</definedName>
    <definedName name="_______e00001" localSheetId="9">[1]Munka3!#REF!</definedName>
    <definedName name="_______e00001" localSheetId="10">[1]Munka3!#REF!</definedName>
    <definedName name="_______e00001" localSheetId="13">[1]Munka3!#REF!</definedName>
    <definedName name="_______e00001">[1]Munka3!#REF!</definedName>
    <definedName name="______b00001" localSheetId="11">[1]Munka3!#REF!</definedName>
    <definedName name="______b00001" localSheetId="9">[1]Munka3!#REF!</definedName>
    <definedName name="______b00001" localSheetId="10">[1]Munka3!#REF!</definedName>
    <definedName name="______b00001" localSheetId="13">[1]Munka3!#REF!</definedName>
    <definedName name="______b00001">[1]Munka3!#REF!</definedName>
    <definedName name="______e00001" localSheetId="11">[1]Munka3!#REF!</definedName>
    <definedName name="______e00001" localSheetId="9">[1]Munka3!#REF!</definedName>
    <definedName name="______e00001" localSheetId="10">[1]Munka3!#REF!</definedName>
    <definedName name="______e00001" localSheetId="13">[1]Munka3!#REF!</definedName>
    <definedName name="______e00001">[1]Munka3!#REF!</definedName>
    <definedName name="_____b00001" localSheetId="11">[1]Munka3!#REF!</definedName>
    <definedName name="_____b00001" localSheetId="9">[1]Munka3!#REF!</definedName>
    <definedName name="_____b00001" localSheetId="10">[1]Munka3!#REF!</definedName>
    <definedName name="_____b00001" localSheetId="13">[1]Munka3!#REF!</definedName>
    <definedName name="_____b00001">[1]Munka3!#REF!</definedName>
    <definedName name="_____e00001" localSheetId="11">[1]Munka3!#REF!</definedName>
    <definedName name="_____e00001" localSheetId="9">[1]Munka3!#REF!</definedName>
    <definedName name="_____e00001" localSheetId="10">[1]Munka3!#REF!</definedName>
    <definedName name="_____e00001" localSheetId="13">[1]Munka3!#REF!</definedName>
    <definedName name="_____e00001">[1]Munka3!#REF!</definedName>
    <definedName name="____b00001" localSheetId="11">[1]Munka3!#REF!</definedName>
    <definedName name="____b00001" localSheetId="9">[1]Munka3!#REF!</definedName>
    <definedName name="____b00001" localSheetId="10">[1]Munka3!#REF!</definedName>
    <definedName name="____b00001" localSheetId="13">[1]Munka3!#REF!</definedName>
    <definedName name="____b00001">[1]Munka3!#REF!</definedName>
    <definedName name="____e00001" localSheetId="11">[1]Munka3!#REF!</definedName>
    <definedName name="____e00001" localSheetId="9">[1]Munka3!#REF!</definedName>
    <definedName name="____e00001" localSheetId="10">[1]Munka3!#REF!</definedName>
    <definedName name="____e00001" localSheetId="13">[1]Munka3!#REF!</definedName>
    <definedName name="____e00001">[1]Munka3!#REF!</definedName>
    <definedName name="___b00001" localSheetId="11">[1]Munka3!#REF!</definedName>
    <definedName name="___b00001" localSheetId="9">[1]Munka3!#REF!</definedName>
    <definedName name="___b00001" localSheetId="10">[1]Munka3!#REF!</definedName>
    <definedName name="___b00001" localSheetId="13">[1]Munka3!#REF!</definedName>
    <definedName name="___b00001">[1]Munka3!#REF!</definedName>
    <definedName name="___e00001" localSheetId="11">[1]Munka3!#REF!</definedName>
    <definedName name="___e00001" localSheetId="9">[1]Munka3!#REF!</definedName>
    <definedName name="___e00001" localSheetId="10">[1]Munka3!#REF!</definedName>
    <definedName name="___e00001" localSheetId="13">[1]Munka3!#REF!</definedName>
    <definedName name="___e00001">[1]Munka3!#REF!</definedName>
    <definedName name="__b00001" localSheetId="11">[1]Munka3!#REF!</definedName>
    <definedName name="__b00001" localSheetId="9">[1]Munka3!#REF!</definedName>
    <definedName name="__b00001" localSheetId="10">[1]Munka3!#REF!</definedName>
    <definedName name="__b00001" localSheetId="13">[1]Munka3!#REF!</definedName>
    <definedName name="__b00001" localSheetId="14">[1]Munka3!#REF!</definedName>
    <definedName name="__b00001" localSheetId="6">[1]Munka3!#REF!</definedName>
    <definedName name="__b00001">[1]Munka3!#REF!</definedName>
    <definedName name="__e00001" localSheetId="11">[1]Munka3!#REF!</definedName>
    <definedName name="__e00001" localSheetId="9">[1]Munka3!#REF!</definedName>
    <definedName name="__e00001" localSheetId="10">[1]Munka3!#REF!</definedName>
    <definedName name="__e00001" localSheetId="13">[1]Munka3!#REF!</definedName>
    <definedName name="__e00001" localSheetId="14">[1]Munka3!#REF!</definedName>
    <definedName name="__e00001" localSheetId="6">[1]Munka3!#REF!</definedName>
    <definedName name="__e00001">[1]Munka3!#REF!</definedName>
    <definedName name="_b00001" localSheetId="11">[1]Munka3!#REF!</definedName>
    <definedName name="_b00001" localSheetId="9">[1]Munka3!#REF!</definedName>
    <definedName name="_b00001" localSheetId="10">[1]Munka3!#REF!</definedName>
    <definedName name="_b00001" localSheetId="13">[1]Munka3!#REF!</definedName>
    <definedName name="_b00001" localSheetId="14">[1]Munka3!#REF!</definedName>
    <definedName name="_b00001" localSheetId="6">[1]Munka3!#REF!</definedName>
    <definedName name="_b00001">[1]Munka3!#REF!</definedName>
    <definedName name="_e00001" localSheetId="11">[1]Munka3!#REF!</definedName>
    <definedName name="_e00001" localSheetId="9">[1]Munka3!#REF!</definedName>
    <definedName name="_e00001" localSheetId="10">[1]Munka3!#REF!</definedName>
    <definedName name="_e00001" localSheetId="13">[1]Munka3!#REF!</definedName>
    <definedName name="_e00001" localSheetId="14">[1]Munka3!#REF!</definedName>
    <definedName name="_e00001" localSheetId="6">[1]Munka3!#REF!</definedName>
    <definedName name="_e00001">[1]Munka3!#REF!</definedName>
    <definedName name="b0000" localSheetId="9">[2]Munka3!#REF!</definedName>
    <definedName name="b0000" localSheetId="13">[1]Munka3!#REF!</definedName>
    <definedName name="b0000" localSheetId="14">[3]Munka3!#REF!</definedName>
    <definedName name="b0000" localSheetId="6">[2]Munka3!#REF!</definedName>
    <definedName name="b0000">[2]Munka3!#REF!</definedName>
    <definedName name="b00000" localSheetId="0">[1]Munka3!#REF!</definedName>
    <definedName name="b00000" localSheetId="8">[1]Munka3!#REF!</definedName>
    <definedName name="b00000" localSheetId="9">[2]Munka3!#REF!</definedName>
    <definedName name="b00000" localSheetId="12">[1]Munka3!#REF!</definedName>
    <definedName name="b00000" localSheetId="13">[1]Munka3!#REF!</definedName>
    <definedName name="b00000" localSheetId="14">[3]Munka3!#REF!</definedName>
    <definedName name="b00000" localSheetId="1">[1]Munka3!#REF!</definedName>
    <definedName name="b00000" localSheetId="6">[2]Munka3!#REF!</definedName>
    <definedName name="b00000">[2]Munka3!#REF!</definedName>
    <definedName name="c00000" localSheetId="9">[2]Munka3!#REF!</definedName>
    <definedName name="c00000" localSheetId="13">[1]Munka3!#REF!</definedName>
    <definedName name="c00000" localSheetId="6">[2]Munka3!#REF!</definedName>
    <definedName name="c00000">[2]Munka3!#REF!</definedName>
    <definedName name="E00000" localSheetId="0">[1]Munka3!#REF!</definedName>
    <definedName name="E00000" localSheetId="8">[1]Munka3!#REF!</definedName>
    <definedName name="E00000" localSheetId="9">[2]Munka3!#REF!</definedName>
    <definedName name="E00000" localSheetId="12">[1]Munka3!#REF!</definedName>
    <definedName name="E00000" localSheetId="13">[1]Munka3!#REF!</definedName>
    <definedName name="E00000" localSheetId="14">[3]Munka3!#REF!</definedName>
    <definedName name="E00000" localSheetId="1">[1]Munka3!#REF!</definedName>
    <definedName name="E00000" localSheetId="6">[2]Munka3!#REF!</definedName>
    <definedName name="E00000">[2]Munka3!#REF!</definedName>
    <definedName name="kiadás" localSheetId="6">[1]Munka3!#REF!</definedName>
    <definedName name="létszám" localSheetId="9">[2]Munka3!#REF!</definedName>
    <definedName name="létszám" localSheetId="13">[1]Munka3!#REF!</definedName>
    <definedName name="létszám" localSheetId="14">[3]Munka3!#REF!</definedName>
    <definedName name="létszám" localSheetId="6">[2]Munka3!#REF!</definedName>
    <definedName name="létszám">[2]Munka3!#REF!</definedName>
    <definedName name="Norm.2014" localSheetId="9">[1]Munka3!#REF!</definedName>
    <definedName name="Norm.2014" localSheetId="13">[1]Munka3!#REF!</definedName>
    <definedName name="Norm.2014">[1]Munka3!#REF!</definedName>
    <definedName name="_xlnm.Print_Titles" localSheetId="11">' 14 Int.felúj'!$1:$4</definedName>
    <definedName name="_xlnm.Print_Titles" localSheetId="0">'1 bevétel (kötelező,önként)'!$A:$B,'1 bevétel (kötelező,önként)'!$1:$8</definedName>
    <definedName name="_xlnm.Print_Titles" localSheetId="8">'10 ök kiadás'!$1:$6</definedName>
    <definedName name="_xlnm.Print_Titles" localSheetId="9">'11melléklet'!$1:$3</definedName>
    <definedName name="_xlnm.Print_Titles" localSheetId="10">'12 Fejlesztés '!$1:$4</definedName>
    <definedName name="_xlnm.Print_Titles" localSheetId="14">'19projektek'!$A:$B,'19projektek'!$1:$5</definedName>
    <definedName name="_xlnm.Print_Titles" localSheetId="1">'2 kiadás (kötelező, önként)'!$A:$B</definedName>
    <definedName name="_xlnm.Print_Titles" localSheetId="2">'3 bevétel(szűkített)'!$1:$8</definedName>
    <definedName name="_xlnm.Print_Titles" localSheetId="5">'7int.bevétel'!$A:$B,'7int.bevétel'!$1:$4</definedName>
    <definedName name="_xlnm.Print_Titles" localSheetId="6">'8int.kiadás '!$1:$6</definedName>
    <definedName name="_xlnm.Print_Area" localSheetId="0">'1 bevétel (kötelező,önként)'!$A$1:$AL$63</definedName>
    <definedName name="_xlnm.Print_Area" localSheetId="8">'10 ök kiadás'!$A$1:$P$374</definedName>
    <definedName name="_xlnm.Print_Area" localSheetId="9">'11melléklet'!$A$1:$N$264</definedName>
    <definedName name="_xlnm.Print_Area" localSheetId="3">'4 kiadás(szűkített)'!$A$1:$K$27</definedName>
    <definedName name="_xlnm.Print_Area" localSheetId="5">'7int.bevétel'!$A$1:$O$528</definedName>
    <definedName name="_xlnm.Print_Area" localSheetId="6">'8int.kiadás '!$A$1:$O$561</definedName>
  </definedNames>
  <calcPr calcId="145621"/>
</workbook>
</file>

<file path=xl/calcChain.xml><?xml version="1.0" encoding="utf-8"?>
<calcChain xmlns="http://schemas.openxmlformats.org/spreadsheetml/2006/main">
  <c r="G171" i="302" l="1"/>
  <c r="E172" i="302"/>
  <c r="M19" i="306"/>
  <c r="H11" i="240"/>
  <c r="G263" i="302"/>
  <c r="D263" i="302"/>
  <c r="G10" i="302"/>
  <c r="D10" i="302"/>
  <c r="C521" i="283" l="1"/>
  <c r="G221" i="302" l="1"/>
  <c r="H23" i="240"/>
  <c r="H17" i="240"/>
  <c r="G16" i="240"/>
  <c r="H15" i="240"/>
  <c r="G15" i="240"/>
  <c r="H13" i="240"/>
  <c r="G13" i="240"/>
  <c r="G11" i="240"/>
  <c r="H10" i="240"/>
  <c r="G10" i="240"/>
  <c r="H9" i="240"/>
  <c r="G9" i="240"/>
  <c r="V42" i="239"/>
  <c r="V43" i="239"/>
  <c r="AH43" i="239" s="1"/>
  <c r="J42" i="239"/>
  <c r="J43" i="239"/>
  <c r="K42" i="239"/>
  <c r="L42" i="239"/>
  <c r="N42" i="239" s="1"/>
  <c r="M42" i="239"/>
  <c r="K43" i="239"/>
  <c r="L43" i="239"/>
  <c r="M43" i="239"/>
  <c r="N43" i="239" s="1"/>
  <c r="R42" i="239"/>
  <c r="R43" i="239"/>
  <c r="W42" i="239"/>
  <c r="X42" i="239"/>
  <c r="Y42" i="239"/>
  <c r="AK42" i="239" s="1"/>
  <c r="W43" i="239"/>
  <c r="X43" i="239"/>
  <c r="Y43" i="239"/>
  <c r="AB42" i="239"/>
  <c r="AC42" i="239"/>
  <c r="AE42" i="239"/>
  <c r="AF42" i="239"/>
  <c r="AG42" i="239"/>
  <c r="AJ42" i="239"/>
  <c r="AB43" i="239"/>
  <c r="AC43" i="239"/>
  <c r="AE43" i="239"/>
  <c r="AF43" i="239"/>
  <c r="AG43" i="239"/>
  <c r="AI43" i="239"/>
  <c r="AK43" i="239"/>
  <c r="AA42" i="239"/>
  <c r="AA43" i="239"/>
  <c r="D44" i="239"/>
  <c r="E44" i="239"/>
  <c r="G44" i="239"/>
  <c r="H44" i="239"/>
  <c r="I44" i="239"/>
  <c r="O44" i="239"/>
  <c r="P44" i="239"/>
  <c r="Q44" i="239"/>
  <c r="S44" i="239"/>
  <c r="T44" i="239"/>
  <c r="U44" i="239"/>
  <c r="C44" i="239"/>
  <c r="F43" i="239"/>
  <c r="AD43" i="239" s="1"/>
  <c r="F42" i="239"/>
  <c r="M18" i="306"/>
  <c r="E15" i="299"/>
  <c r="B15" i="299"/>
  <c r="D254" i="302"/>
  <c r="H254" i="302"/>
  <c r="Z42" i="239" l="1"/>
  <c r="AL42" i="239" s="1"/>
  <c r="Z43" i="239"/>
  <c r="AJ43" i="239"/>
  <c r="AD42" i="239"/>
  <c r="AH42" i="239"/>
  <c r="AL43" i="239"/>
  <c r="AI42" i="239"/>
  <c r="E45" i="296" l="1"/>
  <c r="G45" i="296" s="1"/>
  <c r="R43" i="296"/>
  <c r="P43" i="296"/>
  <c r="N43" i="296"/>
  <c r="L43" i="296"/>
  <c r="J43" i="296"/>
  <c r="H43" i="296"/>
  <c r="F43" i="296"/>
  <c r="D43" i="296"/>
  <c r="C43" i="296"/>
  <c r="B43" i="296"/>
  <c r="I42" i="296"/>
  <c r="K42" i="296" s="1"/>
  <c r="M42" i="296" s="1"/>
  <c r="O42" i="296" s="1"/>
  <c r="Q42" i="296" s="1"/>
  <c r="S42" i="296" s="1"/>
  <c r="E42" i="296"/>
  <c r="G42" i="296" s="1"/>
  <c r="I41" i="296"/>
  <c r="K41" i="296" s="1"/>
  <c r="M41" i="296" s="1"/>
  <c r="O41" i="296" s="1"/>
  <c r="Q41" i="296" s="1"/>
  <c r="S41" i="296" s="1"/>
  <c r="E41" i="296"/>
  <c r="G41" i="296" s="1"/>
  <c r="I40" i="296"/>
  <c r="K40" i="296" s="1"/>
  <c r="M40" i="296" s="1"/>
  <c r="O40" i="296" s="1"/>
  <c r="Q40" i="296" s="1"/>
  <c r="S40" i="296" s="1"/>
  <c r="E40" i="296"/>
  <c r="G40" i="296" s="1"/>
  <c r="I39" i="296"/>
  <c r="K39" i="296" s="1"/>
  <c r="M39" i="296" s="1"/>
  <c r="O39" i="296" s="1"/>
  <c r="Q39" i="296" s="1"/>
  <c r="S39" i="296" s="1"/>
  <c r="G39" i="296"/>
  <c r="E39" i="296"/>
  <c r="I38" i="296"/>
  <c r="K38" i="296" s="1"/>
  <c r="M38" i="296" s="1"/>
  <c r="O38" i="296" s="1"/>
  <c r="Q38" i="296" s="1"/>
  <c r="S38" i="296" s="1"/>
  <c r="E38" i="296"/>
  <c r="G38" i="296" s="1"/>
  <c r="I37" i="296"/>
  <c r="K37" i="296" s="1"/>
  <c r="M37" i="296" s="1"/>
  <c r="O37" i="296" s="1"/>
  <c r="Q37" i="296" s="1"/>
  <c r="S37" i="296" s="1"/>
  <c r="G37" i="296"/>
  <c r="E37" i="296"/>
  <c r="I36" i="296"/>
  <c r="K36" i="296" s="1"/>
  <c r="M36" i="296" s="1"/>
  <c r="O36" i="296" s="1"/>
  <c r="Q36" i="296" s="1"/>
  <c r="S36" i="296" s="1"/>
  <c r="E36" i="296"/>
  <c r="G36" i="296" s="1"/>
  <c r="I35" i="296"/>
  <c r="E35" i="296"/>
  <c r="I34" i="296"/>
  <c r="K34" i="296" s="1"/>
  <c r="M34" i="296" s="1"/>
  <c r="O34" i="296" s="1"/>
  <c r="Q34" i="296" s="1"/>
  <c r="S34" i="296" s="1"/>
  <c r="E34" i="296"/>
  <c r="G34" i="296" s="1"/>
  <c r="R33" i="296"/>
  <c r="P33" i="296"/>
  <c r="N33" i="296"/>
  <c r="L33" i="296"/>
  <c r="J33" i="296"/>
  <c r="H33" i="296"/>
  <c r="F33" i="296"/>
  <c r="D33" i="296"/>
  <c r="C33" i="296"/>
  <c r="B33" i="296"/>
  <c r="E32" i="296"/>
  <c r="G32" i="296" s="1"/>
  <c r="E31" i="296"/>
  <c r="G31" i="296" s="1"/>
  <c r="E30" i="296"/>
  <c r="G30" i="296" s="1"/>
  <c r="R28" i="296"/>
  <c r="P28" i="296"/>
  <c r="N28" i="296"/>
  <c r="L28" i="296"/>
  <c r="J28" i="296"/>
  <c r="H28" i="296"/>
  <c r="F28" i="296"/>
  <c r="D28" i="296"/>
  <c r="C28" i="296"/>
  <c r="B28" i="296"/>
  <c r="E27" i="296"/>
  <c r="G27" i="296" s="1"/>
  <c r="E26" i="296"/>
  <c r="G26" i="296" s="1"/>
  <c r="E25" i="296"/>
  <c r="E24" i="296"/>
  <c r="E23" i="296"/>
  <c r="E22" i="296"/>
  <c r="E21" i="296"/>
  <c r="E20" i="296"/>
  <c r="E19" i="296"/>
  <c r="E18" i="296"/>
  <c r="E17" i="296"/>
  <c r="E16" i="296"/>
  <c r="R15" i="296"/>
  <c r="P15" i="296"/>
  <c r="N15" i="296"/>
  <c r="L15" i="296"/>
  <c r="J15" i="296"/>
  <c r="H15" i="296"/>
  <c r="F15" i="296"/>
  <c r="D15" i="296"/>
  <c r="C15" i="296"/>
  <c r="B15" i="296"/>
  <c r="E14" i="296"/>
  <c r="G14" i="296" s="1"/>
  <c r="E13" i="296"/>
  <c r="G13" i="296" s="1"/>
  <c r="I12" i="296"/>
  <c r="K12" i="296" s="1"/>
  <c r="M12" i="296" s="1"/>
  <c r="O12" i="296" s="1"/>
  <c r="Q12" i="296" s="1"/>
  <c r="S12" i="296" s="1"/>
  <c r="E12" i="296"/>
  <c r="G12" i="296" s="1"/>
  <c r="E11" i="296"/>
  <c r="G11" i="296" s="1"/>
  <c r="E10" i="296"/>
  <c r="G10" i="296" s="1"/>
  <c r="I9" i="296"/>
  <c r="E9" i="296"/>
  <c r="R8" i="296"/>
  <c r="P8" i="296"/>
  <c r="N8" i="296"/>
  <c r="L8" i="296"/>
  <c r="J8" i="296"/>
  <c r="H8" i="296"/>
  <c r="F8" i="296"/>
  <c r="D8" i="296"/>
  <c r="C8" i="296"/>
  <c r="B8" i="296"/>
  <c r="E7" i="296"/>
  <c r="G7" i="296" s="1"/>
  <c r="E6" i="296"/>
  <c r="I10" i="296" l="1"/>
  <c r="K10" i="296" s="1"/>
  <c r="M10" i="296" s="1"/>
  <c r="O10" i="296" s="1"/>
  <c r="Q10" i="296" s="1"/>
  <c r="S10" i="296" s="1"/>
  <c r="L29" i="296"/>
  <c r="I11" i="296"/>
  <c r="K11" i="296" s="1"/>
  <c r="M11" i="296" s="1"/>
  <c r="O11" i="296" s="1"/>
  <c r="Q11" i="296" s="1"/>
  <c r="S11" i="296" s="1"/>
  <c r="C29" i="296"/>
  <c r="E8" i="296"/>
  <c r="G8" i="296" s="1"/>
  <c r="G6" i="296"/>
  <c r="G19" i="296"/>
  <c r="I19" i="296"/>
  <c r="K19" i="296" s="1"/>
  <c r="M19" i="296" s="1"/>
  <c r="O19" i="296" s="1"/>
  <c r="Q19" i="296" s="1"/>
  <c r="S19" i="296" s="1"/>
  <c r="I7" i="296"/>
  <c r="K7" i="296" s="1"/>
  <c r="M7" i="296" s="1"/>
  <c r="O7" i="296" s="1"/>
  <c r="Q7" i="296" s="1"/>
  <c r="S7" i="296" s="1"/>
  <c r="I14" i="296"/>
  <c r="K14" i="296" s="1"/>
  <c r="M14" i="296" s="1"/>
  <c r="O14" i="296" s="1"/>
  <c r="Q14" i="296" s="1"/>
  <c r="S14" i="296" s="1"/>
  <c r="G18" i="296"/>
  <c r="I18" i="296"/>
  <c r="K18" i="296" s="1"/>
  <c r="M18" i="296" s="1"/>
  <c r="O18" i="296" s="1"/>
  <c r="Q18" i="296" s="1"/>
  <c r="S18" i="296" s="1"/>
  <c r="G22" i="296"/>
  <c r="I22" i="296"/>
  <c r="K22" i="296" s="1"/>
  <c r="M22" i="296" s="1"/>
  <c r="O22" i="296" s="1"/>
  <c r="Q22" i="296" s="1"/>
  <c r="S22" i="296" s="1"/>
  <c r="D29" i="296"/>
  <c r="E15" i="296"/>
  <c r="G15" i="296" s="1"/>
  <c r="G9" i="296"/>
  <c r="I13" i="296"/>
  <c r="K13" i="296" s="1"/>
  <c r="M13" i="296" s="1"/>
  <c r="O13" i="296" s="1"/>
  <c r="Q13" i="296" s="1"/>
  <c r="S13" i="296" s="1"/>
  <c r="R29" i="296"/>
  <c r="G17" i="296"/>
  <c r="I17" i="296"/>
  <c r="K17" i="296" s="1"/>
  <c r="M17" i="296" s="1"/>
  <c r="O17" i="296" s="1"/>
  <c r="Q17" i="296" s="1"/>
  <c r="S17" i="296" s="1"/>
  <c r="G21" i="296"/>
  <c r="I21" i="296"/>
  <c r="K21" i="296" s="1"/>
  <c r="M21" i="296" s="1"/>
  <c r="O21" i="296" s="1"/>
  <c r="Q21" i="296" s="1"/>
  <c r="S21" i="296" s="1"/>
  <c r="G25" i="296"/>
  <c r="I25" i="296"/>
  <c r="K25" i="296" s="1"/>
  <c r="M25" i="296" s="1"/>
  <c r="O25" i="296" s="1"/>
  <c r="Q25" i="296" s="1"/>
  <c r="S25" i="296" s="1"/>
  <c r="F29" i="296"/>
  <c r="N29" i="296"/>
  <c r="D44" i="296"/>
  <c r="D46" i="296" s="1"/>
  <c r="L44" i="296"/>
  <c r="L46" i="296" s="1"/>
  <c r="G23" i="296"/>
  <c r="I23" i="296"/>
  <c r="K23" i="296" s="1"/>
  <c r="M23" i="296" s="1"/>
  <c r="O23" i="296" s="1"/>
  <c r="Q23" i="296" s="1"/>
  <c r="S23" i="296" s="1"/>
  <c r="I6" i="296"/>
  <c r="J29" i="296"/>
  <c r="I15" i="296"/>
  <c r="K9" i="296"/>
  <c r="G16" i="296"/>
  <c r="I16" i="296"/>
  <c r="E28" i="296"/>
  <c r="G20" i="296"/>
  <c r="I20" i="296"/>
  <c r="K20" i="296" s="1"/>
  <c r="M20" i="296" s="1"/>
  <c r="O20" i="296" s="1"/>
  <c r="Q20" i="296" s="1"/>
  <c r="S20" i="296" s="1"/>
  <c r="G24" i="296"/>
  <c r="I24" i="296"/>
  <c r="K24" i="296" s="1"/>
  <c r="M24" i="296" s="1"/>
  <c r="O24" i="296" s="1"/>
  <c r="Q24" i="296" s="1"/>
  <c r="S24" i="296" s="1"/>
  <c r="B29" i="296"/>
  <c r="H29" i="296"/>
  <c r="H44" i="296" s="1"/>
  <c r="H46" i="296" s="1"/>
  <c r="P29" i="296"/>
  <c r="P44" i="296" s="1"/>
  <c r="P46" i="296" s="1"/>
  <c r="E43" i="296"/>
  <c r="F44" i="296"/>
  <c r="F46" i="296" s="1"/>
  <c r="I27" i="296"/>
  <c r="K27" i="296" s="1"/>
  <c r="M27" i="296" s="1"/>
  <c r="O27" i="296" s="1"/>
  <c r="Q27" i="296" s="1"/>
  <c r="S27" i="296" s="1"/>
  <c r="I31" i="296"/>
  <c r="K31" i="296" s="1"/>
  <c r="M31" i="296" s="1"/>
  <c r="O31" i="296" s="1"/>
  <c r="Q31" i="296" s="1"/>
  <c r="S31" i="296" s="1"/>
  <c r="G35" i="296"/>
  <c r="B44" i="296"/>
  <c r="B46" i="296" s="1"/>
  <c r="R44" i="296"/>
  <c r="R46" i="296" s="1"/>
  <c r="I43" i="296"/>
  <c r="K35" i="296"/>
  <c r="C44" i="296"/>
  <c r="C46" i="296" s="1"/>
  <c r="N44" i="296"/>
  <c r="N46" i="296" s="1"/>
  <c r="I26" i="296"/>
  <c r="K26" i="296" s="1"/>
  <c r="M26" i="296" s="1"/>
  <c r="O26" i="296" s="1"/>
  <c r="Q26" i="296" s="1"/>
  <c r="S26" i="296" s="1"/>
  <c r="I30" i="296"/>
  <c r="I32" i="296"/>
  <c r="K32" i="296" s="1"/>
  <c r="M32" i="296" s="1"/>
  <c r="O32" i="296" s="1"/>
  <c r="Q32" i="296" s="1"/>
  <c r="S32" i="296" s="1"/>
  <c r="E33" i="296"/>
  <c r="G33" i="296" s="1"/>
  <c r="J44" i="296"/>
  <c r="J46" i="296" s="1"/>
  <c r="I45" i="296"/>
  <c r="I8" i="296" l="1"/>
  <c r="K6" i="296"/>
  <c r="K15" i="296"/>
  <c r="M9" i="296"/>
  <c r="K30" i="296"/>
  <c r="I33" i="296"/>
  <c r="M35" i="296"/>
  <c r="K43" i="296"/>
  <c r="G43" i="296"/>
  <c r="E29" i="296"/>
  <c r="G29" i="296" s="1"/>
  <c r="G28" i="296"/>
  <c r="K45" i="296"/>
  <c r="I28" i="296"/>
  <c r="K16" i="296"/>
  <c r="E44" i="296" l="1"/>
  <c r="M45" i="296"/>
  <c r="K28" i="296"/>
  <c r="M16" i="296"/>
  <c r="I29" i="296"/>
  <c r="I44" i="296" s="1"/>
  <c r="I46" i="296" s="1"/>
  <c r="M15" i="296"/>
  <c r="O9" i="296"/>
  <c r="G44" i="296"/>
  <c r="E46" i="296"/>
  <c r="G46" i="296" s="1"/>
  <c r="K8" i="296"/>
  <c r="M6" i="296"/>
  <c r="K33" i="296"/>
  <c r="M30" i="296"/>
  <c r="M43" i="296"/>
  <c r="O35" i="296"/>
  <c r="M8" i="296" l="1"/>
  <c r="O6" i="296"/>
  <c r="K29" i="296"/>
  <c r="K44" i="296" s="1"/>
  <c r="K46" i="296" s="1"/>
  <c r="O45" i="296"/>
  <c r="O43" i="296"/>
  <c r="Q35" i="296"/>
  <c r="Q9" i="296"/>
  <c r="O15" i="296"/>
  <c r="O16" i="296"/>
  <c r="M28" i="296"/>
  <c r="O30" i="296"/>
  <c r="M33" i="296"/>
  <c r="O33" i="296" l="1"/>
  <c r="Q30" i="296"/>
  <c r="M29" i="296"/>
  <c r="M44" i="296" s="1"/>
  <c r="M46" i="296" s="1"/>
  <c r="Q43" i="296"/>
  <c r="S35" i="296"/>
  <c r="S43" i="296" s="1"/>
  <c r="O28" i="296"/>
  <c r="O29" i="296" s="1"/>
  <c r="O44" i="296" s="1"/>
  <c r="O46" i="296" s="1"/>
  <c r="Q16" i="296"/>
  <c r="Q15" i="296"/>
  <c r="S9" i="296"/>
  <c r="S15" i="296" s="1"/>
  <c r="Q45" i="296"/>
  <c r="O8" i="296"/>
  <c r="Q6" i="296"/>
  <c r="S45" i="296" l="1"/>
  <c r="S16" i="296"/>
  <c r="S28" i="296" s="1"/>
  <c r="Q28" i="296"/>
  <c r="Q29" i="296" s="1"/>
  <c r="Q44" i="296" s="1"/>
  <c r="Q46" i="296" s="1"/>
  <c r="Q8" i="296"/>
  <c r="S6" i="296"/>
  <c r="S8" i="296" s="1"/>
  <c r="Q33" i="296"/>
  <c r="S30" i="296"/>
  <c r="S33" i="296" s="1"/>
  <c r="S29" i="296" l="1"/>
  <c r="S44" i="296" s="1"/>
  <c r="S46" i="296" s="1"/>
  <c r="G254" i="302" l="1"/>
  <c r="E17" i="299" l="1"/>
  <c r="B28" i="306" l="1"/>
  <c r="I26" i="306"/>
  <c r="H26" i="306"/>
  <c r="G26" i="306"/>
  <c r="F26" i="306"/>
  <c r="D26" i="306"/>
  <c r="C26" i="306"/>
  <c r="B26" i="306"/>
  <c r="N25" i="306"/>
  <c r="N24" i="306"/>
  <c r="N23" i="306"/>
  <c r="M22" i="306"/>
  <c r="J22" i="306"/>
  <c r="M21" i="306"/>
  <c r="N21" i="306" s="1"/>
  <c r="N20" i="306"/>
  <c r="L19" i="306"/>
  <c r="K19" i="306"/>
  <c r="J19" i="306"/>
  <c r="L18" i="306"/>
  <c r="L26" i="306" s="1"/>
  <c r="K18" i="306"/>
  <c r="J18" i="306"/>
  <c r="E18" i="306"/>
  <c r="E26" i="306" s="1"/>
  <c r="N14" i="306"/>
  <c r="N13" i="306"/>
  <c r="N12" i="306"/>
  <c r="H11" i="306"/>
  <c r="G11" i="306"/>
  <c r="D11" i="306"/>
  <c r="N10" i="306"/>
  <c r="M9" i="306"/>
  <c r="L9" i="306"/>
  <c r="K9" i="306"/>
  <c r="J9" i="306"/>
  <c r="I9" i="306"/>
  <c r="H9" i="306"/>
  <c r="G9" i="306"/>
  <c r="F9" i="306"/>
  <c r="E9" i="306"/>
  <c r="E15" i="306" s="1"/>
  <c r="D9" i="306"/>
  <c r="C9" i="306"/>
  <c r="B9" i="306"/>
  <c r="M8" i="306"/>
  <c r="N8" i="306" s="1"/>
  <c r="M7" i="306"/>
  <c r="L7" i="306"/>
  <c r="L15" i="306" s="1"/>
  <c r="L29" i="306" s="1"/>
  <c r="K7" i="306"/>
  <c r="K15" i="306" s="1"/>
  <c r="J7" i="306"/>
  <c r="J15" i="306" s="1"/>
  <c r="I6" i="306"/>
  <c r="H6" i="306"/>
  <c r="G6" i="306"/>
  <c r="F6" i="306"/>
  <c r="F15" i="306" s="1"/>
  <c r="D6" i="306"/>
  <c r="D15" i="306" s="1"/>
  <c r="D29" i="306" s="1"/>
  <c r="C6" i="306"/>
  <c r="B6" i="306"/>
  <c r="M15" i="306" l="1"/>
  <c r="H15" i="306"/>
  <c r="H29" i="306" s="1"/>
  <c r="G15" i="306"/>
  <c r="K26" i="306"/>
  <c r="I15" i="306"/>
  <c r="I29" i="306" s="1"/>
  <c r="N9" i="306"/>
  <c r="N11" i="306"/>
  <c r="K29" i="306"/>
  <c r="C15" i="306"/>
  <c r="C29" i="306" s="1"/>
  <c r="F29" i="306"/>
  <c r="G29" i="306"/>
  <c r="E29" i="306"/>
  <c r="N19" i="306"/>
  <c r="N7" i="306"/>
  <c r="N22" i="306"/>
  <c r="N6" i="306"/>
  <c r="J26" i="306"/>
  <c r="J29" i="306" s="1"/>
  <c r="B15" i="306"/>
  <c r="B29" i="306" s="1"/>
  <c r="B30" i="306" s="1"/>
  <c r="C28" i="306" s="1"/>
  <c r="M26" i="306"/>
  <c r="M29" i="306" s="1"/>
  <c r="N18" i="306"/>
  <c r="X52" i="305"/>
  <c r="W52" i="305"/>
  <c r="U52" i="305"/>
  <c r="T52" i="305"/>
  <c r="R52" i="305"/>
  <c r="Q52" i="305"/>
  <c r="N52" i="305"/>
  <c r="L52" i="305"/>
  <c r="K52" i="305"/>
  <c r="I52" i="305"/>
  <c r="H52" i="305"/>
  <c r="F52" i="305"/>
  <c r="E52" i="305"/>
  <c r="Y51" i="305"/>
  <c r="V51" i="305"/>
  <c r="S51" i="305"/>
  <c r="P51" i="305"/>
  <c r="M51" i="305"/>
  <c r="J51" i="305"/>
  <c r="G51" i="305"/>
  <c r="Y50" i="305"/>
  <c r="V50" i="305"/>
  <c r="S50" i="305"/>
  <c r="P50" i="305"/>
  <c r="M50" i="305"/>
  <c r="J50" i="305"/>
  <c r="G50" i="305"/>
  <c r="Y49" i="305"/>
  <c r="V49" i="305"/>
  <c r="S49" i="305"/>
  <c r="P49" i="305"/>
  <c r="M49" i="305"/>
  <c r="J49" i="305"/>
  <c r="G49" i="305"/>
  <c r="Y48" i="305"/>
  <c r="V48" i="305"/>
  <c r="S48" i="305"/>
  <c r="P48" i="305"/>
  <c r="M48" i="305"/>
  <c r="J48" i="305"/>
  <c r="G48" i="305"/>
  <c r="Y47" i="305"/>
  <c r="V47" i="305"/>
  <c r="S47" i="305"/>
  <c r="P47" i="305"/>
  <c r="M47" i="305"/>
  <c r="J47" i="305"/>
  <c r="G47" i="305"/>
  <c r="Y46" i="305"/>
  <c r="V46" i="305"/>
  <c r="S46" i="305"/>
  <c r="P46" i="305"/>
  <c r="M46" i="305"/>
  <c r="J46" i="305"/>
  <c r="G46" i="305"/>
  <c r="Y45" i="305"/>
  <c r="V45" i="305"/>
  <c r="S45" i="305"/>
  <c r="P45" i="305"/>
  <c r="M45" i="305"/>
  <c r="J45" i="305"/>
  <c r="G45" i="305"/>
  <c r="Y44" i="305"/>
  <c r="V44" i="305"/>
  <c r="S44" i="305"/>
  <c r="P44" i="305"/>
  <c r="M44" i="305"/>
  <c r="J44" i="305"/>
  <c r="G44" i="305"/>
  <c r="Y43" i="305"/>
  <c r="V43" i="305"/>
  <c r="S43" i="305"/>
  <c r="P43" i="305"/>
  <c r="M43" i="305"/>
  <c r="J43" i="305"/>
  <c r="G43" i="305"/>
  <c r="Y42" i="305"/>
  <c r="V42" i="305"/>
  <c r="S42" i="305"/>
  <c r="O42" i="305"/>
  <c r="O52" i="305" s="1"/>
  <c r="M42" i="305"/>
  <c r="J42" i="305"/>
  <c r="G42" i="305"/>
  <c r="D42" i="305"/>
  <c r="Y41" i="305"/>
  <c r="V41" i="305"/>
  <c r="S41" i="305"/>
  <c r="P41" i="305"/>
  <c r="M41" i="305"/>
  <c r="J41" i="305"/>
  <c r="G41" i="305"/>
  <c r="D41" i="305"/>
  <c r="Y40" i="305"/>
  <c r="V40" i="305"/>
  <c r="S40" i="305"/>
  <c r="P40" i="305"/>
  <c r="M40" i="305"/>
  <c r="J40" i="305"/>
  <c r="G40" i="305"/>
  <c r="Y39" i="305"/>
  <c r="V39" i="305"/>
  <c r="S39" i="305"/>
  <c r="P39" i="305"/>
  <c r="M39" i="305"/>
  <c r="J39" i="305"/>
  <c r="G39" i="305"/>
  <c r="Y38" i="305"/>
  <c r="V38" i="305"/>
  <c r="S38" i="305"/>
  <c r="P38" i="305"/>
  <c r="M38" i="305"/>
  <c r="J38" i="305"/>
  <c r="G38" i="305"/>
  <c r="Y37" i="305"/>
  <c r="V37" i="305"/>
  <c r="S37" i="305"/>
  <c r="P37" i="305"/>
  <c r="M37" i="305"/>
  <c r="J37" i="305"/>
  <c r="G37" i="305"/>
  <c r="D37" i="305"/>
  <c r="Y36" i="305"/>
  <c r="V36" i="305"/>
  <c r="S36" i="305"/>
  <c r="P36" i="305"/>
  <c r="M36" i="305"/>
  <c r="J36" i="305"/>
  <c r="G36" i="305"/>
  <c r="Y35" i="305"/>
  <c r="V35" i="305"/>
  <c r="S35" i="305"/>
  <c r="P35" i="305"/>
  <c r="M35" i="305"/>
  <c r="J35" i="305"/>
  <c r="G35" i="305"/>
  <c r="Y34" i="305"/>
  <c r="V34" i="305"/>
  <c r="S34" i="305"/>
  <c r="P34" i="305"/>
  <c r="M34" i="305"/>
  <c r="J34" i="305"/>
  <c r="G34" i="305"/>
  <c r="Y33" i="305"/>
  <c r="V33" i="305"/>
  <c r="S33" i="305"/>
  <c r="P33" i="305"/>
  <c r="M33" i="305"/>
  <c r="J33" i="305"/>
  <c r="G33" i="305"/>
  <c r="Y32" i="305"/>
  <c r="V32" i="305"/>
  <c r="S32" i="305"/>
  <c r="P32" i="305"/>
  <c r="M32" i="305"/>
  <c r="J32" i="305"/>
  <c r="G32" i="305"/>
  <c r="D32" i="305"/>
  <c r="Y31" i="305"/>
  <c r="V31" i="305"/>
  <c r="S31" i="305"/>
  <c r="P31" i="305"/>
  <c r="M31" i="305"/>
  <c r="J31" i="305"/>
  <c r="G31" i="305"/>
  <c r="Y30" i="305"/>
  <c r="V30" i="305"/>
  <c r="S30" i="305"/>
  <c r="P30" i="305"/>
  <c r="M30" i="305"/>
  <c r="J30" i="305"/>
  <c r="G30" i="305"/>
  <c r="Y29" i="305"/>
  <c r="V29" i="305"/>
  <c r="S29" i="305"/>
  <c r="P29" i="305"/>
  <c r="M29" i="305"/>
  <c r="J29" i="305"/>
  <c r="G29" i="305"/>
  <c r="Y28" i="305"/>
  <c r="V28" i="305"/>
  <c r="S28" i="305"/>
  <c r="P28" i="305"/>
  <c r="M28" i="305"/>
  <c r="J28" i="305"/>
  <c r="G28" i="305"/>
  <c r="Y27" i="305"/>
  <c r="V27" i="305"/>
  <c r="S27" i="305"/>
  <c r="P27" i="305"/>
  <c r="M27" i="305"/>
  <c r="J27" i="305"/>
  <c r="G27" i="305"/>
  <c r="Y26" i="305"/>
  <c r="V26" i="305"/>
  <c r="S26" i="305"/>
  <c r="P26" i="305"/>
  <c r="M26" i="305"/>
  <c r="J26" i="305"/>
  <c r="G26" i="305"/>
  <c r="D26" i="305"/>
  <c r="Y25" i="305"/>
  <c r="V25" i="305"/>
  <c r="S25" i="305"/>
  <c r="P25" i="305"/>
  <c r="M25" i="305"/>
  <c r="J25" i="305"/>
  <c r="G25" i="305"/>
  <c r="Y24" i="305"/>
  <c r="V24" i="305"/>
  <c r="S24" i="305"/>
  <c r="P24" i="305"/>
  <c r="M24" i="305"/>
  <c r="J24" i="305"/>
  <c r="G24" i="305"/>
  <c r="Y23" i="305"/>
  <c r="V23" i="305"/>
  <c r="S23" i="305"/>
  <c r="P23" i="305"/>
  <c r="M23" i="305"/>
  <c r="J23" i="305"/>
  <c r="G23" i="305"/>
  <c r="D23" i="305"/>
  <c r="Y22" i="305"/>
  <c r="V22" i="305"/>
  <c r="S22" i="305"/>
  <c r="P22" i="305"/>
  <c r="M22" i="305"/>
  <c r="J22" i="305"/>
  <c r="G22" i="305"/>
  <c r="Y21" i="305"/>
  <c r="V21" i="305"/>
  <c r="S21" i="305"/>
  <c r="P21" i="305"/>
  <c r="M21" i="305"/>
  <c r="J21" i="305"/>
  <c r="G21" i="305"/>
  <c r="Y20" i="305"/>
  <c r="V20" i="305"/>
  <c r="S20" i="305"/>
  <c r="P20" i="305"/>
  <c r="M20" i="305"/>
  <c r="J20" i="305"/>
  <c r="G20" i="305"/>
  <c r="Y19" i="305"/>
  <c r="V19" i="305"/>
  <c r="S19" i="305"/>
  <c r="P19" i="305"/>
  <c r="M19" i="305"/>
  <c r="J19" i="305"/>
  <c r="G19" i="305"/>
  <c r="Y18" i="305"/>
  <c r="V18" i="305"/>
  <c r="S18" i="305"/>
  <c r="P18" i="305"/>
  <c r="M18" i="305"/>
  <c r="J18" i="305"/>
  <c r="G18" i="305"/>
  <c r="Y17" i="305"/>
  <c r="V17" i="305"/>
  <c r="S17" i="305"/>
  <c r="P17" i="305"/>
  <c r="M17" i="305"/>
  <c r="J17" i="305"/>
  <c r="G17" i="305"/>
  <c r="Y16" i="305"/>
  <c r="V16" i="305"/>
  <c r="S16" i="305"/>
  <c r="P16" i="305"/>
  <c r="M16" i="305"/>
  <c r="J16" i="305"/>
  <c r="G16" i="305"/>
  <c r="Y15" i="305"/>
  <c r="V15" i="305"/>
  <c r="S15" i="305"/>
  <c r="P15" i="305"/>
  <c r="M15" i="305"/>
  <c r="J15" i="305"/>
  <c r="G15" i="305"/>
  <c r="Y14" i="305"/>
  <c r="V14" i="305"/>
  <c r="S14" i="305"/>
  <c r="P14" i="305"/>
  <c r="M14" i="305"/>
  <c r="J14" i="305"/>
  <c r="G14" i="305"/>
  <c r="Y13" i="305"/>
  <c r="V13" i="305"/>
  <c r="S13" i="305"/>
  <c r="P13" i="305"/>
  <c r="M13" i="305"/>
  <c r="J13" i="305"/>
  <c r="G13" i="305"/>
  <c r="D13" i="305"/>
  <c r="D52" i="305" s="1"/>
  <c r="Y12" i="305"/>
  <c r="V12" i="305"/>
  <c r="S12" i="305"/>
  <c r="P12" i="305"/>
  <c r="M12" i="305"/>
  <c r="J12" i="305"/>
  <c r="G12" i="305"/>
  <c r="Y11" i="305"/>
  <c r="V11" i="305"/>
  <c r="S11" i="305"/>
  <c r="P11" i="305"/>
  <c r="M11" i="305"/>
  <c r="J11" i="305"/>
  <c r="G11" i="305"/>
  <c r="Y10" i="305"/>
  <c r="V10" i="305"/>
  <c r="S10" i="305"/>
  <c r="P10" i="305"/>
  <c r="M10" i="305"/>
  <c r="J10" i="305"/>
  <c r="G10" i="305"/>
  <c r="Y9" i="305"/>
  <c r="V9" i="305"/>
  <c r="S9" i="305"/>
  <c r="P9" i="305"/>
  <c r="M9" i="305"/>
  <c r="J9" i="305"/>
  <c r="G9" i="305"/>
  <c r="Y8" i="305"/>
  <c r="V8" i="305"/>
  <c r="S8" i="305"/>
  <c r="P8" i="305"/>
  <c r="M8" i="305"/>
  <c r="J8" i="305"/>
  <c r="G8" i="305"/>
  <c r="Y7" i="305"/>
  <c r="V7" i="305"/>
  <c r="S7" i="305"/>
  <c r="P7" i="305"/>
  <c r="M7" i="305"/>
  <c r="J7" i="305"/>
  <c r="G7" i="305"/>
  <c r="Y6" i="305"/>
  <c r="V6" i="305"/>
  <c r="S6" i="305"/>
  <c r="S52" i="305" s="1"/>
  <c r="P6" i="305"/>
  <c r="M6" i="305"/>
  <c r="J6" i="305"/>
  <c r="J52" i="305" s="1"/>
  <c r="G6" i="305"/>
  <c r="G52" i="305" s="1"/>
  <c r="D105" i="304"/>
  <c r="C105" i="304"/>
  <c r="E104" i="304"/>
  <c r="E105" i="304" s="1"/>
  <c r="D102" i="304"/>
  <c r="C102" i="304"/>
  <c r="E101" i="304"/>
  <c r="E102" i="304" s="1"/>
  <c r="D99" i="304"/>
  <c r="C99" i="304"/>
  <c r="E98" i="304"/>
  <c r="E99" i="304" s="1"/>
  <c r="D96" i="304"/>
  <c r="C96" i="304"/>
  <c r="E95" i="304"/>
  <c r="E96" i="304" s="1"/>
  <c r="D93" i="304"/>
  <c r="C92" i="304"/>
  <c r="C93" i="304" s="1"/>
  <c r="C107" i="304" s="1"/>
  <c r="D90" i="304"/>
  <c r="C90" i="304"/>
  <c r="E89" i="304"/>
  <c r="E90" i="304" s="1"/>
  <c r="D87" i="304"/>
  <c r="C87" i="304"/>
  <c r="E86" i="304"/>
  <c r="E87" i="304" s="1"/>
  <c r="E83" i="304"/>
  <c r="C81" i="304"/>
  <c r="E81" i="304" s="1"/>
  <c r="D79" i="304"/>
  <c r="C79" i="304"/>
  <c r="E79" i="304" s="1"/>
  <c r="D77" i="304"/>
  <c r="C77" i="304"/>
  <c r="E76" i="304"/>
  <c r="E77" i="304" s="1"/>
  <c r="D74" i="304"/>
  <c r="C73" i="304"/>
  <c r="C74" i="304" s="1"/>
  <c r="D71" i="304"/>
  <c r="C71" i="304"/>
  <c r="E70" i="304"/>
  <c r="E71" i="304" s="1"/>
  <c r="D68" i="304"/>
  <c r="C68" i="304"/>
  <c r="E67" i="304"/>
  <c r="E68" i="304" s="1"/>
  <c r="D65" i="304"/>
  <c r="C65" i="304"/>
  <c r="E64" i="304"/>
  <c r="E65" i="304" s="1"/>
  <c r="D62" i="304"/>
  <c r="C62" i="304"/>
  <c r="E61" i="304"/>
  <c r="E62" i="304" s="1"/>
  <c r="D59" i="304"/>
  <c r="C59" i="304"/>
  <c r="E58" i="304"/>
  <c r="E59" i="304" s="1"/>
  <c r="D56" i="304"/>
  <c r="C56" i="304"/>
  <c r="E55" i="304"/>
  <c r="E54" i="304"/>
  <c r="D52" i="304"/>
  <c r="C52" i="304"/>
  <c r="E51" i="304"/>
  <c r="E52" i="304" s="1"/>
  <c r="D49" i="304"/>
  <c r="C49" i="304"/>
  <c r="E48" i="304"/>
  <c r="E47" i="304"/>
  <c r="E49" i="304" s="1"/>
  <c r="D45" i="304"/>
  <c r="C45" i="304"/>
  <c r="E44" i="304"/>
  <c r="E45" i="304" s="1"/>
  <c r="D42" i="304"/>
  <c r="C42" i="304"/>
  <c r="E41" i="304"/>
  <c r="E40" i="304"/>
  <c r="D38" i="304"/>
  <c r="C38" i="304"/>
  <c r="E37" i="304"/>
  <c r="E36" i="304"/>
  <c r="E38" i="304" s="1"/>
  <c r="D34" i="304"/>
  <c r="C34" i="304"/>
  <c r="E33" i="304"/>
  <c r="E34" i="304" s="1"/>
  <c r="C31" i="304"/>
  <c r="E30" i="304"/>
  <c r="D29" i="304"/>
  <c r="E29" i="304" s="1"/>
  <c r="E31" i="304" s="1"/>
  <c r="D27" i="304"/>
  <c r="C27" i="304"/>
  <c r="E26" i="304"/>
  <c r="E27" i="304" s="1"/>
  <c r="D24" i="304"/>
  <c r="C24" i="304"/>
  <c r="E23" i="304"/>
  <c r="E24" i="304" s="1"/>
  <c r="E22" i="304"/>
  <c r="D20" i="304"/>
  <c r="C20" i="304"/>
  <c r="E19" i="304"/>
  <c r="E18" i="304"/>
  <c r="D16" i="304"/>
  <c r="C16" i="304"/>
  <c r="E15" i="304"/>
  <c r="E16" i="304" s="1"/>
  <c r="D13" i="304"/>
  <c r="C13" i="304"/>
  <c r="E12" i="304"/>
  <c r="E13" i="304" s="1"/>
  <c r="D10" i="304"/>
  <c r="C10" i="304"/>
  <c r="E9" i="304"/>
  <c r="E8" i="304"/>
  <c r="E7" i="304"/>
  <c r="E6" i="304"/>
  <c r="E10" i="304" s="1"/>
  <c r="C135" i="303"/>
  <c r="B135" i="303"/>
  <c r="D134" i="303"/>
  <c r="D133" i="303"/>
  <c r="D132" i="303"/>
  <c r="D131" i="303"/>
  <c r="D130" i="303"/>
  <c r="D129" i="303"/>
  <c r="D128" i="303"/>
  <c r="D127" i="303"/>
  <c r="D126" i="303"/>
  <c r="D125" i="303"/>
  <c r="D124" i="303"/>
  <c r="D123" i="303"/>
  <c r="D122" i="303"/>
  <c r="D121" i="303"/>
  <c r="D120" i="303"/>
  <c r="D119" i="303"/>
  <c r="D118" i="303"/>
  <c r="D117" i="303"/>
  <c r="D116" i="303"/>
  <c r="C112" i="303"/>
  <c r="B112" i="303"/>
  <c r="D111" i="303"/>
  <c r="D110" i="303"/>
  <c r="D109" i="303"/>
  <c r="D108" i="303"/>
  <c r="D107" i="303"/>
  <c r="D106" i="303"/>
  <c r="D105" i="303"/>
  <c r="D104" i="303"/>
  <c r="D103" i="303"/>
  <c r="D102" i="303"/>
  <c r="D101" i="303"/>
  <c r="D100" i="303"/>
  <c r="D99" i="303"/>
  <c r="D98" i="303"/>
  <c r="D97" i="303"/>
  <c r="D96" i="303"/>
  <c r="D95" i="303"/>
  <c r="D94" i="303"/>
  <c r="D93" i="303"/>
  <c r="D92" i="303"/>
  <c r="D91" i="303"/>
  <c r="D90" i="303"/>
  <c r="D89" i="303"/>
  <c r="D88" i="303"/>
  <c r="D87" i="303"/>
  <c r="D86" i="303"/>
  <c r="D85" i="303"/>
  <c r="D84" i="303"/>
  <c r="D83" i="303"/>
  <c r="D82" i="303"/>
  <c r="D81" i="303"/>
  <c r="D80" i="303"/>
  <c r="D79" i="303"/>
  <c r="D78" i="303"/>
  <c r="D77" i="303"/>
  <c r="D76" i="303"/>
  <c r="D75" i="303"/>
  <c r="D74" i="303"/>
  <c r="D73" i="303"/>
  <c r="D72" i="303"/>
  <c r="D71" i="303"/>
  <c r="D70" i="303"/>
  <c r="D69" i="303"/>
  <c r="D68" i="303"/>
  <c r="D67" i="303"/>
  <c r="D66" i="303"/>
  <c r="D65" i="303"/>
  <c r="D64" i="303"/>
  <c r="D63" i="303"/>
  <c r="D62" i="303"/>
  <c r="D61" i="303"/>
  <c r="D112" i="303" s="1"/>
  <c r="B58" i="303"/>
  <c r="D57" i="303"/>
  <c r="D56" i="303"/>
  <c r="C56" i="303"/>
  <c r="C58" i="303" s="1"/>
  <c r="D55" i="303"/>
  <c r="D54" i="303"/>
  <c r="D53" i="303"/>
  <c r="D52" i="303"/>
  <c r="D51" i="303"/>
  <c r="D50" i="303"/>
  <c r="D49" i="303"/>
  <c r="D48" i="303"/>
  <c r="D47" i="303"/>
  <c r="D43" i="303"/>
  <c r="D42" i="303"/>
  <c r="D41" i="303"/>
  <c r="D39" i="303"/>
  <c r="D36" i="303"/>
  <c r="D35" i="303"/>
  <c r="D34" i="303"/>
  <c r="C33" i="303"/>
  <c r="D33" i="303" s="1"/>
  <c r="D32" i="303"/>
  <c r="D31" i="303"/>
  <c r="D30" i="303"/>
  <c r="D29" i="303"/>
  <c r="D28" i="303"/>
  <c r="D27" i="303"/>
  <c r="D26" i="303"/>
  <c r="D25" i="303"/>
  <c r="D24" i="303"/>
  <c r="D23" i="303"/>
  <c r="D22" i="303"/>
  <c r="D21" i="303"/>
  <c r="D20" i="303"/>
  <c r="D19" i="303"/>
  <c r="D18" i="303"/>
  <c r="D17" i="303"/>
  <c r="D16" i="303"/>
  <c r="D15" i="303"/>
  <c r="D14" i="303"/>
  <c r="D13" i="303"/>
  <c r="C12" i="303"/>
  <c r="C44" i="303" s="1"/>
  <c r="B12" i="303"/>
  <c r="B44" i="303" s="1"/>
  <c r="B137" i="303" s="1"/>
  <c r="C9" i="303"/>
  <c r="B9" i="303"/>
  <c r="D8" i="303"/>
  <c r="D7" i="303"/>
  <c r="D9" i="303" s="1"/>
  <c r="H263" i="302"/>
  <c r="E263" i="302"/>
  <c r="E262" i="302"/>
  <c r="D261" i="302"/>
  <c r="E261" i="302" s="1"/>
  <c r="D260" i="302"/>
  <c r="E260" i="302" s="1"/>
  <c r="D259" i="302"/>
  <c r="E259" i="302" s="1"/>
  <c r="H258" i="302"/>
  <c r="D258" i="302"/>
  <c r="E258" i="302" s="1"/>
  <c r="E257" i="302"/>
  <c r="H256" i="302"/>
  <c r="E256" i="302"/>
  <c r="E255" i="302"/>
  <c r="G250" i="302"/>
  <c r="E254" i="302"/>
  <c r="H253" i="302"/>
  <c r="E253" i="302"/>
  <c r="H252" i="302"/>
  <c r="E252" i="302"/>
  <c r="H251" i="302"/>
  <c r="E251" i="302"/>
  <c r="F250" i="302"/>
  <c r="C250" i="302"/>
  <c r="G249" i="302"/>
  <c r="E249" i="302"/>
  <c r="E247" i="302"/>
  <c r="H246" i="302"/>
  <c r="G246" i="302"/>
  <c r="E246" i="302"/>
  <c r="H245" i="302"/>
  <c r="G245" i="302"/>
  <c r="E245" i="302"/>
  <c r="E244" i="302"/>
  <c r="E243" i="302"/>
  <c r="E242" i="302"/>
  <c r="G241" i="302"/>
  <c r="E241" i="302"/>
  <c r="E238" i="302" s="1"/>
  <c r="E237" i="302" s="1"/>
  <c r="E240" i="302"/>
  <c r="G239" i="302"/>
  <c r="E239" i="302"/>
  <c r="H238" i="302"/>
  <c r="H237" i="302" s="1"/>
  <c r="F238" i="302"/>
  <c r="D238" i="302"/>
  <c r="F237" i="302"/>
  <c r="D237" i="302"/>
  <c r="C237" i="302"/>
  <c r="E236" i="302"/>
  <c r="E235" i="302"/>
  <c r="E234" i="302"/>
  <c r="E233" i="302"/>
  <c r="E232" i="302"/>
  <c r="E231" i="302"/>
  <c r="E230" i="302"/>
  <c r="E229" i="302"/>
  <c r="E228" i="302"/>
  <c r="E227" i="302"/>
  <c r="E226" i="302"/>
  <c r="E225" i="302"/>
  <c r="E224" i="302"/>
  <c r="E223" i="302"/>
  <c r="G222" i="302"/>
  <c r="E222" i="302"/>
  <c r="E221" i="302"/>
  <c r="E220" i="302"/>
  <c r="E219" i="302"/>
  <c r="E218" i="302"/>
  <c r="E217" i="302"/>
  <c r="E216" i="302"/>
  <c r="E215" i="302"/>
  <c r="E214" i="302"/>
  <c r="G213" i="302"/>
  <c r="E213" i="302"/>
  <c r="D213" i="302"/>
  <c r="E212" i="302"/>
  <c r="E211" i="302"/>
  <c r="E210" i="302"/>
  <c r="H209" i="302"/>
  <c r="G209" i="302"/>
  <c r="F209" i="302"/>
  <c r="D209" i="302"/>
  <c r="G208" i="302"/>
  <c r="E208" i="302"/>
  <c r="E207" i="302"/>
  <c r="E206" i="302"/>
  <c r="E205" i="302"/>
  <c r="E204" i="302"/>
  <c r="E203" i="302"/>
  <c r="G202" i="302"/>
  <c r="E202" i="302"/>
  <c r="G201" i="302"/>
  <c r="E201" i="302"/>
  <c r="H200" i="302"/>
  <c r="F200" i="302"/>
  <c r="D200" i="302"/>
  <c r="C200" i="302"/>
  <c r="H199" i="302"/>
  <c r="G199" i="302"/>
  <c r="E199" i="302"/>
  <c r="H198" i="302"/>
  <c r="E198" i="302"/>
  <c r="G197" i="302"/>
  <c r="D197" i="302"/>
  <c r="E197" i="302" s="1"/>
  <c r="E196" i="302"/>
  <c r="E195" i="302"/>
  <c r="E194" i="302"/>
  <c r="E193" i="302"/>
  <c r="E192" i="302"/>
  <c r="E191" i="302"/>
  <c r="G190" i="302"/>
  <c r="E190" i="302"/>
  <c r="E189" i="302"/>
  <c r="E188" i="302"/>
  <c r="E187" i="302"/>
  <c r="E186" i="302"/>
  <c r="E185" i="302"/>
  <c r="E184" i="302"/>
  <c r="E183" i="302"/>
  <c r="E182" i="302"/>
  <c r="H181" i="302"/>
  <c r="G181" i="302"/>
  <c r="D181" i="302"/>
  <c r="E181" i="302" s="1"/>
  <c r="E180" i="302"/>
  <c r="H179" i="302"/>
  <c r="G179" i="302"/>
  <c r="E179" i="302"/>
  <c r="E178" i="302"/>
  <c r="E169" i="302"/>
  <c r="E176" i="302"/>
  <c r="E175" i="302"/>
  <c r="G174" i="302"/>
  <c r="E174" i="302"/>
  <c r="G173" i="302"/>
  <c r="E173" i="302"/>
  <c r="E171" i="302"/>
  <c r="E170" i="302"/>
  <c r="E168" i="302"/>
  <c r="E167" i="302"/>
  <c r="E166" i="302"/>
  <c r="E165" i="302"/>
  <c r="E164" i="302"/>
  <c r="E163" i="302"/>
  <c r="G162" i="302"/>
  <c r="E162" i="302"/>
  <c r="E161" i="302"/>
  <c r="E160" i="302"/>
  <c r="E159" i="302"/>
  <c r="E158" i="302"/>
  <c r="E157" i="302"/>
  <c r="E156" i="302"/>
  <c r="E155" i="302"/>
  <c r="E154" i="302"/>
  <c r="E153" i="302"/>
  <c r="E152" i="302"/>
  <c r="E151" i="302"/>
  <c r="E150" i="302"/>
  <c r="E149" i="302"/>
  <c r="E148" i="302"/>
  <c r="E147" i="302"/>
  <c r="E146" i="302"/>
  <c r="E145" i="302"/>
  <c r="E144" i="302"/>
  <c r="E143" i="302"/>
  <c r="E142" i="302"/>
  <c r="G140" i="302"/>
  <c r="E140" i="302"/>
  <c r="H138" i="302"/>
  <c r="G138" i="302"/>
  <c r="E138" i="302"/>
  <c r="E137" i="302"/>
  <c r="E136" i="302"/>
  <c r="E135" i="302"/>
  <c r="E134" i="302"/>
  <c r="E133" i="302"/>
  <c r="E132" i="302"/>
  <c r="E131" i="302"/>
  <c r="E130" i="302"/>
  <c r="E129" i="302"/>
  <c r="G128" i="302"/>
  <c r="E128" i="302"/>
  <c r="E127" i="302"/>
  <c r="E126" i="302"/>
  <c r="E125" i="302"/>
  <c r="E124" i="302"/>
  <c r="E123" i="302"/>
  <c r="G122" i="302"/>
  <c r="E122" i="302"/>
  <c r="E121" i="302"/>
  <c r="E120" i="302"/>
  <c r="E119" i="302"/>
  <c r="E118" i="302"/>
  <c r="G117" i="302"/>
  <c r="E117" i="302"/>
  <c r="E116" i="302"/>
  <c r="E115" i="302"/>
  <c r="G114" i="302"/>
  <c r="E114" i="302"/>
  <c r="G113" i="302"/>
  <c r="E113" i="302"/>
  <c r="E112" i="302"/>
  <c r="E111" i="302"/>
  <c r="E110" i="302"/>
  <c r="E109" i="302"/>
  <c r="E108" i="302"/>
  <c r="G107" i="302"/>
  <c r="E107" i="302"/>
  <c r="F106" i="302"/>
  <c r="C106" i="302"/>
  <c r="G105" i="302"/>
  <c r="E105" i="302"/>
  <c r="G104" i="302"/>
  <c r="E104" i="302"/>
  <c r="G103" i="302"/>
  <c r="E103" i="302"/>
  <c r="E102" i="302"/>
  <c r="E101" i="302"/>
  <c r="E100" i="302"/>
  <c r="G99" i="302"/>
  <c r="E99" i="302"/>
  <c r="G98" i="302"/>
  <c r="E98" i="302"/>
  <c r="H97" i="302"/>
  <c r="F97" i="302"/>
  <c r="D97" i="302"/>
  <c r="C97" i="302"/>
  <c r="G96" i="302"/>
  <c r="G93" i="302" s="1"/>
  <c r="E96" i="302"/>
  <c r="E93" i="302" s="1"/>
  <c r="E95" i="302"/>
  <c r="G94" i="302"/>
  <c r="E94" i="302"/>
  <c r="H93" i="302"/>
  <c r="F93" i="302"/>
  <c r="D93" i="302"/>
  <c r="C93" i="302"/>
  <c r="G92" i="302"/>
  <c r="E92" i="302"/>
  <c r="G91" i="302"/>
  <c r="E91" i="302"/>
  <c r="G90" i="302"/>
  <c r="D90" i="302"/>
  <c r="E90" i="302" s="1"/>
  <c r="G89" i="302"/>
  <c r="G88" i="302" s="1"/>
  <c r="E89" i="302"/>
  <c r="H88" i="302"/>
  <c r="F88" i="302"/>
  <c r="D88" i="302"/>
  <c r="C88" i="302"/>
  <c r="C248" i="302" s="1"/>
  <c r="C264" i="302" s="1"/>
  <c r="G87" i="302"/>
  <c r="E87" i="302"/>
  <c r="G86" i="302"/>
  <c r="G85" i="302" s="1"/>
  <c r="E86" i="302"/>
  <c r="E85" i="302" s="1"/>
  <c r="H85" i="302"/>
  <c r="F85" i="302"/>
  <c r="D85" i="302"/>
  <c r="E84" i="302"/>
  <c r="G83" i="302"/>
  <c r="E83" i="302"/>
  <c r="E82" i="302"/>
  <c r="E81" i="302"/>
  <c r="E80" i="302"/>
  <c r="G79" i="302"/>
  <c r="D79" i="302"/>
  <c r="E79" i="302" s="1"/>
  <c r="E78" i="302"/>
  <c r="G77" i="302"/>
  <c r="E77" i="302"/>
  <c r="G76" i="302"/>
  <c r="E76" i="302"/>
  <c r="G75" i="302"/>
  <c r="E75" i="302"/>
  <c r="G74" i="302"/>
  <c r="E74" i="302"/>
  <c r="G73" i="302"/>
  <c r="E73" i="302"/>
  <c r="G72" i="302"/>
  <c r="G71" i="302" s="1"/>
  <c r="D72" i="302"/>
  <c r="E72" i="302" s="1"/>
  <c r="H71" i="302"/>
  <c r="F71" i="302"/>
  <c r="E70" i="302"/>
  <c r="E69" i="302"/>
  <c r="E68" i="302"/>
  <c r="E67" i="302"/>
  <c r="E66" i="302"/>
  <c r="E65" i="302"/>
  <c r="E64" i="302"/>
  <c r="E63" i="302"/>
  <c r="E62" i="302"/>
  <c r="E61" i="302"/>
  <c r="E60" i="302"/>
  <c r="E59" i="302"/>
  <c r="E58" i="302"/>
  <c r="E57" i="302"/>
  <c r="E56" i="302"/>
  <c r="E55" i="302"/>
  <c r="E54" i="302"/>
  <c r="E53" i="302"/>
  <c r="E52" i="302"/>
  <c r="E51" i="302"/>
  <c r="E50" i="302"/>
  <c r="E49" i="302"/>
  <c r="G48" i="302"/>
  <c r="E48" i="302"/>
  <c r="E47" i="302"/>
  <c r="E46" i="302"/>
  <c r="E45" i="302"/>
  <c r="E44" i="302"/>
  <c r="E43" i="302"/>
  <c r="E42" i="302"/>
  <c r="E41" i="302"/>
  <c r="E40" i="302"/>
  <c r="E39" i="302"/>
  <c r="G38" i="302"/>
  <c r="E38" i="302"/>
  <c r="E37" i="302"/>
  <c r="G36" i="302"/>
  <c r="E36" i="302"/>
  <c r="E35" i="302"/>
  <c r="E34" i="302"/>
  <c r="G33" i="302"/>
  <c r="E33" i="302"/>
  <c r="G32" i="302"/>
  <c r="E32" i="302"/>
  <c r="E31" i="302"/>
  <c r="E30" i="302"/>
  <c r="E29" i="302"/>
  <c r="E28" i="302"/>
  <c r="E27" i="302"/>
  <c r="E26" i="302"/>
  <c r="E25" i="302"/>
  <c r="G24" i="302"/>
  <c r="E24" i="302"/>
  <c r="E23" i="302"/>
  <c r="E22" i="302"/>
  <c r="G21" i="302"/>
  <c r="E21" i="302"/>
  <c r="G20" i="302"/>
  <c r="E20" i="302"/>
  <c r="E19" i="302"/>
  <c r="G18" i="302"/>
  <c r="E18" i="302"/>
  <c r="E17" i="302"/>
  <c r="E16" i="302"/>
  <c r="E15" i="302"/>
  <c r="G14" i="302"/>
  <c r="E14" i="302"/>
  <c r="E13" i="302"/>
  <c r="E12" i="302"/>
  <c r="E11" i="302"/>
  <c r="E10" i="302"/>
  <c r="H9" i="302"/>
  <c r="F9" i="302"/>
  <c r="E8" i="302"/>
  <c r="E7" i="302"/>
  <c r="G6" i="302"/>
  <c r="G5" i="302" s="1"/>
  <c r="F6" i="302"/>
  <c r="F5" i="302" s="1"/>
  <c r="F4" i="302" s="1"/>
  <c r="F248" i="302" s="1"/>
  <c r="F264" i="302" s="1"/>
  <c r="E6" i="302"/>
  <c r="E5" i="302" s="1"/>
  <c r="H5" i="302"/>
  <c r="D5" i="302"/>
  <c r="D4" i="302" s="1"/>
  <c r="I43" i="261"/>
  <c r="I42" i="261"/>
  <c r="J43" i="261"/>
  <c r="J42" i="261"/>
  <c r="H43" i="261"/>
  <c r="H42" i="261"/>
  <c r="E43" i="261"/>
  <c r="E42" i="261"/>
  <c r="G44" i="261"/>
  <c r="F44" i="261"/>
  <c r="D44" i="261"/>
  <c r="C44" i="261"/>
  <c r="D12" i="303" l="1"/>
  <c r="D135" i="303"/>
  <c r="C137" i="303"/>
  <c r="D31" i="304"/>
  <c r="D58" i="303"/>
  <c r="D108" i="304"/>
  <c r="E20" i="304"/>
  <c r="E42" i="304"/>
  <c r="E56" i="304"/>
  <c r="E92" i="304"/>
  <c r="E93" i="304" s="1"/>
  <c r="V52" i="305"/>
  <c r="D44" i="303"/>
  <c r="D107" i="304"/>
  <c r="M52" i="305"/>
  <c r="Y52" i="305"/>
  <c r="H197" i="302"/>
  <c r="E200" i="302"/>
  <c r="H250" i="302"/>
  <c r="E209" i="302"/>
  <c r="G238" i="302"/>
  <c r="G237" i="302" s="1"/>
  <c r="G200" i="302"/>
  <c r="E88" i="302"/>
  <c r="G97" i="302"/>
  <c r="H106" i="302"/>
  <c r="H4" i="302"/>
  <c r="E97" i="302"/>
  <c r="D71" i="302"/>
  <c r="E71" i="302"/>
  <c r="E9" i="302" s="1"/>
  <c r="E4" i="302" s="1"/>
  <c r="E248" i="302" s="1"/>
  <c r="K43" i="261"/>
  <c r="K42" i="261"/>
  <c r="C30" i="306"/>
  <c r="D28" i="306" s="1"/>
  <c r="D30" i="306" s="1"/>
  <c r="E28" i="306" s="1"/>
  <c r="E30" i="306" s="1"/>
  <c r="F28" i="306" s="1"/>
  <c r="F30" i="306" s="1"/>
  <c r="G28" i="306" s="1"/>
  <c r="G30" i="306" s="1"/>
  <c r="H28" i="306" s="1"/>
  <c r="H30" i="306" s="1"/>
  <c r="I28" i="306" s="1"/>
  <c r="I30" i="306" s="1"/>
  <c r="J28" i="306" s="1"/>
  <c r="J30" i="306" s="1"/>
  <c r="K28" i="306" s="1"/>
  <c r="K30" i="306" s="1"/>
  <c r="L28" i="306" s="1"/>
  <c r="L30" i="306" s="1"/>
  <c r="M28" i="306" s="1"/>
  <c r="M30" i="306" s="1"/>
  <c r="N15" i="306"/>
  <c r="N26" i="306"/>
  <c r="E106" i="302"/>
  <c r="E250" i="302"/>
  <c r="G9" i="302"/>
  <c r="G4" i="302" s="1"/>
  <c r="D137" i="303"/>
  <c r="G106" i="302"/>
  <c r="C108" i="304"/>
  <c r="E107" i="304"/>
  <c r="P52" i="305"/>
  <c r="D106" i="302"/>
  <c r="D248" i="302" s="1"/>
  <c r="E73" i="304"/>
  <c r="E74" i="304" s="1"/>
  <c r="E108" i="304" s="1"/>
  <c r="P42" i="305"/>
  <c r="D250" i="302"/>
  <c r="N568" i="283"/>
  <c r="K568" i="283"/>
  <c r="J568" i="283"/>
  <c r="I568" i="283"/>
  <c r="G568" i="283"/>
  <c r="F568" i="283"/>
  <c r="E568" i="283"/>
  <c r="D568" i="283"/>
  <c r="C568" i="283"/>
  <c r="N567" i="283"/>
  <c r="K567" i="283"/>
  <c r="J567" i="283"/>
  <c r="I567" i="283"/>
  <c r="G567" i="283"/>
  <c r="F567" i="283"/>
  <c r="E567" i="283"/>
  <c r="D567" i="283"/>
  <c r="C567" i="283"/>
  <c r="N566" i="283"/>
  <c r="K566" i="283"/>
  <c r="K569" i="283" s="1"/>
  <c r="J566" i="283"/>
  <c r="J569" i="283" s="1"/>
  <c r="I566" i="283"/>
  <c r="G566" i="283"/>
  <c r="F566" i="283"/>
  <c r="E566" i="283"/>
  <c r="E569" i="283" s="1"/>
  <c r="D566" i="283"/>
  <c r="D569" i="283" s="1"/>
  <c r="C566" i="283"/>
  <c r="N557" i="283"/>
  <c r="K557" i="283"/>
  <c r="J557" i="283"/>
  <c r="I557" i="283"/>
  <c r="G557" i="283"/>
  <c r="F557" i="283"/>
  <c r="D557" i="283"/>
  <c r="C557" i="283"/>
  <c r="N556" i="283"/>
  <c r="K556" i="283"/>
  <c r="J556" i="283"/>
  <c r="I556" i="283"/>
  <c r="G556" i="283"/>
  <c r="F556" i="283"/>
  <c r="E556" i="283"/>
  <c r="D556" i="283"/>
  <c r="C556" i="283"/>
  <c r="N555" i="283"/>
  <c r="K555" i="283"/>
  <c r="J555" i="283"/>
  <c r="I555" i="283"/>
  <c r="G555" i="283"/>
  <c r="F555" i="283"/>
  <c r="E555" i="283"/>
  <c r="D555" i="283"/>
  <c r="C555" i="283"/>
  <c r="N553" i="283"/>
  <c r="K553" i="283"/>
  <c r="J553" i="283"/>
  <c r="I553" i="283"/>
  <c r="G553" i="283"/>
  <c r="F553" i="283"/>
  <c r="E553" i="283"/>
  <c r="D553" i="283"/>
  <c r="C553" i="283"/>
  <c r="N552" i="283"/>
  <c r="K552" i="283"/>
  <c r="J552" i="283"/>
  <c r="I552" i="283"/>
  <c r="G552" i="283"/>
  <c r="F552" i="283"/>
  <c r="E552" i="283"/>
  <c r="D552" i="283"/>
  <c r="C552" i="283"/>
  <c r="N551" i="283"/>
  <c r="K551" i="283"/>
  <c r="J551" i="283"/>
  <c r="I551" i="283"/>
  <c r="G551" i="283"/>
  <c r="F551" i="283"/>
  <c r="E551" i="283"/>
  <c r="D551" i="283"/>
  <c r="C551" i="283"/>
  <c r="N550" i="283"/>
  <c r="K550" i="283"/>
  <c r="J550" i="283"/>
  <c r="I550" i="283"/>
  <c r="G550" i="283"/>
  <c r="F550" i="283"/>
  <c r="E550" i="283"/>
  <c r="D550" i="283"/>
  <c r="C550" i="283"/>
  <c r="N549" i="283"/>
  <c r="K549" i="283"/>
  <c r="J549" i="283"/>
  <c r="I549" i="283"/>
  <c r="G549" i="283"/>
  <c r="F549" i="283"/>
  <c r="E549" i="283"/>
  <c r="D549" i="283"/>
  <c r="C549" i="283"/>
  <c r="N548" i="283"/>
  <c r="K548" i="283"/>
  <c r="J548" i="283"/>
  <c r="I548" i="283"/>
  <c r="G548" i="283"/>
  <c r="F548" i="283"/>
  <c r="E548" i="283"/>
  <c r="D548" i="283"/>
  <c r="C548" i="283"/>
  <c r="N547" i="283"/>
  <c r="K547" i="283"/>
  <c r="J547" i="283"/>
  <c r="I547" i="283"/>
  <c r="G547" i="283"/>
  <c r="F547" i="283"/>
  <c r="E547" i="283"/>
  <c r="D547" i="283"/>
  <c r="C547" i="283"/>
  <c r="N546" i="283"/>
  <c r="K546" i="283"/>
  <c r="J546" i="283"/>
  <c r="I546" i="283"/>
  <c r="G546" i="283"/>
  <c r="F546" i="283"/>
  <c r="E546" i="283"/>
  <c r="D546" i="283"/>
  <c r="C546" i="283"/>
  <c r="N545" i="283"/>
  <c r="K545" i="283"/>
  <c r="J545" i="283"/>
  <c r="I545" i="283"/>
  <c r="G545" i="283"/>
  <c r="F545" i="283"/>
  <c r="E545" i="283"/>
  <c r="D545" i="283"/>
  <c r="C545" i="283"/>
  <c r="N544" i="283"/>
  <c r="K544" i="283"/>
  <c r="J544" i="283"/>
  <c r="I544" i="283"/>
  <c r="G544" i="283"/>
  <c r="F544" i="283"/>
  <c r="E544" i="283"/>
  <c r="D544" i="283"/>
  <c r="C544" i="283"/>
  <c r="N543" i="283"/>
  <c r="K543" i="283"/>
  <c r="J543" i="283"/>
  <c r="I543" i="283"/>
  <c r="G543" i="283"/>
  <c r="F543" i="283"/>
  <c r="E543" i="283"/>
  <c r="D543" i="283"/>
  <c r="C543" i="283"/>
  <c r="N542" i="283"/>
  <c r="K542" i="283"/>
  <c r="J542" i="283"/>
  <c r="I542" i="283"/>
  <c r="G542" i="283"/>
  <c r="F542" i="283"/>
  <c r="E542" i="283"/>
  <c r="D542" i="283"/>
  <c r="C542" i="283"/>
  <c r="N541" i="283"/>
  <c r="K541" i="283"/>
  <c r="J541" i="283"/>
  <c r="I541" i="283"/>
  <c r="G541" i="283"/>
  <c r="F541" i="283"/>
  <c r="E541" i="283"/>
  <c r="D541" i="283"/>
  <c r="C541" i="283"/>
  <c r="N540" i="283"/>
  <c r="K540" i="283"/>
  <c r="J540" i="283"/>
  <c r="I540" i="283"/>
  <c r="G540" i="283"/>
  <c r="F540" i="283"/>
  <c r="E540" i="283"/>
  <c r="D540" i="283"/>
  <c r="C540" i="283"/>
  <c r="N539" i="283"/>
  <c r="K539" i="283"/>
  <c r="J539" i="283"/>
  <c r="I539" i="283"/>
  <c r="G539" i="283"/>
  <c r="F539" i="283"/>
  <c r="E539" i="283"/>
  <c r="D539" i="283"/>
  <c r="C539" i="283"/>
  <c r="N538" i="283"/>
  <c r="K538" i="283"/>
  <c r="J538" i="283"/>
  <c r="I538" i="283"/>
  <c r="G538" i="283"/>
  <c r="F538" i="283"/>
  <c r="E538" i="283"/>
  <c r="D538" i="283"/>
  <c r="C538" i="283"/>
  <c r="N537" i="283"/>
  <c r="K537" i="283"/>
  <c r="J537" i="283"/>
  <c r="I537" i="283"/>
  <c r="G537" i="283"/>
  <c r="F537" i="283"/>
  <c r="E537" i="283"/>
  <c r="D537" i="283"/>
  <c r="C537" i="283"/>
  <c r="N536" i="283"/>
  <c r="K536" i="283"/>
  <c r="J536" i="283"/>
  <c r="I536" i="283"/>
  <c r="G536" i="283"/>
  <c r="F536" i="283"/>
  <c r="E536" i="283"/>
  <c r="D536" i="283"/>
  <c r="C536" i="283"/>
  <c r="N535" i="283"/>
  <c r="K535" i="283"/>
  <c r="J535" i="283"/>
  <c r="I535" i="283"/>
  <c r="G535" i="283"/>
  <c r="F535" i="283"/>
  <c r="E535" i="283"/>
  <c r="D535" i="283"/>
  <c r="C535" i="283"/>
  <c r="N534" i="283"/>
  <c r="K534" i="283"/>
  <c r="J534" i="283"/>
  <c r="I534" i="283"/>
  <c r="G534" i="283"/>
  <c r="F534" i="283"/>
  <c r="E534" i="283"/>
  <c r="D534" i="283"/>
  <c r="C534" i="283"/>
  <c r="N533" i="283"/>
  <c r="K533" i="283"/>
  <c r="J533" i="283"/>
  <c r="I533" i="283"/>
  <c r="G533" i="283"/>
  <c r="F533" i="283"/>
  <c r="E533" i="283"/>
  <c r="D533" i="283"/>
  <c r="C533" i="283"/>
  <c r="N531" i="283"/>
  <c r="K531" i="283"/>
  <c r="J531" i="283"/>
  <c r="I531" i="283"/>
  <c r="G531" i="283"/>
  <c r="F531" i="283"/>
  <c r="E531" i="283"/>
  <c r="D531" i="283"/>
  <c r="C531" i="283"/>
  <c r="N530" i="283"/>
  <c r="K530" i="283"/>
  <c r="J530" i="283"/>
  <c r="I530" i="283"/>
  <c r="G530" i="283"/>
  <c r="F530" i="283"/>
  <c r="E530" i="283"/>
  <c r="D530" i="283"/>
  <c r="C530" i="283"/>
  <c r="N529" i="283"/>
  <c r="K529" i="283"/>
  <c r="J529" i="283"/>
  <c r="I529" i="283"/>
  <c r="G529" i="283"/>
  <c r="F529" i="283"/>
  <c r="E529" i="283"/>
  <c r="D529" i="283"/>
  <c r="C529" i="283"/>
  <c r="N528" i="283"/>
  <c r="K528" i="283"/>
  <c r="J528" i="283"/>
  <c r="I528" i="283"/>
  <c r="G528" i="283"/>
  <c r="F528" i="283"/>
  <c r="E528" i="283"/>
  <c r="D528" i="283"/>
  <c r="C528" i="283"/>
  <c r="N527" i="283"/>
  <c r="K527" i="283"/>
  <c r="J527" i="283"/>
  <c r="I527" i="283"/>
  <c r="G527" i="283"/>
  <c r="F527" i="283"/>
  <c r="E527" i="283"/>
  <c r="D527" i="283"/>
  <c r="C527" i="283"/>
  <c r="N526" i="283"/>
  <c r="K526" i="283"/>
  <c r="J526" i="283"/>
  <c r="I526" i="283"/>
  <c r="G526" i="283"/>
  <c r="F526" i="283"/>
  <c r="E526" i="283"/>
  <c r="D526" i="283"/>
  <c r="C526" i="283"/>
  <c r="N525" i="283"/>
  <c r="K525" i="283"/>
  <c r="J525" i="283"/>
  <c r="I525" i="283"/>
  <c r="G525" i="283"/>
  <c r="F525" i="283"/>
  <c r="D525" i="283"/>
  <c r="C525" i="283"/>
  <c r="N524" i="283"/>
  <c r="K524" i="283"/>
  <c r="J524" i="283"/>
  <c r="I524" i="283"/>
  <c r="G524" i="283"/>
  <c r="F524" i="283"/>
  <c r="D524" i="283"/>
  <c r="C524" i="283"/>
  <c r="N523" i="283"/>
  <c r="K523" i="283"/>
  <c r="J523" i="283"/>
  <c r="I523" i="283"/>
  <c r="G523" i="283"/>
  <c r="F523" i="283"/>
  <c r="E523" i="283"/>
  <c r="D523" i="283"/>
  <c r="C523" i="283"/>
  <c r="N522" i="283"/>
  <c r="K522" i="283"/>
  <c r="J522" i="283"/>
  <c r="I522" i="283"/>
  <c r="G522" i="283"/>
  <c r="F522" i="283"/>
  <c r="E522" i="283"/>
  <c r="D522" i="283"/>
  <c r="C522" i="283"/>
  <c r="N521" i="283"/>
  <c r="K521" i="283"/>
  <c r="J521" i="283"/>
  <c r="I521" i="283"/>
  <c r="G521" i="283"/>
  <c r="F521" i="283"/>
  <c r="E521" i="283"/>
  <c r="D521" i="283"/>
  <c r="N520" i="283"/>
  <c r="K520" i="283"/>
  <c r="J520" i="283"/>
  <c r="I520" i="283"/>
  <c r="G520" i="283"/>
  <c r="F520" i="283"/>
  <c r="E520" i="283"/>
  <c r="D520" i="283"/>
  <c r="C520" i="283"/>
  <c r="N519" i="283"/>
  <c r="K519" i="283"/>
  <c r="J519" i="283"/>
  <c r="I519" i="283"/>
  <c r="G519" i="283"/>
  <c r="F519" i="283"/>
  <c r="E519" i="283"/>
  <c r="D519" i="283"/>
  <c r="C519" i="283"/>
  <c r="N518" i="283"/>
  <c r="K518" i="283"/>
  <c r="J518" i="283"/>
  <c r="I518" i="283"/>
  <c r="G518" i="283"/>
  <c r="F518" i="283"/>
  <c r="E518" i="283"/>
  <c r="D518" i="283"/>
  <c r="C518" i="283"/>
  <c r="N517" i="283"/>
  <c r="K517" i="283"/>
  <c r="J517" i="283"/>
  <c r="I517" i="283"/>
  <c r="G517" i="283"/>
  <c r="F517" i="283"/>
  <c r="D517" i="283"/>
  <c r="C517" i="283"/>
  <c r="N516" i="283"/>
  <c r="K516" i="283"/>
  <c r="J516" i="283"/>
  <c r="I516" i="283"/>
  <c r="G516" i="283"/>
  <c r="F516" i="283"/>
  <c r="E516" i="283"/>
  <c r="D516" i="283"/>
  <c r="C516" i="283"/>
  <c r="N515" i="283"/>
  <c r="K515" i="283"/>
  <c r="J515" i="283"/>
  <c r="I515" i="283"/>
  <c r="G515" i="283"/>
  <c r="F515" i="283"/>
  <c r="E515" i="283"/>
  <c r="D515" i="283"/>
  <c r="C515" i="283"/>
  <c r="N514" i="283"/>
  <c r="K514" i="283"/>
  <c r="J514" i="283"/>
  <c r="I514" i="283"/>
  <c r="G514" i="283"/>
  <c r="F514" i="283"/>
  <c r="E514" i="283"/>
  <c r="D514" i="283"/>
  <c r="C514" i="283"/>
  <c r="N513" i="283"/>
  <c r="K513" i="283"/>
  <c r="J513" i="283"/>
  <c r="I513" i="283"/>
  <c r="G513" i="283"/>
  <c r="F513" i="283"/>
  <c r="E513" i="283"/>
  <c r="D513" i="283"/>
  <c r="C513" i="283"/>
  <c r="N511" i="283"/>
  <c r="K511" i="283"/>
  <c r="J511" i="283"/>
  <c r="I511" i="283"/>
  <c r="G511" i="283"/>
  <c r="F511" i="283"/>
  <c r="E511" i="283"/>
  <c r="D511" i="283"/>
  <c r="C511" i="283"/>
  <c r="N509" i="283"/>
  <c r="N561" i="283" s="1"/>
  <c r="K509" i="283"/>
  <c r="K561" i="283" s="1"/>
  <c r="J509" i="283"/>
  <c r="J561" i="283" s="1"/>
  <c r="I509" i="283"/>
  <c r="I561" i="283" s="1"/>
  <c r="G509" i="283"/>
  <c r="G561" i="283" s="1"/>
  <c r="F509" i="283"/>
  <c r="F561" i="283" s="1"/>
  <c r="D509" i="283"/>
  <c r="D561" i="283" s="1"/>
  <c r="C509" i="283"/>
  <c r="C561" i="283" s="1"/>
  <c r="N508" i="283"/>
  <c r="K508" i="283"/>
  <c r="J508" i="283"/>
  <c r="I508" i="283"/>
  <c r="G508" i="283"/>
  <c r="F508" i="283"/>
  <c r="E508" i="283"/>
  <c r="D508" i="283"/>
  <c r="C508" i="283"/>
  <c r="N507" i="283"/>
  <c r="K507" i="283"/>
  <c r="J507" i="283"/>
  <c r="I507" i="283"/>
  <c r="G507" i="283"/>
  <c r="F507" i="283"/>
  <c r="D507" i="283"/>
  <c r="C507" i="283"/>
  <c r="N506" i="283"/>
  <c r="K506" i="283"/>
  <c r="J506" i="283"/>
  <c r="I506" i="283"/>
  <c r="G506" i="283"/>
  <c r="F506" i="283"/>
  <c r="D506" i="283"/>
  <c r="C506" i="283"/>
  <c r="L505" i="283"/>
  <c r="L557" i="283" s="1"/>
  <c r="E505" i="283"/>
  <c r="L504" i="283"/>
  <c r="L556" i="283" s="1"/>
  <c r="H504" i="283"/>
  <c r="L503" i="283"/>
  <c r="L555" i="283" s="1"/>
  <c r="H503" i="283"/>
  <c r="L501" i="283"/>
  <c r="E501" i="283"/>
  <c r="E524" i="283" s="1"/>
  <c r="L500" i="283"/>
  <c r="E500" i="283"/>
  <c r="H500" i="283" s="1"/>
  <c r="M500" i="283" s="1"/>
  <c r="O500" i="283" s="1"/>
  <c r="L499" i="283"/>
  <c r="L523" i="283" s="1"/>
  <c r="H499" i="283"/>
  <c r="H523" i="283" s="1"/>
  <c r="L498" i="283"/>
  <c r="H498" i="283"/>
  <c r="L496" i="283"/>
  <c r="H496" i="283"/>
  <c r="M496" i="283" s="1"/>
  <c r="L495" i="283"/>
  <c r="L508" i="283" s="1"/>
  <c r="H495" i="283"/>
  <c r="H508" i="283" s="1"/>
  <c r="L494" i="283"/>
  <c r="H494" i="283"/>
  <c r="L493" i="283"/>
  <c r="H493" i="283"/>
  <c r="M493" i="283" s="1"/>
  <c r="N489" i="283"/>
  <c r="K489" i="283"/>
  <c r="J489" i="283"/>
  <c r="I489" i="283"/>
  <c r="G489" i="283"/>
  <c r="F489" i="283"/>
  <c r="E489" i="283"/>
  <c r="D489" i="283"/>
  <c r="C489" i="283"/>
  <c r="N488" i="283"/>
  <c r="K488" i="283"/>
  <c r="J488" i="283"/>
  <c r="I488" i="283"/>
  <c r="G488" i="283"/>
  <c r="F488" i="283"/>
  <c r="E488" i="283"/>
  <c r="D488" i="283"/>
  <c r="C488" i="283"/>
  <c r="N487" i="283"/>
  <c r="K487" i="283"/>
  <c r="J487" i="283"/>
  <c r="I487" i="283"/>
  <c r="G487" i="283"/>
  <c r="F487" i="283"/>
  <c r="E487" i="283"/>
  <c r="D487" i="283"/>
  <c r="C487" i="283"/>
  <c r="M486" i="283"/>
  <c r="O486" i="283" s="1"/>
  <c r="L486" i="283"/>
  <c r="H486" i="283"/>
  <c r="L485" i="283"/>
  <c r="H485" i="283"/>
  <c r="M485" i="283" s="1"/>
  <c r="O485" i="283" s="1"/>
  <c r="L484" i="283"/>
  <c r="L541" i="283" s="1"/>
  <c r="H484" i="283"/>
  <c r="H541" i="283" s="1"/>
  <c r="L483" i="283"/>
  <c r="L539" i="283" s="1"/>
  <c r="H483" i="283"/>
  <c r="H539" i="283" s="1"/>
  <c r="L482" i="283"/>
  <c r="H482" i="283"/>
  <c r="L481" i="283"/>
  <c r="H481" i="283"/>
  <c r="L480" i="283"/>
  <c r="H480" i="283"/>
  <c r="M480" i="283" s="1"/>
  <c r="O480" i="283" s="1"/>
  <c r="L479" i="283"/>
  <c r="H479" i="283"/>
  <c r="M479" i="283" s="1"/>
  <c r="O479" i="283" s="1"/>
  <c r="L478" i="283"/>
  <c r="H478" i="283"/>
  <c r="M478" i="283" s="1"/>
  <c r="O478" i="283" s="1"/>
  <c r="L477" i="283"/>
  <c r="H477" i="283"/>
  <c r="M477" i="283" s="1"/>
  <c r="O477" i="283" s="1"/>
  <c r="L476" i="283"/>
  <c r="H476" i="283"/>
  <c r="L474" i="283"/>
  <c r="L531" i="283" s="1"/>
  <c r="H474" i="283"/>
  <c r="H531" i="283" s="1"/>
  <c r="M473" i="283"/>
  <c r="O473" i="283" s="1"/>
  <c r="L473" i="283"/>
  <c r="H473" i="283"/>
  <c r="L472" i="283"/>
  <c r="H472" i="283"/>
  <c r="M472" i="283" s="1"/>
  <c r="O472" i="283" s="1"/>
  <c r="L471" i="283"/>
  <c r="H471" i="283"/>
  <c r="M471" i="283" s="1"/>
  <c r="O471" i="283" s="1"/>
  <c r="L469" i="283"/>
  <c r="M469" i="283" s="1"/>
  <c r="H469" i="283"/>
  <c r="L468" i="283"/>
  <c r="L488" i="283" s="1"/>
  <c r="H468" i="283"/>
  <c r="L467" i="283"/>
  <c r="H467" i="283"/>
  <c r="N465" i="283"/>
  <c r="K465" i="283"/>
  <c r="J465" i="283"/>
  <c r="I465" i="283"/>
  <c r="G465" i="283"/>
  <c r="F465" i="283"/>
  <c r="E465" i="283"/>
  <c r="D465" i="283"/>
  <c r="C465" i="283"/>
  <c r="N464" i="283"/>
  <c r="K464" i="283"/>
  <c r="J464" i="283"/>
  <c r="I464" i="283"/>
  <c r="G464" i="283"/>
  <c r="F464" i="283"/>
  <c r="E464" i="283"/>
  <c r="D464" i="283"/>
  <c r="C464" i="283"/>
  <c r="L463" i="283"/>
  <c r="L551" i="283" s="1"/>
  <c r="H463" i="283"/>
  <c r="H551" i="283" s="1"/>
  <c r="L461" i="283"/>
  <c r="H461" i="283"/>
  <c r="L460" i="283"/>
  <c r="H460" i="283"/>
  <c r="M460" i="283" s="1"/>
  <c r="N458" i="283"/>
  <c r="K458" i="283"/>
  <c r="J458" i="283"/>
  <c r="I458" i="283"/>
  <c r="G458" i="283"/>
  <c r="F458" i="283"/>
  <c r="E458" i="283"/>
  <c r="D458" i="283"/>
  <c r="C458" i="283"/>
  <c r="N457" i="283"/>
  <c r="K457" i="283"/>
  <c r="J457" i="283"/>
  <c r="I457" i="283"/>
  <c r="G457" i="283"/>
  <c r="F457" i="283"/>
  <c r="E457" i="283"/>
  <c r="D457" i="283"/>
  <c r="C457" i="283"/>
  <c r="L456" i="283"/>
  <c r="L552" i="283" s="1"/>
  <c r="H456" i="283"/>
  <c r="H552" i="283" s="1"/>
  <c r="L455" i="283"/>
  <c r="H455" i="283"/>
  <c r="L454" i="283"/>
  <c r="H454" i="283"/>
  <c r="L453" i="283"/>
  <c r="H453" i="283"/>
  <c r="M453" i="283" s="1"/>
  <c r="O453" i="283" s="1"/>
  <c r="L452" i="283"/>
  <c r="L544" i="283" s="1"/>
  <c r="H452" i="283"/>
  <c r="H544" i="283" s="1"/>
  <c r="L451" i="283"/>
  <c r="H451" i="283"/>
  <c r="L450" i="283"/>
  <c r="L542" i="283" s="1"/>
  <c r="H450" i="283"/>
  <c r="H542" i="283" s="1"/>
  <c r="L449" i="283"/>
  <c r="M449" i="283" s="1"/>
  <c r="O449" i="283" s="1"/>
  <c r="H449" i="283"/>
  <c r="L448" i="283"/>
  <c r="M448" i="283" s="1"/>
  <c r="O448" i="283" s="1"/>
  <c r="H448" i="283"/>
  <c r="L446" i="283"/>
  <c r="L458" i="283" s="1"/>
  <c r="H446" i="283"/>
  <c r="L445" i="283"/>
  <c r="H445" i="283"/>
  <c r="N443" i="283"/>
  <c r="K443" i="283"/>
  <c r="J443" i="283"/>
  <c r="I443" i="283"/>
  <c r="G443" i="283"/>
  <c r="F443" i="283"/>
  <c r="E443" i="283"/>
  <c r="D443" i="283"/>
  <c r="C443" i="283"/>
  <c r="N442" i="283"/>
  <c r="K442" i="283"/>
  <c r="J442" i="283"/>
  <c r="I442" i="283"/>
  <c r="G442" i="283"/>
  <c r="F442" i="283"/>
  <c r="E442" i="283"/>
  <c r="D442" i="283"/>
  <c r="C442" i="283"/>
  <c r="L441" i="283"/>
  <c r="H441" i="283"/>
  <c r="L440" i="283"/>
  <c r="H440" i="283"/>
  <c r="L439" i="283"/>
  <c r="H439" i="283"/>
  <c r="L438" i="283"/>
  <c r="H438" i="283"/>
  <c r="L437" i="283"/>
  <c r="H437" i="283"/>
  <c r="L435" i="283"/>
  <c r="H435" i="283"/>
  <c r="L434" i="283"/>
  <c r="H434" i="283"/>
  <c r="N432" i="283"/>
  <c r="K432" i="283"/>
  <c r="J432" i="283"/>
  <c r="I432" i="283"/>
  <c r="G432" i="283"/>
  <c r="F432" i="283"/>
  <c r="E432" i="283"/>
  <c r="D432" i="283"/>
  <c r="C432" i="283"/>
  <c r="N431" i="283"/>
  <c r="K431" i="283"/>
  <c r="J431" i="283"/>
  <c r="I431" i="283"/>
  <c r="G431" i="283"/>
  <c r="F431" i="283"/>
  <c r="E431" i="283"/>
  <c r="D431" i="283"/>
  <c r="C431" i="283"/>
  <c r="L430" i="283"/>
  <c r="H430" i="283"/>
  <c r="H534" i="283" s="1"/>
  <c r="L428" i="283"/>
  <c r="H428" i="283"/>
  <c r="H432" i="283" s="1"/>
  <c r="L427" i="283"/>
  <c r="H427" i="283"/>
  <c r="N425" i="283"/>
  <c r="K425" i="283"/>
  <c r="J425" i="283"/>
  <c r="I425" i="283"/>
  <c r="G425" i="283"/>
  <c r="F425" i="283"/>
  <c r="E425" i="283"/>
  <c r="D425" i="283"/>
  <c r="C425" i="283"/>
  <c r="N424" i="283"/>
  <c r="K424" i="283"/>
  <c r="J424" i="283"/>
  <c r="I424" i="283"/>
  <c r="G424" i="283"/>
  <c r="F424" i="283"/>
  <c r="E424" i="283"/>
  <c r="D424" i="283"/>
  <c r="C424" i="283"/>
  <c r="N423" i="283"/>
  <c r="K423" i="283"/>
  <c r="J423" i="283"/>
  <c r="I423" i="283"/>
  <c r="G423" i="283"/>
  <c r="F423" i="283"/>
  <c r="E423" i="283"/>
  <c r="D423" i="283"/>
  <c r="C423" i="283"/>
  <c r="L422" i="283"/>
  <c r="L553" i="283" s="1"/>
  <c r="H422" i="283"/>
  <c r="L421" i="283"/>
  <c r="H421" i="283"/>
  <c r="M421" i="283" s="1"/>
  <c r="O421" i="283" s="1"/>
  <c r="L420" i="283"/>
  <c r="H420" i="283"/>
  <c r="M420" i="283" s="1"/>
  <c r="O420" i="283" s="1"/>
  <c r="L419" i="283"/>
  <c r="H419" i="283"/>
  <c r="L418" i="283"/>
  <c r="H418" i="283"/>
  <c r="L417" i="283"/>
  <c r="H417" i="283"/>
  <c r="M417" i="283" s="1"/>
  <c r="O417" i="283" s="1"/>
  <c r="L416" i="283"/>
  <c r="H416" i="283"/>
  <c r="M416" i="283" s="1"/>
  <c r="O416" i="283" s="1"/>
  <c r="L415" i="283"/>
  <c r="H415" i="283"/>
  <c r="M415" i="283" s="1"/>
  <c r="O415" i="283" s="1"/>
  <c r="L414" i="283"/>
  <c r="M414" i="283" s="1"/>
  <c r="O414" i="283" s="1"/>
  <c r="H414" i="283"/>
  <c r="L413" i="283"/>
  <c r="L424" i="283" s="1"/>
  <c r="H413" i="283"/>
  <c r="L412" i="283"/>
  <c r="H412" i="283"/>
  <c r="M411" i="283"/>
  <c r="O411" i="283" s="1"/>
  <c r="L411" i="283"/>
  <c r="H411" i="283"/>
  <c r="L410" i="283"/>
  <c r="H410" i="283"/>
  <c r="L409" i="283"/>
  <c r="H409" i="283"/>
  <c r="M409" i="283" s="1"/>
  <c r="L408" i="283"/>
  <c r="H408" i="283"/>
  <c r="M408" i="283" s="1"/>
  <c r="N406" i="283"/>
  <c r="K406" i="283"/>
  <c r="J406" i="283"/>
  <c r="I406" i="283"/>
  <c r="G406" i="283"/>
  <c r="F406" i="283"/>
  <c r="E406" i="283"/>
  <c r="D406" i="283"/>
  <c r="C406" i="283"/>
  <c r="N405" i="283"/>
  <c r="K405" i="283"/>
  <c r="J405" i="283"/>
  <c r="I405" i="283"/>
  <c r="G405" i="283"/>
  <c r="F405" i="283"/>
  <c r="D405" i="283"/>
  <c r="C405" i="283"/>
  <c r="N404" i="283"/>
  <c r="K404" i="283"/>
  <c r="J404" i="283"/>
  <c r="I404" i="283"/>
  <c r="G404" i="283"/>
  <c r="F404" i="283"/>
  <c r="D404" i="283"/>
  <c r="C404" i="283"/>
  <c r="L403" i="283"/>
  <c r="H403" i="283"/>
  <c r="M403" i="283" s="1"/>
  <c r="O403" i="283" s="1"/>
  <c r="L402" i="283"/>
  <c r="H402" i="283"/>
  <c r="L401" i="283"/>
  <c r="H401" i="283"/>
  <c r="L400" i="283"/>
  <c r="H400" i="283"/>
  <c r="M400" i="283" s="1"/>
  <c r="O400" i="283" s="1"/>
  <c r="L398" i="283"/>
  <c r="H398" i="283"/>
  <c r="M398" i="283" s="1"/>
  <c r="O398" i="283" s="1"/>
  <c r="L397" i="283"/>
  <c r="H397" i="283"/>
  <c r="M397" i="283" s="1"/>
  <c r="O397" i="283" s="1"/>
  <c r="L396" i="283"/>
  <c r="H396" i="283"/>
  <c r="M396" i="283" s="1"/>
  <c r="O396" i="283" s="1"/>
  <c r="L395" i="283"/>
  <c r="L517" i="283" s="1"/>
  <c r="E395" i="283"/>
  <c r="L394" i="283"/>
  <c r="L516" i="283" s="1"/>
  <c r="H394" i="283"/>
  <c r="L393" i="283"/>
  <c r="H393" i="283"/>
  <c r="L391" i="283"/>
  <c r="H391" i="283"/>
  <c r="L390" i="283"/>
  <c r="L405" i="283" s="1"/>
  <c r="H390" i="283"/>
  <c r="L389" i="283"/>
  <c r="H389" i="283"/>
  <c r="N387" i="283"/>
  <c r="K387" i="283"/>
  <c r="J387" i="283"/>
  <c r="I387" i="283"/>
  <c r="G387" i="283"/>
  <c r="F387" i="283"/>
  <c r="E387" i="283"/>
  <c r="D387" i="283"/>
  <c r="C387" i="283"/>
  <c r="N386" i="283"/>
  <c r="K386" i="283"/>
  <c r="J386" i="283"/>
  <c r="I386" i="283"/>
  <c r="G386" i="283"/>
  <c r="F386" i="283"/>
  <c r="E386" i="283"/>
  <c r="D386" i="283"/>
  <c r="C386" i="283"/>
  <c r="C490" i="283" s="1"/>
  <c r="L385" i="283"/>
  <c r="H385" i="283"/>
  <c r="H546" i="283" s="1"/>
  <c r="L384" i="283"/>
  <c r="L545" i="283" s="1"/>
  <c r="H384" i="283"/>
  <c r="H545" i="283" s="1"/>
  <c r="M383" i="283"/>
  <c r="O383" i="283" s="1"/>
  <c r="L383" i="283"/>
  <c r="H383" i="283"/>
  <c r="L382" i="283"/>
  <c r="L540" i="283" s="1"/>
  <c r="H382" i="283"/>
  <c r="H540" i="283" s="1"/>
  <c r="L381" i="283"/>
  <c r="L535" i="283" s="1"/>
  <c r="H381" i="283"/>
  <c r="H535" i="283" s="1"/>
  <c r="L380" i="283"/>
  <c r="H380" i="283"/>
  <c r="H533" i="283" s="1"/>
  <c r="L378" i="283"/>
  <c r="H378" i="283"/>
  <c r="H387" i="283" s="1"/>
  <c r="L377" i="283"/>
  <c r="H377" i="283"/>
  <c r="M377" i="283" s="1"/>
  <c r="O377" i="283" s="1"/>
  <c r="N375" i="283"/>
  <c r="K375" i="283"/>
  <c r="J375" i="283"/>
  <c r="I375" i="283"/>
  <c r="G375" i="283"/>
  <c r="F375" i="283"/>
  <c r="E375" i="283"/>
  <c r="D375" i="283"/>
  <c r="C375" i="283"/>
  <c r="N374" i="283"/>
  <c r="K374" i="283"/>
  <c r="J374" i="283"/>
  <c r="I374" i="283"/>
  <c r="G374" i="283"/>
  <c r="F374" i="283"/>
  <c r="E374" i="283"/>
  <c r="D374" i="283"/>
  <c r="C374" i="283"/>
  <c r="N373" i="283"/>
  <c r="K373" i="283"/>
  <c r="J373" i="283"/>
  <c r="I373" i="283"/>
  <c r="G373" i="283"/>
  <c r="F373" i="283"/>
  <c r="E373" i="283"/>
  <c r="D373" i="283"/>
  <c r="C373" i="283"/>
  <c r="L372" i="283"/>
  <c r="H372" i="283"/>
  <c r="M370" i="283"/>
  <c r="O370" i="283" s="1"/>
  <c r="L370" i="283"/>
  <c r="H370" i="283"/>
  <c r="L369" i="283"/>
  <c r="H369" i="283"/>
  <c r="L368" i="283"/>
  <c r="H368" i="283"/>
  <c r="L367" i="283"/>
  <c r="H367" i="283"/>
  <c r="L366" i="283"/>
  <c r="H366" i="283"/>
  <c r="M366" i="283" s="1"/>
  <c r="O366" i="283" s="1"/>
  <c r="L365" i="283"/>
  <c r="H365" i="283"/>
  <c r="L364" i="283"/>
  <c r="L518" i="283" s="1"/>
  <c r="H364" i="283"/>
  <c r="H518" i="283" s="1"/>
  <c r="L363" i="283"/>
  <c r="H363" i="283"/>
  <c r="L361" i="283"/>
  <c r="H361" i="283"/>
  <c r="L360" i="283"/>
  <c r="H360" i="283"/>
  <c r="H374" i="283" s="1"/>
  <c r="L359" i="283"/>
  <c r="H359" i="283"/>
  <c r="N356" i="283"/>
  <c r="K356" i="283"/>
  <c r="J356" i="283"/>
  <c r="I356" i="283"/>
  <c r="G356" i="283"/>
  <c r="F356" i="283"/>
  <c r="E356" i="283"/>
  <c r="D356" i="283"/>
  <c r="C356" i="283"/>
  <c r="N355" i="283"/>
  <c r="K355" i="283"/>
  <c r="J355" i="283"/>
  <c r="I355" i="283"/>
  <c r="G355" i="283"/>
  <c r="F355" i="283"/>
  <c r="E355" i="283"/>
  <c r="D355" i="283"/>
  <c r="C355" i="283"/>
  <c r="N354" i="283"/>
  <c r="K354" i="283"/>
  <c r="J354" i="283"/>
  <c r="I354" i="283"/>
  <c r="G354" i="283"/>
  <c r="F354" i="283"/>
  <c r="E354" i="283"/>
  <c r="D354" i="283"/>
  <c r="C354" i="283"/>
  <c r="L353" i="283"/>
  <c r="M353" i="283" s="1"/>
  <c r="O353" i="283" s="1"/>
  <c r="H353" i="283"/>
  <c r="L352" i="283"/>
  <c r="H352" i="283"/>
  <c r="L350" i="283"/>
  <c r="M350" i="283" s="1"/>
  <c r="O350" i="283" s="1"/>
  <c r="H350" i="283"/>
  <c r="L349" i="283"/>
  <c r="H349" i="283"/>
  <c r="L348" i="283"/>
  <c r="M348" i="283" s="1"/>
  <c r="O348" i="283" s="1"/>
  <c r="H348" i="283"/>
  <c r="L347" i="283"/>
  <c r="H347" i="283"/>
  <c r="L345" i="283"/>
  <c r="H345" i="283"/>
  <c r="L344" i="283"/>
  <c r="L355" i="283" s="1"/>
  <c r="H344" i="283"/>
  <c r="L343" i="283"/>
  <c r="H343" i="283"/>
  <c r="N341" i="283"/>
  <c r="K341" i="283"/>
  <c r="J341" i="283"/>
  <c r="I341" i="283"/>
  <c r="G341" i="283"/>
  <c r="F341" i="283"/>
  <c r="E341" i="283"/>
  <c r="D341" i="283"/>
  <c r="C341" i="283"/>
  <c r="N340" i="283"/>
  <c r="K340" i="283"/>
  <c r="J340" i="283"/>
  <c r="I340" i="283"/>
  <c r="G340" i="283"/>
  <c r="F340" i="283"/>
  <c r="E340" i="283"/>
  <c r="D340" i="283"/>
  <c r="C340" i="283"/>
  <c r="N339" i="283"/>
  <c r="K339" i="283"/>
  <c r="J339" i="283"/>
  <c r="I339" i="283"/>
  <c r="G339" i="283"/>
  <c r="F339" i="283"/>
  <c r="E339" i="283"/>
  <c r="D339" i="283"/>
  <c r="C339" i="283"/>
  <c r="L338" i="283"/>
  <c r="H338" i="283"/>
  <c r="M338" i="283" s="1"/>
  <c r="O338" i="283" s="1"/>
  <c r="L336" i="283"/>
  <c r="H336" i="283"/>
  <c r="M336" i="283" s="1"/>
  <c r="O336" i="283" s="1"/>
  <c r="L335" i="283"/>
  <c r="L528" i="283" s="1"/>
  <c r="H335" i="283"/>
  <c r="H528" i="283" s="1"/>
  <c r="L334" i="283"/>
  <c r="H334" i="283"/>
  <c r="M334" i="283" s="1"/>
  <c r="O334" i="283" s="1"/>
  <c r="L333" i="283"/>
  <c r="H333" i="283"/>
  <c r="M333" i="283" s="1"/>
  <c r="O333" i="283" s="1"/>
  <c r="L332" i="283"/>
  <c r="H332" i="283"/>
  <c r="M332" i="283" s="1"/>
  <c r="O332" i="283" s="1"/>
  <c r="L330" i="283"/>
  <c r="L341" i="283" s="1"/>
  <c r="H330" i="283"/>
  <c r="H341" i="283" s="1"/>
  <c r="L329" i="283"/>
  <c r="L340" i="283" s="1"/>
  <c r="H329" i="283"/>
  <c r="L328" i="283"/>
  <c r="H328" i="283"/>
  <c r="N326" i="283"/>
  <c r="K326" i="283"/>
  <c r="J326" i="283"/>
  <c r="I326" i="283"/>
  <c r="G326" i="283"/>
  <c r="F326" i="283"/>
  <c r="E326" i="283"/>
  <c r="D326" i="283"/>
  <c r="C326" i="283"/>
  <c r="N325" i="283"/>
  <c r="K325" i="283"/>
  <c r="J325" i="283"/>
  <c r="I325" i="283"/>
  <c r="G325" i="283"/>
  <c r="F325" i="283"/>
  <c r="E325" i="283"/>
  <c r="D325" i="283"/>
  <c r="C325" i="283"/>
  <c r="N324" i="283"/>
  <c r="K324" i="283"/>
  <c r="K357" i="283" s="1"/>
  <c r="J324" i="283"/>
  <c r="I324" i="283"/>
  <c r="I357" i="283" s="1"/>
  <c r="G324" i="283"/>
  <c r="F324" i="283"/>
  <c r="F357" i="283" s="1"/>
  <c r="E324" i="283"/>
  <c r="D324" i="283"/>
  <c r="D357" i="283" s="1"/>
  <c r="C324" i="283"/>
  <c r="L323" i="283"/>
  <c r="H323" i="283"/>
  <c r="L321" i="283"/>
  <c r="H321" i="283"/>
  <c r="L320" i="283"/>
  <c r="L515" i="283" s="1"/>
  <c r="H320" i="283"/>
  <c r="H515" i="283" s="1"/>
  <c r="L319" i="283"/>
  <c r="H319" i="283"/>
  <c r="L318" i="283"/>
  <c r="H318" i="283"/>
  <c r="L316" i="283"/>
  <c r="L326" i="283" s="1"/>
  <c r="H316" i="283"/>
  <c r="L315" i="283"/>
  <c r="H315" i="283"/>
  <c r="L314" i="283"/>
  <c r="H314" i="283"/>
  <c r="N310" i="283"/>
  <c r="K310" i="283"/>
  <c r="J310" i="283"/>
  <c r="I310" i="283"/>
  <c r="G310" i="283"/>
  <c r="F310" i="283"/>
  <c r="E310" i="283"/>
  <c r="D310" i="283"/>
  <c r="C310" i="283"/>
  <c r="N309" i="283"/>
  <c r="K309" i="283"/>
  <c r="J309" i="283"/>
  <c r="I309" i="283"/>
  <c r="G309" i="283"/>
  <c r="F309" i="283"/>
  <c r="E309" i="283"/>
  <c r="D309" i="283"/>
  <c r="C309" i="283"/>
  <c r="N308" i="283"/>
  <c r="K308" i="283"/>
  <c r="J308" i="283"/>
  <c r="I308" i="283"/>
  <c r="G308" i="283"/>
  <c r="F308" i="283"/>
  <c r="E308" i="283"/>
  <c r="D308" i="283"/>
  <c r="C308" i="283"/>
  <c r="L307" i="283"/>
  <c r="H307" i="283"/>
  <c r="M307" i="283" s="1"/>
  <c r="O307" i="283" s="1"/>
  <c r="L306" i="283"/>
  <c r="H306" i="283"/>
  <c r="M306" i="283" s="1"/>
  <c r="O306" i="283" s="1"/>
  <c r="L304" i="283"/>
  <c r="H304" i="283"/>
  <c r="M304" i="283" s="1"/>
  <c r="O304" i="283" s="1"/>
  <c r="L303" i="283"/>
  <c r="H303" i="283"/>
  <c r="M303" i="283" s="1"/>
  <c r="O303" i="283" s="1"/>
  <c r="L302" i="283"/>
  <c r="H302" i="283"/>
  <c r="M302" i="283" s="1"/>
  <c r="O302" i="283" s="1"/>
  <c r="L301" i="283"/>
  <c r="H301" i="283"/>
  <c r="M301" i="283" s="1"/>
  <c r="O301" i="283" s="1"/>
  <c r="L300" i="283"/>
  <c r="H300" i="283"/>
  <c r="M300" i="283" s="1"/>
  <c r="O300" i="283" s="1"/>
  <c r="L298" i="283"/>
  <c r="H298" i="283"/>
  <c r="M298" i="283" s="1"/>
  <c r="L297" i="283"/>
  <c r="H297" i="283"/>
  <c r="M297" i="283" s="1"/>
  <c r="L296" i="283"/>
  <c r="L308" i="283" s="1"/>
  <c r="H296" i="283"/>
  <c r="M296" i="283" s="1"/>
  <c r="N294" i="283"/>
  <c r="K294" i="283"/>
  <c r="J294" i="283"/>
  <c r="I294" i="283"/>
  <c r="G294" i="283"/>
  <c r="F294" i="283"/>
  <c r="E294" i="283"/>
  <c r="D294" i="283"/>
  <c r="C294" i="283"/>
  <c r="N293" i="283"/>
  <c r="K293" i="283"/>
  <c r="J293" i="283"/>
  <c r="I293" i="283"/>
  <c r="G293" i="283"/>
  <c r="F293" i="283"/>
  <c r="E293" i="283"/>
  <c r="D293" i="283"/>
  <c r="C293" i="283"/>
  <c r="N292" i="283"/>
  <c r="K292" i="283"/>
  <c r="J292" i="283"/>
  <c r="I292" i="283"/>
  <c r="G292" i="283"/>
  <c r="F292" i="283"/>
  <c r="E292" i="283"/>
  <c r="D292" i="283"/>
  <c r="C292" i="283"/>
  <c r="L291" i="283"/>
  <c r="H291" i="283"/>
  <c r="L290" i="283"/>
  <c r="H290" i="283"/>
  <c r="L288" i="283"/>
  <c r="H288" i="283"/>
  <c r="L287" i="283"/>
  <c r="H287" i="283"/>
  <c r="L286" i="283"/>
  <c r="H286" i="283"/>
  <c r="L285" i="283"/>
  <c r="H285" i="283"/>
  <c r="L283" i="283"/>
  <c r="H283" i="283"/>
  <c r="L282" i="283"/>
  <c r="H282" i="283"/>
  <c r="L281" i="283"/>
  <c r="H281" i="283"/>
  <c r="N279" i="283"/>
  <c r="K279" i="283"/>
  <c r="J279" i="283"/>
  <c r="I279" i="283"/>
  <c r="G279" i="283"/>
  <c r="F279" i="283"/>
  <c r="E279" i="283"/>
  <c r="D279" i="283"/>
  <c r="C279" i="283"/>
  <c r="N278" i="283"/>
  <c r="K278" i="283"/>
  <c r="J278" i="283"/>
  <c r="I278" i="283"/>
  <c r="G278" i="283"/>
  <c r="F278" i="283"/>
  <c r="E278" i="283"/>
  <c r="D278" i="283"/>
  <c r="C278" i="283"/>
  <c r="N277" i="283"/>
  <c r="K277" i="283"/>
  <c r="J277" i="283"/>
  <c r="I277" i="283"/>
  <c r="G277" i="283"/>
  <c r="F277" i="283"/>
  <c r="E277" i="283"/>
  <c r="D277" i="283"/>
  <c r="C277" i="283"/>
  <c r="L276" i="283"/>
  <c r="H276" i="283"/>
  <c r="L274" i="283"/>
  <c r="H274" i="283"/>
  <c r="L273" i="283"/>
  <c r="H273" i="283"/>
  <c r="L272" i="283"/>
  <c r="H272" i="283"/>
  <c r="L271" i="283"/>
  <c r="H271" i="283"/>
  <c r="L269" i="283"/>
  <c r="L279" i="283" s="1"/>
  <c r="H269" i="283"/>
  <c r="L268" i="283"/>
  <c r="H268" i="283"/>
  <c r="L267" i="283"/>
  <c r="H267" i="283"/>
  <c r="N265" i="283"/>
  <c r="K265" i="283"/>
  <c r="J265" i="283"/>
  <c r="I265" i="283"/>
  <c r="G265" i="283"/>
  <c r="F265" i="283"/>
  <c r="E265" i="283"/>
  <c r="D265" i="283"/>
  <c r="C265" i="283"/>
  <c r="N264" i="283"/>
  <c r="K264" i="283"/>
  <c r="J264" i="283"/>
  <c r="I264" i="283"/>
  <c r="G264" i="283"/>
  <c r="F264" i="283"/>
  <c r="E264" i="283"/>
  <c r="D264" i="283"/>
  <c r="C264" i="283"/>
  <c r="N263" i="283"/>
  <c r="K263" i="283"/>
  <c r="J263" i="283"/>
  <c r="I263" i="283"/>
  <c r="G263" i="283"/>
  <c r="F263" i="283"/>
  <c r="E263" i="283"/>
  <c r="D263" i="283"/>
  <c r="C263" i="283"/>
  <c r="L262" i="283"/>
  <c r="H262" i="283"/>
  <c r="H550" i="283" s="1"/>
  <c r="L261" i="283"/>
  <c r="H261" i="283"/>
  <c r="M261" i="283" s="1"/>
  <c r="O261" i="283" s="1"/>
  <c r="L260" i="283"/>
  <c r="H260" i="283"/>
  <c r="M260" i="283" s="1"/>
  <c r="O260" i="283" s="1"/>
  <c r="L258" i="283"/>
  <c r="H258" i="283"/>
  <c r="M258" i="283" s="1"/>
  <c r="O258" i="283" s="1"/>
  <c r="L257" i="283"/>
  <c r="H257" i="283"/>
  <c r="M257" i="283" s="1"/>
  <c r="O257" i="283" s="1"/>
  <c r="L256" i="283"/>
  <c r="H256" i="283"/>
  <c r="M256" i="283" s="1"/>
  <c r="O256" i="283" s="1"/>
  <c r="L255" i="283"/>
  <c r="H255" i="283"/>
  <c r="M255" i="283" s="1"/>
  <c r="O255" i="283" s="1"/>
  <c r="L254" i="283"/>
  <c r="H254" i="283"/>
  <c r="M254" i="283" s="1"/>
  <c r="O254" i="283" s="1"/>
  <c r="L252" i="283"/>
  <c r="H252" i="283"/>
  <c r="L251" i="283"/>
  <c r="L264" i="283" s="1"/>
  <c r="H251" i="283"/>
  <c r="L250" i="283"/>
  <c r="H250" i="283"/>
  <c r="N248" i="283"/>
  <c r="K248" i="283"/>
  <c r="J248" i="283"/>
  <c r="I248" i="283"/>
  <c r="G248" i="283"/>
  <c r="F248" i="283"/>
  <c r="E248" i="283"/>
  <c r="D248" i="283"/>
  <c r="C248" i="283"/>
  <c r="N247" i="283"/>
  <c r="K247" i="283"/>
  <c r="J247" i="283"/>
  <c r="I247" i="283"/>
  <c r="G247" i="283"/>
  <c r="F247" i="283"/>
  <c r="E247" i="283"/>
  <c r="D247" i="283"/>
  <c r="C247" i="283"/>
  <c r="N246" i="283"/>
  <c r="K246" i="283"/>
  <c r="J246" i="283"/>
  <c r="I246" i="283"/>
  <c r="G246" i="283"/>
  <c r="F246" i="283"/>
  <c r="E246" i="283"/>
  <c r="D246" i="283"/>
  <c r="C246" i="283"/>
  <c r="L245" i="283"/>
  <c r="H245" i="283"/>
  <c r="L243" i="283"/>
  <c r="H243" i="283"/>
  <c r="L242" i="283"/>
  <c r="L527" i="283" s="1"/>
  <c r="H242" i="283"/>
  <c r="L241" i="283"/>
  <c r="H241" i="283"/>
  <c r="L240" i="283"/>
  <c r="H240" i="283"/>
  <c r="L239" i="283"/>
  <c r="H239" i="283"/>
  <c r="L238" i="283"/>
  <c r="H238" i="283"/>
  <c r="L236" i="283"/>
  <c r="L248" i="283" s="1"/>
  <c r="H236" i="283"/>
  <c r="L235" i="283"/>
  <c r="L247" i="283" s="1"/>
  <c r="H235" i="283"/>
  <c r="L234" i="283"/>
  <c r="H234" i="283"/>
  <c r="N232" i="283"/>
  <c r="K232" i="283"/>
  <c r="J232" i="283"/>
  <c r="I232" i="283"/>
  <c r="G232" i="283"/>
  <c r="F232" i="283"/>
  <c r="E232" i="283"/>
  <c r="D232" i="283"/>
  <c r="C232" i="283"/>
  <c r="N231" i="283"/>
  <c r="K231" i="283"/>
  <c r="J231" i="283"/>
  <c r="I231" i="283"/>
  <c r="G231" i="283"/>
  <c r="F231" i="283"/>
  <c r="E231" i="283"/>
  <c r="D231" i="283"/>
  <c r="C231" i="283"/>
  <c r="N230" i="283"/>
  <c r="K230" i="283"/>
  <c r="J230" i="283"/>
  <c r="I230" i="283"/>
  <c r="G230" i="283"/>
  <c r="F230" i="283"/>
  <c r="E230" i="283"/>
  <c r="D230" i="283"/>
  <c r="C230" i="283"/>
  <c r="L229" i="283"/>
  <c r="H229" i="283"/>
  <c r="L228" i="283"/>
  <c r="H228" i="283"/>
  <c r="L226" i="283"/>
  <c r="H226" i="283"/>
  <c r="L225" i="283"/>
  <c r="H225" i="283"/>
  <c r="M224" i="283"/>
  <c r="O224" i="283" s="1"/>
  <c r="L224" i="283"/>
  <c r="H224" i="283"/>
  <c r="L223" i="283"/>
  <c r="H223" i="283"/>
  <c r="M223" i="283" s="1"/>
  <c r="O223" i="283" s="1"/>
  <c r="L221" i="283"/>
  <c r="L232" i="283" s="1"/>
  <c r="H221" i="283"/>
  <c r="L220" i="283"/>
  <c r="H220" i="283"/>
  <c r="L219" i="283"/>
  <c r="H219" i="283"/>
  <c r="M219" i="283" s="1"/>
  <c r="N217" i="283"/>
  <c r="K217" i="283"/>
  <c r="J217" i="283"/>
  <c r="I217" i="283"/>
  <c r="G217" i="283"/>
  <c r="F217" i="283"/>
  <c r="E217" i="283"/>
  <c r="D217" i="283"/>
  <c r="C217" i="283"/>
  <c r="N216" i="283"/>
  <c r="K216" i="283"/>
  <c r="J216" i="283"/>
  <c r="I216" i="283"/>
  <c r="G216" i="283"/>
  <c r="F216" i="283"/>
  <c r="E216" i="283"/>
  <c r="D216" i="283"/>
  <c r="C216" i="283"/>
  <c r="N215" i="283"/>
  <c r="K215" i="283"/>
  <c r="J215" i="283"/>
  <c r="I215" i="283"/>
  <c r="G215" i="283"/>
  <c r="F215" i="283"/>
  <c r="E215" i="283"/>
  <c r="D215" i="283"/>
  <c r="C215" i="283"/>
  <c r="L214" i="283"/>
  <c r="H214" i="283"/>
  <c r="L212" i="283"/>
  <c r="H212" i="283"/>
  <c r="L211" i="283"/>
  <c r="H211" i="283"/>
  <c r="L210" i="283"/>
  <c r="H210" i="283"/>
  <c r="L209" i="283"/>
  <c r="H209" i="283"/>
  <c r="L207" i="283"/>
  <c r="H207" i="283"/>
  <c r="L206" i="283"/>
  <c r="H206" i="283"/>
  <c r="H216" i="283" s="1"/>
  <c r="L205" i="283"/>
  <c r="H205" i="283"/>
  <c r="N203" i="283"/>
  <c r="K203" i="283"/>
  <c r="J203" i="283"/>
  <c r="I203" i="283"/>
  <c r="G203" i="283"/>
  <c r="F203" i="283"/>
  <c r="E203" i="283"/>
  <c r="D203" i="283"/>
  <c r="C203" i="283"/>
  <c r="N202" i="283"/>
  <c r="K202" i="283"/>
  <c r="J202" i="283"/>
  <c r="I202" i="283"/>
  <c r="G202" i="283"/>
  <c r="F202" i="283"/>
  <c r="E202" i="283"/>
  <c r="D202" i="283"/>
  <c r="C202" i="283"/>
  <c r="N201" i="283"/>
  <c r="K201" i="283"/>
  <c r="J201" i="283"/>
  <c r="I201" i="283"/>
  <c r="G201" i="283"/>
  <c r="F201" i="283"/>
  <c r="E201" i="283"/>
  <c r="D201" i="283"/>
  <c r="C201" i="283"/>
  <c r="L200" i="283"/>
  <c r="H200" i="283"/>
  <c r="M200" i="283" s="1"/>
  <c r="O200" i="283" s="1"/>
  <c r="L198" i="283"/>
  <c r="H198" i="283"/>
  <c r="M198" i="283" s="1"/>
  <c r="O198" i="283" s="1"/>
  <c r="L197" i="283"/>
  <c r="H197" i="283"/>
  <c r="L196" i="283"/>
  <c r="H196" i="283"/>
  <c r="M196" i="283" s="1"/>
  <c r="O196" i="283" s="1"/>
  <c r="L195" i="283"/>
  <c r="H195" i="283"/>
  <c r="M195" i="283" s="1"/>
  <c r="O195" i="283" s="1"/>
  <c r="L194" i="283"/>
  <c r="H194" i="283"/>
  <c r="L192" i="283"/>
  <c r="L203" i="283" s="1"/>
  <c r="H192" i="283"/>
  <c r="H203" i="283" s="1"/>
  <c r="L191" i="283"/>
  <c r="H191" i="283"/>
  <c r="L190" i="283"/>
  <c r="H190" i="283"/>
  <c r="N188" i="283"/>
  <c r="K188" i="283"/>
  <c r="J188" i="283"/>
  <c r="I188" i="283"/>
  <c r="G188" i="283"/>
  <c r="F188" i="283"/>
  <c r="E188" i="283"/>
  <c r="D188" i="283"/>
  <c r="C188" i="283"/>
  <c r="N187" i="283"/>
  <c r="K187" i="283"/>
  <c r="J187" i="283"/>
  <c r="I187" i="283"/>
  <c r="G187" i="283"/>
  <c r="F187" i="283"/>
  <c r="E187" i="283"/>
  <c r="D187" i="283"/>
  <c r="C187" i="283"/>
  <c r="N186" i="283"/>
  <c r="K186" i="283"/>
  <c r="J186" i="283"/>
  <c r="I186" i="283"/>
  <c r="G186" i="283"/>
  <c r="F186" i="283"/>
  <c r="E186" i="283"/>
  <c r="D186" i="283"/>
  <c r="C186" i="283"/>
  <c r="L185" i="283"/>
  <c r="L549" i="283" s="1"/>
  <c r="H185" i="283"/>
  <c r="H549" i="283" s="1"/>
  <c r="L184" i="283"/>
  <c r="H184" i="283"/>
  <c r="M184" i="283" s="1"/>
  <c r="O184" i="283" s="1"/>
  <c r="L182" i="283"/>
  <c r="H182" i="283"/>
  <c r="M182" i="283" s="1"/>
  <c r="O182" i="283" s="1"/>
  <c r="L181" i="283"/>
  <c r="H181" i="283"/>
  <c r="L180" i="283"/>
  <c r="H180" i="283"/>
  <c r="M180" i="283" s="1"/>
  <c r="O180" i="283" s="1"/>
  <c r="L179" i="283"/>
  <c r="H179" i="283"/>
  <c r="M179" i="283" s="1"/>
  <c r="O179" i="283" s="1"/>
  <c r="L178" i="283"/>
  <c r="H178" i="283"/>
  <c r="L176" i="283"/>
  <c r="H176" i="283"/>
  <c r="L175" i="283"/>
  <c r="H175" i="283"/>
  <c r="L174" i="283"/>
  <c r="H174" i="283"/>
  <c r="H186" i="283" s="1"/>
  <c r="N172" i="283"/>
  <c r="K172" i="283"/>
  <c r="J172" i="283"/>
  <c r="I172" i="283"/>
  <c r="G172" i="283"/>
  <c r="F172" i="283"/>
  <c r="E172" i="283"/>
  <c r="D172" i="283"/>
  <c r="C172" i="283"/>
  <c r="N171" i="283"/>
  <c r="K171" i="283"/>
  <c r="J171" i="283"/>
  <c r="I171" i="283"/>
  <c r="G171" i="283"/>
  <c r="F171" i="283"/>
  <c r="E171" i="283"/>
  <c r="D171" i="283"/>
  <c r="C171" i="283"/>
  <c r="N170" i="283"/>
  <c r="K170" i="283"/>
  <c r="J170" i="283"/>
  <c r="I170" i="283"/>
  <c r="G170" i="283"/>
  <c r="F170" i="283"/>
  <c r="E170" i="283"/>
  <c r="D170" i="283"/>
  <c r="C170" i="283"/>
  <c r="L169" i="283"/>
  <c r="H169" i="283"/>
  <c r="L167" i="283"/>
  <c r="H167" i="283"/>
  <c r="M167" i="283" s="1"/>
  <c r="O167" i="283" s="1"/>
  <c r="L166" i="283"/>
  <c r="H166" i="283"/>
  <c r="M166" i="283" s="1"/>
  <c r="O166" i="283" s="1"/>
  <c r="L165" i="283"/>
  <c r="H165" i="283"/>
  <c r="L164" i="283"/>
  <c r="H164" i="283"/>
  <c r="M164" i="283" s="1"/>
  <c r="O164" i="283" s="1"/>
  <c r="L163" i="283"/>
  <c r="H163" i="283"/>
  <c r="M163" i="283" s="1"/>
  <c r="O163" i="283" s="1"/>
  <c r="L162" i="283"/>
  <c r="H162" i="283"/>
  <c r="L160" i="283"/>
  <c r="H160" i="283"/>
  <c r="L159" i="283"/>
  <c r="H159" i="283"/>
  <c r="L158" i="283"/>
  <c r="L170" i="283" s="1"/>
  <c r="H158" i="283"/>
  <c r="H170" i="283" s="1"/>
  <c r="N156" i="283"/>
  <c r="K156" i="283"/>
  <c r="J156" i="283"/>
  <c r="I156" i="283"/>
  <c r="G156" i="283"/>
  <c r="F156" i="283"/>
  <c r="E156" i="283"/>
  <c r="D156" i="283"/>
  <c r="C156" i="283"/>
  <c r="N155" i="283"/>
  <c r="K155" i="283"/>
  <c r="J155" i="283"/>
  <c r="I155" i="283"/>
  <c r="G155" i="283"/>
  <c r="F155" i="283"/>
  <c r="E155" i="283"/>
  <c r="D155" i="283"/>
  <c r="C155" i="283"/>
  <c r="N154" i="283"/>
  <c r="K154" i="283"/>
  <c r="J154" i="283"/>
  <c r="I154" i="283"/>
  <c r="G154" i="283"/>
  <c r="F154" i="283"/>
  <c r="E154" i="283"/>
  <c r="D154" i="283"/>
  <c r="C154" i="283"/>
  <c r="L153" i="283"/>
  <c r="H153" i="283"/>
  <c r="L151" i="283"/>
  <c r="H151" i="283"/>
  <c r="L150" i="283"/>
  <c r="H150" i="283"/>
  <c r="L149" i="283"/>
  <c r="H149" i="283"/>
  <c r="L148" i="283"/>
  <c r="H148" i="283"/>
  <c r="M148" i="283" s="1"/>
  <c r="O148" i="283" s="1"/>
  <c r="L146" i="283"/>
  <c r="H146" i="283"/>
  <c r="L145" i="283"/>
  <c r="L155" i="283" s="1"/>
  <c r="H145" i="283"/>
  <c r="H155" i="283" s="1"/>
  <c r="L144" i="283"/>
  <c r="H144" i="283"/>
  <c r="M144" i="283" s="1"/>
  <c r="N142" i="283"/>
  <c r="K142" i="283"/>
  <c r="J142" i="283"/>
  <c r="I142" i="283"/>
  <c r="G142" i="283"/>
  <c r="F142" i="283"/>
  <c r="E142" i="283"/>
  <c r="D142" i="283"/>
  <c r="C142" i="283"/>
  <c r="N141" i="283"/>
  <c r="K141" i="283"/>
  <c r="J141" i="283"/>
  <c r="I141" i="283"/>
  <c r="G141" i="283"/>
  <c r="F141" i="283"/>
  <c r="E141" i="283"/>
  <c r="D141" i="283"/>
  <c r="C141" i="283"/>
  <c r="N140" i="283"/>
  <c r="K140" i="283"/>
  <c r="J140" i="283"/>
  <c r="J311" i="283" s="1"/>
  <c r="I140" i="283"/>
  <c r="I311" i="283" s="1"/>
  <c r="G140" i="283"/>
  <c r="F140" i="283"/>
  <c r="E140" i="283"/>
  <c r="D140" i="283"/>
  <c r="C140" i="283"/>
  <c r="L139" i="283"/>
  <c r="H139" i="283"/>
  <c r="L138" i="283"/>
  <c r="L538" i="283" s="1"/>
  <c r="H138" i="283"/>
  <c r="H538" i="283" s="1"/>
  <c r="L136" i="283"/>
  <c r="H136" i="283"/>
  <c r="L135" i="283"/>
  <c r="H135" i="283"/>
  <c r="L134" i="283"/>
  <c r="H134" i="283"/>
  <c r="L133" i="283"/>
  <c r="H133" i="283"/>
  <c r="L132" i="283"/>
  <c r="H132" i="283"/>
  <c r="L130" i="283"/>
  <c r="H130" i="283"/>
  <c r="H142" i="283" s="1"/>
  <c r="L129" i="283"/>
  <c r="H129" i="283"/>
  <c r="H141" i="283" s="1"/>
  <c r="L128" i="283"/>
  <c r="L140" i="283" s="1"/>
  <c r="H128" i="283"/>
  <c r="N125" i="283"/>
  <c r="K125" i="283"/>
  <c r="J125" i="283"/>
  <c r="I125" i="283"/>
  <c r="G125" i="283"/>
  <c r="F125" i="283"/>
  <c r="E125" i="283"/>
  <c r="D125" i="283"/>
  <c r="C125" i="283"/>
  <c r="N124" i="283"/>
  <c r="K124" i="283"/>
  <c r="J124" i="283"/>
  <c r="I124" i="283"/>
  <c r="G124" i="283"/>
  <c r="F124" i="283"/>
  <c r="E124" i="283"/>
  <c r="D124" i="283"/>
  <c r="C124" i="283"/>
  <c r="N123" i="283"/>
  <c r="K123" i="283"/>
  <c r="J123" i="283"/>
  <c r="I123" i="283"/>
  <c r="G123" i="283"/>
  <c r="F123" i="283"/>
  <c r="E123" i="283"/>
  <c r="D123" i="283"/>
  <c r="C123" i="283"/>
  <c r="L122" i="283"/>
  <c r="H122" i="283"/>
  <c r="L120" i="283"/>
  <c r="H120" i="283"/>
  <c r="M120" i="283" s="1"/>
  <c r="O120" i="283" s="1"/>
  <c r="L119" i="283"/>
  <c r="H119" i="283"/>
  <c r="M119" i="283" s="1"/>
  <c r="O119" i="283" s="1"/>
  <c r="L118" i="283"/>
  <c r="H118" i="283"/>
  <c r="L117" i="283"/>
  <c r="H117" i="283"/>
  <c r="M117" i="283" s="1"/>
  <c r="O117" i="283" s="1"/>
  <c r="L116" i="283"/>
  <c r="H116" i="283"/>
  <c r="M116" i="283" s="1"/>
  <c r="O116" i="283" s="1"/>
  <c r="L114" i="283"/>
  <c r="L125" i="283" s="1"/>
  <c r="H114" i="283"/>
  <c r="H125" i="283" s="1"/>
  <c r="L113" i="283"/>
  <c r="H113" i="283"/>
  <c r="L112" i="283"/>
  <c r="H112" i="283"/>
  <c r="M112" i="283" s="1"/>
  <c r="N110" i="283"/>
  <c r="K110" i="283"/>
  <c r="J110" i="283"/>
  <c r="I110" i="283"/>
  <c r="G110" i="283"/>
  <c r="F110" i="283"/>
  <c r="E110" i="283"/>
  <c r="D110" i="283"/>
  <c r="C110" i="283"/>
  <c r="N109" i="283"/>
  <c r="K109" i="283"/>
  <c r="J109" i="283"/>
  <c r="I109" i="283"/>
  <c r="G109" i="283"/>
  <c r="F109" i="283"/>
  <c r="E109" i="283"/>
  <c r="D109" i="283"/>
  <c r="C109" i="283"/>
  <c r="N108" i="283"/>
  <c r="K108" i="283"/>
  <c r="J108" i="283"/>
  <c r="I108" i="283"/>
  <c r="G108" i="283"/>
  <c r="F108" i="283"/>
  <c r="E108" i="283"/>
  <c r="D108" i="283"/>
  <c r="C108" i="283"/>
  <c r="L107" i="283"/>
  <c r="H107" i="283"/>
  <c r="L105" i="283"/>
  <c r="H105" i="283"/>
  <c r="L104" i="283"/>
  <c r="H104" i="283"/>
  <c r="L103" i="283"/>
  <c r="H103" i="283"/>
  <c r="L102" i="283"/>
  <c r="H102" i="283"/>
  <c r="L101" i="283"/>
  <c r="H101" i="283"/>
  <c r="L99" i="283"/>
  <c r="L110" i="283" s="1"/>
  <c r="H99" i="283"/>
  <c r="L98" i="283"/>
  <c r="H98" i="283"/>
  <c r="L97" i="283"/>
  <c r="H97" i="283"/>
  <c r="N95" i="283"/>
  <c r="K95" i="283"/>
  <c r="J95" i="283"/>
  <c r="I95" i="283"/>
  <c r="G95" i="283"/>
  <c r="F95" i="283"/>
  <c r="E95" i="283"/>
  <c r="D95" i="283"/>
  <c r="C95" i="283"/>
  <c r="N94" i="283"/>
  <c r="K94" i="283"/>
  <c r="J94" i="283"/>
  <c r="I94" i="283"/>
  <c r="G94" i="283"/>
  <c r="F94" i="283"/>
  <c r="E94" i="283"/>
  <c r="D94" i="283"/>
  <c r="C94" i="283"/>
  <c r="N93" i="283"/>
  <c r="K93" i="283"/>
  <c r="J93" i="283"/>
  <c r="I93" i="283"/>
  <c r="G93" i="283"/>
  <c r="F93" i="283"/>
  <c r="E93" i="283"/>
  <c r="D93" i="283"/>
  <c r="C93" i="283"/>
  <c r="L92" i="283"/>
  <c r="H92" i="283"/>
  <c r="L90" i="283"/>
  <c r="L526" i="283" s="1"/>
  <c r="H90" i="283"/>
  <c r="H526" i="283" s="1"/>
  <c r="L89" i="283"/>
  <c r="H89" i="283"/>
  <c r="M89" i="283" s="1"/>
  <c r="O89" i="283" s="1"/>
  <c r="L88" i="283"/>
  <c r="H88" i="283"/>
  <c r="L87" i="283"/>
  <c r="H87" i="283"/>
  <c r="M87" i="283" s="1"/>
  <c r="O87" i="283" s="1"/>
  <c r="L85" i="283"/>
  <c r="H85" i="283"/>
  <c r="M85" i="283" s="1"/>
  <c r="L84" i="283"/>
  <c r="L94" i="283" s="1"/>
  <c r="H84" i="283"/>
  <c r="L83" i="283"/>
  <c r="H83" i="283"/>
  <c r="M83" i="283" s="1"/>
  <c r="N81" i="283"/>
  <c r="K81" i="283"/>
  <c r="J81" i="283"/>
  <c r="I81" i="283"/>
  <c r="G81" i="283"/>
  <c r="F81" i="283"/>
  <c r="E81" i="283"/>
  <c r="D81" i="283"/>
  <c r="C81" i="283"/>
  <c r="N80" i="283"/>
  <c r="K80" i="283"/>
  <c r="J80" i="283"/>
  <c r="I80" i="283"/>
  <c r="G80" i="283"/>
  <c r="F80" i="283"/>
  <c r="E80" i="283"/>
  <c r="D80" i="283"/>
  <c r="C80" i="283"/>
  <c r="N79" i="283"/>
  <c r="K79" i="283"/>
  <c r="J79" i="283"/>
  <c r="I79" i="283"/>
  <c r="G79" i="283"/>
  <c r="F79" i="283"/>
  <c r="E79" i="283"/>
  <c r="D79" i="283"/>
  <c r="C79" i="283"/>
  <c r="L78" i="283"/>
  <c r="H78" i="283"/>
  <c r="L77" i="283"/>
  <c r="L537" i="283" s="1"/>
  <c r="H77" i="283"/>
  <c r="L75" i="283"/>
  <c r="H75" i="283"/>
  <c r="L74" i="283"/>
  <c r="H74" i="283"/>
  <c r="L73" i="283"/>
  <c r="H73" i="283"/>
  <c r="L72" i="283"/>
  <c r="H72" i="283"/>
  <c r="L70" i="283"/>
  <c r="H70" i="283"/>
  <c r="L69" i="283"/>
  <c r="H69" i="283"/>
  <c r="L68" i="283"/>
  <c r="H68" i="283"/>
  <c r="N66" i="283"/>
  <c r="K66" i="283"/>
  <c r="J66" i="283"/>
  <c r="I66" i="283"/>
  <c r="G66" i="283"/>
  <c r="F66" i="283"/>
  <c r="E66" i="283"/>
  <c r="D66" i="283"/>
  <c r="C66" i="283"/>
  <c r="N65" i="283"/>
  <c r="K65" i="283"/>
  <c r="J65" i="283"/>
  <c r="I65" i="283"/>
  <c r="G65" i="283"/>
  <c r="F65" i="283"/>
  <c r="E65" i="283"/>
  <c r="D65" i="283"/>
  <c r="C65" i="283"/>
  <c r="N64" i="283"/>
  <c r="K64" i="283"/>
  <c r="J64" i="283"/>
  <c r="I64" i="283"/>
  <c r="G64" i="283"/>
  <c r="F64" i="283"/>
  <c r="E64" i="283"/>
  <c r="D64" i="283"/>
  <c r="C64" i="283"/>
  <c r="L63" i="283"/>
  <c r="H63" i="283"/>
  <c r="M63" i="283" s="1"/>
  <c r="O63" i="283" s="1"/>
  <c r="L61" i="283"/>
  <c r="H61" i="283"/>
  <c r="L60" i="283"/>
  <c r="H60" i="283"/>
  <c r="M60" i="283" s="1"/>
  <c r="O60" i="283" s="1"/>
  <c r="L59" i="283"/>
  <c r="H59" i="283"/>
  <c r="M59" i="283" s="1"/>
  <c r="O59" i="283" s="1"/>
  <c r="L58" i="283"/>
  <c r="H58" i="283"/>
  <c r="L56" i="283"/>
  <c r="L66" i="283" s="1"/>
  <c r="H56" i="283"/>
  <c r="M56" i="283" s="1"/>
  <c r="L55" i="283"/>
  <c r="H55" i="283"/>
  <c r="M55" i="283" s="1"/>
  <c r="L54" i="283"/>
  <c r="L64" i="283" s="1"/>
  <c r="H54" i="283"/>
  <c r="N52" i="283"/>
  <c r="K52" i="283"/>
  <c r="J52" i="283"/>
  <c r="I52" i="283"/>
  <c r="G52" i="283"/>
  <c r="F52" i="283"/>
  <c r="E52" i="283"/>
  <c r="D52" i="283"/>
  <c r="C52" i="283"/>
  <c r="N51" i="283"/>
  <c r="K51" i="283"/>
  <c r="J51" i="283"/>
  <c r="I51" i="283"/>
  <c r="G51" i="283"/>
  <c r="F51" i="283"/>
  <c r="E51" i="283"/>
  <c r="D51" i="283"/>
  <c r="C51" i="283"/>
  <c r="N50" i="283"/>
  <c r="K50" i="283"/>
  <c r="J50" i="283"/>
  <c r="I50" i="283"/>
  <c r="G50" i="283"/>
  <c r="F50" i="283"/>
  <c r="E50" i="283"/>
  <c r="D50" i="283"/>
  <c r="C50" i="283"/>
  <c r="L49" i="283"/>
  <c r="H49" i="283"/>
  <c r="L47" i="283"/>
  <c r="H47" i="283"/>
  <c r="L46" i="283"/>
  <c r="H46" i="283"/>
  <c r="L45" i="283"/>
  <c r="H45" i="283"/>
  <c r="L44" i="283"/>
  <c r="H44" i="283"/>
  <c r="L42" i="283"/>
  <c r="H42" i="283"/>
  <c r="L41" i="283"/>
  <c r="H41" i="283"/>
  <c r="L40" i="283"/>
  <c r="H40" i="283"/>
  <c r="N37" i="283"/>
  <c r="K37" i="283"/>
  <c r="J37" i="283"/>
  <c r="I37" i="283"/>
  <c r="G37" i="283"/>
  <c r="F37" i="283"/>
  <c r="E37" i="283"/>
  <c r="D37" i="283"/>
  <c r="C37" i="283"/>
  <c r="N36" i="283"/>
  <c r="K36" i="283"/>
  <c r="J36" i="283"/>
  <c r="I36" i="283"/>
  <c r="G36" i="283"/>
  <c r="F36" i="283"/>
  <c r="E36" i="283"/>
  <c r="D36" i="283"/>
  <c r="C36" i="283"/>
  <c r="N35" i="283"/>
  <c r="K35" i="283"/>
  <c r="J35" i="283"/>
  <c r="I35" i="283"/>
  <c r="G35" i="283"/>
  <c r="F35" i="283"/>
  <c r="E35" i="283"/>
  <c r="D35" i="283"/>
  <c r="C35" i="283"/>
  <c r="L34" i="283"/>
  <c r="H34" i="283"/>
  <c r="L32" i="283"/>
  <c r="H32" i="283"/>
  <c r="L31" i="283"/>
  <c r="H31" i="283"/>
  <c r="L30" i="283"/>
  <c r="H30" i="283"/>
  <c r="L28" i="283"/>
  <c r="H28" i="283"/>
  <c r="M28" i="283" s="1"/>
  <c r="L27" i="283"/>
  <c r="H27" i="283"/>
  <c r="H36" i="283" s="1"/>
  <c r="L26" i="283"/>
  <c r="L35" i="283" s="1"/>
  <c r="H26" i="283"/>
  <c r="N24" i="283"/>
  <c r="K24" i="283"/>
  <c r="J24" i="283"/>
  <c r="I24" i="283"/>
  <c r="G24" i="283"/>
  <c r="F24" i="283"/>
  <c r="E24" i="283"/>
  <c r="D24" i="283"/>
  <c r="C24" i="283"/>
  <c r="N23" i="283"/>
  <c r="K23" i="283"/>
  <c r="J23" i="283"/>
  <c r="I23" i="283"/>
  <c r="G23" i="283"/>
  <c r="F23" i="283"/>
  <c r="E23" i="283"/>
  <c r="D23" i="283"/>
  <c r="C23" i="283"/>
  <c r="N22" i="283"/>
  <c r="K22" i="283"/>
  <c r="K38" i="283" s="1"/>
  <c r="J22" i="283"/>
  <c r="I22" i="283"/>
  <c r="G22" i="283"/>
  <c r="F22" i="283"/>
  <c r="F38" i="283" s="1"/>
  <c r="E22" i="283"/>
  <c r="D22" i="283"/>
  <c r="D38" i="283" s="1"/>
  <c r="C22" i="283"/>
  <c r="L21" i="283"/>
  <c r="L548" i="283" s="1"/>
  <c r="H21" i="283"/>
  <c r="H548" i="283" s="1"/>
  <c r="L20" i="283"/>
  <c r="H20" i="283"/>
  <c r="L19" i="283"/>
  <c r="M19" i="283" s="1"/>
  <c r="O19" i="283" s="1"/>
  <c r="H19" i="283"/>
  <c r="L18" i="283"/>
  <c r="L536" i="283" s="1"/>
  <c r="H18" i="283"/>
  <c r="H536" i="283" s="1"/>
  <c r="L17" i="283"/>
  <c r="M17" i="283" s="1"/>
  <c r="O17" i="283" s="1"/>
  <c r="L16" i="283"/>
  <c r="H16" i="283"/>
  <c r="L15" i="283"/>
  <c r="H15" i="283"/>
  <c r="L14" i="283"/>
  <c r="L521" i="283" s="1"/>
  <c r="H14" i="283"/>
  <c r="H521" i="283" s="1"/>
  <c r="L13" i="283"/>
  <c r="H13" i="283"/>
  <c r="L12" i="283"/>
  <c r="H12" i="283"/>
  <c r="L11" i="283"/>
  <c r="M11" i="283" s="1"/>
  <c r="O11" i="283" s="1"/>
  <c r="L10" i="283"/>
  <c r="H10" i="283"/>
  <c r="L9" i="283"/>
  <c r="H9" i="283"/>
  <c r="L8" i="283"/>
  <c r="H8" i="283"/>
  <c r="N524" i="282"/>
  <c r="M524" i="282"/>
  <c r="I524" i="282"/>
  <c r="H524" i="282"/>
  <c r="G524" i="282"/>
  <c r="F524" i="282"/>
  <c r="E524" i="282"/>
  <c r="D524" i="282"/>
  <c r="C524" i="282"/>
  <c r="N523" i="282"/>
  <c r="M523" i="282"/>
  <c r="I523" i="282"/>
  <c r="H523" i="282"/>
  <c r="G523" i="282"/>
  <c r="F523" i="282"/>
  <c r="E523" i="282"/>
  <c r="D523" i="282"/>
  <c r="C523" i="282"/>
  <c r="N521" i="282"/>
  <c r="M521" i="282"/>
  <c r="I521" i="282"/>
  <c r="H521" i="282"/>
  <c r="G521" i="282"/>
  <c r="F521" i="282"/>
  <c r="E521" i="282"/>
  <c r="D521" i="282"/>
  <c r="C521" i="282"/>
  <c r="N520" i="282"/>
  <c r="M520" i="282"/>
  <c r="I520" i="282"/>
  <c r="H520" i="282"/>
  <c r="G520" i="282"/>
  <c r="F520" i="282"/>
  <c r="E520" i="282"/>
  <c r="D520" i="282"/>
  <c r="C520" i="282"/>
  <c r="N519" i="282"/>
  <c r="M519" i="282"/>
  <c r="I519" i="282"/>
  <c r="H519" i="282"/>
  <c r="G519" i="282"/>
  <c r="F519" i="282"/>
  <c r="E519" i="282"/>
  <c r="D519" i="282"/>
  <c r="C519" i="282"/>
  <c r="N518" i="282"/>
  <c r="M518" i="282"/>
  <c r="I518" i="282"/>
  <c r="H518" i="282"/>
  <c r="G518" i="282"/>
  <c r="F518" i="282"/>
  <c r="E518" i="282"/>
  <c r="D518" i="282"/>
  <c r="C518" i="282"/>
  <c r="N517" i="282"/>
  <c r="M517" i="282"/>
  <c r="I517" i="282"/>
  <c r="H517" i="282"/>
  <c r="G517" i="282"/>
  <c r="F517" i="282"/>
  <c r="E517" i="282"/>
  <c r="D517" i="282"/>
  <c r="C517" i="282"/>
  <c r="N516" i="282"/>
  <c r="M516" i="282"/>
  <c r="I516" i="282"/>
  <c r="H516" i="282"/>
  <c r="G516" i="282"/>
  <c r="F516" i="282"/>
  <c r="E516" i="282"/>
  <c r="D516" i="282"/>
  <c r="C516" i="282"/>
  <c r="N515" i="282"/>
  <c r="M515" i="282"/>
  <c r="I515" i="282"/>
  <c r="H515" i="282"/>
  <c r="G515" i="282"/>
  <c r="F515" i="282"/>
  <c r="E515" i="282"/>
  <c r="D515" i="282"/>
  <c r="C515" i="282"/>
  <c r="N514" i="282"/>
  <c r="M514" i="282"/>
  <c r="I514" i="282"/>
  <c r="H514" i="282"/>
  <c r="G514" i="282"/>
  <c r="F514" i="282"/>
  <c r="E514" i="282"/>
  <c r="D514" i="282"/>
  <c r="C514" i="282"/>
  <c r="N513" i="282"/>
  <c r="M513" i="282"/>
  <c r="I513" i="282"/>
  <c r="H513" i="282"/>
  <c r="G513" i="282"/>
  <c r="F513" i="282"/>
  <c r="E513" i="282"/>
  <c r="D513" i="282"/>
  <c r="C513" i="282"/>
  <c r="N512" i="282"/>
  <c r="M512" i="282"/>
  <c r="I512" i="282"/>
  <c r="H512" i="282"/>
  <c r="G512" i="282"/>
  <c r="F512" i="282"/>
  <c r="E512" i="282"/>
  <c r="D512" i="282"/>
  <c r="C512" i="282"/>
  <c r="N511" i="282"/>
  <c r="M511" i="282"/>
  <c r="I511" i="282"/>
  <c r="H511" i="282"/>
  <c r="G511" i="282"/>
  <c r="F511" i="282"/>
  <c r="E511" i="282"/>
  <c r="D511" i="282"/>
  <c r="C511" i="282"/>
  <c r="N510" i="282"/>
  <c r="M510" i="282"/>
  <c r="I510" i="282"/>
  <c r="H510" i="282"/>
  <c r="G510" i="282"/>
  <c r="F510" i="282"/>
  <c r="E510" i="282"/>
  <c r="D510" i="282"/>
  <c r="C510" i="282"/>
  <c r="N509" i="282"/>
  <c r="M509" i="282"/>
  <c r="I509" i="282"/>
  <c r="H509" i="282"/>
  <c r="G509" i="282"/>
  <c r="F509" i="282"/>
  <c r="E509" i="282"/>
  <c r="D509" i="282"/>
  <c r="C509" i="282"/>
  <c r="N508" i="282"/>
  <c r="M508" i="282"/>
  <c r="I508" i="282"/>
  <c r="H508" i="282"/>
  <c r="G508" i="282"/>
  <c r="F508" i="282"/>
  <c r="E508" i="282"/>
  <c r="D508" i="282"/>
  <c r="C508" i="282"/>
  <c r="N507" i="282"/>
  <c r="M507" i="282"/>
  <c r="I507" i="282"/>
  <c r="H507" i="282"/>
  <c r="G507" i="282"/>
  <c r="F507" i="282"/>
  <c r="E507" i="282"/>
  <c r="D507" i="282"/>
  <c r="C507" i="282"/>
  <c r="N506" i="282"/>
  <c r="M506" i="282"/>
  <c r="I506" i="282"/>
  <c r="H506" i="282"/>
  <c r="G506" i="282"/>
  <c r="F506" i="282"/>
  <c r="E506" i="282"/>
  <c r="D506" i="282"/>
  <c r="C506" i="282"/>
  <c r="N505" i="282"/>
  <c r="M505" i="282"/>
  <c r="I505" i="282"/>
  <c r="H505" i="282"/>
  <c r="G505" i="282"/>
  <c r="F505" i="282"/>
  <c r="E505" i="282"/>
  <c r="D505" i="282"/>
  <c r="C505" i="282"/>
  <c r="N504" i="282"/>
  <c r="M504" i="282"/>
  <c r="I504" i="282"/>
  <c r="H504" i="282"/>
  <c r="G504" i="282"/>
  <c r="F504" i="282"/>
  <c r="E504" i="282"/>
  <c r="D504" i="282"/>
  <c r="C504" i="282"/>
  <c r="N503" i="282"/>
  <c r="M503" i="282"/>
  <c r="I503" i="282"/>
  <c r="H503" i="282"/>
  <c r="G503" i="282"/>
  <c r="F503" i="282"/>
  <c r="E503" i="282"/>
  <c r="D503" i="282"/>
  <c r="C503" i="282"/>
  <c r="N502" i="282"/>
  <c r="M502" i="282"/>
  <c r="I502" i="282"/>
  <c r="H502" i="282"/>
  <c r="G502" i="282"/>
  <c r="F502" i="282"/>
  <c r="E502" i="282"/>
  <c r="D502" i="282"/>
  <c r="C502" i="282"/>
  <c r="N500" i="282"/>
  <c r="M500" i="282"/>
  <c r="I500" i="282"/>
  <c r="H500" i="282"/>
  <c r="G500" i="282"/>
  <c r="F500" i="282"/>
  <c r="E500" i="282"/>
  <c r="D500" i="282"/>
  <c r="C500" i="282"/>
  <c r="N499" i="282"/>
  <c r="M499" i="282"/>
  <c r="I499" i="282"/>
  <c r="H499" i="282"/>
  <c r="G499" i="282"/>
  <c r="F499" i="282"/>
  <c r="E499" i="282"/>
  <c r="D499" i="282"/>
  <c r="C499" i="282"/>
  <c r="N498" i="282"/>
  <c r="M498" i="282"/>
  <c r="I498" i="282"/>
  <c r="H498" i="282"/>
  <c r="G498" i="282"/>
  <c r="F498" i="282"/>
  <c r="E498" i="282"/>
  <c r="D498" i="282"/>
  <c r="C498" i="282"/>
  <c r="N497" i="282"/>
  <c r="M497" i="282"/>
  <c r="I497" i="282"/>
  <c r="H497" i="282"/>
  <c r="G497" i="282"/>
  <c r="F497" i="282"/>
  <c r="E497" i="282"/>
  <c r="D497" i="282"/>
  <c r="C497" i="282"/>
  <c r="N496" i="282"/>
  <c r="M496" i="282"/>
  <c r="I496" i="282"/>
  <c r="H496" i="282"/>
  <c r="G496" i="282"/>
  <c r="F496" i="282"/>
  <c r="E496" i="282"/>
  <c r="D496" i="282"/>
  <c r="C496" i="282"/>
  <c r="N495" i="282"/>
  <c r="M495" i="282"/>
  <c r="I495" i="282"/>
  <c r="H495" i="282"/>
  <c r="G495" i="282"/>
  <c r="F495" i="282"/>
  <c r="E495" i="282"/>
  <c r="D495" i="282"/>
  <c r="C495" i="282"/>
  <c r="N494" i="282"/>
  <c r="M494" i="282"/>
  <c r="I494" i="282"/>
  <c r="H494" i="282"/>
  <c r="G494" i="282"/>
  <c r="F494" i="282"/>
  <c r="E494" i="282"/>
  <c r="D494" i="282"/>
  <c r="C494" i="282"/>
  <c r="N493" i="282"/>
  <c r="M493" i="282"/>
  <c r="I493" i="282"/>
  <c r="H493" i="282"/>
  <c r="G493" i="282"/>
  <c r="F493" i="282"/>
  <c r="E493" i="282"/>
  <c r="D493" i="282"/>
  <c r="C493" i="282"/>
  <c r="N492" i="282"/>
  <c r="M492" i="282"/>
  <c r="I492" i="282"/>
  <c r="H492" i="282"/>
  <c r="G492" i="282"/>
  <c r="F492" i="282"/>
  <c r="E492" i="282"/>
  <c r="D492" i="282"/>
  <c r="C492" i="282"/>
  <c r="N491" i="282"/>
  <c r="M491" i="282"/>
  <c r="I491" i="282"/>
  <c r="H491" i="282"/>
  <c r="G491" i="282"/>
  <c r="F491" i="282"/>
  <c r="E491" i="282"/>
  <c r="D491" i="282"/>
  <c r="C491" i="282"/>
  <c r="N490" i="282"/>
  <c r="M490" i="282"/>
  <c r="I490" i="282"/>
  <c r="H490" i="282"/>
  <c r="G490" i="282"/>
  <c r="F490" i="282"/>
  <c r="E490" i="282"/>
  <c r="D490" i="282"/>
  <c r="C490" i="282"/>
  <c r="N489" i="282"/>
  <c r="M489" i="282"/>
  <c r="I489" i="282"/>
  <c r="H489" i="282"/>
  <c r="G489" i="282"/>
  <c r="F489" i="282"/>
  <c r="E489" i="282"/>
  <c r="D489" i="282"/>
  <c r="C489" i="282"/>
  <c r="N488" i="282"/>
  <c r="M488" i="282"/>
  <c r="I488" i="282"/>
  <c r="H488" i="282"/>
  <c r="G488" i="282"/>
  <c r="F488" i="282"/>
  <c r="E488" i="282"/>
  <c r="D488" i="282"/>
  <c r="C488" i="282"/>
  <c r="N487" i="282"/>
  <c r="I487" i="282"/>
  <c r="H487" i="282"/>
  <c r="G487" i="282"/>
  <c r="F487" i="282"/>
  <c r="E487" i="282"/>
  <c r="D487" i="282"/>
  <c r="C487" i="282"/>
  <c r="N486" i="282"/>
  <c r="M486" i="282"/>
  <c r="I486" i="282"/>
  <c r="H486" i="282"/>
  <c r="G486" i="282"/>
  <c r="F486" i="282"/>
  <c r="E486" i="282"/>
  <c r="D486" i="282"/>
  <c r="C486" i="282"/>
  <c r="N485" i="282"/>
  <c r="M485" i="282"/>
  <c r="I485" i="282"/>
  <c r="H485" i="282"/>
  <c r="G485" i="282"/>
  <c r="F485" i="282"/>
  <c r="E485" i="282"/>
  <c r="D485" i="282"/>
  <c r="C485" i="282"/>
  <c r="N484" i="282"/>
  <c r="M484" i="282"/>
  <c r="I484" i="282"/>
  <c r="H484" i="282"/>
  <c r="G484" i="282"/>
  <c r="F484" i="282"/>
  <c r="E484" i="282"/>
  <c r="D484" i="282"/>
  <c r="C484" i="282"/>
  <c r="N483" i="282"/>
  <c r="M483" i="282"/>
  <c r="I483" i="282"/>
  <c r="H483" i="282"/>
  <c r="G483" i="282"/>
  <c r="F483" i="282"/>
  <c r="E483" i="282"/>
  <c r="D483" i="282"/>
  <c r="C483" i="282"/>
  <c r="N481" i="282"/>
  <c r="N525" i="282" s="1"/>
  <c r="N531" i="282" s="1"/>
  <c r="M481" i="282"/>
  <c r="I481" i="282"/>
  <c r="H481" i="282"/>
  <c r="G481" i="282"/>
  <c r="F481" i="282"/>
  <c r="E481" i="282"/>
  <c r="D481" i="282"/>
  <c r="C481" i="282"/>
  <c r="N479" i="282"/>
  <c r="N528" i="282" s="1"/>
  <c r="M479" i="282"/>
  <c r="M528" i="282" s="1"/>
  <c r="I479" i="282"/>
  <c r="I528" i="282" s="1"/>
  <c r="H479" i="282"/>
  <c r="H528" i="282" s="1"/>
  <c r="G479" i="282"/>
  <c r="G528" i="282" s="1"/>
  <c r="F479" i="282"/>
  <c r="F528" i="282" s="1"/>
  <c r="E479" i="282"/>
  <c r="E528" i="282" s="1"/>
  <c r="D479" i="282"/>
  <c r="D528" i="282" s="1"/>
  <c r="C479" i="282"/>
  <c r="C528" i="282" s="1"/>
  <c r="N478" i="282"/>
  <c r="M478" i="282"/>
  <c r="I478" i="282"/>
  <c r="H478" i="282"/>
  <c r="G478" i="282"/>
  <c r="F478" i="282"/>
  <c r="E478" i="282"/>
  <c r="D478" i="282"/>
  <c r="C478" i="282"/>
  <c r="N477" i="282"/>
  <c r="M477" i="282"/>
  <c r="I477" i="282"/>
  <c r="H477" i="282"/>
  <c r="G477" i="282"/>
  <c r="F477" i="282"/>
  <c r="E477" i="282"/>
  <c r="D477" i="282"/>
  <c r="C477" i="282"/>
  <c r="N476" i="282"/>
  <c r="M476" i="282"/>
  <c r="I476" i="282"/>
  <c r="H476" i="282"/>
  <c r="G476" i="282"/>
  <c r="F476" i="282"/>
  <c r="E476" i="282"/>
  <c r="D476" i="282"/>
  <c r="C476" i="282"/>
  <c r="K475" i="282"/>
  <c r="K524" i="282" s="1"/>
  <c r="J475" i="282"/>
  <c r="K474" i="282"/>
  <c r="K523" i="282" s="1"/>
  <c r="J474" i="282"/>
  <c r="J523" i="282" s="1"/>
  <c r="K472" i="282"/>
  <c r="J472" i="282"/>
  <c r="K471" i="282"/>
  <c r="K493" i="282" s="1"/>
  <c r="J471" i="282"/>
  <c r="J493" i="282" s="1"/>
  <c r="K470" i="282"/>
  <c r="J470" i="282"/>
  <c r="K468" i="282"/>
  <c r="J468" i="282"/>
  <c r="K467" i="282"/>
  <c r="K478" i="282" s="1"/>
  <c r="J467" i="282"/>
  <c r="J478" i="282" s="1"/>
  <c r="K466" i="282"/>
  <c r="J466" i="282"/>
  <c r="K465" i="282"/>
  <c r="J465" i="282"/>
  <c r="N461" i="282"/>
  <c r="M461" i="282"/>
  <c r="I461" i="282"/>
  <c r="H461" i="282"/>
  <c r="G461" i="282"/>
  <c r="F461" i="282"/>
  <c r="E461" i="282"/>
  <c r="D461" i="282"/>
  <c r="C461" i="282"/>
  <c r="N460" i="282"/>
  <c r="M460" i="282"/>
  <c r="I460" i="282"/>
  <c r="H460" i="282"/>
  <c r="G460" i="282"/>
  <c r="F460" i="282"/>
  <c r="E460" i="282"/>
  <c r="D460" i="282"/>
  <c r="C460" i="282"/>
  <c r="N459" i="282"/>
  <c r="M459" i="282"/>
  <c r="I459" i="282"/>
  <c r="H459" i="282"/>
  <c r="G459" i="282"/>
  <c r="F459" i="282"/>
  <c r="E459" i="282"/>
  <c r="D459" i="282"/>
  <c r="C459" i="282"/>
  <c r="K458" i="282"/>
  <c r="J458" i="282"/>
  <c r="K457" i="282"/>
  <c r="J457" i="282"/>
  <c r="L457" i="282" s="1"/>
  <c r="O457" i="282" s="1"/>
  <c r="K456" i="282"/>
  <c r="K510" i="282" s="1"/>
  <c r="J456" i="282"/>
  <c r="J510" i="282" s="1"/>
  <c r="K455" i="282"/>
  <c r="K508" i="282" s="1"/>
  <c r="J455" i="282"/>
  <c r="J508" i="282" s="1"/>
  <c r="K454" i="282"/>
  <c r="J454" i="282"/>
  <c r="L454" i="282" s="1"/>
  <c r="O454" i="282" s="1"/>
  <c r="K453" i="282"/>
  <c r="J453" i="282"/>
  <c r="L453" i="282" s="1"/>
  <c r="O453" i="282" s="1"/>
  <c r="K452" i="282"/>
  <c r="J452" i="282"/>
  <c r="K451" i="282"/>
  <c r="J451" i="282"/>
  <c r="L451" i="282" s="1"/>
  <c r="O451" i="282" s="1"/>
  <c r="K450" i="282"/>
  <c r="J450" i="282"/>
  <c r="L450" i="282" s="1"/>
  <c r="O450" i="282" s="1"/>
  <c r="K449" i="282"/>
  <c r="J449" i="282"/>
  <c r="K448" i="282"/>
  <c r="J448" i="282"/>
  <c r="L448" i="282" s="1"/>
  <c r="O448" i="282" s="1"/>
  <c r="K446" i="282"/>
  <c r="K500" i="282" s="1"/>
  <c r="J446" i="282"/>
  <c r="J500" i="282" s="1"/>
  <c r="K445" i="282"/>
  <c r="J445" i="282"/>
  <c r="K444" i="282"/>
  <c r="J444" i="282"/>
  <c r="L444" i="282" s="1"/>
  <c r="O444" i="282" s="1"/>
  <c r="K442" i="282"/>
  <c r="J442" i="282"/>
  <c r="K441" i="282"/>
  <c r="J441" i="282"/>
  <c r="K440" i="282"/>
  <c r="J440" i="282"/>
  <c r="N438" i="282"/>
  <c r="M438" i="282"/>
  <c r="I438" i="282"/>
  <c r="H438" i="282"/>
  <c r="G438" i="282"/>
  <c r="F438" i="282"/>
  <c r="E438" i="282"/>
  <c r="D438" i="282"/>
  <c r="C438" i="282"/>
  <c r="N437" i="282"/>
  <c r="M437" i="282"/>
  <c r="I437" i="282"/>
  <c r="H437" i="282"/>
  <c r="G437" i="282"/>
  <c r="F437" i="282"/>
  <c r="E437" i="282"/>
  <c r="D437" i="282"/>
  <c r="C437" i="282"/>
  <c r="K436" i="282"/>
  <c r="J436" i="282"/>
  <c r="J519" i="282" s="1"/>
  <c r="K434" i="282"/>
  <c r="J434" i="282"/>
  <c r="L434" i="282" s="1"/>
  <c r="O434" i="282" s="1"/>
  <c r="K433" i="282"/>
  <c r="J433" i="282"/>
  <c r="J437" i="282" s="1"/>
  <c r="N431" i="282"/>
  <c r="M431" i="282"/>
  <c r="I431" i="282"/>
  <c r="H431" i="282"/>
  <c r="G431" i="282"/>
  <c r="F431" i="282"/>
  <c r="E431" i="282"/>
  <c r="D431" i="282"/>
  <c r="C431" i="282"/>
  <c r="N430" i="282"/>
  <c r="M430" i="282"/>
  <c r="I430" i="282"/>
  <c r="H430" i="282"/>
  <c r="G430" i="282"/>
  <c r="F430" i="282"/>
  <c r="E430" i="282"/>
  <c r="D430" i="282"/>
  <c r="C430" i="282"/>
  <c r="K429" i="282"/>
  <c r="K520" i="282" s="1"/>
  <c r="J429" i="282"/>
  <c r="K428" i="282"/>
  <c r="J428" i="282"/>
  <c r="L428" i="282" s="1"/>
  <c r="O428" i="282" s="1"/>
  <c r="K427" i="282"/>
  <c r="J427" i="282"/>
  <c r="K426" i="282"/>
  <c r="K513" i="282" s="1"/>
  <c r="J426" i="282"/>
  <c r="K425" i="282"/>
  <c r="J425" i="282"/>
  <c r="L425" i="282" s="1"/>
  <c r="O425" i="282" s="1"/>
  <c r="K424" i="282"/>
  <c r="K511" i="282" s="1"/>
  <c r="J424" i="282"/>
  <c r="K423" i="282"/>
  <c r="J423" i="282"/>
  <c r="K422" i="282"/>
  <c r="J422" i="282"/>
  <c r="L422" i="282" s="1"/>
  <c r="O422" i="282" s="1"/>
  <c r="K420" i="282"/>
  <c r="J420" i="282"/>
  <c r="K419" i="282"/>
  <c r="J419" i="282"/>
  <c r="N417" i="282"/>
  <c r="M417" i="282"/>
  <c r="I417" i="282"/>
  <c r="H417" i="282"/>
  <c r="G417" i="282"/>
  <c r="F417" i="282"/>
  <c r="E417" i="282"/>
  <c r="D417" i="282"/>
  <c r="C417" i="282"/>
  <c r="N416" i="282"/>
  <c r="M416" i="282"/>
  <c r="I416" i="282"/>
  <c r="H416" i="282"/>
  <c r="G416" i="282"/>
  <c r="F416" i="282"/>
  <c r="E416" i="282"/>
  <c r="D416" i="282"/>
  <c r="C416" i="282"/>
  <c r="K415" i="282"/>
  <c r="J415" i="282"/>
  <c r="L415" i="282" s="1"/>
  <c r="O415" i="282" s="1"/>
  <c r="K414" i="282"/>
  <c r="J414" i="282"/>
  <c r="L413" i="282"/>
  <c r="O413" i="282" s="1"/>
  <c r="K413" i="282"/>
  <c r="J413" i="282"/>
  <c r="K412" i="282"/>
  <c r="J412" i="282"/>
  <c r="L412" i="282" s="1"/>
  <c r="O412" i="282" s="1"/>
  <c r="K410" i="282"/>
  <c r="J410" i="282"/>
  <c r="L410" i="282" s="1"/>
  <c r="O410" i="282" s="1"/>
  <c r="K409" i="282"/>
  <c r="J409" i="282"/>
  <c r="N407" i="282"/>
  <c r="M407" i="282"/>
  <c r="I407" i="282"/>
  <c r="H407" i="282"/>
  <c r="G407" i="282"/>
  <c r="F407" i="282"/>
  <c r="E407" i="282"/>
  <c r="D407" i="282"/>
  <c r="C407" i="282"/>
  <c r="N406" i="282"/>
  <c r="M406" i="282"/>
  <c r="I406" i="282"/>
  <c r="H406" i="282"/>
  <c r="G406" i="282"/>
  <c r="F406" i="282"/>
  <c r="E406" i="282"/>
  <c r="D406" i="282"/>
  <c r="C406" i="282"/>
  <c r="K405" i="282"/>
  <c r="K503" i="282" s="1"/>
  <c r="J405" i="282"/>
  <c r="K403" i="282"/>
  <c r="J403" i="282"/>
  <c r="K402" i="282"/>
  <c r="K406" i="282" s="1"/>
  <c r="J402" i="282"/>
  <c r="N400" i="282"/>
  <c r="M400" i="282"/>
  <c r="I400" i="282"/>
  <c r="H400" i="282"/>
  <c r="G400" i="282"/>
  <c r="F400" i="282"/>
  <c r="E400" i="282"/>
  <c r="D400" i="282"/>
  <c r="C400" i="282"/>
  <c r="N399" i="282"/>
  <c r="M399" i="282"/>
  <c r="I399" i="282"/>
  <c r="H399" i="282"/>
  <c r="G399" i="282"/>
  <c r="F399" i="282"/>
  <c r="E399" i="282"/>
  <c r="D399" i="282"/>
  <c r="C399" i="282"/>
  <c r="N398" i="282"/>
  <c r="M398" i="282"/>
  <c r="I398" i="282"/>
  <c r="H398" i="282"/>
  <c r="G398" i="282"/>
  <c r="F398" i="282"/>
  <c r="E398" i="282"/>
  <c r="D398" i="282"/>
  <c r="C398" i="282"/>
  <c r="K397" i="282"/>
  <c r="K521" i="282" s="1"/>
  <c r="J397" i="282"/>
  <c r="K396" i="282"/>
  <c r="J396" i="282"/>
  <c r="K395" i="282"/>
  <c r="J395" i="282"/>
  <c r="L395" i="282" s="1"/>
  <c r="O395" i="282" s="1"/>
  <c r="K393" i="282"/>
  <c r="J393" i="282"/>
  <c r="L393" i="282" s="1"/>
  <c r="O393" i="282" s="1"/>
  <c r="K392" i="282"/>
  <c r="J392" i="282"/>
  <c r="K391" i="282"/>
  <c r="J391" i="282"/>
  <c r="L391" i="282" s="1"/>
  <c r="O391" i="282" s="1"/>
  <c r="K390" i="282"/>
  <c r="J390" i="282"/>
  <c r="L390" i="282" s="1"/>
  <c r="O390" i="282" s="1"/>
  <c r="K389" i="282"/>
  <c r="J389" i="282"/>
  <c r="K388" i="282"/>
  <c r="J388" i="282"/>
  <c r="L388" i="282" s="1"/>
  <c r="O388" i="282" s="1"/>
  <c r="K386" i="282"/>
  <c r="K400" i="282" s="1"/>
  <c r="J386" i="282"/>
  <c r="K385" i="282"/>
  <c r="J385" i="282"/>
  <c r="K384" i="282"/>
  <c r="K398" i="282" s="1"/>
  <c r="J384" i="282"/>
  <c r="N382" i="282"/>
  <c r="M382" i="282"/>
  <c r="I382" i="282"/>
  <c r="H382" i="282"/>
  <c r="G382" i="282"/>
  <c r="F382" i="282"/>
  <c r="E382" i="282"/>
  <c r="D382" i="282"/>
  <c r="C382" i="282"/>
  <c r="N381" i="282"/>
  <c r="I381" i="282"/>
  <c r="H381" i="282"/>
  <c r="G381" i="282"/>
  <c r="F381" i="282"/>
  <c r="E381" i="282"/>
  <c r="D381" i="282"/>
  <c r="C381" i="282"/>
  <c r="N380" i="282"/>
  <c r="I380" i="282"/>
  <c r="H380" i="282"/>
  <c r="G380" i="282"/>
  <c r="F380" i="282"/>
  <c r="E380" i="282"/>
  <c r="D380" i="282"/>
  <c r="C380" i="282"/>
  <c r="K379" i="282"/>
  <c r="J379" i="282"/>
  <c r="K378" i="282"/>
  <c r="J378" i="282"/>
  <c r="K377" i="282"/>
  <c r="J377" i="282"/>
  <c r="K376" i="282"/>
  <c r="J376" i="282"/>
  <c r="K374" i="282"/>
  <c r="J374" i="282"/>
  <c r="K373" i="282"/>
  <c r="J373" i="282"/>
  <c r="M372" i="282"/>
  <c r="M487" i="282" s="1"/>
  <c r="K372" i="282"/>
  <c r="J372" i="282"/>
  <c r="J487" i="282" s="1"/>
  <c r="K371" i="282"/>
  <c r="J371" i="282"/>
  <c r="K370" i="282"/>
  <c r="J370" i="282"/>
  <c r="K368" i="282"/>
  <c r="J368" i="282"/>
  <c r="K367" i="282"/>
  <c r="J367" i="282"/>
  <c r="K366" i="282"/>
  <c r="J366" i="282"/>
  <c r="N364" i="282"/>
  <c r="M364" i="282"/>
  <c r="I364" i="282"/>
  <c r="H364" i="282"/>
  <c r="G364" i="282"/>
  <c r="F364" i="282"/>
  <c r="E364" i="282"/>
  <c r="D364" i="282"/>
  <c r="C364" i="282"/>
  <c r="N363" i="282"/>
  <c r="N462" i="282" s="1"/>
  <c r="M363" i="282"/>
  <c r="I363" i="282"/>
  <c r="H363" i="282"/>
  <c r="G363" i="282"/>
  <c r="F363" i="282"/>
  <c r="E363" i="282"/>
  <c r="D363" i="282"/>
  <c r="C363" i="282"/>
  <c r="K362" i="282"/>
  <c r="J362" i="282"/>
  <c r="K361" i="282"/>
  <c r="J361" i="282"/>
  <c r="L361" i="282" s="1"/>
  <c r="O361" i="282" s="1"/>
  <c r="K360" i="282"/>
  <c r="K509" i="282" s="1"/>
  <c r="J360" i="282"/>
  <c r="K359" i="282"/>
  <c r="K504" i="282" s="1"/>
  <c r="J359" i="282"/>
  <c r="K358" i="282"/>
  <c r="K502" i="282" s="1"/>
  <c r="J358" i="282"/>
  <c r="K356" i="282"/>
  <c r="J356" i="282"/>
  <c r="K355" i="282"/>
  <c r="J355" i="282"/>
  <c r="L355" i="282" s="1"/>
  <c r="O355" i="282" s="1"/>
  <c r="N353" i="282"/>
  <c r="M353" i="282"/>
  <c r="I353" i="282"/>
  <c r="H353" i="282"/>
  <c r="G353" i="282"/>
  <c r="F353" i="282"/>
  <c r="E353" i="282"/>
  <c r="D353" i="282"/>
  <c r="C353" i="282"/>
  <c r="N352" i="282"/>
  <c r="M352" i="282"/>
  <c r="I352" i="282"/>
  <c r="H352" i="282"/>
  <c r="G352" i="282"/>
  <c r="F352" i="282"/>
  <c r="E352" i="282"/>
  <c r="D352" i="282"/>
  <c r="C352" i="282"/>
  <c r="N351" i="282"/>
  <c r="M351" i="282"/>
  <c r="I351" i="282"/>
  <c r="H351" i="282"/>
  <c r="G351" i="282"/>
  <c r="F351" i="282"/>
  <c r="E351" i="282"/>
  <c r="D351" i="282"/>
  <c r="C351" i="282"/>
  <c r="K350" i="282"/>
  <c r="J350" i="282"/>
  <c r="K348" i="282"/>
  <c r="J348" i="282"/>
  <c r="K347" i="282"/>
  <c r="J347" i="282"/>
  <c r="K346" i="282"/>
  <c r="J346" i="282"/>
  <c r="K345" i="282"/>
  <c r="J345" i="282"/>
  <c r="K344" i="282"/>
  <c r="J344" i="282"/>
  <c r="K343" i="282"/>
  <c r="K488" i="282" s="1"/>
  <c r="J343" i="282"/>
  <c r="J488" i="282" s="1"/>
  <c r="K342" i="282"/>
  <c r="J342" i="282"/>
  <c r="K340" i="282"/>
  <c r="K353" i="282" s="1"/>
  <c r="J340" i="282"/>
  <c r="J353" i="282" s="1"/>
  <c r="K339" i="282"/>
  <c r="K352" i="282" s="1"/>
  <c r="J339" i="282"/>
  <c r="K338" i="282"/>
  <c r="J338" i="282"/>
  <c r="N335" i="282"/>
  <c r="M335" i="282"/>
  <c r="I335" i="282"/>
  <c r="H335" i="282"/>
  <c r="G335" i="282"/>
  <c r="F335" i="282"/>
  <c r="E335" i="282"/>
  <c r="D335" i="282"/>
  <c r="C335" i="282"/>
  <c r="N334" i="282"/>
  <c r="M334" i="282"/>
  <c r="I334" i="282"/>
  <c r="H334" i="282"/>
  <c r="G334" i="282"/>
  <c r="F334" i="282"/>
  <c r="E334" i="282"/>
  <c r="D334" i="282"/>
  <c r="C334" i="282"/>
  <c r="N333" i="282"/>
  <c r="M333" i="282"/>
  <c r="I333" i="282"/>
  <c r="H333" i="282"/>
  <c r="G333" i="282"/>
  <c r="F333" i="282"/>
  <c r="E333" i="282"/>
  <c r="D333" i="282"/>
  <c r="C333" i="282"/>
  <c r="K332" i="282"/>
  <c r="J332" i="282"/>
  <c r="L332" i="282" s="1"/>
  <c r="O332" i="282" s="1"/>
  <c r="K331" i="282"/>
  <c r="J331" i="282"/>
  <c r="K329" i="282"/>
  <c r="J329" i="282"/>
  <c r="K328" i="282"/>
  <c r="J328" i="282"/>
  <c r="K327" i="282"/>
  <c r="J327" i="282"/>
  <c r="K326" i="282"/>
  <c r="J326" i="282"/>
  <c r="K324" i="282"/>
  <c r="J324" i="282"/>
  <c r="K323" i="282"/>
  <c r="K334" i="282" s="1"/>
  <c r="J323" i="282"/>
  <c r="K322" i="282"/>
  <c r="J322" i="282"/>
  <c r="N320" i="282"/>
  <c r="M320" i="282"/>
  <c r="I320" i="282"/>
  <c r="H320" i="282"/>
  <c r="G320" i="282"/>
  <c r="F320" i="282"/>
  <c r="E320" i="282"/>
  <c r="D320" i="282"/>
  <c r="C320" i="282"/>
  <c r="N319" i="282"/>
  <c r="M319" i="282"/>
  <c r="I319" i="282"/>
  <c r="H319" i="282"/>
  <c r="G319" i="282"/>
  <c r="F319" i="282"/>
  <c r="E319" i="282"/>
  <c r="D319" i="282"/>
  <c r="C319" i="282"/>
  <c r="N318" i="282"/>
  <c r="M318" i="282"/>
  <c r="I318" i="282"/>
  <c r="H318" i="282"/>
  <c r="G318" i="282"/>
  <c r="F318" i="282"/>
  <c r="E318" i="282"/>
  <c r="D318" i="282"/>
  <c r="C318" i="282"/>
  <c r="K317" i="282"/>
  <c r="J317" i="282"/>
  <c r="K315" i="282"/>
  <c r="J315" i="282"/>
  <c r="K314" i="282"/>
  <c r="K497" i="282" s="1"/>
  <c r="J314" i="282"/>
  <c r="J497" i="282" s="1"/>
  <c r="K313" i="282"/>
  <c r="J313" i="282"/>
  <c r="K312" i="282"/>
  <c r="J312" i="282"/>
  <c r="K310" i="282"/>
  <c r="K320" i="282" s="1"/>
  <c r="J310" i="282"/>
  <c r="J320" i="282" s="1"/>
  <c r="K309" i="282"/>
  <c r="J309" i="282"/>
  <c r="K308" i="282"/>
  <c r="K318" i="282" s="1"/>
  <c r="J308" i="282"/>
  <c r="J318" i="282" s="1"/>
  <c r="N306" i="282"/>
  <c r="M306" i="282"/>
  <c r="I306" i="282"/>
  <c r="H306" i="282"/>
  <c r="G306" i="282"/>
  <c r="F306" i="282"/>
  <c r="E306" i="282"/>
  <c r="D306" i="282"/>
  <c r="C306" i="282"/>
  <c r="N305" i="282"/>
  <c r="M305" i="282"/>
  <c r="I305" i="282"/>
  <c r="H305" i="282"/>
  <c r="G305" i="282"/>
  <c r="F305" i="282"/>
  <c r="E305" i="282"/>
  <c r="D305" i="282"/>
  <c r="C305" i="282"/>
  <c r="N304" i="282"/>
  <c r="M304" i="282"/>
  <c r="I304" i="282"/>
  <c r="H304" i="282"/>
  <c r="H336" i="282" s="1"/>
  <c r="G304" i="282"/>
  <c r="F304" i="282"/>
  <c r="E304" i="282"/>
  <c r="D304" i="282"/>
  <c r="C304" i="282"/>
  <c r="K303" i="282"/>
  <c r="L303" i="282" s="1"/>
  <c r="O303" i="282" s="1"/>
  <c r="J303" i="282"/>
  <c r="K301" i="282"/>
  <c r="K485" i="282" s="1"/>
  <c r="J301" i="282"/>
  <c r="J485" i="282" s="1"/>
  <c r="K300" i="282"/>
  <c r="J300" i="282"/>
  <c r="K299" i="282"/>
  <c r="L299" i="282" s="1"/>
  <c r="O299" i="282" s="1"/>
  <c r="J299" i="282"/>
  <c r="K297" i="282"/>
  <c r="J297" i="282"/>
  <c r="J306" i="282" s="1"/>
  <c r="K296" i="282"/>
  <c r="J296" i="282"/>
  <c r="J305" i="282" s="1"/>
  <c r="K295" i="282"/>
  <c r="K304" i="282" s="1"/>
  <c r="J295" i="282"/>
  <c r="N291" i="282"/>
  <c r="M291" i="282"/>
  <c r="I291" i="282"/>
  <c r="H291" i="282"/>
  <c r="G291" i="282"/>
  <c r="F291" i="282"/>
  <c r="E291" i="282"/>
  <c r="D291" i="282"/>
  <c r="C291" i="282"/>
  <c r="N290" i="282"/>
  <c r="M290" i="282"/>
  <c r="I290" i="282"/>
  <c r="H290" i="282"/>
  <c r="G290" i="282"/>
  <c r="F290" i="282"/>
  <c r="E290" i="282"/>
  <c r="D290" i="282"/>
  <c r="C290" i="282"/>
  <c r="N289" i="282"/>
  <c r="M289" i="282"/>
  <c r="I289" i="282"/>
  <c r="H289" i="282"/>
  <c r="G289" i="282"/>
  <c r="F289" i="282"/>
  <c r="E289" i="282"/>
  <c r="D289" i="282"/>
  <c r="C289" i="282"/>
  <c r="K288" i="282"/>
  <c r="J288" i="282"/>
  <c r="K287" i="282"/>
  <c r="J287" i="282"/>
  <c r="K285" i="282"/>
  <c r="J285" i="282"/>
  <c r="L285" i="282" s="1"/>
  <c r="O285" i="282" s="1"/>
  <c r="K284" i="282"/>
  <c r="J284" i="282"/>
  <c r="K283" i="282"/>
  <c r="J283" i="282"/>
  <c r="L283" i="282" s="1"/>
  <c r="O283" i="282" s="1"/>
  <c r="K282" i="282"/>
  <c r="J282" i="282"/>
  <c r="L282" i="282" s="1"/>
  <c r="O282" i="282" s="1"/>
  <c r="K280" i="282"/>
  <c r="K291" i="282" s="1"/>
  <c r="J280" i="282"/>
  <c r="K279" i="282"/>
  <c r="J279" i="282"/>
  <c r="L279" i="282" s="1"/>
  <c r="K278" i="282"/>
  <c r="K289" i="282" s="1"/>
  <c r="J278" i="282"/>
  <c r="N276" i="282"/>
  <c r="M276" i="282"/>
  <c r="I276" i="282"/>
  <c r="H276" i="282"/>
  <c r="G276" i="282"/>
  <c r="F276" i="282"/>
  <c r="E276" i="282"/>
  <c r="D276" i="282"/>
  <c r="C276" i="282"/>
  <c r="N275" i="282"/>
  <c r="M275" i="282"/>
  <c r="I275" i="282"/>
  <c r="H275" i="282"/>
  <c r="G275" i="282"/>
  <c r="F275" i="282"/>
  <c r="E275" i="282"/>
  <c r="D275" i="282"/>
  <c r="C275" i="282"/>
  <c r="N274" i="282"/>
  <c r="M274" i="282"/>
  <c r="I274" i="282"/>
  <c r="H274" i="282"/>
  <c r="G274" i="282"/>
  <c r="F274" i="282"/>
  <c r="E274" i="282"/>
  <c r="D274" i="282"/>
  <c r="C274" i="282"/>
  <c r="K273" i="282"/>
  <c r="J273" i="282"/>
  <c r="K272" i="282"/>
  <c r="J272" i="282"/>
  <c r="K270" i="282"/>
  <c r="J270" i="282"/>
  <c r="K269" i="282"/>
  <c r="J269" i="282"/>
  <c r="K268" i="282"/>
  <c r="J268" i="282"/>
  <c r="K267" i="282"/>
  <c r="J267" i="282"/>
  <c r="K265" i="282"/>
  <c r="J265" i="282"/>
  <c r="J276" i="282" s="1"/>
  <c r="K264" i="282"/>
  <c r="J264" i="282"/>
  <c r="K263" i="282"/>
  <c r="J263" i="282"/>
  <c r="J274" i="282" s="1"/>
  <c r="N261" i="282"/>
  <c r="M261" i="282"/>
  <c r="I261" i="282"/>
  <c r="H261" i="282"/>
  <c r="G261" i="282"/>
  <c r="F261" i="282"/>
  <c r="E261" i="282"/>
  <c r="D261" i="282"/>
  <c r="C261" i="282"/>
  <c r="N260" i="282"/>
  <c r="M260" i="282"/>
  <c r="I260" i="282"/>
  <c r="H260" i="282"/>
  <c r="G260" i="282"/>
  <c r="F260" i="282"/>
  <c r="E260" i="282"/>
  <c r="D260" i="282"/>
  <c r="C260" i="282"/>
  <c r="N259" i="282"/>
  <c r="M259" i="282"/>
  <c r="I259" i="282"/>
  <c r="H259" i="282"/>
  <c r="G259" i="282"/>
  <c r="F259" i="282"/>
  <c r="E259" i="282"/>
  <c r="D259" i="282"/>
  <c r="C259" i="282"/>
  <c r="K258" i="282"/>
  <c r="J258" i="282"/>
  <c r="L258" i="282" s="1"/>
  <c r="O258" i="282" s="1"/>
  <c r="K256" i="282"/>
  <c r="J256" i="282"/>
  <c r="K255" i="282"/>
  <c r="J255" i="282"/>
  <c r="L255" i="282" s="1"/>
  <c r="O255" i="282" s="1"/>
  <c r="K254" i="282"/>
  <c r="J254" i="282"/>
  <c r="L254" i="282" s="1"/>
  <c r="O254" i="282" s="1"/>
  <c r="K252" i="282"/>
  <c r="K261" i="282" s="1"/>
  <c r="J252" i="282"/>
  <c r="K251" i="282"/>
  <c r="J251" i="282"/>
  <c r="L251" i="282" s="1"/>
  <c r="K250" i="282"/>
  <c r="K259" i="282" s="1"/>
  <c r="J250" i="282"/>
  <c r="J259" i="282" s="1"/>
  <c r="N248" i="282"/>
  <c r="M248" i="282"/>
  <c r="I248" i="282"/>
  <c r="H248" i="282"/>
  <c r="G248" i="282"/>
  <c r="F248" i="282"/>
  <c r="E248" i="282"/>
  <c r="D248" i="282"/>
  <c r="C248" i="282"/>
  <c r="N247" i="282"/>
  <c r="M247" i="282"/>
  <c r="I247" i="282"/>
  <c r="H247" i="282"/>
  <c r="G247" i="282"/>
  <c r="F247" i="282"/>
  <c r="E247" i="282"/>
  <c r="D247" i="282"/>
  <c r="C247" i="282"/>
  <c r="N246" i="282"/>
  <c r="M246" i="282"/>
  <c r="I246" i="282"/>
  <c r="H246" i="282"/>
  <c r="G246" i="282"/>
  <c r="F246" i="282"/>
  <c r="E246" i="282"/>
  <c r="D246" i="282"/>
  <c r="C246" i="282"/>
  <c r="K245" i="282"/>
  <c r="K518" i="282" s="1"/>
  <c r="J245" i="282"/>
  <c r="K244" i="282"/>
  <c r="J244" i="282"/>
  <c r="K243" i="282"/>
  <c r="J243" i="282"/>
  <c r="K241" i="282"/>
  <c r="J241" i="282"/>
  <c r="K240" i="282"/>
  <c r="J240" i="282"/>
  <c r="K239" i="282"/>
  <c r="J239" i="282"/>
  <c r="K238" i="282"/>
  <c r="J238" i="282"/>
  <c r="K236" i="282"/>
  <c r="J236" i="282"/>
  <c r="K235" i="282"/>
  <c r="J235" i="282"/>
  <c r="K234" i="282"/>
  <c r="J234" i="282"/>
  <c r="N232" i="282"/>
  <c r="M232" i="282"/>
  <c r="I232" i="282"/>
  <c r="H232" i="282"/>
  <c r="G232" i="282"/>
  <c r="F232" i="282"/>
  <c r="E232" i="282"/>
  <c r="D232" i="282"/>
  <c r="C232" i="282"/>
  <c r="N231" i="282"/>
  <c r="M231" i="282"/>
  <c r="I231" i="282"/>
  <c r="H231" i="282"/>
  <c r="G231" i="282"/>
  <c r="F231" i="282"/>
  <c r="E231" i="282"/>
  <c r="D231" i="282"/>
  <c r="C231" i="282"/>
  <c r="N230" i="282"/>
  <c r="M230" i="282"/>
  <c r="I230" i="282"/>
  <c r="H230" i="282"/>
  <c r="G230" i="282"/>
  <c r="F230" i="282"/>
  <c r="E230" i="282"/>
  <c r="D230" i="282"/>
  <c r="C230" i="282"/>
  <c r="K229" i="282"/>
  <c r="J229" i="282"/>
  <c r="K227" i="282"/>
  <c r="J227" i="282"/>
  <c r="K226" i="282"/>
  <c r="K496" i="282" s="1"/>
  <c r="J226" i="282"/>
  <c r="K225" i="282"/>
  <c r="J225" i="282"/>
  <c r="K224" i="282"/>
  <c r="J224" i="282"/>
  <c r="K223" i="282"/>
  <c r="J223" i="282"/>
  <c r="K221" i="282"/>
  <c r="K232" i="282" s="1"/>
  <c r="J221" i="282"/>
  <c r="K220" i="282"/>
  <c r="J220" i="282"/>
  <c r="K219" i="282"/>
  <c r="J219" i="282"/>
  <c r="N217" i="282"/>
  <c r="M217" i="282"/>
  <c r="I217" i="282"/>
  <c r="H217" i="282"/>
  <c r="G217" i="282"/>
  <c r="F217" i="282"/>
  <c r="E217" i="282"/>
  <c r="D217" i="282"/>
  <c r="C217" i="282"/>
  <c r="N216" i="282"/>
  <c r="M216" i="282"/>
  <c r="I216" i="282"/>
  <c r="H216" i="282"/>
  <c r="G216" i="282"/>
  <c r="F216" i="282"/>
  <c r="E216" i="282"/>
  <c r="D216" i="282"/>
  <c r="C216" i="282"/>
  <c r="N215" i="282"/>
  <c r="M215" i="282"/>
  <c r="I215" i="282"/>
  <c r="H215" i="282"/>
  <c r="G215" i="282"/>
  <c r="F215" i="282"/>
  <c r="E215" i="282"/>
  <c r="D215" i="282"/>
  <c r="C215" i="282"/>
  <c r="K214" i="282"/>
  <c r="J214" i="282"/>
  <c r="L214" i="282" s="1"/>
  <c r="O214" i="282" s="1"/>
  <c r="K213" i="282"/>
  <c r="J213" i="282"/>
  <c r="K211" i="282"/>
  <c r="J211" i="282"/>
  <c r="K210" i="282"/>
  <c r="J210" i="282"/>
  <c r="K209" i="282"/>
  <c r="J209" i="282"/>
  <c r="K208" i="282"/>
  <c r="J208" i="282"/>
  <c r="L208" i="282" s="1"/>
  <c r="O208" i="282" s="1"/>
  <c r="K206" i="282"/>
  <c r="J206" i="282"/>
  <c r="K205" i="282"/>
  <c r="K216" i="282" s="1"/>
  <c r="J205" i="282"/>
  <c r="K204" i="282"/>
  <c r="J204" i="282"/>
  <c r="L204" i="282" s="1"/>
  <c r="N202" i="282"/>
  <c r="M202" i="282"/>
  <c r="I202" i="282"/>
  <c r="H202" i="282"/>
  <c r="G202" i="282"/>
  <c r="F202" i="282"/>
  <c r="E202" i="282"/>
  <c r="D202" i="282"/>
  <c r="C202" i="282"/>
  <c r="N201" i="282"/>
  <c r="M201" i="282"/>
  <c r="I201" i="282"/>
  <c r="H201" i="282"/>
  <c r="G201" i="282"/>
  <c r="F201" i="282"/>
  <c r="E201" i="282"/>
  <c r="D201" i="282"/>
  <c r="C201" i="282"/>
  <c r="N200" i="282"/>
  <c r="M200" i="282"/>
  <c r="I200" i="282"/>
  <c r="H200" i="282"/>
  <c r="G200" i="282"/>
  <c r="F200" i="282"/>
  <c r="E200" i="282"/>
  <c r="D200" i="282"/>
  <c r="C200" i="282"/>
  <c r="K199" i="282"/>
  <c r="J199" i="282"/>
  <c r="K197" i="282"/>
  <c r="J197" i="282"/>
  <c r="K196" i="282"/>
  <c r="J196" i="282"/>
  <c r="K195" i="282"/>
  <c r="J195" i="282"/>
  <c r="K193" i="282"/>
  <c r="K202" i="282" s="1"/>
  <c r="J193" i="282"/>
  <c r="J202" i="282" s="1"/>
  <c r="K192" i="282"/>
  <c r="K201" i="282" s="1"/>
  <c r="J192" i="282"/>
  <c r="K191" i="282"/>
  <c r="J191" i="282"/>
  <c r="N189" i="282"/>
  <c r="M189" i="282"/>
  <c r="I189" i="282"/>
  <c r="H189" i="282"/>
  <c r="G189" i="282"/>
  <c r="F189" i="282"/>
  <c r="E189" i="282"/>
  <c r="D189" i="282"/>
  <c r="C189" i="282"/>
  <c r="N188" i="282"/>
  <c r="M188" i="282"/>
  <c r="I188" i="282"/>
  <c r="H188" i="282"/>
  <c r="G188" i="282"/>
  <c r="F188" i="282"/>
  <c r="E188" i="282"/>
  <c r="D188" i="282"/>
  <c r="C188" i="282"/>
  <c r="N187" i="282"/>
  <c r="M187" i="282"/>
  <c r="I187" i="282"/>
  <c r="H187" i="282"/>
  <c r="G187" i="282"/>
  <c r="F187" i="282"/>
  <c r="E187" i="282"/>
  <c r="D187" i="282"/>
  <c r="C187" i="282"/>
  <c r="K186" i="282"/>
  <c r="J186" i="282"/>
  <c r="L186" i="282" s="1"/>
  <c r="O186" i="282" s="1"/>
  <c r="K184" i="282"/>
  <c r="J184" i="282"/>
  <c r="L184" i="282" s="1"/>
  <c r="O184" i="282" s="1"/>
  <c r="K183" i="282"/>
  <c r="J183" i="282"/>
  <c r="K182" i="282"/>
  <c r="J182" i="282"/>
  <c r="L182" i="282" s="1"/>
  <c r="O182" i="282" s="1"/>
  <c r="K181" i="282"/>
  <c r="J181" i="282"/>
  <c r="L181" i="282" s="1"/>
  <c r="O181" i="282" s="1"/>
  <c r="K179" i="282"/>
  <c r="K189" i="282" s="1"/>
  <c r="J179" i="282"/>
  <c r="K178" i="282"/>
  <c r="J178" i="282"/>
  <c r="L178" i="282" s="1"/>
  <c r="K177" i="282"/>
  <c r="J177" i="282"/>
  <c r="L177" i="282" s="1"/>
  <c r="N175" i="282"/>
  <c r="M175" i="282"/>
  <c r="I175" i="282"/>
  <c r="H175" i="282"/>
  <c r="G175" i="282"/>
  <c r="F175" i="282"/>
  <c r="E175" i="282"/>
  <c r="D175" i="282"/>
  <c r="C175" i="282"/>
  <c r="N174" i="282"/>
  <c r="M174" i="282"/>
  <c r="I174" i="282"/>
  <c r="H174" i="282"/>
  <c r="G174" i="282"/>
  <c r="F174" i="282"/>
  <c r="E174" i="282"/>
  <c r="D174" i="282"/>
  <c r="C174" i="282"/>
  <c r="N173" i="282"/>
  <c r="M173" i="282"/>
  <c r="I173" i="282"/>
  <c r="H173" i="282"/>
  <c r="G173" i="282"/>
  <c r="F173" i="282"/>
  <c r="E173" i="282"/>
  <c r="D173" i="282"/>
  <c r="C173" i="282"/>
  <c r="K172" i="282"/>
  <c r="K517" i="282" s="1"/>
  <c r="J172" i="282"/>
  <c r="J517" i="282" s="1"/>
  <c r="K171" i="282"/>
  <c r="J171" i="282"/>
  <c r="K169" i="282"/>
  <c r="J169" i="282"/>
  <c r="K168" i="282"/>
  <c r="J168" i="282"/>
  <c r="K167" i="282"/>
  <c r="J167" i="282"/>
  <c r="K166" i="282"/>
  <c r="J166" i="282"/>
  <c r="K164" i="282"/>
  <c r="J164" i="282"/>
  <c r="J175" i="282" s="1"/>
  <c r="K163" i="282"/>
  <c r="K174" i="282" s="1"/>
  <c r="J163" i="282"/>
  <c r="K162" i="282"/>
  <c r="J162" i="282"/>
  <c r="N160" i="282"/>
  <c r="M160" i="282"/>
  <c r="I160" i="282"/>
  <c r="H160" i="282"/>
  <c r="G160" i="282"/>
  <c r="F160" i="282"/>
  <c r="E160" i="282"/>
  <c r="D160" i="282"/>
  <c r="C160" i="282"/>
  <c r="N159" i="282"/>
  <c r="M159" i="282"/>
  <c r="I159" i="282"/>
  <c r="H159" i="282"/>
  <c r="G159" i="282"/>
  <c r="F159" i="282"/>
  <c r="E159" i="282"/>
  <c r="D159" i="282"/>
  <c r="C159" i="282"/>
  <c r="N158" i="282"/>
  <c r="M158" i="282"/>
  <c r="I158" i="282"/>
  <c r="H158" i="282"/>
  <c r="G158" i="282"/>
  <c r="F158" i="282"/>
  <c r="E158" i="282"/>
  <c r="D158" i="282"/>
  <c r="C158" i="282"/>
  <c r="K157" i="282"/>
  <c r="J157" i="282"/>
  <c r="L157" i="282" s="1"/>
  <c r="O157" i="282" s="1"/>
  <c r="K155" i="282"/>
  <c r="J155" i="282"/>
  <c r="L155" i="282" s="1"/>
  <c r="O155" i="282" s="1"/>
  <c r="K154" i="282"/>
  <c r="J154" i="282"/>
  <c r="K153" i="282"/>
  <c r="J153" i="282"/>
  <c r="L153" i="282" s="1"/>
  <c r="O153" i="282" s="1"/>
  <c r="K152" i="282"/>
  <c r="J152" i="282"/>
  <c r="L152" i="282" s="1"/>
  <c r="O152" i="282" s="1"/>
  <c r="K151" i="282"/>
  <c r="J151" i="282"/>
  <c r="K149" i="282"/>
  <c r="K160" i="282" s="1"/>
  <c r="J149" i="282"/>
  <c r="J160" i="282" s="1"/>
  <c r="K148" i="282"/>
  <c r="J148" i="282"/>
  <c r="L148" i="282" s="1"/>
  <c r="K147" i="282"/>
  <c r="K158" i="282" s="1"/>
  <c r="J147" i="282"/>
  <c r="N145" i="282"/>
  <c r="M145" i="282"/>
  <c r="I145" i="282"/>
  <c r="H145" i="282"/>
  <c r="G145" i="282"/>
  <c r="F145" i="282"/>
  <c r="E145" i="282"/>
  <c r="D145" i="282"/>
  <c r="C145" i="282"/>
  <c r="N144" i="282"/>
  <c r="M144" i="282"/>
  <c r="I144" i="282"/>
  <c r="H144" i="282"/>
  <c r="G144" i="282"/>
  <c r="F144" i="282"/>
  <c r="E144" i="282"/>
  <c r="D144" i="282"/>
  <c r="C144" i="282"/>
  <c r="N143" i="282"/>
  <c r="M143" i="282"/>
  <c r="I143" i="282"/>
  <c r="H143" i="282"/>
  <c r="G143" i="282"/>
  <c r="F143" i="282"/>
  <c r="E143" i="282"/>
  <c r="D143" i="282"/>
  <c r="C143" i="282"/>
  <c r="K142" i="282"/>
  <c r="J142" i="282"/>
  <c r="K140" i="282"/>
  <c r="J140" i="282"/>
  <c r="K139" i="282"/>
  <c r="J139" i="282"/>
  <c r="K138" i="282"/>
  <c r="J138" i="282"/>
  <c r="K136" i="282"/>
  <c r="J136" i="282"/>
  <c r="K135" i="282"/>
  <c r="J135" i="282"/>
  <c r="K134" i="282"/>
  <c r="K143" i="282" s="1"/>
  <c r="J134" i="282"/>
  <c r="N132" i="282"/>
  <c r="M132" i="282"/>
  <c r="I132" i="282"/>
  <c r="H132" i="282"/>
  <c r="G132" i="282"/>
  <c r="F132" i="282"/>
  <c r="E132" i="282"/>
  <c r="D132" i="282"/>
  <c r="C132" i="282"/>
  <c r="N131" i="282"/>
  <c r="M131" i="282"/>
  <c r="I131" i="282"/>
  <c r="H131" i="282"/>
  <c r="G131" i="282"/>
  <c r="F131" i="282"/>
  <c r="E131" i="282"/>
  <c r="D131" i="282"/>
  <c r="C131" i="282"/>
  <c r="N130" i="282"/>
  <c r="M130" i="282"/>
  <c r="I130" i="282"/>
  <c r="H130" i="282"/>
  <c r="G130" i="282"/>
  <c r="G292" i="282" s="1"/>
  <c r="F130" i="282"/>
  <c r="E130" i="282"/>
  <c r="D130" i="282"/>
  <c r="C130" i="282"/>
  <c r="K129" i="282"/>
  <c r="J129" i="282"/>
  <c r="L129" i="282" s="1"/>
  <c r="O129" i="282" s="1"/>
  <c r="K128" i="282"/>
  <c r="K507" i="282" s="1"/>
  <c r="J128" i="282"/>
  <c r="K126" i="282"/>
  <c r="J126" i="282"/>
  <c r="K125" i="282"/>
  <c r="J125" i="282"/>
  <c r="L125" i="282" s="1"/>
  <c r="O125" i="282" s="1"/>
  <c r="K124" i="282"/>
  <c r="J124" i="282"/>
  <c r="K123" i="282"/>
  <c r="J123" i="282"/>
  <c r="L123" i="282" s="1"/>
  <c r="O123" i="282" s="1"/>
  <c r="K121" i="282"/>
  <c r="K132" i="282" s="1"/>
  <c r="J121" i="282"/>
  <c r="K120" i="282"/>
  <c r="J120" i="282"/>
  <c r="K119" i="282"/>
  <c r="J119" i="282"/>
  <c r="N116" i="282"/>
  <c r="M116" i="282"/>
  <c r="I116" i="282"/>
  <c r="H116" i="282"/>
  <c r="G116" i="282"/>
  <c r="F116" i="282"/>
  <c r="E116" i="282"/>
  <c r="D116" i="282"/>
  <c r="C116" i="282"/>
  <c r="N115" i="282"/>
  <c r="M115" i="282"/>
  <c r="I115" i="282"/>
  <c r="H115" i="282"/>
  <c r="G115" i="282"/>
  <c r="F115" i="282"/>
  <c r="E115" i="282"/>
  <c r="D115" i="282"/>
  <c r="C115" i="282"/>
  <c r="N114" i="282"/>
  <c r="M114" i="282"/>
  <c r="I114" i="282"/>
  <c r="H114" i="282"/>
  <c r="G114" i="282"/>
  <c r="F114" i="282"/>
  <c r="E114" i="282"/>
  <c r="D114" i="282"/>
  <c r="C114" i="282"/>
  <c r="K113" i="282"/>
  <c r="J113" i="282"/>
  <c r="K111" i="282"/>
  <c r="J111" i="282"/>
  <c r="K110" i="282"/>
  <c r="J110" i="282"/>
  <c r="K109" i="282"/>
  <c r="J109" i="282"/>
  <c r="K108" i="282"/>
  <c r="J108" i="282"/>
  <c r="K106" i="282"/>
  <c r="K116" i="282" s="1"/>
  <c r="J106" i="282"/>
  <c r="K105" i="282"/>
  <c r="J105" i="282"/>
  <c r="K104" i="282"/>
  <c r="J104" i="282"/>
  <c r="J114" i="282" s="1"/>
  <c r="N102" i="282"/>
  <c r="M102" i="282"/>
  <c r="I102" i="282"/>
  <c r="H102" i="282"/>
  <c r="G102" i="282"/>
  <c r="F102" i="282"/>
  <c r="E102" i="282"/>
  <c r="D102" i="282"/>
  <c r="C102" i="282"/>
  <c r="N101" i="282"/>
  <c r="M101" i="282"/>
  <c r="I101" i="282"/>
  <c r="H101" i="282"/>
  <c r="G101" i="282"/>
  <c r="F101" i="282"/>
  <c r="E101" i="282"/>
  <c r="D101" i="282"/>
  <c r="C101" i="282"/>
  <c r="N100" i="282"/>
  <c r="M100" i="282"/>
  <c r="I100" i="282"/>
  <c r="H100" i="282"/>
  <c r="G100" i="282"/>
  <c r="F100" i="282"/>
  <c r="E100" i="282"/>
  <c r="D100" i="282"/>
  <c r="C100" i="282"/>
  <c r="K99" i="282"/>
  <c r="J99" i="282"/>
  <c r="K97" i="282"/>
  <c r="J97" i="282"/>
  <c r="K96" i="282"/>
  <c r="J96" i="282"/>
  <c r="L96" i="282" s="1"/>
  <c r="O96" i="282" s="1"/>
  <c r="K95" i="282"/>
  <c r="J95" i="282"/>
  <c r="L95" i="282" s="1"/>
  <c r="O95" i="282" s="1"/>
  <c r="K94" i="282"/>
  <c r="J94" i="282"/>
  <c r="K92" i="282"/>
  <c r="J92" i="282"/>
  <c r="K91" i="282"/>
  <c r="K101" i="282" s="1"/>
  <c r="J91" i="282"/>
  <c r="K90" i="282"/>
  <c r="J90" i="282"/>
  <c r="N88" i="282"/>
  <c r="M88" i="282"/>
  <c r="I88" i="282"/>
  <c r="H88" i="282"/>
  <c r="G88" i="282"/>
  <c r="F88" i="282"/>
  <c r="E88" i="282"/>
  <c r="D88" i="282"/>
  <c r="C88" i="282"/>
  <c r="N87" i="282"/>
  <c r="M87" i="282"/>
  <c r="I87" i="282"/>
  <c r="H87" i="282"/>
  <c r="G87" i="282"/>
  <c r="F87" i="282"/>
  <c r="E87" i="282"/>
  <c r="D87" i="282"/>
  <c r="C87" i="282"/>
  <c r="N86" i="282"/>
  <c r="M86" i="282"/>
  <c r="I86" i="282"/>
  <c r="H86" i="282"/>
  <c r="G86" i="282"/>
  <c r="F86" i="282"/>
  <c r="E86" i="282"/>
  <c r="D86" i="282"/>
  <c r="C86" i="282"/>
  <c r="K85" i="282"/>
  <c r="J85" i="282"/>
  <c r="K83" i="282"/>
  <c r="K495" i="282" s="1"/>
  <c r="J83" i="282"/>
  <c r="J495" i="282" s="1"/>
  <c r="K82" i="282"/>
  <c r="J82" i="282"/>
  <c r="K81" i="282"/>
  <c r="J81" i="282"/>
  <c r="K79" i="282"/>
  <c r="K88" i="282" s="1"/>
  <c r="J79" i="282"/>
  <c r="J88" i="282" s="1"/>
  <c r="K78" i="282"/>
  <c r="J78" i="282"/>
  <c r="K77" i="282"/>
  <c r="J77" i="282"/>
  <c r="N75" i="282"/>
  <c r="M75" i="282"/>
  <c r="I75" i="282"/>
  <c r="H75" i="282"/>
  <c r="G75" i="282"/>
  <c r="F75" i="282"/>
  <c r="E75" i="282"/>
  <c r="D75" i="282"/>
  <c r="C75" i="282"/>
  <c r="N74" i="282"/>
  <c r="M74" i="282"/>
  <c r="I74" i="282"/>
  <c r="H74" i="282"/>
  <c r="G74" i="282"/>
  <c r="F74" i="282"/>
  <c r="E74" i="282"/>
  <c r="D74" i="282"/>
  <c r="C74" i="282"/>
  <c r="N73" i="282"/>
  <c r="M73" i="282"/>
  <c r="I73" i="282"/>
  <c r="H73" i="282"/>
  <c r="G73" i="282"/>
  <c r="F73" i="282"/>
  <c r="E73" i="282"/>
  <c r="D73" i="282"/>
  <c r="C73" i="282"/>
  <c r="K72" i="282"/>
  <c r="J72" i="282"/>
  <c r="L72" i="282" s="1"/>
  <c r="O72" i="282" s="1"/>
  <c r="K71" i="282"/>
  <c r="J71" i="282"/>
  <c r="K69" i="282"/>
  <c r="J69" i="282"/>
  <c r="L69" i="282" s="1"/>
  <c r="O69" i="282" s="1"/>
  <c r="K68" i="282"/>
  <c r="J68" i="282"/>
  <c r="L68" i="282" s="1"/>
  <c r="O68" i="282" s="1"/>
  <c r="K67" i="282"/>
  <c r="J67" i="282"/>
  <c r="L67" i="282" s="1"/>
  <c r="O67" i="282" s="1"/>
  <c r="K65" i="282"/>
  <c r="K75" i="282" s="1"/>
  <c r="J65" i="282"/>
  <c r="J75" i="282" s="1"/>
  <c r="K64" i="282"/>
  <c r="J64" i="282"/>
  <c r="L64" i="282" s="1"/>
  <c r="K63" i="282"/>
  <c r="J63" i="282"/>
  <c r="N61" i="282"/>
  <c r="M61" i="282"/>
  <c r="I61" i="282"/>
  <c r="H61" i="282"/>
  <c r="G61" i="282"/>
  <c r="F61" i="282"/>
  <c r="E61" i="282"/>
  <c r="D61" i="282"/>
  <c r="C61" i="282"/>
  <c r="N60" i="282"/>
  <c r="M60" i="282"/>
  <c r="I60" i="282"/>
  <c r="H60" i="282"/>
  <c r="G60" i="282"/>
  <c r="F60" i="282"/>
  <c r="E60" i="282"/>
  <c r="D60" i="282"/>
  <c r="C60" i="282"/>
  <c r="N59" i="282"/>
  <c r="M59" i="282"/>
  <c r="I59" i="282"/>
  <c r="H59" i="282"/>
  <c r="G59" i="282"/>
  <c r="F59" i="282"/>
  <c r="E59" i="282"/>
  <c r="D59" i="282"/>
  <c r="C59" i="282"/>
  <c r="K58" i="282"/>
  <c r="J58" i="282"/>
  <c r="K56" i="282"/>
  <c r="J56" i="282"/>
  <c r="K55" i="282"/>
  <c r="J55" i="282"/>
  <c r="K54" i="282"/>
  <c r="J54" i="282"/>
  <c r="L54" i="282" s="1"/>
  <c r="O54" i="282" s="1"/>
  <c r="K52" i="282"/>
  <c r="K61" i="282" s="1"/>
  <c r="J52" i="282"/>
  <c r="J61" i="282" s="1"/>
  <c r="K51" i="282"/>
  <c r="J51" i="282"/>
  <c r="L51" i="282" s="1"/>
  <c r="K50" i="282"/>
  <c r="J50" i="282"/>
  <c r="N48" i="282"/>
  <c r="M48" i="282"/>
  <c r="I48" i="282"/>
  <c r="H48" i="282"/>
  <c r="G48" i="282"/>
  <c r="F48" i="282"/>
  <c r="E48" i="282"/>
  <c r="D48" i="282"/>
  <c r="C48" i="282"/>
  <c r="N47" i="282"/>
  <c r="M47" i="282"/>
  <c r="I47" i="282"/>
  <c r="H47" i="282"/>
  <c r="G47" i="282"/>
  <c r="F47" i="282"/>
  <c r="E47" i="282"/>
  <c r="D47" i="282"/>
  <c r="C47" i="282"/>
  <c r="N46" i="282"/>
  <c r="N117" i="282" s="1"/>
  <c r="M46" i="282"/>
  <c r="I46" i="282"/>
  <c r="H46" i="282"/>
  <c r="H117" i="282" s="1"/>
  <c r="G46" i="282"/>
  <c r="F46" i="282"/>
  <c r="F117" i="282" s="1"/>
  <c r="E46" i="282"/>
  <c r="E117" i="282" s="1"/>
  <c r="D46" i="282"/>
  <c r="C46" i="282"/>
  <c r="K45" i="282"/>
  <c r="J45" i="282"/>
  <c r="K43" i="282"/>
  <c r="J43" i="282"/>
  <c r="K42" i="282"/>
  <c r="J42" i="282"/>
  <c r="K41" i="282"/>
  <c r="J41" i="282"/>
  <c r="K39" i="282"/>
  <c r="K48" i="282" s="1"/>
  <c r="J39" i="282"/>
  <c r="J48" i="282" s="1"/>
  <c r="K38" i="282"/>
  <c r="J38" i="282"/>
  <c r="K37" i="282"/>
  <c r="J37" i="282"/>
  <c r="N34" i="282"/>
  <c r="M34" i="282"/>
  <c r="I34" i="282"/>
  <c r="H34" i="282"/>
  <c r="G34" i="282"/>
  <c r="F34" i="282"/>
  <c r="E34" i="282"/>
  <c r="D34" i="282"/>
  <c r="C34" i="282"/>
  <c r="N33" i="282"/>
  <c r="M33" i="282"/>
  <c r="I33" i="282"/>
  <c r="H33" i="282"/>
  <c r="G33" i="282"/>
  <c r="F33" i="282"/>
  <c r="E33" i="282"/>
  <c r="D33" i="282"/>
  <c r="C33" i="282"/>
  <c r="N32" i="282"/>
  <c r="M32" i="282"/>
  <c r="I32" i="282"/>
  <c r="H32" i="282"/>
  <c r="G32" i="282"/>
  <c r="F32" i="282"/>
  <c r="E32" i="282"/>
  <c r="D32" i="282"/>
  <c r="C32" i="282"/>
  <c r="K31" i="282"/>
  <c r="J31" i="282"/>
  <c r="L31" i="282" s="1"/>
  <c r="O31" i="282" s="1"/>
  <c r="K29" i="282"/>
  <c r="K498" i="282" s="1"/>
  <c r="J29" i="282"/>
  <c r="J498" i="282" s="1"/>
  <c r="K28" i="282"/>
  <c r="L28" i="282" s="1"/>
  <c r="J28" i="282"/>
  <c r="K27" i="282"/>
  <c r="J27" i="282"/>
  <c r="L25" i="282"/>
  <c r="K25" i="282"/>
  <c r="J25" i="282"/>
  <c r="K24" i="282"/>
  <c r="K33" i="282" s="1"/>
  <c r="J24" i="282"/>
  <c r="L24" i="282" s="1"/>
  <c r="K23" i="282"/>
  <c r="J23" i="282"/>
  <c r="L23" i="282" s="1"/>
  <c r="O23" i="282" s="1"/>
  <c r="N21" i="282"/>
  <c r="M21" i="282"/>
  <c r="I21" i="282"/>
  <c r="I527" i="282" s="1"/>
  <c r="H21" i="282"/>
  <c r="G21" i="282"/>
  <c r="F21" i="282"/>
  <c r="E21" i="282"/>
  <c r="D21" i="282"/>
  <c r="D527" i="282" s="1"/>
  <c r="C21" i="282"/>
  <c r="C527" i="282" s="1"/>
  <c r="N20" i="282"/>
  <c r="M20" i="282"/>
  <c r="I20" i="282"/>
  <c r="I526" i="282" s="1"/>
  <c r="H20" i="282"/>
  <c r="G20" i="282"/>
  <c r="F20" i="282"/>
  <c r="F526" i="282" s="1"/>
  <c r="E20" i="282"/>
  <c r="D20" i="282"/>
  <c r="D526" i="282" s="1"/>
  <c r="C20" i="282"/>
  <c r="N19" i="282"/>
  <c r="N35" i="282" s="1"/>
  <c r="M19" i="282"/>
  <c r="M35" i="282" s="1"/>
  <c r="I19" i="282"/>
  <c r="I35" i="282" s="1"/>
  <c r="H19" i="282"/>
  <c r="G19" i="282"/>
  <c r="G35" i="282" s="1"/>
  <c r="F19" i="282"/>
  <c r="F35" i="282" s="1"/>
  <c r="E19" i="282"/>
  <c r="E35" i="282" s="1"/>
  <c r="D19" i="282"/>
  <c r="C19" i="282"/>
  <c r="C35" i="282" s="1"/>
  <c r="K18" i="282"/>
  <c r="K516" i="282" s="1"/>
  <c r="J18" i="282"/>
  <c r="J516" i="282" s="1"/>
  <c r="K17" i="282"/>
  <c r="J17" i="282"/>
  <c r="J512" i="282" s="1"/>
  <c r="K16" i="282"/>
  <c r="J16" i="282"/>
  <c r="K15" i="282"/>
  <c r="J15" i="282"/>
  <c r="K13" i="282"/>
  <c r="K494" i="282" s="1"/>
  <c r="J13" i="282"/>
  <c r="J494" i="282" s="1"/>
  <c r="K12" i="282"/>
  <c r="K491" i="282" s="1"/>
  <c r="J12" i="282"/>
  <c r="J491" i="282" s="1"/>
  <c r="K11" i="282"/>
  <c r="K490" i="282" s="1"/>
  <c r="J11" i="282"/>
  <c r="K10" i="282"/>
  <c r="J10" i="282"/>
  <c r="K8" i="282"/>
  <c r="J8" i="282"/>
  <c r="J21" i="282" s="1"/>
  <c r="K7" i="282"/>
  <c r="J7" i="282"/>
  <c r="K6" i="282"/>
  <c r="J6" i="282"/>
  <c r="L27" i="282" l="1"/>
  <c r="O27" i="282" s="1"/>
  <c r="L38" i="282"/>
  <c r="L41" i="282"/>
  <c r="O41" i="282" s="1"/>
  <c r="L43" i="282"/>
  <c r="O43" i="282" s="1"/>
  <c r="J34" i="282"/>
  <c r="K20" i="282"/>
  <c r="K505" i="282"/>
  <c r="K512" i="282"/>
  <c r="D35" i="282"/>
  <c r="H35" i="282"/>
  <c r="C526" i="282"/>
  <c r="M527" i="282"/>
  <c r="K34" i="282"/>
  <c r="J46" i="282"/>
  <c r="L42" i="282"/>
  <c r="O42" i="282" s="1"/>
  <c r="L45" i="282"/>
  <c r="O45" i="282" s="1"/>
  <c r="L34" i="282"/>
  <c r="L55" i="282"/>
  <c r="O55" i="282" s="1"/>
  <c r="L58" i="282"/>
  <c r="O58" i="282" s="1"/>
  <c r="L82" i="282"/>
  <c r="O82" i="282" s="1"/>
  <c r="L109" i="282"/>
  <c r="O109" i="282" s="1"/>
  <c r="L111" i="282"/>
  <c r="O111" i="282" s="1"/>
  <c r="L139" i="282"/>
  <c r="O139" i="282" s="1"/>
  <c r="L166" i="282"/>
  <c r="O166" i="282" s="1"/>
  <c r="L168" i="282"/>
  <c r="O168" i="282" s="1"/>
  <c r="L195" i="282"/>
  <c r="O195" i="282" s="1"/>
  <c r="L197" i="282"/>
  <c r="O197" i="282" s="1"/>
  <c r="L219" i="282"/>
  <c r="O219" i="282" s="1"/>
  <c r="L229" i="282"/>
  <c r="O229" i="282" s="1"/>
  <c r="L240" i="282"/>
  <c r="O240" i="282" s="1"/>
  <c r="L243" i="282"/>
  <c r="O243" i="282" s="1"/>
  <c r="L264" i="282"/>
  <c r="L267" i="282"/>
  <c r="O267" i="282" s="1"/>
  <c r="L272" i="282"/>
  <c r="O272" i="282" s="1"/>
  <c r="I336" i="282"/>
  <c r="L317" i="282"/>
  <c r="O317" i="282" s="1"/>
  <c r="L342" i="282"/>
  <c r="O342" i="282" s="1"/>
  <c r="L344" i="282"/>
  <c r="L348" i="282"/>
  <c r="O348" i="282" s="1"/>
  <c r="F462" i="282"/>
  <c r="L366" i="282"/>
  <c r="L378" i="282"/>
  <c r="O378" i="282" s="1"/>
  <c r="L409" i="282"/>
  <c r="L470" i="282"/>
  <c r="O470" i="282" s="1"/>
  <c r="L475" i="282"/>
  <c r="E525" i="282"/>
  <c r="E531" i="282" s="1"/>
  <c r="G38" i="283"/>
  <c r="K559" i="283"/>
  <c r="M45" i="283"/>
  <c r="O45" i="283" s="1"/>
  <c r="G126" i="283"/>
  <c r="M72" i="283"/>
  <c r="O72" i="283" s="1"/>
  <c r="M98" i="283"/>
  <c r="M105" i="283"/>
  <c r="O105" i="283" s="1"/>
  <c r="C311" i="283"/>
  <c r="H154" i="283"/>
  <c r="L186" i="283"/>
  <c r="L201" i="283"/>
  <c r="L230" i="283"/>
  <c r="M226" i="283"/>
  <c r="O226" i="283" s="1"/>
  <c r="M229" i="283"/>
  <c r="O229" i="283" s="1"/>
  <c r="M240" i="283"/>
  <c r="O240" i="283" s="1"/>
  <c r="M268" i="283"/>
  <c r="M271" i="283"/>
  <c r="O271" i="283" s="1"/>
  <c r="M273" i="283"/>
  <c r="O273" i="283" s="1"/>
  <c r="M276" i="283"/>
  <c r="O276" i="283" s="1"/>
  <c r="M282" i="283"/>
  <c r="M285" i="283"/>
  <c r="O285" i="283" s="1"/>
  <c r="M287" i="283"/>
  <c r="O287" i="283" s="1"/>
  <c r="M290" i="283"/>
  <c r="O290" i="283" s="1"/>
  <c r="M318" i="283"/>
  <c r="O318" i="283" s="1"/>
  <c r="M323" i="283"/>
  <c r="O323" i="283" s="1"/>
  <c r="E357" i="283"/>
  <c r="J357" i="283"/>
  <c r="M347" i="283"/>
  <c r="O347" i="283" s="1"/>
  <c r="M352" i="283"/>
  <c r="O352" i="283" s="1"/>
  <c r="M368" i="283"/>
  <c r="O368" i="283" s="1"/>
  <c r="L386" i="283"/>
  <c r="M381" i="283"/>
  <c r="H386" i="283"/>
  <c r="M393" i="283"/>
  <c r="O393" i="283" s="1"/>
  <c r="M401" i="283"/>
  <c r="O401" i="283" s="1"/>
  <c r="M413" i="283"/>
  <c r="O413" i="283" s="1"/>
  <c r="M418" i="283"/>
  <c r="O418" i="283" s="1"/>
  <c r="M438" i="283"/>
  <c r="O438" i="283" s="1"/>
  <c r="M440" i="283"/>
  <c r="O440" i="283" s="1"/>
  <c r="H458" i="283"/>
  <c r="M454" i="283"/>
  <c r="O454" i="283" s="1"/>
  <c r="M476" i="283"/>
  <c r="O476" i="283" s="1"/>
  <c r="M481" i="283"/>
  <c r="O481" i="283" s="1"/>
  <c r="H501" i="283"/>
  <c r="C569" i="283"/>
  <c r="N569" i="283"/>
  <c r="H248" i="302"/>
  <c r="H264" i="302" s="1"/>
  <c r="K230" i="282"/>
  <c r="L56" i="282"/>
  <c r="O56" i="282" s="1"/>
  <c r="L81" i="282"/>
  <c r="O81" i="282" s="1"/>
  <c r="L108" i="282"/>
  <c r="O108" i="282" s="1"/>
  <c r="L113" i="282"/>
  <c r="O113" i="282" s="1"/>
  <c r="L140" i="282"/>
  <c r="O140" i="282" s="1"/>
  <c r="L162" i="282"/>
  <c r="L169" i="282"/>
  <c r="O169" i="282" s="1"/>
  <c r="K187" i="282"/>
  <c r="L191" i="282"/>
  <c r="L199" i="282"/>
  <c r="O199" i="282" s="1"/>
  <c r="L227" i="282"/>
  <c r="O227" i="282" s="1"/>
  <c r="L239" i="282"/>
  <c r="O239" i="282" s="1"/>
  <c r="L244" i="282"/>
  <c r="O244" i="282" s="1"/>
  <c r="L268" i="282"/>
  <c r="O268" i="282" s="1"/>
  <c r="L270" i="282"/>
  <c r="O270" i="282" s="1"/>
  <c r="C336" i="282"/>
  <c r="G336" i="282"/>
  <c r="L313" i="282"/>
  <c r="O313" i="282" s="1"/>
  <c r="L327" i="282"/>
  <c r="O327" i="282" s="1"/>
  <c r="L345" i="282"/>
  <c r="O345" i="282" s="1"/>
  <c r="L347" i="282"/>
  <c r="O347" i="282" s="1"/>
  <c r="L370" i="282"/>
  <c r="O370" i="282" s="1"/>
  <c r="L374" i="282"/>
  <c r="O374" i="282" s="1"/>
  <c r="L377" i="282"/>
  <c r="O377" i="282" s="1"/>
  <c r="L403" i="282"/>
  <c r="L414" i="282"/>
  <c r="O414" i="282" s="1"/>
  <c r="K430" i="282"/>
  <c r="L466" i="282"/>
  <c r="H511" i="283"/>
  <c r="D559" i="283"/>
  <c r="G560" i="283"/>
  <c r="M41" i="283"/>
  <c r="M49" i="283"/>
  <c r="O49" i="283" s="1"/>
  <c r="M68" i="283"/>
  <c r="M75" i="283"/>
  <c r="O75" i="283" s="1"/>
  <c r="M102" i="283"/>
  <c r="O102" i="283" s="1"/>
  <c r="H530" i="283"/>
  <c r="M153" i="283"/>
  <c r="O153" i="283" s="1"/>
  <c r="H215" i="283"/>
  <c r="L231" i="283"/>
  <c r="M225" i="283"/>
  <c r="O225" i="283" s="1"/>
  <c r="M228" i="283"/>
  <c r="O228" i="283" s="1"/>
  <c r="M243" i="283"/>
  <c r="O243" i="283" s="1"/>
  <c r="M267" i="283"/>
  <c r="M269" i="283"/>
  <c r="M272" i="283"/>
  <c r="O272" i="283" s="1"/>
  <c r="M274" i="283"/>
  <c r="O274" i="283" s="1"/>
  <c r="M281" i="283"/>
  <c r="M283" i="283"/>
  <c r="M286" i="283"/>
  <c r="O286" i="283" s="1"/>
  <c r="M288" i="283"/>
  <c r="O288" i="283" s="1"/>
  <c r="M291" i="283"/>
  <c r="O291" i="283" s="1"/>
  <c r="L310" i="283"/>
  <c r="M321" i="283"/>
  <c r="O321" i="283" s="1"/>
  <c r="C357" i="283"/>
  <c r="G357" i="283"/>
  <c r="N357" i="283"/>
  <c r="M363" i="283"/>
  <c r="O363" i="283" s="1"/>
  <c r="M367" i="283"/>
  <c r="O367" i="283" s="1"/>
  <c r="M385" i="283"/>
  <c r="M402" i="283"/>
  <c r="O402" i="283" s="1"/>
  <c r="L425" i="283"/>
  <c r="M412" i="283"/>
  <c r="O412" i="283" s="1"/>
  <c r="M419" i="283"/>
  <c r="O419" i="283" s="1"/>
  <c r="M437" i="283"/>
  <c r="O437" i="283" s="1"/>
  <c r="M439" i="283"/>
  <c r="O439" i="283" s="1"/>
  <c r="M441" i="283"/>
  <c r="O441" i="283" s="1"/>
  <c r="M451" i="283"/>
  <c r="O451" i="283" s="1"/>
  <c r="M455" i="283"/>
  <c r="O455" i="283" s="1"/>
  <c r="H464" i="283"/>
  <c r="M482" i="283"/>
  <c r="O482" i="283" s="1"/>
  <c r="M483" i="283"/>
  <c r="M498" i="283"/>
  <c r="O498" i="283" s="1"/>
  <c r="J571" i="283"/>
  <c r="K87" i="282"/>
  <c r="K173" i="282"/>
  <c r="J189" i="282"/>
  <c r="K200" i="282"/>
  <c r="K246" i="282"/>
  <c r="K274" i="282"/>
  <c r="K276" i="282"/>
  <c r="J289" i="282"/>
  <c r="J291" i="282"/>
  <c r="J319" i="282"/>
  <c r="J334" i="282"/>
  <c r="J333" i="282"/>
  <c r="K417" i="282"/>
  <c r="J461" i="282"/>
  <c r="K477" i="282"/>
  <c r="L51" i="283"/>
  <c r="L81" i="283"/>
  <c r="L108" i="283"/>
  <c r="L216" i="283"/>
  <c r="L277" i="283"/>
  <c r="L294" i="283"/>
  <c r="M378" i="283"/>
  <c r="L442" i="283"/>
  <c r="E264" i="302"/>
  <c r="G248" i="302"/>
  <c r="G264" i="302" s="1"/>
  <c r="D264" i="302"/>
  <c r="L78" i="282"/>
  <c r="J87" i="282"/>
  <c r="K21" i="282"/>
  <c r="L16" i="282"/>
  <c r="O16" i="282" s="1"/>
  <c r="J483" i="282"/>
  <c r="K483" i="282"/>
  <c r="L7" i="282"/>
  <c r="O7" i="282" s="1"/>
  <c r="J490" i="282"/>
  <c r="J505" i="282"/>
  <c r="G527" i="282"/>
  <c r="K32" i="282"/>
  <c r="J33" i="282"/>
  <c r="K248" i="282"/>
  <c r="K437" i="282"/>
  <c r="L433" i="282"/>
  <c r="E526" i="282"/>
  <c r="N526" i="282"/>
  <c r="H527" i="282"/>
  <c r="L91" i="282"/>
  <c r="J101" i="282"/>
  <c r="L99" i="282"/>
  <c r="O99" i="282" s="1"/>
  <c r="J100" i="282"/>
  <c r="M424" i="283"/>
  <c r="O409" i="283"/>
  <c r="O424" i="283" s="1"/>
  <c r="H553" i="283"/>
  <c r="M422" i="283"/>
  <c r="M423" i="283" s="1"/>
  <c r="K460" i="282"/>
  <c r="O469" i="283"/>
  <c r="G526" i="282"/>
  <c r="H526" i="282"/>
  <c r="E527" i="282"/>
  <c r="N527" i="282"/>
  <c r="L29" i="282"/>
  <c r="K351" i="282"/>
  <c r="K519" i="282"/>
  <c r="L436" i="282"/>
  <c r="J481" i="282"/>
  <c r="K481" i="282"/>
  <c r="F527" i="282"/>
  <c r="J32" i="282"/>
  <c r="K217" i="282"/>
  <c r="L534" i="283"/>
  <c r="M430" i="283"/>
  <c r="C117" i="282"/>
  <c r="I117" i="282"/>
  <c r="J74" i="282"/>
  <c r="J86" i="282"/>
  <c r="L85" i="282"/>
  <c r="O85" i="282" s="1"/>
  <c r="L90" i="282"/>
  <c r="L100" i="282" s="1"/>
  <c r="L94" i="282"/>
  <c r="O94" i="282" s="1"/>
  <c r="L97" i="282"/>
  <c r="O97" i="282" s="1"/>
  <c r="K115" i="282"/>
  <c r="L124" i="282"/>
  <c r="O124" i="282" s="1"/>
  <c r="E292" i="282"/>
  <c r="E293" i="282" s="1"/>
  <c r="N292" i="282"/>
  <c r="N293" i="282" s="1"/>
  <c r="K145" i="282"/>
  <c r="K188" i="282"/>
  <c r="K215" i="282"/>
  <c r="J261" i="282"/>
  <c r="L256" i="282"/>
  <c r="O256" i="282" s="1"/>
  <c r="K275" i="282"/>
  <c r="L284" i="282"/>
  <c r="O284" i="282" s="1"/>
  <c r="L288" i="282"/>
  <c r="O288" i="282" s="1"/>
  <c r="K306" i="282"/>
  <c r="F336" i="282"/>
  <c r="K333" i="282"/>
  <c r="K336" i="282" s="1"/>
  <c r="L326" i="282"/>
  <c r="O326" i="282" s="1"/>
  <c r="L329" i="282"/>
  <c r="O329" i="282" s="1"/>
  <c r="L376" i="282"/>
  <c r="O376" i="282" s="1"/>
  <c r="L389" i="282"/>
  <c r="O389" i="282" s="1"/>
  <c r="L392" i="282"/>
  <c r="O392" i="282" s="1"/>
  <c r="L396" i="282"/>
  <c r="O396" i="282" s="1"/>
  <c r="J417" i="282"/>
  <c r="L420" i="282"/>
  <c r="L427" i="282"/>
  <c r="O427" i="282" s="1"/>
  <c r="K459" i="282"/>
  <c r="J476" i="282"/>
  <c r="J479" i="282"/>
  <c r="J528" i="282" s="1"/>
  <c r="L472" i="282"/>
  <c r="O472" i="282" s="1"/>
  <c r="C525" i="282"/>
  <c r="C531" i="282" s="1"/>
  <c r="I525" i="282"/>
  <c r="I531" i="282" s="1"/>
  <c r="H567" i="283"/>
  <c r="H340" i="283"/>
  <c r="M329" i="283"/>
  <c r="H424" i="283"/>
  <c r="L432" i="283"/>
  <c r="M539" i="283"/>
  <c r="O483" i="283"/>
  <c r="O539" i="283" s="1"/>
  <c r="F569" i="283"/>
  <c r="F571" i="283" s="1"/>
  <c r="J484" i="282"/>
  <c r="K47" i="282"/>
  <c r="D117" i="282"/>
  <c r="M117" i="282"/>
  <c r="K60" i="282"/>
  <c r="K74" i="282"/>
  <c r="K86" i="282"/>
  <c r="K100" i="282"/>
  <c r="J116" i="282"/>
  <c r="L110" i="282"/>
  <c r="O110" i="282" s="1"/>
  <c r="K131" i="282"/>
  <c r="F292" i="282"/>
  <c r="F293" i="282" s="1"/>
  <c r="F463" i="282" s="1"/>
  <c r="F480" i="282" s="1"/>
  <c r="L138" i="282"/>
  <c r="O138" i="282" s="1"/>
  <c r="L142" i="282"/>
  <c r="O142" i="282" s="1"/>
  <c r="L147" i="282"/>
  <c r="L151" i="282"/>
  <c r="O151" i="282" s="1"/>
  <c r="L154" i="282"/>
  <c r="O154" i="282" s="1"/>
  <c r="L163" i="282"/>
  <c r="L167" i="282"/>
  <c r="O167" i="282" s="1"/>
  <c r="L171" i="282"/>
  <c r="O171" i="282" s="1"/>
  <c r="L183" i="282"/>
  <c r="O183" i="282" s="1"/>
  <c r="L192" i="282"/>
  <c r="L196" i="282"/>
  <c r="O196" i="282" s="1"/>
  <c r="L209" i="282"/>
  <c r="O209" i="282" s="1"/>
  <c r="L213" i="282"/>
  <c r="O213" i="282" s="1"/>
  <c r="K231" i="282"/>
  <c r="L224" i="282"/>
  <c r="O224" i="282" s="1"/>
  <c r="L238" i="282"/>
  <c r="O238" i="282" s="1"/>
  <c r="L241" i="282"/>
  <c r="O241" i="282" s="1"/>
  <c r="L269" i="282"/>
  <c r="O269" i="282" s="1"/>
  <c r="L273" i="282"/>
  <c r="O273" i="282" s="1"/>
  <c r="J304" i="282"/>
  <c r="J336" i="282" s="1"/>
  <c r="J352" i="282"/>
  <c r="L346" i="282"/>
  <c r="O346" i="282" s="1"/>
  <c r="L350" i="282"/>
  <c r="O350" i="282" s="1"/>
  <c r="K364" i="282"/>
  <c r="K363" i="282"/>
  <c r="K515" i="282"/>
  <c r="K399" i="282"/>
  <c r="K431" i="282"/>
  <c r="L445" i="282"/>
  <c r="O445" i="282" s="1"/>
  <c r="L449" i="282"/>
  <c r="O449" i="282" s="1"/>
  <c r="L452" i="282"/>
  <c r="O452" i="282" s="1"/>
  <c r="L458" i="282"/>
  <c r="O458" i="282" s="1"/>
  <c r="K476" i="282"/>
  <c r="K479" i="282"/>
  <c r="K528" i="282" s="1"/>
  <c r="D525" i="282"/>
  <c r="D531" i="282" s="1"/>
  <c r="L567" i="283"/>
  <c r="L543" i="283"/>
  <c r="C559" i="283"/>
  <c r="J559" i="283"/>
  <c r="F560" i="283"/>
  <c r="M26" i="283"/>
  <c r="M30" i="283"/>
  <c r="O30" i="283" s="1"/>
  <c r="M34" i="283"/>
  <c r="O34" i="283" s="1"/>
  <c r="L50" i="283"/>
  <c r="F126" i="283"/>
  <c r="F312" i="283" s="1"/>
  <c r="F491" i="283" s="1"/>
  <c r="F510" i="283" s="1"/>
  <c r="M54" i="283"/>
  <c r="M58" i="283"/>
  <c r="O58" i="283" s="1"/>
  <c r="M61" i="283"/>
  <c r="O61" i="283" s="1"/>
  <c r="M84" i="283"/>
  <c r="M88" i="283"/>
  <c r="O88" i="283" s="1"/>
  <c r="M92" i="283"/>
  <c r="O92" i="283" s="1"/>
  <c r="M118" i="283"/>
  <c r="O118" i="283" s="1"/>
  <c r="M122" i="283"/>
  <c r="O122" i="283" s="1"/>
  <c r="M149" i="283"/>
  <c r="O149" i="283" s="1"/>
  <c r="M158" i="283"/>
  <c r="O158" i="283" s="1"/>
  <c r="O170" i="283" s="1"/>
  <c r="M162" i="283"/>
  <c r="O162" i="283" s="1"/>
  <c r="M165" i="283"/>
  <c r="O165" i="283" s="1"/>
  <c r="M169" i="283"/>
  <c r="O169" i="283" s="1"/>
  <c r="M174" i="283"/>
  <c r="M178" i="283"/>
  <c r="O178" i="283" s="1"/>
  <c r="M181" i="283"/>
  <c r="O181" i="283" s="1"/>
  <c r="M190" i="283"/>
  <c r="H201" i="283"/>
  <c r="M194" i="283"/>
  <c r="O194" i="283" s="1"/>
  <c r="M197" i="283"/>
  <c r="O197" i="283" s="1"/>
  <c r="M210" i="283"/>
  <c r="O210" i="283" s="1"/>
  <c r="M214" i="283"/>
  <c r="O214" i="283" s="1"/>
  <c r="L550" i="283"/>
  <c r="L265" i="283"/>
  <c r="H326" i="283"/>
  <c r="M316" i="283"/>
  <c r="O316" i="283" s="1"/>
  <c r="O326" i="283" s="1"/>
  <c r="O408" i="283"/>
  <c r="H292" i="282"/>
  <c r="H293" i="282" s="1"/>
  <c r="L312" i="282"/>
  <c r="O312" i="282" s="1"/>
  <c r="L315" i="282"/>
  <c r="O315" i="282" s="1"/>
  <c r="F525" i="282"/>
  <c r="F531" i="282" s="1"/>
  <c r="L511" i="283"/>
  <c r="H513" i="283"/>
  <c r="H524" i="283"/>
  <c r="I38" i="283"/>
  <c r="N559" i="283"/>
  <c r="I560" i="283"/>
  <c r="H514" i="283"/>
  <c r="I126" i="283"/>
  <c r="M236" i="283"/>
  <c r="H248" i="283"/>
  <c r="H324" i="283"/>
  <c r="M314" i="283"/>
  <c r="O314" i="283" s="1"/>
  <c r="H355" i="283"/>
  <c r="M344" i="283"/>
  <c r="O547" i="283"/>
  <c r="M434" i="283"/>
  <c r="H442" i="283"/>
  <c r="G117" i="282"/>
  <c r="G293" i="282" s="1"/>
  <c r="J47" i="282"/>
  <c r="J59" i="282"/>
  <c r="J60" i="282"/>
  <c r="J73" i="282"/>
  <c r="J506" i="282"/>
  <c r="J102" i="282"/>
  <c r="K114" i="282"/>
  <c r="C292" i="282"/>
  <c r="I292" i="282"/>
  <c r="K144" i="282"/>
  <c r="K159" i="282"/>
  <c r="K175" i="282"/>
  <c r="L223" i="282"/>
  <c r="O223" i="282" s="1"/>
  <c r="L225" i="282"/>
  <c r="O225" i="282" s="1"/>
  <c r="K247" i="282"/>
  <c r="L287" i="282"/>
  <c r="O287" i="282" s="1"/>
  <c r="K305" i="282"/>
  <c r="L300" i="282"/>
  <c r="O300" i="282" s="1"/>
  <c r="D336" i="282"/>
  <c r="M336" i="282"/>
  <c r="K335" i="282"/>
  <c r="K492" i="282"/>
  <c r="K416" i="282"/>
  <c r="J416" i="282"/>
  <c r="L423" i="282"/>
  <c r="O423" i="282" s="1"/>
  <c r="J438" i="282"/>
  <c r="K461" i="282"/>
  <c r="G525" i="282"/>
  <c r="G531" i="282" s="1"/>
  <c r="H566" i="283"/>
  <c r="H232" i="283"/>
  <c r="L324" i="283"/>
  <c r="H425" i="283"/>
  <c r="M410" i="283"/>
  <c r="H488" i="283"/>
  <c r="M468" i="283"/>
  <c r="K46" i="282"/>
  <c r="K59" i="282"/>
  <c r="K73" i="282"/>
  <c r="K506" i="282"/>
  <c r="K102" i="282"/>
  <c r="J115" i="282"/>
  <c r="K130" i="282"/>
  <c r="K292" i="282" s="1"/>
  <c r="K499" i="282"/>
  <c r="D292" i="282"/>
  <c r="M292" i="282"/>
  <c r="K260" i="282"/>
  <c r="K290" i="282"/>
  <c r="E336" i="282"/>
  <c r="N336" i="282"/>
  <c r="K319" i="282"/>
  <c r="J351" i="282"/>
  <c r="K514" i="282"/>
  <c r="M381" i="282"/>
  <c r="M526" i="282" s="1"/>
  <c r="K407" i="282"/>
  <c r="K438" i="282"/>
  <c r="H525" i="282"/>
  <c r="H531" i="282" s="1"/>
  <c r="L566" i="283"/>
  <c r="H520" i="283"/>
  <c r="H525" i="283"/>
  <c r="G559" i="283"/>
  <c r="D560" i="283"/>
  <c r="K560" i="283"/>
  <c r="H529" i="283"/>
  <c r="L52" i="283"/>
  <c r="D126" i="283"/>
  <c r="D312" i="283" s="1"/>
  <c r="K126" i="283"/>
  <c r="M319" i="283"/>
  <c r="O319" i="283" s="1"/>
  <c r="H522" i="283"/>
  <c r="M349" i="283"/>
  <c r="M522" i="283" s="1"/>
  <c r="N571" i="283"/>
  <c r="L522" i="283"/>
  <c r="M360" i="283"/>
  <c r="O360" i="283" s="1"/>
  <c r="I490" i="283"/>
  <c r="F558" i="283"/>
  <c r="F563" i="283" s="1"/>
  <c r="L79" i="283"/>
  <c r="L109" i="283"/>
  <c r="L530" i="283"/>
  <c r="D311" i="283"/>
  <c r="K311" i="283"/>
  <c r="H156" i="283"/>
  <c r="H171" i="283"/>
  <c r="H187" i="283"/>
  <c r="H202" i="283"/>
  <c r="H217" i="283"/>
  <c r="H375" i="283"/>
  <c r="M372" i="283"/>
  <c r="O372" i="283" s="1"/>
  <c r="H373" i="283"/>
  <c r="L533" i="283"/>
  <c r="D490" i="283"/>
  <c r="J490" i="283"/>
  <c r="L387" i="283"/>
  <c r="H443" i="283"/>
  <c r="L464" i="283"/>
  <c r="H487" i="283"/>
  <c r="L506" i="283"/>
  <c r="G558" i="283"/>
  <c r="G563" i="283" s="1"/>
  <c r="E571" i="283"/>
  <c r="L513" i="283"/>
  <c r="L524" i="283"/>
  <c r="C38" i="283"/>
  <c r="J38" i="283"/>
  <c r="J312" i="283" s="1"/>
  <c r="J491" i="283" s="1"/>
  <c r="J510" i="283" s="1"/>
  <c r="F559" i="283"/>
  <c r="C560" i="283"/>
  <c r="J560" i="283"/>
  <c r="L36" i="283"/>
  <c r="L514" i="283"/>
  <c r="M42" i="283"/>
  <c r="M52" i="283" s="1"/>
  <c r="M46" i="283"/>
  <c r="O46" i="283" s="1"/>
  <c r="C126" i="283"/>
  <c r="J126" i="283"/>
  <c r="L65" i="283"/>
  <c r="M69" i="283"/>
  <c r="M73" i="283"/>
  <c r="O73" i="283" s="1"/>
  <c r="H537" i="283"/>
  <c r="L95" i="283"/>
  <c r="M99" i="283"/>
  <c r="M103" i="283"/>
  <c r="O103" i="283" s="1"/>
  <c r="M107" i="283"/>
  <c r="O107" i="283" s="1"/>
  <c r="L123" i="283"/>
  <c r="E311" i="283"/>
  <c r="N311" i="283"/>
  <c r="L156" i="283"/>
  <c r="M150" i="283"/>
  <c r="O150" i="283" s="1"/>
  <c r="L171" i="283"/>
  <c r="L187" i="283"/>
  <c r="L202" i="283"/>
  <c r="L217" i="283"/>
  <c r="M211" i="283"/>
  <c r="O211" i="283" s="1"/>
  <c r="M238" i="283"/>
  <c r="O238" i="283" s="1"/>
  <c r="M241" i="283"/>
  <c r="O241" i="283" s="1"/>
  <c r="M245" i="283"/>
  <c r="O245" i="283" s="1"/>
  <c r="L278" i="283"/>
  <c r="L292" i="283"/>
  <c r="L309" i="283"/>
  <c r="H325" i="283"/>
  <c r="H339" i="283"/>
  <c r="H354" i="283"/>
  <c r="H356" i="283"/>
  <c r="M364" i="283"/>
  <c r="M369" i="283"/>
  <c r="O369" i="283" s="1"/>
  <c r="M380" i="283"/>
  <c r="M382" i="283"/>
  <c r="M384" i="283"/>
  <c r="K490" i="283"/>
  <c r="L406" i="283"/>
  <c r="H431" i="283"/>
  <c r="M428" i="283"/>
  <c r="L443" i="283"/>
  <c r="H457" i="283"/>
  <c r="M446" i="283"/>
  <c r="M450" i="283"/>
  <c r="M456" i="283"/>
  <c r="H465" i="283"/>
  <c r="L487" i="283"/>
  <c r="H507" i="283"/>
  <c r="L80" i="283"/>
  <c r="H124" i="283"/>
  <c r="L142" i="283"/>
  <c r="F311" i="283"/>
  <c r="H172" i="283"/>
  <c r="H188" i="283"/>
  <c r="L246" i="283"/>
  <c r="L325" i="283"/>
  <c r="L339" i="283"/>
  <c r="L354" i="283"/>
  <c r="L356" i="283"/>
  <c r="L373" i="283"/>
  <c r="M361" i="283"/>
  <c r="F490" i="283"/>
  <c r="N490" i="283"/>
  <c r="H547" i="283"/>
  <c r="H423" i="283"/>
  <c r="L431" i="283"/>
  <c r="L457" i="283"/>
  <c r="L465" i="283"/>
  <c r="M467" i="283"/>
  <c r="H489" i="283"/>
  <c r="M474" i="283"/>
  <c r="M484" i="283"/>
  <c r="L507" i="283"/>
  <c r="C558" i="283"/>
  <c r="C563" i="283" s="1"/>
  <c r="J558" i="283"/>
  <c r="J563" i="283" s="1"/>
  <c r="G569" i="283"/>
  <c r="L520" i="283"/>
  <c r="L525" i="283"/>
  <c r="H543" i="283"/>
  <c r="E38" i="283"/>
  <c r="N38" i="283"/>
  <c r="I559" i="283"/>
  <c r="E560" i="283"/>
  <c r="N560" i="283"/>
  <c r="L37" i="283"/>
  <c r="L529" i="283"/>
  <c r="M40" i="283"/>
  <c r="M44" i="283"/>
  <c r="O44" i="283" s="1"/>
  <c r="M47" i="283"/>
  <c r="O47" i="283" s="1"/>
  <c r="E126" i="283"/>
  <c r="N126" i="283"/>
  <c r="M70" i="283"/>
  <c r="M74" i="283"/>
  <c r="O74" i="283" s="1"/>
  <c r="M78" i="283"/>
  <c r="O78" i="283" s="1"/>
  <c r="L93" i="283"/>
  <c r="M97" i="283"/>
  <c r="M101" i="283"/>
  <c r="O101" i="283" s="1"/>
  <c r="M104" i="283"/>
  <c r="O104" i="283" s="1"/>
  <c r="L124" i="283"/>
  <c r="M135" i="283"/>
  <c r="O135" i="283" s="1"/>
  <c r="M139" i="283"/>
  <c r="O139" i="283" s="1"/>
  <c r="G311" i="283"/>
  <c r="G312" i="283" s="1"/>
  <c r="G491" i="283" s="1"/>
  <c r="G510" i="283" s="1"/>
  <c r="L154" i="283"/>
  <c r="M151" i="283"/>
  <c r="O151" i="283" s="1"/>
  <c r="L172" i="283"/>
  <c r="L188" i="283"/>
  <c r="M205" i="283"/>
  <c r="M209" i="283"/>
  <c r="O209" i="283" s="1"/>
  <c r="M212" i="283"/>
  <c r="O212" i="283" s="1"/>
  <c r="M220" i="283"/>
  <c r="O220" i="283" s="1"/>
  <c r="O231" i="283" s="1"/>
  <c r="M239" i="283"/>
  <c r="O239" i="283" s="1"/>
  <c r="L263" i="283"/>
  <c r="L293" i="283"/>
  <c r="M315" i="283"/>
  <c r="M325" i="283" s="1"/>
  <c r="M320" i="283"/>
  <c r="M515" i="283" s="1"/>
  <c r="M328" i="283"/>
  <c r="O328" i="283" s="1"/>
  <c r="M330" i="283"/>
  <c r="O330" i="283" s="1"/>
  <c r="O341" i="283" s="1"/>
  <c r="M335" i="283"/>
  <c r="M528" i="283" s="1"/>
  <c r="M343" i="283"/>
  <c r="O343" i="283" s="1"/>
  <c r="M345" i="283"/>
  <c r="M356" i="283" s="1"/>
  <c r="M359" i="283"/>
  <c r="O359" i="283" s="1"/>
  <c r="M365" i="283"/>
  <c r="O365" i="283" s="1"/>
  <c r="O519" i="283" s="1"/>
  <c r="L546" i="283"/>
  <c r="G490" i="283"/>
  <c r="L404" i="283"/>
  <c r="L423" i="283"/>
  <c r="M427" i="283"/>
  <c r="M445" i="283"/>
  <c r="M452" i="283"/>
  <c r="L489" i="283"/>
  <c r="M501" i="283"/>
  <c r="O501" i="283" s="1"/>
  <c r="D558" i="283"/>
  <c r="D563" i="283" s="1"/>
  <c r="K558" i="283"/>
  <c r="K563" i="283" s="1"/>
  <c r="I569" i="283"/>
  <c r="I571" i="283" s="1"/>
  <c r="M65" i="283"/>
  <c r="O55" i="283"/>
  <c r="O65" i="283" s="1"/>
  <c r="O84" i="283"/>
  <c r="M51" i="283"/>
  <c r="O41" i="283"/>
  <c r="O51" i="283" s="1"/>
  <c r="O68" i="283"/>
  <c r="O70" i="283"/>
  <c r="O97" i="283"/>
  <c r="O108" i="283" s="1"/>
  <c r="M110" i="283"/>
  <c r="O99" i="283"/>
  <c r="O110" i="283" s="1"/>
  <c r="O26" i="283"/>
  <c r="O28" i="283"/>
  <c r="M64" i="283"/>
  <c r="O54" i="283"/>
  <c r="O64" i="283" s="1"/>
  <c r="M66" i="283"/>
  <c r="O56" i="283"/>
  <c r="O66" i="283" s="1"/>
  <c r="O83" i="283"/>
  <c r="M95" i="283"/>
  <c r="O85" i="283"/>
  <c r="O95" i="283" s="1"/>
  <c r="M123" i="283"/>
  <c r="O112" i="283"/>
  <c r="O123" i="283" s="1"/>
  <c r="M50" i="283"/>
  <c r="O40" i="283"/>
  <c r="O50" i="283" s="1"/>
  <c r="O42" i="283"/>
  <c r="O52" i="283" s="1"/>
  <c r="O69" i="283"/>
  <c r="O98" i="283"/>
  <c r="M8" i="283"/>
  <c r="M9" i="283"/>
  <c r="M10" i="283"/>
  <c r="H24" i="283"/>
  <c r="L24" i="283"/>
  <c r="H37" i="283"/>
  <c r="H51" i="283"/>
  <c r="H65" i="283"/>
  <c r="H80" i="283"/>
  <c r="H94" i="283"/>
  <c r="H109" i="283"/>
  <c r="H22" i="283"/>
  <c r="L22" i="283"/>
  <c r="L38" i="283" s="1"/>
  <c r="H35" i="283"/>
  <c r="H52" i="283"/>
  <c r="H66" i="283"/>
  <c r="H81" i="283"/>
  <c r="H95" i="283"/>
  <c r="H110" i="283"/>
  <c r="M132" i="283"/>
  <c r="O132" i="283" s="1"/>
  <c r="M134" i="283"/>
  <c r="O134" i="283" s="1"/>
  <c r="O205" i="283"/>
  <c r="M18" i="283"/>
  <c r="M20" i="283"/>
  <c r="M21" i="283"/>
  <c r="M27" i="283"/>
  <c r="M31" i="283"/>
  <c r="M32" i="283"/>
  <c r="H50" i="283"/>
  <c r="H64" i="283"/>
  <c r="H79" i="283"/>
  <c r="H93" i="283"/>
  <c r="H108" i="283"/>
  <c r="H123" i="283"/>
  <c r="L141" i="283"/>
  <c r="O144" i="283"/>
  <c r="O154" i="283" s="1"/>
  <c r="M154" i="283"/>
  <c r="O174" i="283"/>
  <c r="O190" i="283"/>
  <c r="O201" i="283" s="1"/>
  <c r="M201" i="283"/>
  <c r="M12" i="283"/>
  <c r="M13" i="283"/>
  <c r="M14" i="283"/>
  <c r="M15" i="283"/>
  <c r="M16" i="283"/>
  <c r="H23" i="283"/>
  <c r="L23" i="283"/>
  <c r="M77" i="283"/>
  <c r="M90" i="283"/>
  <c r="M113" i="283"/>
  <c r="M114" i="283"/>
  <c r="M128" i="283"/>
  <c r="M133" i="283"/>
  <c r="O133" i="283" s="1"/>
  <c r="H140" i="283"/>
  <c r="L215" i="283"/>
  <c r="L311" i="283" s="1"/>
  <c r="M231" i="283"/>
  <c r="M250" i="283"/>
  <c r="H263" i="283"/>
  <c r="M252" i="283"/>
  <c r="H265" i="283"/>
  <c r="M278" i="283"/>
  <c r="O268" i="283"/>
  <c r="O278" i="283" s="1"/>
  <c r="M293" i="283"/>
  <c r="O282" i="283"/>
  <c r="O293" i="283" s="1"/>
  <c r="M308" i="283"/>
  <c r="O296" i="283"/>
  <c r="O308" i="283" s="1"/>
  <c r="M310" i="283"/>
  <c r="O298" i="283"/>
  <c r="O310" i="283" s="1"/>
  <c r="M129" i="283"/>
  <c r="M130" i="283"/>
  <c r="M136" i="283"/>
  <c r="M138" i="283"/>
  <c r="M145" i="283"/>
  <c r="M146" i="283"/>
  <c r="M159" i="283"/>
  <c r="M160" i="283"/>
  <c r="M175" i="283"/>
  <c r="M176" i="283"/>
  <c r="M185" i="283"/>
  <c r="M191" i="283"/>
  <c r="M192" i="283"/>
  <c r="M206" i="283"/>
  <c r="M207" i="283"/>
  <c r="M230" i="283"/>
  <c r="O219" i="283"/>
  <c r="O230" i="283" s="1"/>
  <c r="M234" i="283"/>
  <c r="H246" i="283"/>
  <c r="M248" i="283"/>
  <c r="O236" i="283"/>
  <c r="M519" i="283"/>
  <c r="H231" i="283"/>
  <c r="M251" i="283"/>
  <c r="H264" i="283"/>
  <c r="M277" i="283"/>
  <c r="O267" i="283"/>
  <c r="O277" i="283" s="1"/>
  <c r="M279" i="283"/>
  <c r="O269" i="283"/>
  <c r="O279" i="283" s="1"/>
  <c r="M292" i="283"/>
  <c r="O281" i="283"/>
  <c r="O292" i="283" s="1"/>
  <c r="M294" i="283"/>
  <c r="O283" i="283"/>
  <c r="O294" i="283" s="1"/>
  <c r="M309" i="283"/>
  <c r="O297" i="283"/>
  <c r="O309" i="283" s="1"/>
  <c r="P308" i="283" s="1"/>
  <c r="H230" i="283"/>
  <c r="M221" i="283"/>
  <c r="M235" i="283"/>
  <c r="H247" i="283"/>
  <c r="H527" i="283"/>
  <c r="M242" i="283"/>
  <c r="H278" i="283"/>
  <c r="H293" i="283"/>
  <c r="H309" i="283"/>
  <c r="M326" i="283"/>
  <c r="M341" i="283"/>
  <c r="O378" i="283"/>
  <c r="H279" i="283"/>
  <c r="H294" i="283"/>
  <c r="H310" i="283"/>
  <c r="M324" i="283"/>
  <c r="M339" i="283"/>
  <c r="M354" i="283"/>
  <c r="O364" i="283"/>
  <c r="O518" i="283" s="1"/>
  <c r="M518" i="283"/>
  <c r="M373" i="283"/>
  <c r="M540" i="283"/>
  <c r="O382" i="283"/>
  <c r="O540" i="283" s="1"/>
  <c r="M389" i="283"/>
  <c r="M391" i="283"/>
  <c r="H406" i="283"/>
  <c r="H516" i="283"/>
  <c r="M394" i="283"/>
  <c r="O493" i="283"/>
  <c r="H277" i="283"/>
  <c r="H292" i="283"/>
  <c r="H308" i="283"/>
  <c r="O320" i="283"/>
  <c r="O515" i="283" s="1"/>
  <c r="O329" i="283"/>
  <c r="O335" i="283"/>
  <c r="O528" i="283" s="1"/>
  <c r="O345" i="283"/>
  <c r="O356" i="283" s="1"/>
  <c r="O349" i="283"/>
  <c r="O522" i="283" s="1"/>
  <c r="L375" i="283"/>
  <c r="H519" i="283"/>
  <c r="M535" i="283"/>
  <c r="O381" i="283"/>
  <c r="O535" i="283" s="1"/>
  <c r="M546" i="283"/>
  <c r="O385" i="283"/>
  <c r="O546" i="283" s="1"/>
  <c r="O434" i="283"/>
  <c r="O442" i="283" s="1"/>
  <c r="M442" i="283"/>
  <c r="M262" i="283"/>
  <c r="L374" i="283"/>
  <c r="M375" i="283"/>
  <c r="O361" i="283"/>
  <c r="O375" i="283" s="1"/>
  <c r="L519" i="283"/>
  <c r="M533" i="283"/>
  <c r="O380" i="283"/>
  <c r="O533" i="283" s="1"/>
  <c r="O384" i="283"/>
  <c r="O545" i="283" s="1"/>
  <c r="M390" i="283"/>
  <c r="E517" i="283"/>
  <c r="E404" i="283"/>
  <c r="E490" i="283" s="1"/>
  <c r="E405" i="283"/>
  <c r="H395" i="283"/>
  <c r="O460" i="283"/>
  <c r="M568" i="283"/>
  <c r="O496" i="283"/>
  <c r="L568" i="283"/>
  <c r="L569" i="283" s="1"/>
  <c r="L571" i="283" s="1"/>
  <c r="L509" i="283"/>
  <c r="L561" i="283" s="1"/>
  <c r="M435" i="283"/>
  <c r="M461" i="283"/>
  <c r="M463" i="283"/>
  <c r="M494" i="283"/>
  <c r="M495" i="283"/>
  <c r="M499" i="283"/>
  <c r="H505" i="283"/>
  <c r="E557" i="283"/>
  <c r="K571" i="283"/>
  <c r="L547" i="283"/>
  <c r="H556" i="283"/>
  <c r="M504" i="283"/>
  <c r="E509" i="283"/>
  <c r="E561" i="283" s="1"/>
  <c r="I558" i="283"/>
  <c r="I563" i="283" s="1"/>
  <c r="N558" i="283"/>
  <c r="N563" i="283" s="1"/>
  <c r="C571" i="283"/>
  <c r="G571" i="283"/>
  <c r="M547" i="283"/>
  <c r="H568" i="283"/>
  <c r="H569" i="283" s="1"/>
  <c r="H571" i="283" s="1"/>
  <c r="E507" i="283"/>
  <c r="E559" i="283" s="1"/>
  <c r="E525" i="283"/>
  <c r="H555" i="283"/>
  <c r="M503" i="283"/>
  <c r="E506" i="283"/>
  <c r="D571" i="283"/>
  <c r="L60" i="282"/>
  <c r="O51" i="282"/>
  <c r="O60" i="282" s="1"/>
  <c r="L101" i="282"/>
  <c r="O91" i="282"/>
  <c r="O101" i="282" s="1"/>
  <c r="L47" i="282"/>
  <c r="O38" i="282"/>
  <c r="O47" i="282" s="1"/>
  <c r="L74" i="282"/>
  <c r="O64" i="282"/>
  <c r="O74" i="282" s="1"/>
  <c r="O78" i="282"/>
  <c r="O90" i="282"/>
  <c r="O100" i="282" s="1"/>
  <c r="J20" i="282"/>
  <c r="K484" i="282"/>
  <c r="L32" i="282"/>
  <c r="L6" i="282"/>
  <c r="L8" i="282"/>
  <c r="L11" i="282"/>
  <c r="L13" i="282"/>
  <c r="L18" i="282"/>
  <c r="L484" i="282"/>
  <c r="L120" i="282"/>
  <c r="J131" i="282"/>
  <c r="J507" i="282"/>
  <c r="L128" i="282"/>
  <c r="L135" i="282"/>
  <c r="J144" i="282"/>
  <c r="L158" i="282"/>
  <c r="O147" i="282"/>
  <c r="O158" i="282" s="1"/>
  <c r="L174" i="282"/>
  <c r="O163" i="282"/>
  <c r="O174" i="282" s="1"/>
  <c r="L187" i="282"/>
  <c r="O177" i="282"/>
  <c r="O187" i="282" s="1"/>
  <c r="L200" i="282"/>
  <c r="O191" i="282"/>
  <c r="O200" i="282" s="1"/>
  <c r="L10" i="282"/>
  <c r="L12" i="282"/>
  <c r="L15" i="282"/>
  <c r="L17" i="282"/>
  <c r="J19" i="282"/>
  <c r="J35" i="282" s="1"/>
  <c r="O24" i="282"/>
  <c r="O25" i="282"/>
  <c r="O34" i="282" s="1"/>
  <c r="O28" i="282"/>
  <c r="O484" i="282" s="1"/>
  <c r="O29" i="282"/>
  <c r="O498" i="282" s="1"/>
  <c r="L37" i="282"/>
  <c r="L39" i="282"/>
  <c r="L50" i="282"/>
  <c r="L52" i="282"/>
  <c r="L63" i="282"/>
  <c r="L65" i="282"/>
  <c r="L71" i="282"/>
  <c r="L77" i="282"/>
  <c r="L79" i="282"/>
  <c r="L83" i="282"/>
  <c r="L87" i="282" s="1"/>
  <c r="L92" i="282"/>
  <c r="L104" i="282"/>
  <c r="L105" i="282"/>
  <c r="L106" i="282"/>
  <c r="K19" i="282"/>
  <c r="K35" i="282" s="1"/>
  <c r="L119" i="282"/>
  <c r="J130" i="282"/>
  <c r="J132" i="282"/>
  <c r="L121" i="282"/>
  <c r="J499" i="282"/>
  <c r="L126" i="282"/>
  <c r="L134" i="282"/>
  <c r="J143" i="282"/>
  <c r="J145" i="282"/>
  <c r="L136" i="282"/>
  <c r="L159" i="282"/>
  <c r="O148" i="282"/>
  <c r="O159" i="282" s="1"/>
  <c r="O162" i="282"/>
  <c r="L188" i="282"/>
  <c r="O178" i="282"/>
  <c r="O188" i="282" s="1"/>
  <c r="L201" i="282"/>
  <c r="O192" i="282"/>
  <c r="O201" i="282" s="1"/>
  <c r="J158" i="282"/>
  <c r="J173" i="282"/>
  <c r="J187" i="282"/>
  <c r="J200" i="282"/>
  <c r="L205" i="282"/>
  <c r="J216" i="282"/>
  <c r="L210" i="282"/>
  <c r="O210" i="282" s="1"/>
  <c r="J232" i="282"/>
  <c r="L221" i="282"/>
  <c r="J496" i="282"/>
  <c r="L226" i="282"/>
  <c r="J230" i="282"/>
  <c r="L260" i="282"/>
  <c r="O251" i="282"/>
  <c r="O260" i="282" s="1"/>
  <c r="L220" i="282"/>
  <c r="J231" i="282"/>
  <c r="J246" i="282"/>
  <c r="L234" i="282"/>
  <c r="J248" i="282"/>
  <c r="L236" i="282"/>
  <c r="L489" i="282"/>
  <c r="O344" i="282"/>
  <c r="O489" i="282" s="1"/>
  <c r="J159" i="282"/>
  <c r="J174" i="282"/>
  <c r="J188" i="282"/>
  <c r="J201" i="282"/>
  <c r="L290" i="282"/>
  <c r="O279" i="282"/>
  <c r="O290" i="282" s="1"/>
  <c r="L149" i="282"/>
  <c r="L164" i="282"/>
  <c r="L172" i="282"/>
  <c r="L173" i="282" s="1"/>
  <c r="L179" i="282"/>
  <c r="L193" i="282"/>
  <c r="O204" i="282"/>
  <c r="J217" i="282"/>
  <c r="L206" i="282"/>
  <c r="L211" i="282"/>
  <c r="O211" i="282" s="1"/>
  <c r="J215" i="282"/>
  <c r="L235" i="282"/>
  <c r="J247" i="282"/>
  <c r="J518" i="282"/>
  <c r="L245" i="282"/>
  <c r="L275" i="282"/>
  <c r="O264" i="282"/>
  <c r="O275" i="282" s="1"/>
  <c r="L295" i="282"/>
  <c r="L296" i="282"/>
  <c r="L297" i="282"/>
  <c r="L301" i="282"/>
  <c r="L308" i="282"/>
  <c r="L309" i="282"/>
  <c r="L310" i="282"/>
  <c r="L314" i="282"/>
  <c r="L322" i="282"/>
  <c r="L323" i="282"/>
  <c r="L324" i="282"/>
  <c r="L328" i="282"/>
  <c r="J364" i="282"/>
  <c r="L356" i="282"/>
  <c r="J398" i="282"/>
  <c r="L384" i="282"/>
  <c r="J400" i="282"/>
  <c r="L386" i="282"/>
  <c r="O403" i="282"/>
  <c r="L417" i="282"/>
  <c r="L519" i="282"/>
  <c r="O436" i="282"/>
  <c r="O519" i="282" s="1"/>
  <c r="J260" i="282"/>
  <c r="J275" i="282"/>
  <c r="J290" i="282"/>
  <c r="L338" i="282"/>
  <c r="L339" i="282"/>
  <c r="L340" i="282"/>
  <c r="L343" i="282"/>
  <c r="J509" i="282"/>
  <c r="L360" i="282"/>
  <c r="J363" i="282"/>
  <c r="L367" i="282"/>
  <c r="K381" i="282"/>
  <c r="K526" i="282" s="1"/>
  <c r="K487" i="282"/>
  <c r="L372" i="282"/>
  <c r="J515" i="282"/>
  <c r="L379" i="282"/>
  <c r="O420" i="282"/>
  <c r="J520" i="282"/>
  <c r="L429" i="282"/>
  <c r="J431" i="282"/>
  <c r="J459" i="282"/>
  <c r="L440" i="282"/>
  <c r="L250" i="282"/>
  <c r="L252" i="282"/>
  <c r="L263" i="282"/>
  <c r="L265" i="282"/>
  <c r="L278" i="282"/>
  <c r="L280" i="282"/>
  <c r="J335" i="282"/>
  <c r="J492" i="282"/>
  <c r="L331" i="282"/>
  <c r="O331" i="282" s="1"/>
  <c r="J504" i="282"/>
  <c r="L359" i="282"/>
  <c r="C462" i="282"/>
  <c r="G462" i="282"/>
  <c r="J380" i="282"/>
  <c r="J382" i="282"/>
  <c r="K380" i="282"/>
  <c r="J399" i="282"/>
  <c r="L385" i="282"/>
  <c r="J521" i="282"/>
  <c r="L397" i="282"/>
  <c r="J406" i="282"/>
  <c r="L402" i="282"/>
  <c r="J503" i="282"/>
  <c r="L405" i="282"/>
  <c r="J407" i="282"/>
  <c r="O417" i="282"/>
  <c r="O433" i="282"/>
  <c r="L437" i="282"/>
  <c r="L438" i="282"/>
  <c r="J489" i="282"/>
  <c r="J502" i="282"/>
  <c r="L358" i="282"/>
  <c r="J514" i="282"/>
  <c r="L362" i="282"/>
  <c r="O366" i="282"/>
  <c r="L368" i="282"/>
  <c r="K382" i="282"/>
  <c r="K527" i="282" s="1"/>
  <c r="K486" i="282"/>
  <c r="L371" i="282"/>
  <c r="J381" i="282"/>
  <c r="L373" i="282"/>
  <c r="O373" i="282" s="1"/>
  <c r="O409" i="282"/>
  <c r="O416" i="282" s="1"/>
  <c r="L416" i="282"/>
  <c r="J430" i="282"/>
  <c r="L419" i="282"/>
  <c r="J511" i="282"/>
  <c r="L424" i="282"/>
  <c r="J513" i="282"/>
  <c r="L426" i="282"/>
  <c r="J460" i="282"/>
  <c r="L441" i="282"/>
  <c r="K489" i="282"/>
  <c r="D462" i="282"/>
  <c r="H462" i="282"/>
  <c r="M380" i="282"/>
  <c r="M462" i="282" s="1"/>
  <c r="L442" i="282"/>
  <c r="L446" i="282"/>
  <c r="L455" i="282"/>
  <c r="L456" i="282"/>
  <c r="O466" i="282"/>
  <c r="E462" i="282"/>
  <c r="I462" i="282"/>
  <c r="J486" i="282"/>
  <c r="L524" i="282"/>
  <c r="O475" i="282"/>
  <c r="O524" i="282" s="1"/>
  <c r="K462" i="282"/>
  <c r="M525" i="282"/>
  <c r="M531" i="282" s="1"/>
  <c r="J477" i="282"/>
  <c r="J524" i="282"/>
  <c r="L465" i="282"/>
  <c r="L467" i="282"/>
  <c r="L468" i="282"/>
  <c r="L471" i="282"/>
  <c r="L474" i="282"/>
  <c r="O323" i="244"/>
  <c r="P323" i="244" s="1"/>
  <c r="L363" i="282" l="1"/>
  <c r="L380" i="282"/>
  <c r="M374" i="283"/>
  <c r="O109" i="283"/>
  <c r="L490" i="283"/>
  <c r="O374" i="283"/>
  <c r="P373" i="283" s="1"/>
  <c r="G463" i="282"/>
  <c r="G480" i="282" s="1"/>
  <c r="M355" i="283"/>
  <c r="D293" i="282"/>
  <c r="C293" i="282"/>
  <c r="M109" i="283"/>
  <c r="M108" i="283"/>
  <c r="M386" i="283"/>
  <c r="M94" i="283"/>
  <c r="N463" i="282"/>
  <c r="N480" i="282" s="1"/>
  <c r="L431" i="282"/>
  <c r="K312" i="283"/>
  <c r="K491" i="283" s="1"/>
  <c r="K510" i="283" s="1"/>
  <c r="K117" i="282"/>
  <c r="K293" i="282" s="1"/>
  <c r="K463" i="282" s="1"/>
  <c r="K480" i="282" s="1"/>
  <c r="J117" i="282"/>
  <c r="D491" i="283"/>
  <c r="D510" i="283" s="1"/>
  <c r="M293" i="282"/>
  <c r="I293" i="282"/>
  <c r="M463" i="282"/>
  <c r="M480" i="282" s="1"/>
  <c r="J525" i="282"/>
  <c r="J531" i="282" s="1"/>
  <c r="M170" i="283"/>
  <c r="O215" i="283"/>
  <c r="O80" i="283"/>
  <c r="M457" i="283"/>
  <c r="O445" i="283"/>
  <c r="E312" i="283"/>
  <c r="M542" i="283"/>
  <c r="O450" i="283"/>
  <c r="O542" i="283" s="1"/>
  <c r="I312" i="283"/>
  <c r="I491" i="283" s="1"/>
  <c r="I510" i="283" s="1"/>
  <c r="M541" i="283"/>
  <c r="O484" i="283"/>
  <c r="O541" i="283" s="1"/>
  <c r="L558" i="283"/>
  <c r="L563" i="283" s="1"/>
  <c r="L477" i="282"/>
  <c r="H463" i="282"/>
  <c r="H480" i="282" s="1"/>
  <c r="E558" i="283"/>
  <c r="E563" i="283" s="1"/>
  <c r="O315" i="283"/>
  <c r="M387" i="283"/>
  <c r="O248" i="283"/>
  <c r="M79" i="283"/>
  <c r="M80" i="283"/>
  <c r="M431" i="283"/>
  <c r="O427" i="283"/>
  <c r="M458" i="283"/>
  <c r="O446" i="283"/>
  <c r="M425" i="283"/>
  <c r="O410" i="283"/>
  <c r="L126" i="283"/>
  <c r="L498" i="282"/>
  <c r="M545" i="283"/>
  <c r="O344" i="283"/>
  <c r="O354" i="283"/>
  <c r="M37" i="283"/>
  <c r="M531" i="283"/>
  <c r="O474" i="283"/>
  <c r="O531" i="283" s="1"/>
  <c r="C312" i="283"/>
  <c r="C491" i="283" s="1"/>
  <c r="C510" i="283" s="1"/>
  <c r="L357" i="283"/>
  <c r="M340" i="283"/>
  <c r="D463" i="282"/>
  <c r="D480" i="282" s="1"/>
  <c r="M534" i="283"/>
  <c r="O430" i="283"/>
  <c r="O534" i="283" s="1"/>
  <c r="I463" i="282"/>
  <c r="I480" i="282" s="1"/>
  <c r="O438" i="282"/>
  <c r="L230" i="282"/>
  <c r="O373" i="283"/>
  <c r="H38" i="283"/>
  <c r="P108" i="283"/>
  <c r="O37" i="283"/>
  <c r="M432" i="283"/>
  <c r="O428" i="283"/>
  <c r="O432" i="283" s="1"/>
  <c r="O489" i="283"/>
  <c r="C463" i="282"/>
  <c r="C480" i="282" s="1"/>
  <c r="M553" i="283"/>
  <c r="O422" i="283"/>
  <c r="O553" i="283" s="1"/>
  <c r="E463" i="282"/>
  <c r="E480" i="282" s="1"/>
  <c r="K525" i="282"/>
  <c r="K531" i="282" s="1"/>
  <c r="O437" i="282"/>
  <c r="J527" i="282"/>
  <c r="E491" i="283"/>
  <c r="E510" i="283" s="1"/>
  <c r="M215" i="283"/>
  <c r="M544" i="283"/>
  <c r="O452" i="283"/>
  <c r="O544" i="283" s="1"/>
  <c r="N312" i="283"/>
  <c r="N491" i="283" s="1"/>
  <c r="N510" i="283" s="1"/>
  <c r="M487" i="283"/>
  <c r="O467" i="283"/>
  <c r="O487" i="283" s="1"/>
  <c r="M552" i="283"/>
  <c r="O456" i="283"/>
  <c r="O552" i="283" s="1"/>
  <c r="M488" i="283"/>
  <c r="O468" i="283"/>
  <c r="O488" i="283" s="1"/>
  <c r="H357" i="283"/>
  <c r="M489" i="283"/>
  <c r="L33" i="282"/>
  <c r="H557" i="283"/>
  <c r="M505" i="283"/>
  <c r="M506" i="283" s="1"/>
  <c r="M551" i="283"/>
  <c r="O463" i="283"/>
  <c r="O551" i="283" s="1"/>
  <c r="O391" i="283"/>
  <c r="O406" i="283" s="1"/>
  <c r="M406" i="283"/>
  <c r="M187" i="283"/>
  <c r="O175" i="283"/>
  <c r="O187" i="283" s="1"/>
  <c r="M155" i="283"/>
  <c r="O145" i="283"/>
  <c r="O155" i="283" s="1"/>
  <c r="M141" i="283"/>
  <c r="O129" i="283"/>
  <c r="H311" i="283"/>
  <c r="M124" i="283"/>
  <c r="O113" i="283"/>
  <c r="O124" i="283" s="1"/>
  <c r="M520" i="283"/>
  <c r="O13" i="283"/>
  <c r="O520" i="283" s="1"/>
  <c r="M555" i="283"/>
  <c r="O503" i="283"/>
  <c r="O555" i="283" s="1"/>
  <c r="H509" i="283"/>
  <c r="H561" i="283" s="1"/>
  <c r="M523" i="283"/>
  <c r="O499" i="283"/>
  <c r="O523" i="283" s="1"/>
  <c r="M465" i="283"/>
  <c r="O461" i="283"/>
  <c r="O340" i="283"/>
  <c r="P339" i="283" s="1"/>
  <c r="M516" i="283"/>
  <c r="O394" i="283"/>
  <c r="O516" i="283" s="1"/>
  <c r="O389" i="283"/>
  <c r="M357" i="283"/>
  <c r="M527" i="283"/>
  <c r="O242" i="283"/>
  <c r="O527" i="283" s="1"/>
  <c r="M232" i="283"/>
  <c r="O221" i="283"/>
  <c r="O232" i="283" s="1"/>
  <c r="M202" i="283"/>
  <c r="O191" i="283"/>
  <c r="O202" i="283" s="1"/>
  <c r="O160" i="283"/>
  <c r="O172" i="283" s="1"/>
  <c r="M172" i="283"/>
  <c r="M538" i="283"/>
  <c r="O138" i="283"/>
  <c r="O538" i="283" s="1"/>
  <c r="P292" i="283"/>
  <c r="M526" i="283"/>
  <c r="O90" i="283"/>
  <c r="O526" i="283" s="1"/>
  <c r="M525" i="283"/>
  <c r="O16" i="283"/>
  <c r="O525" i="283" s="1"/>
  <c r="M513" i="283"/>
  <c r="O12" i="283"/>
  <c r="O513" i="283" s="1"/>
  <c r="M36" i="283"/>
  <c r="O27" i="283"/>
  <c r="L312" i="283"/>
  <c r="L491" i="283" s="1"/>
  <c r="L510" i="283" s="1"/>
  <c r="M567" i="283"/>
  <c r="M24" i="283"/>
  <c r="O10" i="283"/>
  <c r="M93" i="283"/>
  <c r="O94" i="283"/>
  <c r="P93" i="283" s="1"/>
  <c r="M508" i="283"/>
  <c r="O495" i="283"/>
  <c r="O508" i="283" s="1"/>
  <c r="O568" i="283"/>
  <c r="O386" i="283"/>
  <c r="M549" i="283"/>
  <c r="O185" i="283"/>
  <c r="O549" i="283" s="1"/>
  <c r="P230" i="283"/>
  <c r="M537" i="283"/>
  <c r="O77" i="283"/>
  <c r="O537" i="283" s="1"/>
  <c r="M186" i="283"/>
  <c r="H126" i="283"/>
  <c r="H312" i="283" s="1"/>
  <c r="L560" i="283"/>
  <c r="M566" i="283"/>
  <c r="M569" i="283" s="1"/>
  <c r="O9" i="283"/>
  <c r="M23" i="283"/>
  <c r="P50" i="283"/>
  <c r="M443" i="283"/>
  <c r="O435" i="283"/>
  <c r="O443" i="283" s="1"/>
  <c r="H517" i="283"/>
  <c r="H558" i="283" s="1"/>
  <c r="H563" i="283" s="1"/>
  <c r="M395" i="283"/>
  <c r="M404" i="283" s="1"/>
  <c r="H405" i="283"/>
  <c r="H404" i="283"/>
  <c r="H490" i="283" s="1"/>
  <c r="M217" i="283"/>
  <c r="O207" i="283"/>
  <c r="O217" i="283" s="1"/>
  <c r="M171" i="283"/>
  <c r="O159" i="283"/>
  <c r="O171" i="283" s="1"/>
  <c r="P170" i="283" s="1"/>
  <c r="M530" i="283"/>
  <c r="O136" i="283"/>
  <c r="O530" i="283" s="1"/>
  <c r="M265" i="283"/>
  <c r="O252" i="283"/>
  <c r="O128" i="283"/>
  <c r="M140" i="283"/>
  <c r="M524" i="283"/>
  <c r="O15" i="283"/>
  <c r="O524" i="283" s="1"/>
  <c r="M548" i="283"/>
  <c r="O21" i="283"/>
  <c r="O548" i="283" s="1"/>
  <c r="H506" i="283"/>
  <c r="M556" i="283"/>
  <c r="O504" i="283"/>
  <c r="O556" i="283" s="1"/>
  <c r="M507" i="283"/>
  <c r="O494" i="283"/>
  <c r="O507" i="283" s="1"/>
  <c r="O390" i="283"/>
  <c r="O355" i="283"/>
  <c r="P354" i="283" s="1"/>
  <c r="O325" i="283"/>
  <c r="P324" i="283" s="1"/>
  <c r="O387" i="283"/>
  <c r="O324" i="283"/>
  <c r="M264" i="283"/>
  <c r="O251" i="283"/>
  <c r="O264" i="283" s="1"/>
  <c r="O339" i="283"/>
  <c r="M246" i="283"/>
  <c r="O234" i="283"/>
  <c r="O206" i="283"/>
  <c r="O216" i="283" s="1"/>
  <c r="P215" i="283" s="1"/>
  <c r="M216" i="283"/>
  <c r="O176" i="283"/>
  <c r="O188" i="283" s="1"/>
  <c r="M188" i="283"/>
  <c r="O146" i="283"/>
  <c r="O156" i="283" s="1"/>
  <c r="M156" i="283"/>
  <c r="O130" i="283"/>
  <c r="O142" i="283" s="1"/>
  <c r="M142" i="283"/>
  <c r="P277" i="283"/>
  <c r="M125" i="283"/>
  <c r="O114" i="283"/>
  <c r="O125" i="283" s="1"/>
  <c r="L559" i="283"/>
  <c r="M521" i="283"/>
  <c r="O14" i="283"/>
  <c r="O521" i="283" s="1"/>
  <c r="O186" i="283"/>
  <c r="M529" i="283"/>
  <c r="O32" i="283"/>
  <c r="O529" i="283" s="1"/>
  <c r="M543" i="283"/>
  <c r="O20" i="283"/>
  <c r="O543" i="283" s="1"/>
  <c r="H560" i="283"/>
  <c r="M511" i="283"/>
  <c r="M22" i="283"/>
  <c r="O8" i="283"/>
  <c r="M126" i="283"/>
  <c r="M81" i="283"/>
  <c r="P64" i="283"/>
  <c r="M464" i="283"/>
  <c r="M550" i="283"/>
  <c r="O262" i="283"/>
  <c r="O550" i="283" s="1"/>
  <c r="O235" i="283"/>
  <c r="M247" i="283"/>
  <c r="O192" i="283"/>
  <c r="O203" i="283" s="1"/>
  <c r="M203" i="283"/>
  <c r="M263" i="283"/>
  <c r="O250" i="283"/>
  <c r="H559" i="283"/>
  <c r="M514" i="283"/>
  <c r="O31" i="283"/>
  <c r="O514" i="283" s="1"/>
  <c r="M536" i="283"/>
  <c r="O18" i="283"/>
  <c r="O536" i="283" s="1"/>
  <c r="O93" i="283"/>
  <c r="M35" i="283"/>
  <c r="O79" i="283"/>
  <c r="O474" i="282"/>
  <c r="O523" i="282" s="1"/>
  <c r="L523" i="282"/>
  <c r="L521" i="282"/>
  <c r="O397" i="282"/>
  <c r="O521" i="282" s="1"/>
  <c r="O265" i="282"/>
  <c r="O276" i="282" s="1"/>
  <c r="L276" i="282"/>
  <c r="L459" i="282"/>
  <c r="O440" i="282"/>
  <c r="L520" i="282"/>
  <c r="O429" i="282"/>
  <c r="O520" i="282" s="1"/>
  <c r="L515" i="282"/>
  <c r="O379" i="282"/>
  <c r="O515" i="282" s="1"/>
  <c r="L398" i="282"/>
  <c r="O384" i="282"/>
  <c r="O398" i="282" s="1"/>
  <c r="L492" i="282"/>
  <c r="O328" i="282"/>
  <c r="O492" i="282" s="1"/>
  <c r="L160" i="282"/>
  <c r="O149" i="282"/>
  <c r="O160" i="282" s="1"/>
  <c r="P158" i="282" s="1"/>
  <c r="L215" i="282"/>
  <c r="L478" i="282"/>
  <c r="O467" i="282"/>
  <c r="O478" i="282" s="1"/>
  <c r="L500" i="282"/>
  <c r="O446" i="282"/>
  <c r="O500" i="282" s="1"/>
  <c r="L513" i="282"/>
  <c r="O426" i="282"/>
  <c r="O513" i="282" s="1"/>
  <c r="L430" i="282"/>
  <c r="O419" i="282"/>
  <c r="L514" i="282"/>
  <c r="O362" i="282"/>
  <c r="O514" i="282" s="1"/>
  <c r="L504" i="282"/>
  <c r="O359" i="282"/>
  <c r="O504" i="282" s="1"/>
  <c r="O263" i="282"/>
  <c r="O274" i="282" s="1"/>
  <c r="L274" i="282"/>
  <c r="L381" i="282"/>
  <c r="O367" i="282"/>
  <c r="L351" i="282"/>
  <c r="O338" i="282"/>
  <c r="L335" i="282"/>
  <c r="O324" i="282"/>
  <c r="O335" i="282" s="1"/>
  <c r="L320" i="282"/>
  <c r="O310" i="282"/>
  <c r="O320" i="282" s="1"/>
  <c r="L306" i="282"/>
  <c r="O297" i="282"/>
  <c r="O306" i="282" s="1"/>
  <c r="P274" i="282"/>
  <c r="L217" i="282"/>
  <c r="O206" i="282"/>
  <c r="O217" i="282" s="1"/>
  <c r="L189" i="282"/>
  <c r="O179" i="282"/>
  <c r="O189" i="282" s="1"/>
  <c r="L130" i="282"/>
  <c r="O119" i="282"/>
  <c r="L115" i="282"/>
  <c r="O105" i="282"/>
  <c r="O115" i="282" s="1"/>
  <c r="O79" i="282"/>
  <c r="O88" i="282" s="1"/>
  <c r="L88" i="282"/>
  <c r="O63" i="282"/>
  <c r="L73" i="282"/>
  <c r="O37" i="282"/>
  <c r="O46" i="282" s="1"/>
  <c r="L46" i="282"/>
  <c r="O33" i="282"/>
  <c r="P32" i="282" s="1"/>
  <c r="L491" i="282"/>
  <c r="O12" i="282"/>
  <c r="O491" i="282" s="1"/>
  <c r="L144" i="282"/>
  <c r="O135" i="282"/>
  <c r="O144" i="282" s="1"/>
  <c r="L131" i="282"/>
  <c r="O120" i="282"/>
  <c r="L490" i="282"/>
  <c r="O11" i="282"/>
  <c r="O490" i="282" s="1"/>
  <c r="L406" i="282"/>
  <c r="O402" i="282"/>
  <c r="L399" i="282"/>
  <c r="O385" i="282"/>
  <c r="O399" i="282" s="1"/>
  <c r="O252" i="282"/>
  <c r="O261" i="282" s="1"/>
  <c r="P259" i="282" s="1"/>
  <c r="L261" i="282"/>
  <c r="L487" i="282"/>
  <c r="O372" i="282"/>
  <c r="O487" i="282" s="1"/>
  <c r="L488" i="282"/>
  <c r="O343" i="282"/>
  <c r="O488" i="282" s="1"/>
  <c r="L334" i="282"/>
  <c r="O323" i="282"/>
  <c r="L305" i="282"/>
  <c r="O296" i="282"/>
  <c r="O236" i="282"/>
  <c r="L248" i="282"/>
  <c r="P187" i="282"/>
  <c r="L114" i="282"/>
  <c r="O104" i="282"/>
  <c r="O114" i="282" s="1"/>
  <c r="O77" i="282"/>
  <c r="L86" i="282"/>
  <c r="O52" i="282"/>
  <c r="O61" i="282" s="1"/>
  <c r="P59" i="282" s="1"/>
  <c r="L61" i="282"/>
  <c r="L483" i="282"/>
  <c r="O10" i="282"/>
  <c r="O483" i="282" s="1"/>
  <c r="L507" i="282"/>
  <c r="O128" i="282"/>
  <c r="O507" i="282" s="1"/>
  <c r="L21" i="282"/>
  <c r="O8" i="282"/>
  <c r="J526" i="282"/>
  <c r="O32" i="282"/>
  <c r="O465" i="282"/>
  <c r="L476" i="282"/>
  <c r="L461" i="282"/>
  <c r="O442" i="282"/>
  <c r="O368" i="282"/>
  <c r="L382" i="282"/>
  <c r="O280" i="282"/>
  <c r="O291" i="282" s="1"/>
  <c r="P289" i="282" s="1"/>
  <c r="L291" i="282"/>
  <c r="J462" i="282"/>
  <c r="O386" i="282"/>
  <c r="O400" i="282" s="1"/>
  <c r="L400" i="282"/>
  <c r="L364" i="282"/>
  <c r="O356" i="282"/>
  <c r="L319" i="282"/>
  <c r="O309" i="282"/>
  <c r="L247" i="282"/>
  <c r="O235" i="282"/>
  <c r="O247" i="282" s="1"/>
  <c r="L517" i="282"/>
  <c r="O172" i="282"/>
  <c r="O517" i="282" s="1"/>
  <c r="L232" i="282"/>
  <c r="O221" i="282"/>
  <c r="O232" i="282" s="1"/>
  <c r="L216" i="282"/>
  <c r="O205" i="282"/>
  <c r="O216" i="282" s="1"/>
  <c r="P215" i="282" s="1"/>
  <c r="O121" i="282"/>
  <c r="O132" i="282" s="1"/>
  <c r="L132" i="282"/>
  <c r="O471" i="282"/>
  <c r="O493" i="282" s="1"/>
  <c r="L493" i="282"/>
  <c r="L510" i="282"/>
  <c r="O456" i="282"/>
  <c r="O510" i="282" s="1"/>
  <c r="L460" i="282"/>
  <c r="O441" i="282"/>
  <c r="O460" i="282" s="1"/>
  <c r="L511" i="282"/>
  <c r="O424" i="282"/>
  <c r="O511" i="282" s="1"/>
  <c r="L486" i="282"/>
  <c r="O371" i="282"/>
  <c r="O486" i="282" s="1"/>
  <c r="L502" i="282"/>
  <c r="O358" i="282"/>
  <c r="O278" i="282"/>
  <c r="O289" i="282" s="1"/>
  <c r="L289" i="282"/>
  <c r="O250" i="282"/>
  <c r="O259" i="282" s="1"/>
  <c r="L259" i="282"/>
  <c r="L509" i="282"/>
  <c r="O360" i="282"/>
  <c r="O509" i="282" s="1"/>
  <c r="O340" i="282"/>
  <c r="O353" i="282" s="1"/>
  <c r="L353" i="282"/>
  <c r="L333" i="282"/>
  <c r="O322" i="282"/>
  <c r="L318" i="282"/>
  <c r="O308" i="282"/>
  <c r="L304" i="282"/>
  <c r="O295" i="282"/>
  <c r="L518" i="282"/>
  <c r="O245" i="282"/>
  <c r="O518" i="282" s="1"/>
  <c r="O215" i="282"/>
  <c r="L175" i="282"/>
  <c r="O164" i="282"/>
  <c r="L231" i="282"/>
  <c r="O220" i="282"/>
  <c r="L143" i="282"/>
  <c r="O134" i="282"/>
  <c r="O143" i="282" s="1"/>
  <c r="O92" i="282"/>
  <c r="O102" i="282" s="1"/>
  <c r="P100" i="282" s="1"/>
  <c r="L102" i="282"/>
  <c r="L506" i="282"/>
  <c r="O71" i="282"/>
  <c r="O506" i="282" s="1"/>
  <c r="O50" i="282"/>
  <c r="O59" i="282" s="1"/>
  <c r="L59" i="282"/>
  <c r="L512" i="282"/>
  <c r="O17" i="282"/>
  <c r="O512" i="282" s="1"/>
  <c r="L516" i="282"/>
  <c r="O18" i="282"/>
  <c r="O516" i="282" s="1"/>
  <c r="L481" i="282"/>
  <c r="O6" i="282"/>
  <c r="L19" i="282"/>
  <c r="L35" i="282" s="1"/>
  <c r="L20" i="282"/>
  <c r="O468" i="282"/>
  <c r="O479" i="282" s="1"/>
  <c r="O528" i="282" s="1"/>
  <c r="L479" i="282"/>
  <c r="L528" i="282" s="1"/>
  <c r="L508" i="282"/>
  <c r="O455" i="282"/>
  <c r="O508" i="282" s="1"/>
  <c r="L503" i="282"/>
  <c r="O405" i="282"/>
  <c r="O503" i="282" s="1"/>
  <c r="L352" i="282"/>
  <c r="O339" i="282"/>
  <c r="O352" i="282" s="1"/>
  <c r="L407" i="282"/>
  <c r="L497" i="282"/>
  <c r="O314" i="282"/>
  <c r="O497" i="282" s="1"/>
  <c r="L485" i="282"/>
  <c r="O301" i="282"/>
  <c r="O485" i="282" s="1"/>
  <c r="L202" i="282"/>
  <c r="O193" i="282"/>
  <c r="O202" i="282" s="1"/>
  <c r="P200" i="282" s="1"/>
  <c r="O234" i="282"/>
  <c r="L246" i="282"/>
  <c r="L496" i="282"/>
  <c r="O226" i="282"/>
  <c r="O173" i="282"/>
  <c r="L145" i="282"/>
  <c r="O136" i="282"/>
  <c r="O145" i="282" s="1"/>
  <c r="L499" i="282"/>
  <c r="O126" i="282"/>
  <c r="O499" i="282" s="1"/>
  <c r="J292" i="282"/>
  <c r="J293" i="282" s="1"/>
  <c r="J463" i="282" s="1"/>
  <c r="J480" i="282" s="1"/>
  <c r="L116" i="282"/>
  <c r="O106" i="282"/>
  <c r="O116" i="282" s="1"/>
  <c r="L495" i="282"/>
  <c r="O83" i="282"/>
  <c r="O495" i="282" s="1"/>
  <c r="O65" i="282"/>
  <c r="L75" i="282"/>
  <c r="O39" i="282"/>
  <c r="O48" i="282" s="1"/>
  <c r="P46" i="282" s="1"/>
  <c r="L48" i="282"/>
  <c r="L505" i="282"/>
  <c r="O15" i="282"/>
  <c r="O505" i="282" s="1"/>
  <c r="L494" i="282"/>
  <c r="O13" i="282"/>
  <c r="O494" i="282" s="1"/>
  <c r="O366" i="244"/>
  <c r="P366" i="244" s="1"/>
  <c r="O380" i="282" l="1"/>
  <c r="O423" i="283"/>
  <c r="O126" i="283"/>
  <c r="O263" i="283"/>
  <c r="P143" i="282"/>
  <c r="O247" i="283"/>
  <c r="P246" i="283" s="1"/>
  <c r="O246" i="283"/>
  <c r="M509" i="283"/>
  <c r="M561" i="283" s="1"/>
  <c r="O425" i="283"/>
  <c r="P423" i="283" s="1"/>
  <c r="H491" i="283"/>
  <c r="H510" i="283" s="1"/>
  <c r="L526" i="282"/>
  <c r="O175" i="282"/>
  <c r="P173" i="282" s="1"/>
  <c r="O461" i="282"/>
  <c r="O81" i="283"/>
  <c r="P79" i="283" s="1"/>
  <c r="O458" i="283"/>
  <c r="O246" i="282"/>
  <c r="O407" i="282"/>
  <c r="L462" i="282"/>
  <c r="M490" i="283"/>
  <c r="O457" i="283"/>
  <c r="O248" i="282"/>
  <c r="M405" i="283"/>
  <c r="O140" i="283"/>
  <c r="O311" i="283" s="1"/>
  <c r="P487" i="283"/>
  <c r="O431" i="283"/>
  <c r="M38" i="283"/>
  <c r="O265" i="283"/>
  <c r="P263" i="283" s="1"/>
  <c r="M571" i="283"/>
  <c r="O35" i="283"/>
  <c r="O464" i="283"/>
  <c r="P154" i="283"/>
  <c r="M557" i="283"/>
  <c r="O505" i="283"/>
  <c r="O557" i="283" s="1"/>
  <c r="O511" i="283"/>
  <c r="O22" i="283"/>
  <c r="O38" i="283" s="1"/>
  <c r="O357" i="283"/>
  <c r="M311" i="283"/>
  <c r="M517" i="283"/>
  <c r="M558" i="283" s="1"/>
  <c r="M563" i="283" s="1"/>
  <c r="O395" i="283"/>
  <c r="O517" i="283" s="1"/>
  <c r="M559" i="283"/>
  <c r="O567" i="283"/>
  <c r="O24" i="283"/>
  <c r="O36" i="283"/>
  <c r="P36" i="283" s="1"/>
  <c r="O465" i="283"/>
  <c r="O141" i="283"/>
  <c r="P140" i="283" s="1"/>
  <c r="P186" i="283"/>
  <c r="O506" i="283"/>
  <c r="O566" i="283"/>
  <c r="O569" i="283" s="1"/>
  <c r="O23" i="283"/>
  <c r="M560" i="283"/>
  <c r="P201" i="283"/>
  <c r="O404" i="283"/>
  <c r="O490" i="283" s="1"/>
  <c r="P123" i="283"/>
  <c r="P351" i="282"/>
  <c r="L525" i="282"/>
  <c r="L531" i="282" s="1"/>
  <c r="O304" i="282"/>
  <c r="O333" i="282"/>
  <c r="O319" i="282"/>
  <c r="P318" i="282" s="1"/>
  <c r="O20" i="282"/>
  <c r="O21" i="282"/>
  <c r="O305" i="282"/>
  <c r="P304" i="282" s="1"/>
  <c r="O406" i="282"/>
  <c r="L117" i="282"/>
  <c r="O130" i="282"/>
  <c r="O351" i="282"/>
  <c r="O477" i="282"/>
  <c r="P476" i="282" s="1"/>
  <c r="O496" i="282"/>
  <c r="O230" i="282"/>
  <c r="O231" i="282"/>
  <c r="P230" i="282" s="1"/>
  <c r="L527" i="282"/>
  <c r="O86" i="282"/>
  <c r="O131" i="282"/>
  <c r="P130" i="282" s="1"/>
  <c r="L292" i="282"/>
  <c r="L336" i="282"/>
  <c r="O75" i="282"/>
  <c r="P73" i="282" s="1"/>
  <c r="O318" i="282"/>
  <c r="O431" i="282"/>
  <c r="P459" i="282"/>
  <c r="P246" i="282"/>
  <c r="O364" i="282"/>
  <c r="O382" i="282"/>
  <c r="O476" i="282"/>
  <c r="O87" i="282"/>
  <c r="P86" i="282" s="1"/>
  <c r="O334" i="282"/>
  <c r="P333" i="282" s="1"/>
  <c r="P398" i="282"/>
  <c r="P114" i="282"/>
  <c r="O381" i="282"/>
  <c r="O430" i="282"/>
  <c r="O481" i="282"/>
  <c r="O525" i="282" s="1"/>
  <c r="O531" i="282" s="1"/>
  <c r="O19" i="282"/>
  <c r="O35" i="282" s="1"/>
  <c r="O502" i="282"/>
  <c r="O363" i="282"/>
  <c r="O73" i="282"/>
  <c r="O117" i="282" s="1"/>
  <c r="O459" i="282"/>
  <c r="O321" i="244"/>
  <c r="P321" i="244" s="1"/>
  <c r="L261" i="244"/>
  <c r="H261" i="244"/>
  <c r="P380" i="282" l="1"/>
  <c r="O558" i="283"/>
  <c r="O563" i="283" s="1"/>
  <c r="L293" i="282"/>
  <c r="L463" i="282" s="1"/>
  <c r="L480" i="282" s="1"/>
  <c r="O571" i="283"/>
  <c r="O560" i="283"/>
  <c r="O405" i="283"/>
  <c r="P404" i="283" s="1"/>
  <c r="P22" i="283"/>
  <c r="O312" i="283"/>
  <c r="O491" i="283" s="1"/>
  <c r="O510" i="283" s="1"/>
  <c r="O509" i="283"/>
  <c r="M312" i="283"/>
  <c r="M491" i="283" s="1"/>
  <c r="M510" i="283" s="1"/>
  <c r="O462" i="282"/>
  <c r="O292" i="282"/>
  <c r="O293" i="282" s="1"/>
  <c r="O527" i="282"/>
  <c r="O336" i="282"/>
  <c r="O526" i="282"/>
  <c r="P19" i="282"/>
  <c r="P261" i="244"/>
  <c r="O463" i="282" l="1"/>
  <c r="O480" i="282" s="1"/>
  <c r="O559" i="283"/>
  <c r="P525" i="282"/>
  <c r="O561" i="283"/>
  <c r="P506" i="283"/>
  <c r="O311" i="244"/>
  <c r="P311" i="244" s="1"/>
  <c r="O309" i="244"/>
  <c r="P309" i="244" s="1"/>
  <c r="O310" i="244"/>
  <c r="P310" i="244" s="1"/>
  <c r="N373" i="244"/>
  <c r="M373" i="244"/>
  <c r="O298" i="244"/>
  <c r="P298" i="244" s="1"/>
  <c r="P558" i="283" l="1"/>
  <c r="L63" i="244"/>
  <c r="H63" i="244"/>
  <c r="P63" i="244" l="1"/>
  <c r="L294" i="244"/>
  <c r="H294" i="244"/>
  <c r="H268" i="244"/>
  <c r="L268" i="244"/>
  <c r="L257" i="244"/>
  <c r="H257" i="244"/>
  <c r="H183" i="244"/>
  <c r="L183" i="244"/>
  <c r="L184" i="244"/>
  <c r="H184" i="244"/>
  <c r="L182" i="244"/>
  <c r="H182" i="244"/>
  <c r="L144" i="244"/>
  <c r="H144" i="244"/>
  <c r="L148" i="244"/>
  <c r="H148" i="244"/>
  <c r="H153" i="244"/>
  <c r="L153" i="244"/>
  <c r="L147" i="244"/>
  <c r="L149" i="244"/>
  <c r="L150" i="244"/>
  <c r="L151" i="244"/>
  <c r="L152" i="244"/>
  <c r="H147" i="244"/>
  <c r="H149" i="244"/>
  <c r="H150" i="244"/>
  <c r="H151" i="244"/>
  <c r="H152" i="244"/>
  <c r="L142" i="244"/>
  <c r="H142" i="244"/>
  <c r="L134" i="244"/>
  <c r="H134" i="244"/>
  <c r="L128" i="244"/>
  <c r="H128" i="244"/>
  <c r="L136" i="244"/>
  <c r="H136" i="244"/>
  <c r="L135" i="244"/>
  <c r="H135" i="244"/>
  <c r="L133" i="244"/>
  <c r="H133" i="244"/>
  <c r="L132" i="244"/>
  <c r="H132" i="244"/>
  <c r="L89" i="244"/>
  <c r="L90" i="244"/>
  <c r="L91" i="244"/>
  <c r="L92" i="244"/>
  <c r="L93" i="244"/>
  <c r="L94" i="244"/>
  <c r="L95" i="244"/>
  <c r="L83" i="244"/>
  <c r="H83" i="244"/>
  <c r="H89" i="244"/>
  <c r="H90" i="244"/>
  <c r="H91" i="244"/>
  <c r="H92" i="244"/>
  <c r="H93" i="244"/>
  <c r="H94" i="244"/>
  <c r="H95" i="244"/>
  <c r="J88" i="244"/>
  <c r="L88" i="244" s="1"/>
  <c r="H88" i="244"/>
  <c r="L174" i="244"/>
  <c r="H174" i="244"/>
  <c r="L67" i="244"/>
  <c r="H67" i="244"/>
  <c r="H58" i="244"/>
  <c r="L58" i="244"/>
  <c r="H59" i="244"/>
  <c r="L59" i="244"/>
  <c r="P294" i="244" l="1"/>
  <c r="P183" i="244"/>
  <c r="P268" i="244"/>
  <c r="P136" i="244"/>
  <c r="P257" i="244"/>
  <c r="P182" i="244"/>
  <c r="P59" i="244"/>
  <c r="P184" i="244"/>
  <c r="P147" i="244"/>
  <c r="P144" i="244"/>
  <c r="P148" i="244"/>
  <c r="P153" i="244"/>
  <c r="P142" i="244"/>
  <c r="P152" i="244"/>
  <c r="P151" i="244"/>
  <c r="P150" i="244"/>
  <c r="P149" i="244"/>
  <c r="P134" i="244"/>
  <c r="P128" i="244"/>
  <c r="P135" i="244"/>
  <c r="P174" i="244"/>
  <c r="P95" i="244"/>
  <c r="P91" i="244"/>
  <c r="P132" i="244"/>
  <c r="P133" i="244"/>
  <c r="P90" i="244"/>
  <c r="P88" i="244"/>
  <c r="P93" i="244"/>
  <c r="P89" i="244"/>
  <c r="P83" i="244"/>
  <c r="P92" i="244"/>
  <c r="P94" i="244"/>
  <c r="P67" i="244"/>
  <c r="P58" i="244"/>
  <c r="H52" i="244"/>
  <c r="L52" i="244"/>
  <c r="H53" i="244"/>
  <c r="L53" i="244"/>
  <c r="H54" i="244"/>
  <c r="L54" i="244"/>
  <c r="H55" i="244"/>
  <c r="L55" i="244"/>
  <c r="H41" i="244"/>
  <c r="L41" i="244"/>
  <c r="H24" i="244"/>
  <c r="L24" i="244"/>
  <c r="H25" i="244"/>
  <c r="L25" i="244"/>
  <c r="H26" i="244"/>
  <c r="L26" i="244"/>
  <c r="H27" i="244"/>
  <c r="L27" i="244"/>
  <c r="H28" i="244"/>
  <c r="L28" i="244"/>
  <c r="H29" i="244"/>
  <c r="L29" i="244"/>
  <c r="L16" i="244"/>
  <c r="H16" i="244"/>
  <c r="D23" i="260"/>
  <c r="L179" i="244"/>
  <c r="H179" i="244"/>
  <c r="H172" i="244"/>
  <c r="L172" i="244"/>
  <c r="L73" i="244"/>
  <c r="L72" i="244"/>
  <c r="H73" i="244"/>
  <c r="H72" i="244"/>
  <c r="L77" i="244"/>
  <c r="H77" i="244"/>
  <c r="P41" i="244" l="1"/>
  <c r="P52" i="244"/>
  <c r="P53" i="244"/>
  <c r="P55" i="244"/>
  <c r="P172" i="244"/>
  <c r="P29" i="244"/>
  <c r="P27" i="244"/>
  <c r="P54" i="244"/>
  <c r="P16" i="244"/>
  <c r="P26" i="244"/>
  <c r="P28" i="244"/>
  <c r="P25" i="244"/>
  <c r="P24" i="244"/>
  <c r="P179" i="244"/>
  <c r="P72" i="244"/>
  <c r="P73" i="244"/>
  <c r="P77" i="244"/>
  <c r="L75" i="244" l="1"/>
  <c r="H75" i="244"/>
  <c r="J76" i="244"/>
  <c r="L99" i="244"/>
  <c r="H99" i="244"/>
  <c r="P75" i="244" l="1"/>
  <c r="P99" i="244"/>
  <c r="L157" i="244"/>
  <c r="L158" i="244"/>
  <c r="L159" i="244"/>
  <c r="L160" i="244"/>
  <c r="L161" i="244"/>
  <c r="H157" i="244"/>
  <c r="H158" i="244"/>
  <c r="H159" i="244"/>
  <c r="H160" i="244"/>
  <c r="H161" i="244"/>
  <c r="H162" i="244"/>
  <c r="L162" i="244"/>
  <c r="P157" i="244" l="1"/>
  <c r="P160" i="244"/>
  <c r="P159" i="244"/>
  <c r="P161" i="244"/>
  <c r="P158" i="244"/>
  <c r="L168" i="244"/>
  <c r="H168" i="244"/>
  <c r="L167" i="244"/>
  <c r="H167" i="244"/>
  <c r="L205" i="244"/>
  <c r="H205" i="244"/>
  <c r="P168" i="244" l="1"/>
  <c r="P167" i="244"/>
  <c r="P205" i="244"/>
  <c r="L196" i="244"/>
  <c r="H196" i="244"/>
  <c r="L195" i="244"/>
  <c r="H195" i="244"/>
  <c r="L194" i="244"/>
  <c r="H194" i="244"/>
  <c r="L200" i="244"/>
  <c r="H200" i="244"/>
  <c r="L44" i="244"/>
  <c r="H44" i="244"/>
  <c r="P194" i="244" l="1"/>
  <c r="P196" i="244"/>
  <c r="P200" i="244"/>
  <c r="P195" i="244"/>
  <c r="P44" i="244"/>
  <c r="H284" i="244" l="1"/>
  <c r="L284" i="244"/>
  <c r="H285" i="244"/>
  <c r="L285" i="244"/>
  <c r="H286" i="244"/>
  <c r="L286" i="244"/>
  <c r="H48" i="244"/>
  <c r="L48" i="244"/>
  <c r="L47" i="244"/>
  <c r="H47" i="244"/>
  <c r="P48" i="244" l="1"/>
  <c r="P47" i="244"/>
  <c r="P285" i="244"/>
  <c r="P284" i="244"/>
  <c r="P286" i="244"/>
  <c r="D21" i="260"/>
  <c r="I296" i="244" l="1"/>
  <c r="J296" i="244"/>
  <c r="K296" i="244"/>
  <c r="M296" i="244"/>
  <c r="N296" i="244"/>
  <c r="D296" i="244"/>
  <c r="E296" i="244"/>
  <c r="F296" i="244"/>
  <c r="G296" i="244"/>
  <c r="C296" i="244"/>
  <c r="O9" i="244"/>
  <c r="L9" i="244"/>
  <c r="H9" i="244"/>
  <c r="P9" i="244" l="1"/>
  <c r="O296" i="244"/>
  <c r="E36" i="299" l="1"/>
  <c r="B36" i="299"/>
  <c r="E30" i="299"/>
  <c r="B30" i="299"/>
  <c r="E19" i="299"/>
  <c r="B19" i="299"/>
  <c r="E12" i="299"/>
  <c r="B12" i="299"/>
  <c r="F12" i="299" l="1"/>
  <c r="F19" i="299"/>
  <c r="B44" i="299"/>
  <c r="B41" i="299"/>
  <c r="E41" i="299"/>
  <c r="F30" i="299"/>
  <c r="E44" i="299"/>
  <c r="F36" i="299"/>
  <c r="F21" i="299" l="1"/>
  <c r="F41" i="299"/>
  <c r="F44" i="299"/>
  <c r="F38" i="299"/>
  <c r="F46" i="299" l="1"/>
  <c r="L78" i="244" l="1"/>
  <c r="H78" i="244"/>
  <c r="L76" i="244"/>
  <c r="H76" i="244"/>
  <c r="L74" i="244"/>
  <c r="H74" i="244"/>
  <c r="P76" i="244" l="1"/>
  <c r="P78" i="244"/>
  <c r="P74" i="244"/>
  <c r="O338" i="244" l="1"/>
  <c r="P338" i="244" s="1"/>
  <c r="O337" i="244"/>
  <c r="P337" i="244" s="1"/>
  <c r="O326" i="244"/>
  <c r="P326" i="244" s="1"/>
  <c r="O327" i="244"/>
  <c r="P327" i="244" s="1"/>
  <c r="O328" i="244"/>
  <c r="P328" i="244" s="1"/>
  <c r="O329" i="244"/>
  <c r="P329" i="244" s="1"/>
  <c r="O330" i="244"/>
  <c r="P330" i="244" s="1"/>
  <c r="O331" i="244"/>
  <c r="P331" i="244" s="1"/>
  <c r="O332" i="244"/>
  <c r="P332" i="244" s="1"/>
  <c r="O333" i="244"/>
  <c r="P333" i="244" s="1"/>
  <c r="O334" i="244"/>
  <c r="P334" i="244" s="1"/>
  <c r="O335" i="244"/>
  <c r="P335" i="244" s="1"/>
  <c r="O336" i="244"/>
  <c r="P336" i="244" s="1"/>
  <c r="O339" i="244"/>
  <c r="P339" i="244" s="1"/>
  <c r="O340" i="244"/>
  <c r="P340" i="244" s="1"/>
  <c r="O341" i="244"/>
  <c r="P341" i="244" s="1"/>
  <c r="O342" i="244"/>
  <c r="P342" i="244" s="1"/>
  <c r="O343" i="244"/>
  <c r="P343" i="244" s="1"/>
  <c r="O325" i="244"/>
  <c r="P325" i="244" s="1"/>
  <c r="O365" i="244"/>
  <c r="P365" i="244" s="1"/>
  <c r="O364" i="244"/>
  <c r="P364" i="244" s="1"/>
  <c r="O359" i="244"/>
  <c r="P359" i="244" s="1"/>
  <c r="O358" i="244"/>
  <c r="P358" i="244" s="1"/>
  <c r="O357" i="244"/>
  <c r="P357" i="244" s="1"/>
  <c r="O356" i="244"/>
  <c r="P356" i="244" s="1"/>
  <c r="L225" i="244"/>
  <c r="H225" i="244"/>
  <c r="H212" i="244"/>
  <c r="L212" i="244"/>
  <c r="L131" i="244"/>
  <c r="L137" i="244"/>
  <c r="L138" i="244"/>
  <c r="L139" i="244"/>
  <c r="L140" i="244"/>
  <c r="L130" i="244"/>
  <c r="L141" i="244"/>
  <c r="L143" i="244"/>
  <c r="L145" i="244"/>
  <c r="L146" i="244"/>
  <c r="H131" i="244"/>
  <c r="H137" i="244"/>
  <c r="H138" i="244"/>
  <c r="H139" i="244"/>
  <c r="H140" i="244"/>
  <c r="H130" i="244"/>
  <c r="H141" i="244"/>
  <c r="H143" i="244"/>
  <c r="H145" i="244"/>
  <c r="H146" i="244"/>
  <c r="H18" i="244"/>
  <c r="L18" i="244"/>
  <c r="P138" i="244" l="1"/>
  <c r="P143" i="244"/>
  <c r="P139" i="244"/>
  <c r="P225" i="244"/>
  <c r="P212" i="244"/>
  <c r="P146" i="244"/>
  <c r="P145" i="244"/>
  <c r="P141" i="244"/>
  <c r="P130" i="244"/>
  <c r="P140" i="244"/>
  <c r="P137" i="244"/>
  <c r="P131" i="244"/>
  <c r="P18" i="244"/>
  <c r="H254" i="244" l="1"/>
  <c r="L254" i="244"/>
  <c r="O362" i="244"/>
  <c r="P362" i="244" s="1"/>
  <c r="L98" i="244"/>
  <c r="H98" i="244"/>
  <c r="L267" i="244"/>
  <c r="H267" i="244"/>
  <c r="H103" i="244"/>
  <c r="L103" i="244"/>
  <c r="L233" i="244"/>
  <c r="H233" i="244"/>
  <c r="H264" i="244"/>
  <c r="L264" i="244"/>
  <c r="H36" i="244"/>
  <c r="L36" i="244"/>
  <c r="H35" i="244"/>
  <c r="L35" i="244"/>
  <c r="P36" i="244" l="1"/>
  <c r="P103" i="244"/>
  <c r="P233" i="244"/>
  <c r="P267" i="244"/>
  <c r="P254" i="244"/>
  <c r="P98" i="244"/>
  <c r="P264" i="244"/>
  <c r="P35" i="244"/>
  <c r="E14" i="240" l="1"/>
  <c r="L34" i="244" l="1"/>
  <c r="H34" i="244"/>
  <c r="L208" i="244"/>
  <c r="H208" i="244"/>
  <c r="L33" i="244"/>
  <c r="H33" i="244"/>
  <c r="L32" i="244"/>
  <c r="H32" i="244"/>
  <c r="L251" i="244"/>
  <c r="H251" i="244"/>
  <c r="O350" i="244"/>
  <c r="P350" i="244" s="1"/>
  <c r="O308" i="244"/>
  <c r="P308" i="244" s="1"/>
  <c r="O307" i="244"/>
  <c r="P307" i="244" s="1"/>
  <c r="O349" i="244"/>
  <c r="P349" i="244" s="1"/>
  <c r="L230" i="244"/>
  <c r="H230" i="244"/>
  <c r="L229" i="244"/>
  <c r="H229" i="244"/>
  <c r="L228" i="244"/>
  <c r="H228" i="244"/>
  <c r="O348" i="244"/>
  <c r="P348" i="244" s="1"/>
  <c r="L116" i="244"/>
  <c r="L117" i="244"/>
  <c r="H116" i="244"/>
  <c r="H117" i="244"/>
  <c r="O363" i="244"/>
  <c r="P363" i="244" s="1"/>
  <c r="P34" i="244" l="1"/>
  <c r="P32" i="244"/>
  <c r="P208" i="244"/>
  <c r="P116" i="244"/>
  <c r="P228" i="244"/>
  <c r="P230" i="244"/>
  <c r="P229" i="244"/>
  <c r="P162" i="244"/>
  <c r="P33" i="244"/>
  <c r="P251" i="244"/>
  <c r="P117" i="244"/>
  <c r="L189" i="244" l="1"/>
  <c r="H189" i="244"/>
  <c r="P189" i="244" l="1"/>
  <c r="L113" i="244" l="1"/>
  <c r="L115" i="244"/>
  <c r="H113" i="244"/>
  <c r="H115" i="244"/>
  <c r="L114" i="244"/>
  <c r="H114" i="244"/>
  <c r="P115" i="244" l="1"/>
  <c r="P113" i="244"/>
  <c r="P114" i="244"/>
  <c r="O312" i="244" l="1"/>
  <c r="P312" i="244" s="1"/>
  <c r="O346" i="244"/>
  <c r="P346" i="244" s="1"/>
  <c r="O345" i="244"/>
  <c r="P345" i="244" s="1"/>
  <c r="O344" i="244"/>
  <c r="P344" i="244" s="1"/>
  <c r="O352" i="244" l="1"/>
  <c r="P352" i="244" s="1"/>
  <c r="O353" i="244"/>
  <c r="P353" i="244" s="1"/>
  <c r="O354" i="244"/>
  <c r="P354" i="244" s="1"/>
  <c r="O355" i="244"/>
  <c r="P355" i="244" s="1"/>
  <c r="O360" i="244"/>
  <c r="P360" i="244" s="1"/>
  <c r="O361" i="244"/>
  <c r="P361" i="244" s="1"/>
  <c r="O367" i="244"/>
  <c r="P367" i="244" s="1"/>
  <c r="O368" i="244"/>
  <c r="P368" i="244" s="1"/>
  <c r="O369" i="244"/>
  <c r="P369" i="244" s="1"/>
  <c r="O370" i="244"/>
  <c r="P370" i="244" s="1"/>
  <c r="O372" i="244"/>
  <c r="P372" i="244" s="1"/>
  <c r="O318" i="244" l="1"/>
  <c r="P318" i="244" s="1"/>
  <c r="O319" i="244"/>
  <c r="P319" i="244" s="1"/>
  <c r="O320" i="244"/>
  <c r="P320" i="244" s="1"/>
  <c r="O306" i="244"/>
  <c r="P306" i="244" s="1"/>
  <c r="O305" i="244"/>
  <c r="P305" i="244" s="1"/>
  <c r="L127" i="244" l="1"/>
  <c r="L129" i="244"/>
  <c r="H127" i="244"/>
  <c r="H129" i="244"/>
  <c r="P127" i="244" l="1"/>
  <c r="P129" i="244"/>
  <c r="H56" i="261"/>
  <c r="H57" i="261"/>
  <c r="L102" i="244" l="1"/>
  <c r="H102" i="244"/>
  <c r="H126" i="244"/>
  <c r="H125" i="244"/>
  <c r="H124" i="244"/>
  <c r="H123" i="244"/>
  <c r="H120" i="244"/>
  <c r="H112" i="244"/>
  <c r="H111" i="244"/>
  <c r="L126" i="244"/>
  <c r="L125" i="244"/>
  <c r="L124" i="244"/>
  <c r="L123" i="244"/>
  <c r="L120" i="244"/>
  <c r="L112" i="244"/>
  <c r="L111" i="244"/>
  <c r="L166" i="244"/>
  <c r="H166" i="244"/>
  <c r="L156" i="244"/>
  <c r="H156" i="244"/>
  <c r="L23" i="244"/>
  <c r="H23" i="244"/>
  <c r="L275" i="244"/>
  <c r="H275" i="244"/>
  <c r="H222" i="244"/>
  <c r="L222" i="244"/>
  <c r="H223" i="244"/>
  <c r="L223" i="244"/>
  <c r="L291" i="244"/>
  <c r="H291" i="244"/>
  <c r="H215" i="244"/>
  <c r="L215" i="244"/>
  <c r="H218" i="244"/>
  <c r="L218" i="244"/>
  <c r="H86" i="244"/>
  <c r="L86" i="244"/>
  <c r="H87" i="244"/>
  <c r="L87" i="244"/>
  <c r="H84" i="244"/>
  <c r="L84" i="244"/>
  <c r="L40" i="244"/>
  <c r="H40" i="244"/>
  <c r="L17" i="244"/>
  <c r="H17" i="244"/>
  <c r="L15" i="244"/>
  <c r="H15" i="244"/>
  <c r="AF23" i="240"/>
  <c r="L108" i="244"/>
  <c r="H108" i="244"/>
  <c r="P156" i="244" l="1"/>
  <c r="P112" i="244"/>
  <c r="P125" i="244"/>
  <c r="P126" i="244"/>
  <c r="P123" i="244"/>
  <c r="P120" i="244"/>
  <c r="P111" i="244"/>
  <c r="P124" i="244"/>
  <c r="P102" i="244"/>
  <c r="P215" i="244"/>
  <c r="P166" i="244"/>
  <c r="P15" i="244"/>
  <c r="P87" i="244"/>
  <c r="P40" i="244"/>
  <c r="P222" i="244"/>
  <c r="P23" i="244"/>
  <c r="P84" i="244"/>
  <c r="P86" i="244"/>
  <c r="P218" i="244"/>
  <c r="P275" i="244"/>
  <c r="P223" i="244"/>
  <c r="P291" i="244"/>
  <c r="P17" i="244"/>
  <c r="P108" i="244"/>
  <c r="H279" i="244"/>
  <c r="L279" i="244"/>
  <c r="H280" i="244"/>
  <c r="L280" i="244"/>
  <c r="H281" i="244"/>
  <c r="L281" i="244"/>
  <c r="H288" i="244"/>
  <c r="L288" i="244"/>
  <c r="H289" i="244"/>
  <c r="L289" i="244"/>
  <c r="H282" i="244"/>
  <c r="L282" i="244"/>
  <c r="H283" i="244"/>
  <c r="L283" i="244"/>
  <c r="H287" i="244"/>
  <c r="L287" i="244"/>
  <c r="H273" i="244"/>
  <c r="L273" i="244"/>
  <c r="L247" i="244"/>
  <c r="H247" i="244"/>
  <c r="P273" i="244" l="1"/>
  <c r="P283" i="244"/>
  <c r="P289" i="244"/>
  <c r="P281" i="244"/>
  <c r="P279" i="244"/>
  <c r="P287" i="244"/>
  <c r="P282" i="244"/>
  <c r="P288" i="244"/>
  <c r="P280" i="244"/>
  <c r="P247" i="244"/>
  <c r="J57" i="261" l="1"/>
  <c r="J56" i="261"/>
  <c r="I57" i="261"/>
  <c r="I56" i="261"/>
  <c r="E57" i="261"/>
  <c r="K57" i="261" s="1"/>
  <c r="E56" i="261"/>
  <c r="K56" i="261" s="1"/>
  <c r="C24" i="261"/>
  <c r="R32" i="239"/>
  <c r="R33" i="239"/>
  <c r="R34" i="239"/>
  <c r="D26" i="240"/>
  <c r="D62" i="239" s="1"/>
  <c r="E26" i="240"/>
  <c r="E62" i="239" s="1"/>
  <c r="G26" i="240"/>
  <c r="H26" i="240"/>
  <c r="I26" i="240"/>
  <c r="O26" i="240"/>
  <c r="P26" i="240"/>
  <c r="Q26" i="240"/>
  <c r="S26" i="240"/>
  <c r="T26" i="240"/>
  <c r="U26" i="240"/>
  <c r="C26" i="240"/>
  <c r="C62" i="239" s="1"/>
  <c r="O304" i="244" l="1"/>
  <c r="P304" i="244" s="1"/>
  <c r="L165" i="244"/>
  <c r="H165" i="244"/>
  <c r="P165" i="244" l="1"/>
  <c r="L104" i="244"/>
  <c r="H104" i="244"/>
  <c r="O303" i="244"/>
  <c r="P303" i="244" s="1"/>
  <c r="W60" i="239"/>
  <c r="X60" i="239"/>
  <c r="Y60" i="239"/>
  <c r="V60" i="239"/>
  <c r="R60" i="239"/>
  <c r="I62" i="239"/>
  <c r="K60" i="239"/>
  <c r="L60" i="239"/>
  <c r="M60" i="239"/>
  <c r="J60" i="239"/>
  <c r="F60" i="239"/>
  <c r="AF60" i="239"/>
  <c r="AE60" i="239"/>
  <c r="AB60" i="239"/>
  <c r="AA60" i="239"/>
  <c r="R25" i="240"/>
  <c r="V25" i="240"/>
  <c r="W25" i="240"/>
  <c r="X25" i="240"/>
  <c r="Y25" i="240"/>
  <c r="AA25" i="240"/>
  <c r="AB25" i="240"/>
  <c r="AC25" i="240"/>
  <c r="AE25" i="240"/>
  <c r="AF25" i="240"/>
  <c r="AG25" i="240"/>
  <c r="K25" i="240"/>
  <c r="L25" i="240"/>
  <c r="M25" i="240"/>
  <c r="H62" i="239"/>
  <c r="G62" i="239"/>
  <c r="J25" i="240"/>
  <c r="F25" i="240"/>
  <c r="AD25" i="240" s="1"/>
  <c r="I60" i="261"/>
  <c r="J60" i="261"/>
  <c r="E60" i="261"/>
  <c r="K60" i="261" s="1"/>
  <c r="C10" i="266" s="1"/>
  <c r="J24" i="260"/>
  <c r="J25" i="260"/>
  <c r="I25" i="260"/>
  <c r="I24" i="260"/>
  <c r="D26" i="260"/>
  <c r="C26" i="260"/>
  <c r="E25" i="260"/>
  <c r="K25" i="260" s="1"/>
  <c r="C16" i="266" s="1"/>
  <c r="O317" i="244"/>
  <c r="P317" i="244" s="1"/>
  <c r="O316" i="244"/>
  <c r="P316" i="244" s="1"/>
  <c r="AJ25" i="240" l="1"/>
  <c r="AJ60" i="239"/>
  <c r="AD60" i="239"/>
  <c r="AK25" i="240"/>
  <c r="AH60" i="239"/>
  <c r="Z25" i="240"/>
  <c r="P104" i="244"/>
  <c r="N25" i="240"/>
  <c r="AH25" i="240"/>
  <c r="Z60" i="239"/>
  <c r="AI60" i="239"/>
  <c r="N60" i="239"/>
  <c r="AI25" i="240"/>
  <c r="AL25" i="240" l="1"/>
  <c r="AL60" i="239"/>
  <c r="H237" i="244" l="1"/>
  <c r="AE9" i="239" l="1"/>
  <c r="AG62" i="239"/>
  <c r="AF62" i="239"/>
  <c r="AE62" i="239"/>
  <c r="AG59" i="239"/>
  <c r="AF59" i="239"/>
  <c r="AE59" i="239"/>
  <c r="AK58" i="239"/>
  <c r="AG58" i="239"/>
  <c r="AF57" i="239"/>
  <c r="AE57" i="239"/>
  <c r="AF56" i="239"/>
  <c r="AE56" i="239"/>
  <c r="AG46" i="239"/>
  <c r="AF46" i="239"/>
  <c r="AE46" i="239"/>
  <c r="AG45" i="239"/>
  <c r="AF45" i="239"/>
  <c r="AE45" i="239"/>
  <c r="AG41" i="239"/>
  <c r="AG44" i="239" s="1"/>
  <c r="AF41" i="239"/>
  <c r="AF44" i="239" s="1"/>
  <c r="AE41" i="239"/>
  <c r="AE44" i="239" s="1"/>
  <c r="AG40" i="239"/>
  <c r="AF40" i="239"/>
  <c r="AE40" i="239"/>
  <c r="AG39" i="239"/>
  <c r="AF39" i="239"/>
  <c r="AE39" i="239"/>
  <c r="AG38" i="239"/>
  <c r="AF38" i="239"/>
  <c r="AE38" i="239"/>
  <c r="AG37" i="239"/>
  <c r="AF37" i="239"/>
  <c r="AE37" i="239"/>
  <c r="AG34" i="239"/>
  <c r="AF34" i="239"/>
  <c r="AE34" i="239"/>
  <c r="AG33" i="239"/>
  <c r="AF33" i="239"/>
  <c r="AE33" i="239"/>
  <c r="AG32" i="239"/>
  <c r="AF32" i="239"/>
  <c r="AE32" i="239"/>
  <c r="AG31" i="239"/>
  <c r="AF31" i="239"/>
  <c r="AE31" i="239"/>
  <c r="AG28" i="239"/>
  <c r="AF28" i="239"/>
  <c r="AF29" i="239" s="1"/>
  <c r="AE28" i="239"/>
  <c r="AG27" i="239"/>
  <c r="AF27" i="239"/>
  <c r="AE27" i="239"/>
  <c r="AG25" i="239"/>
  <c r="AG26" i="239" s="1"/>
  <c r="AF25" i="239"/>
  <c r="AF26" i="239" s="1"/>
  <c r="AE25" i="239"/>
  <c r="AE26" i="239" s="1"/>
  <c r="AG23" i="239"/>
  <c r="AG24" i="239" s="1"/>
  <c r="AF23" i="239"/>
  <c r="AF24" i="239" s="1"/>
  <c r="AE23" i="239"/>
  <c r="AE24" i="239" s="1"/>
  <c r="AG21" i="239"/>
  <c r="AF21" i="239"/>
  <c r="AE21" i="239"/>
  <c r="AG20" i="239"/>
  <c r="AF20" i="239"/>
  <c r="AE20" i="239"/>
  <c r="AG18" i="239"/>
  <c r="AF18" i="239"/>
  <c r="AE18" i="239"/>
  <c r="AG16" i="239"/>
  <c r="AF16" i="239"/>
  <c r="AE16" i="239"/>
  <c r="AG15" i="239"/>
  <c r="AF15" i="239"/>
  <c r="AE15" i="239"/>
  <c r="AG14" i="239"/>
  <c r="AF14" i="239"/>
  <c r="AE14" i="239"/>
  <c r="AG13" i="239"/>
  <c r="AF13" i="239"/>
  <c r="AE13" i="239"/>
  <c r="AG12" i="239"/>
  <c r="AF12" i="239"/>
  <c r="AE12" i="239"/>
  <c r="AG11" i="239"/>
  <c r="AF11" i="239"/>
  <c r="AE11" i="239"/>
  <c r="AG10" i="239"/>
  <c r="AF10" i="239"/>
  <c r="AE10" i="239"/>
  <c r="AG9" i="239"/>
  <c r="AF9" i="239"/>
  <c r="Y18" i="239"/>
  <c r="X18" i="239"/>
  <c r="W18" i="239"/>
  <c r="Y20" i="239"/>
  <c r="X20" i="239"/>
  <c r="W20" i="239"/>
  <c r="Y21" i="239"/>
  <c r="X21" i="239"/>
  <c r="W21" i="239"/>
  <c r="Y23" i="239"/>
  <c r="Y24" i="239" s="1"/>
  <c r="X23" i="239"/>
  <c r="W23" i="239"/>
  <c r="W24" i="239" s="1"/>
  <c r="Y25" i="239"/>
  <c r="Y26" i="239" s="1"/>
  <c r="X25" i="239"/>
  <c r="W25" i="239"/>
  <c r="W26" i="239" s="1"/>
  <c r="Y28" i="239"/>
  <c r="X28" i="239"/>
  <c r="W28" i="239"/>
  <c r="Y27" i="239"/>
  <c r="X27" i="239"/>
  <c r="W27" i="239"/>
  <c r="Y34" i="239"/>
  <c r="X34" i="239"/>
  <c r="W34" i="239"/>
  <c r="Y33" i="239"/>
  <c r="X33" i="239"/>
  <c r="W33" i="239"/>
  <c r="Y32" i="239"/>
  <c r="X32" i="239"/>
  <c r="W32" i="239"/>
  <c r="Y31" i="239"/>
  <c r="X31" i="239"/>
  <c r="W31" i="239"/>
  <c r="Y41" i="239"/>
  <c r="Y44" i="239" s="1"/>
  <c r="X41" i="239"/>
  <c r="X44" i="239" s="1"/>
  <c r="W41" i="239"/>
  <c r="W44" i="239" s="1"/>
  <c r="Y40" i="239"/>
  <c r="X40" i="239"/>
  <c r="W40" i="239"/>
  <c r="Y39" i="239"/>
  <c r="Y38" i="239"/>
  <c r="X38" i="239"/>
  <c r="W38" i="239"/>
  <c r="Y37" i="239"/>
  <c r="X37" i="239"/>
  <c r="W37" i="239"/>
  <c r="Y46" i="239"/>
  <c r="X46" i="239"/>
  <c r="W46" i="239"/>
  <c r="Y45" i="239"/>
  <c r="X45" i="239"/>
  <c r="W45" i="239"/>
  <c r="Y62" i="239"/>
  <c r="X62" i="239"/>
  <c r="W62" i="239"/>
  <c r="Y59" i="239"/>
  <c r="X59" i="239"/>
  <c r="W59" i="239"/>
  <c r="W57" i="239"/>
  <c r="X57" i="239"/>
  <c r="Y57" i="239"/>
  <c r="Y56" i="239"/>
  <c r="X56" i="239"/>
  <c r="W56" i="239"/>
  <c r="W58" i="239" s="1"/>
  <c r="V62" i="239"/>
  <c r="V59" i="239"/>
  <c r="S58" i="239"/>
  <c r="S61" i="239" s="1"/>
  <c r="T58" i="239"/>
  <c r="T61" i="239" s="1"/>
  <c r="U58" i="239"/>
  <c r="U61" i="239" s="1"/>
  <c r="V57" i="239"/>
  <c r="V56" i="239"/>
  <c r="V46" i="239"/>
  <c r="V45" i="239"/>
  <c r="V39" i="239"/>
  <c r="V40" i="239"/>
  <c r="V41" i="239"/>
  <c r="V44" i="239" s="1"/>
  <c r="V38" i="239"/>
  <c r="V37" i="239"/>
  <c r="V32" i="239"/>
  <c r="V33" i="239"/>
  <c r="V34" i="239"/>
  <c r="V31" i="239"/>
  <c r="V28" i="239"/>
  <c r="V27" i="239"/>
  <c r="V25" i="239"/>
  <c r="V26" i="239" s="1"/>
  <c r="V23" i="239"/>
  <c r="V21" i="239"/>
  <c r="V20" i="239"/>
  <c r="V18" i="239"/>
  <c r="S35" i="239"/>
  <c r="T35" i="239"/>
  <c r="U35" i="239"/>
  <c r="S29" i="239"/>
  <c r="T29" i="239"/>
  <c r="U29" i="239"/>
  <c r="S26" i="239"/>
  <c r="T26" i="239"/>
  <c r="U26" i="239"/>
  <c r="U30" i="239" s="1"/>
  <c r="S24" i="239"/>
  <c r="T24" i="239"/>
  <c r="U24" i="239"/>
  <c r="V24" i="239"/>
  <c r="S22" i="239"/>
  <c r="S48" i="239" s="1"/>
  <c r="T22" i="239"/>
  <c r="T48" i="239" s="1"/>
  <c r="U22" i="239"/>
  <c r="U48" i="239" s="1"/>
  <c r="X22" i="239"/>
  <c r="S17" i="239"/>
  <c r="S19" i="239" s="1"/>
  <c r="T17" i="239"/>
  <c r="T19" i="239" s="1"/>
  <c r="U17" i="239"/>
  <c r="U19" i="239" s="1"/>
  <c r="V17" i="239"/>
  <c r="W17" i="239"/>
  <c r="X17" i="239"/>
  <c r="Y17" i="239"/>
  <c r="Z17" i="239"/>
  <c r="M62" i="239"/>
  <c r="AK62" i="239" s="1"/>
  <c r="L62" i="239"/>
  <c r="K62" i="239"/>
  <c r="AI62" i="239" s="1"/>
  <c r="M59" i="239"/>
  <c r="L59" i="239"/>
  <c r="K59" i="239"/>
  <c r="M57" i="239"/>
  <c r="L57" i="239"/>
  <c r="K57" i="239"/>
  <c r="AI57" i="239" s="1"/>
  <c r="M56" i="239"/>
  <c r="L56" i="239"/>
  <c r="AJ56" i="239" s="1"/>
  <c r="K56" i="239"/>
  <c r="M46" i="239"/>
  <c r="L46" i="239"/>
  <c r="K46" i="239"/>
  <c r="AI46" i="239" s="1"/>
  <c r="M45" i="239"/>
  <c r="L45" i="239"/>
  <c r="K45" i="239"/>
  <c r="AI45" i="239" s="1"/>
  <c r="M41" i="239"/>
  <c r="L41" i="239"/>
  <c r="L44" i="239" s="1"/>
  <c r="K41" i="239"/>
  <c r="K44" i="239" s="1"/>
  <c r="M40" i="239"/>
  <c r="L40" i="239"/>
  <c r="K40" i="239"/>
  <c r="M39" i="239"/>
  <c r="L39" i="239"/>
  <c r="K39" i="239"/>
  <c r="M38" i="239"/>
  <c r="L38" i="239"/>
  <c r="K38" i="239"/>
  <c r="M37" i="239"/>
  <c r="L37" i="239"/>
  <c r="K37" i="239"/>
  <c r="M34" i="239"/>
  <c r="L34" i="239"/>
  <c r="K34" i="239"/>
  <c r="M33" i="239"/>
  <c r="L33" i="239"/>
  <c r="K33" i="239"/>
  <c r="M32" i="239"/>
  <c r="L32" i="239"/>
  <c r="K32" i="239"/>
  <c r="AI32" i="239" s="1"/>
  <c r="M31" i="239"/>
  <c r="L31" i="239"/>
  <c r="K31" i="239"/>
  <c r="M28" i="239"/>
  <c r="L28" i="239"/>
  <c r="K28" i="239"/>
  <c r="M27" i="239"/>
  <c r="L27" i="239"/>
  <c r="K27" i="239"/>
  <c r="M25" i="239"/>
  <c r="L25" i="239"/>
  <c r="K25" i="239"/>
  <c r="M23" i="239"/>
  <c r="L23" i="239"/>
  <c r="K23" i="239"/>
  <c r="M21" i="239"/>
  <c r="AK21" i="239" s="1"/>
  <c r="L21" i="239"/>
  <c r="AJ21" i="239" s="1"/>
  <c r="K21" i="239"/>
  <c r="AI21" i="239" s="1"/>
  <c r="M20" i="239"/>
  <c r="AK20" i="239" s="1"/>
  <c r="L20" i="239"/>
  <c r="AJ20" i="239" s="1"/>
  <c r="K20" i="239"/>
  <c r="M18" i="239"/>
  <c r="L18" i="239"/>
  <c r="K18" i="239"/>
  <c r="K12" i="239"/>
  <c r="L12" i="239"/>
  <c r="AJ12" i="239" s="1"/>
  <c r="M12" i="239"/>
  <c r="AK12" i="239" s="1"/>
  <c r="K13" i="239"/>
  <c r="L13" i="239"/>
  <c r="AJ13" i="239" s="1"/>
  <c r="M13" i="239"/>
  <c r="AK13" i="239" s="1"/>
  <c r="K14" i="239"/>
  <c r="L14" i="239"/>
  <c r="AJ14" i="239" s="1"/>
  <c r="M14" i="239"/>
  <c r="AK14" i="239" s="1"/>
  <c r="K15" i="239"/>
  <c r="L15" i="239"/>
  <c r="AJ15" i="239" s="1"/>
  <c r="M15" i="239"/>
  <c r="AK15" i="239" s="1"/>
  <c r="K16" i="239"/>
  <c r="L16" i="239"/>
  <c r="AJ16" i="239" s="1"/>
  <c r="M16" i="239"/>
  <c r="AK16" i="239" s="1"/>
  <c r="K10" i="239"/>
  <c r="L10" i="239"/>
  <c r="AJ10" i="239" s="1"/>
  <c r="M10" i="239"/>
  <c r="AK10" i="239" s="1"/>
  <c r="K11" i="239"/>
  <c r="AI11" i="239" s="1"/>
  <c r="L11" i="239"/>
  <c r="AJ11" i="239" s="1"/>
  <c r="M11" i="239"/>
  <c r="AK11" i="239" s="1"/>
  <c r="L9" i="239"/>
  <c r="AJ9" i="239" s="1"/>
  <c r="M9" i="239"/>
  <c r="AK9" i="239" s="1"/>
  <c r="K9" i="239"/>
  <c r="AI9" i="239" s="1"/>
  <c r="J62" i="239"/>
  <c r="J59" i="239"/>
  <c r="G58" i="239"/>
  <c r="G61" i="239" s="1"/>
  <c r="H58" i="239"/>
  <c r="H61" i="239" s="1"/>
  <c r="I58" i="239"/>
  <c r="I61" i="239" s="1"/>
  <c r="J57" i="239"/>
  <c r="J56" i="239"/>
  <c r="J46" i="239"/>
  <c r="J45" i="239"/>
  <c r="AH45" i="239" s="1"/>
  <c r="J39" i="239"/>
  <c r="J40" i="239"/>
  <c r="J41" i="239"/>
  <c r="J44" i="239" s="1"/>
  <c r="J38" i="239"/>
  <c r="J37" i="239"/>
  <c r="J32" i="239"/>
  <c r="J33" i="239"/>
  <c r="J34" i="239"/>
  <c r="J31" i="239"/>
  <c r="J28" i="239"/>
  <c r="J27" i="239"/>
  <c r="J25" i="239"/>
  <c r="J23" i="239"/>
  <c r="J21" i="239"/>
  <c r="AH21" i="239" s="1"/>
  <c r="J20" i="239"/>
  <c r="J18" i="239"/>
  <c r="AH18" i="239" s="1"/>
  <c r="J11" i="239"/>
  <c r="J12" i="239"/>
  <c r="AH12" i="239" s="1"/>
  <c r="J13" i="239"/>
  <c r="AH13" i="239" s="1"/>
  <c r="J14" i="239"/>
  <c r="AH14" i="239" s="1"/>
  <c r="J15" i="239"/>
  <c r="AH15" i="239" s="1"/>
  <c r="J16" i="239"/>
  <c r="AH16" i="239" s="1"/>
  <c r="J10" i="239"/>
  <c r="J9" i="239"/>
  <c r="L224" i="244"/>
  <c r="H224" i="244"/>
  <c r="L237" i="244"/>
  <c r="P237" i="244" s="1"/>
  <c r="H238" i="244"/>
  <c r="L238" i="244"/>
  <c r="H82" i="244"/>
  <c r="L82" i="244"/>
  <c r="H85" i="244"/>
  <c r="L85" i="244"/>
  <c r="W22" i="239" l="1"/>
  <c r="AK41" i="239"/>
  <c r="AK44" i="239" s="1"/>
  <c r="M44" i="239"/>
  <c r="AI23" i="239"/>
  <c r="AI24" i="239" s="1"/>
  <c r="AI41" i="239"/>
  <c r="AI44" i="239" s="1"/>
  <c r="AG61" i="239"/>
  <c r="AH46" i="239"/>
  <c r="AJ46" i="239"/>
  <c r="AJ62" i="239"/>
  <c r="AL62" i="239" s="1"/>
  <c r="J58" i="239"/>
  <c r="J61" i="239" s="1"/>
  <c r="J55" i="239" s="1"/>
  <c r="Z57" i="239"/>
  <c r="U36" i="239"/>
  <c r="U47" i="239" s="1"/>
  <c r="U49" i="239" s="1"/>
  <c r="T30" i="239"/>
  <c r="T36" i="239" s="1"/>
  <c r="T47" i="239" s="1"/>
  <c r="T49" i="239" s="1"/>
  <c r="X19" i="239"/>
  <c r="Z23" i="239"/>
  <c r="Z24" i="239" s="1"/>
  <c r="V22" i="239"/>
  <c r="AH57" i="239"/>
  <c r="AF58" i="239"/>
  <c r="AF61" i="239" s="1"/>
  <c r="AH38" i="239"/>
  <c r="V19" i="239"/>
  <c r="V58" i="239"/>
  <c r="V61" i="239" s="1"/>
  <c r="V55" i="239" s="1"/>
  <c r="S30" i="239"/>
  <c r="AJ38" i="239"/>
  <c r="AK18" i="239"/>
  <c r="AJ41" i="239"/>
  <c r="AJ44" i="239" s="1"/>
  <c r="AK59" i="239"/>
  <c r="AK61" i="239" s="1"/>
  <c r="AK37" i="239"/>
  <c r="Y35" i="239"/>
  <c r="AJ28" i="239"/>
  <c r="AJ29" i="239" s="1"/>
  <c r="AF17" i="239"/>
  <c r="AF19" i="239" s="1"/>
  <c r="AG22" i="239"/>
  <c r="AG48" i="239" s="1"/>
  <c r="AH40" i="239"/>
  <c r="N59" i="239"/>
  <c r="AJ40" i="239"/>
  <c r="W35" i="239"/>
  <c r="AJ27" i="239"/>
  <c r="AE22" i="239"/>
  <c r="AE48" i="239" s="1"/>
  <c r="AJ18" i="239"/>
  <c r="AK40" i="239"/>
  <c r="AJ34" i="239"/>
  <c r="AK27" i="239"/>
  <c r="Z25" i="239"/>
  <c r="Z26" i="239" s="1"/>
  <c r="Z18" i="239"/>
  <c r="Z19" i="239" s="1"/>
  <c r="AJ23" i="239"/>
  <c r="AJ24" i="239" s="1"/>
  <c r="AH62" i="239"/>
  <c r="AK17" i="239"/>
  <c r="N23" i="239"/>
  <c r="N32" i="239"/>
  <c r="AI34" i="239"/>
  <c r="N40" i="239"/>
  <c r="AJ57" i="239"/>
  <c r="AL57" i="239" s="1"/>
  <c r="V29" i="239"/>
  <c r="Z56" i="239"/>
  <c r="Z58" i="239" s="1"/>
  <c r="Z59" i="239"/>
  <c r="Z62" i="239"/>
  <c r="AK39" i="239"/>
  <c r="AJ31" i="239"/>
  <c r="AJ33" i="239"/>
  <c r="Z21" i="239"/>
  <c r="Z20" i="239"/>
  <c r="AK23" i="239"/>
  <c r="AK24" i="239" s="1"/>
  <c r="AJ25" i="239"/>
  <c r="AJ26" i="239" s="1"/>
  <c r="AH20" i="239"/>
  <c r="AH41" i="239"/>
  <c r="AH44" i="239" s="1"/>
  <c r="AI20" i="239"/>
  <c r="AI22" i="239" s="1"/>
  <c r="AI48" i="239" s="1"/>
  <c r="AI25" i="239"/>
  <c r="AI26" i="239" s="1"/>
  <c r="AJ59" i="239"/>
  <c r="Z46" i="239"/>
  <c r="AK38" i="239"/>
  <c r="Z40" i="239"/>
  <c r="AK31" i="239"/>
  <c r="AJ32" i="239"/>
  <c r="AK33" i="239"/>
  <c r="Z27" i="239"/>
  <c r="AK28" i="239"/>
  <c r="W19" i="239"/>
  <c r="AG17" i="239"/>
  <c r="AG19" i="239" s="1"/>
  <c r="AK25" i="239"/>
  <c r="AK26" i="239" s="1"/>
  <c r="K58" i="239"/>
  <c r="K61" i="239" s="1"/>
  <c r="AJ45" i="239"/>
  <c r="N45" i="239"/>
  <c r="AI38" i="239"/>
  <c r="AJ37" i="239"/>
  <c r="N28" i="239"/>
  <c r="N25" i="239"/>
  <c r="N18" i="239"/>
  <c r="AI18" i="239"/>
  <c r="N15" i="239"/>
  <c r="AL15" i="239" s="1"/>
  <c r="AF22" i="239"/>
  <c r="AF48" i="239" s="1"/>
  <c r="AJ17" i="239"/>
  <c r="AJ58" i="239"/>
  <c r="AK22" i="239"/>
  <c r="AH27" i="239"/>
  <c r="AG29" i="239"/>
  <c r="AG30" i="239" s="1"/>
  <c r="AH28" i="239"/>
  <c r="AH29" i="239" s="1"/>
  <c r="AF35" i="239"/>
  <c r="AI56" i="239"/>
  <c r="AI59" i="239"/>
  <c r="L58" i="239"/>
  <c r="L61" i="239" s="1"/>
  <c r="N16" i="239"/>
  <c r="AL16" i="239" s="1"/>
  <c r="N12" i="239"/>
  <c r="AL12" i="239" s="1"/>
  <c r="AJ22" i="239"/>
  <c r="N39" i="239"/>
  <c r="X29" i="239"/>
  <c r="X35" i="239"/>
  <c r="Z45" i="239"/>
  <c r="Z34" i="239"/>
  <c r="Y29" i="239"/>
  <c r="AG35" i="239"/>
  <c r="AH32" i="239"/>
  <c r="AH34" i="239"/>
  <c r="AI40" i="239"/>
  <c r="AL40" i="239" s="1"/>
  <c r="AE58" i="239"/>
  <c r="AE61" i="239" s="1"/>
  <c r="N10" i="239"/>
  <c r="N13" i="239"/>
  <c r="AL13" i="239" s="1"/>
  <c r="N27" i="239"/>
  <c r="N34" i="239"/>
  <c r="N38" i="239"/>
  <c r="N56" i="239"/>
  <c r="Z38" i="239"/>
  <c r="Z31" i="239"/>
  <c r="Z33" i="239"/>
  <c r="Z28" i="239"/>
  <c r="AI10" i="239"/>
  <c r="AL10" i="239" s="1"/>
  <c r="AI31" i="239"/>
  <c r="AK32" i="239"/>
  <c r="AL32" i="239" s="1"/>
  <c r="AI33" i="239"/>
  <c r="AL33" i="239" s="1"/>
  <c r="AK34" i="239"/>
  <c r="N11" i="239"/>
  <c r="N14" i="239"/>
  <c r="AL14" i="239" s="1"/>
  <c r="N20" i="239"/>
  <c r="AL20" i="239" s="1"/>
  <c r="N31" i="239"/>
  <c r="N33" i="239"/>
  <c r="N37" i="239"/>
  <c r="N41" i="239"/>
  <c r="N44" i="239" s="1"/>
  <c r="N46" i="239"/>
  <c r="N57" i="239"/>
  <c r="V35" i="239"/>
  <c r="Z37" i="239"/>
  <c r="Z41" i="239"/>
  <c r="Z44" i="239" s="1"/>
  <c r="Z32" i="239"/>
  <c r="AH10" i="239"/>
  <c r="AI12" i="239"/>
  <c r="AI13" i="239"/>
  <c r="AI14" i="239"/>
  <c r="AI15" i="239"/>
  <c r="AI16" i="239"/>
  <c r="AI27" i="239"/>
  <c r="AL27" i="239" s="1"/>
  <c r="AI28" i="239"/>
  <c r="AI29" i="239" s="1"/>
  <c r="AI37" i="239"/>
  <c r="AK45" i="239"/>
  <c r="AK46" i="239"/>
  <c r="AH56" i="239"/>
  <c r="AH58" i="239" s="1"/>
  <c r="N62" i="239"/>
  <c r="P238" i="244"/>
  <c r="P82" i="244"/>
  <c r="N21" i="239"/>
  <c r="AL21" i="239" s="1"/>
  <c r="AH22" i="239"/>
  <c r="AH48" i="239" s="1"/>
  <c r="AH9" i="239"/>
  <c r="AH11" i="239"/>
  <c r="AH23" i="239"/>
  <c r="AH24" i="239" s="1"/>
  <c r="AH25" i="239"/>
  <c r="AH26" i="239" s="1"/>
  <c r="AE29" i="239"/>
  <c r="AE30" i="239" s="1"/>
  <c r="AH31" i="239"/>
  <c r="AH33" i="239"/>
  <c r="AE35" i="239"/>
  <c r="AH37" i="239"/>
  <c r="AH39" i="239"/>
  <c r="AH59" i="239"/>
  <c r="AF30" i="239"/>
  <c r="AF36" i="239" s="1"/>
  <c r="AL38" i="239"/>
  <c r="AE17" i="239"/>
  <c r="AE19" i="239" s="1"/>
  <c r="AL9" i="239"/>
  <c r="AL11" i="239"/>
  <c r="Z22" i="239"/>
  <c r="Y19" i="239"/>
  <c r="Y22" i="239"/>
  <c r="Y48" i="239" s="1"/>
  <c r="X24" i="239"/>
  <c r="X26" i="239"/>
  <c r="W48" i="239"/>
  <c r="Y30" i="239"/>
  <c r="X48" i="239"/>
  <c r="W29" i="239"/>
  <c r="W30" i="239" s="1"/>
  <c r="W36" i="239" s="1"/>
  <c r="W61" i="239"/>
  <c r="X58" i="239"/>
  <c r="X61" i="239" s="1"/>
  <c r="Y58" i="239"/>
  <c r="Y61" i="239" s="1"/>
  <c r="V48" i="239"/>
  <c r="V30" i="239"/>
  <c r="N9" i="239"/>
  <c r="M58" i="239"/>
  <c r="M61" i="239" s="1"/>
  <c r="P224" i="244"/>
  <c r="P85" i="244"/>
  <c r="AL23" i="239" l="1"/>
  <c r="AL24" i="239" s="1"/>
  <c r="AL34" i="239"/>
  <c r="AL59" i="239"/>
  <c r="AJ48" i="239"/>
  <c r="AK19" i="239"/>
  <c r="V36" i="239"/>
  <c r="AG36" i="239"/>
  <c r="AG47" i="239" s="1"/>
  <c r="AG49" i="239" s="1"/>
  <c r="AI17" i="239"/>
  <c r="AI19" i="239" s="1"/>
  <c r="AE36" i="239"/>
  <c r="AE47" i="239" s="1"/>
  <c r="AE49" i="239" s="1"/>
  <c r="Y36" i="239"/>
  <c r="S36" i="239"/>
  <c r="S47" i="239" s="1"/>
  <c r="S49" i="239" s="1"/>
  <c r="W47" i="239"/>
  <c r="W49" i="239" s="1"/>
  <c r="AF47" i="239"/>
  <c r="AF49" i="239" s="1"/>
  <c r="AJ61" i="239"/>
  <c r="AJ30" i="239"/>
  <c r="V47" i="239"/>
  <c r="V49" i="239" s="1"/>
  <c r="V52" i="239" s="1"/>
  <c r="AL41" i="239"/>
  <c r="AL44" i="239" s="1"/>
  <c r="Z48" i="239"/>
  <c r="AJ35" i="239"/>
  <c r="X30" i="239"/>
  <c r="AL37" i="239"/>
  <c r="AJ19" i="239"/>
  <c r="AL45" i="239"/>
  <c r="Z61" i="239"/>
  <c r="Z55" i="239" s="1"/>
  <c r="AH61" i="239"/>
  <c r="AH55" i="239" s="1"/>
  <c r="AL46" i="239"/>
  <c r="AL18" i="239"/>
  <c r="AL25" i="239"/>
  <c r="AL26" i="239" s="1"/>
  <c r="Z35" i="239"/>
  <c r="AK48" i="239"/>
  <c r="AL28" i="239"/>
  <c r="Z29" i="239"/>
  <c r="Z30" i="239" s="1"/>
  <c r="AL22" i="239"/>
  <c r="AL31" i="239"/>
  <c r="AL35" i="239" s="1"/>
  <c r="AI35" i="239"/>
  <c r="AL56" i="239"/>
  <c r="AL58" i="239" s="1"/>
  <c r="AI58" i="239"/>
  <c r="AI61" i="239" s="1"/>
  <c r="AK29" i="239"/>
  <c r="AK30" i="239" s="1"/>
  <c r="AH30" i="239"/>
  <c r="N58" i="239"/>
  <c r="AK35" i="239"/>
  <c r="AI30" i="239"/>
  <c r="AL17" i="239"/>
  <c r="AH35" i="239"/>
  <c r="AH17" i="239"/>
  <c r="AH19" i="239" s="1"/>
  <c r="Y47" i="239"/>
  <c r="Y49" i="239" s="1"/>
  <c r="L81" i="244"/>
  <c r="H81" i="244"/>
  <c r="H243" i="244"/>
  <c r="L243" i="244"/>
  <c r="AI36" i="239" l="1"/>
  <c r="AH36" i="239"/>
  <c r="Z36" i="239"/>
  <c r="Z47" i="239" s="1"/>
  <c r="Z49" i="239" s="1"/>
  <c r="Z52" i="239" s="1"/>
  <c r="AJ36" i="239"/>
  <c r="AJ47" i="239" s="1"/>
  <c r="AJ49" i="239" s="1"/>
  <c r="X36" i="239"/>
  <c r="X47" i="239" s="1"/>
  <c r="X49" i="239" s="1"/>
  <c r="AK36" i="239"/>
  <c r="AK47" i="239" s="1"/>
  <c r="AK49" i="239" s="1"/>
  <c r="AH47" i="239"/>
  <c r="AH49" i="239" s="1"/>
  <c r="AH52" i="239" s="1"/>
  <c r="AL29" i="239"/>
  <c r="AL30" i="239" s="1"/>
  <c r="AL36" i="239" s="1"/>
  <c r="AL19" i="239"/>
  <c r="AL48" i="239"/>
  <c r="N61" i="239"/>
  <c r="N55" i="239" s="1"/>
  <c r="AL61" i="239"/>
  <c r="AL55" i="239" s="1"/>
  <c r="AI47" i="239"/>
  <c r="AI49" i="239" s="1"/>
  <c r="P81" i="244"/>
  <c r="P243" i="244"/>
  <c r="G35" i="239"/>
  <c r="H35" i="239"/>
  <c r="I35" i="239"/>
  <c r="J35" i="239"/>
  <c r="K35" i="239"/>
  <c r="L35" i="239"/>
  <c r="M35" i="239"/>
  <c r="N35" i="239"/>
  <c r="G29" i="239"/>
  <c r="H29" i="239"/>
  <c r="I29" i="239"/>
  <c r="J29" i="239"/>
  <c r="K29" i="239"/>
  <c r="L29" i="239"/>
  <c r="M29" i="239"/>
  <c r="N29" i="239"/>
  <c r="G26" i="239"/>
  <c r="G30" i="239" s="1"/>
  <c r="H26" i="239"/>
  <c r="I26" i="239"/>
  <c r="J26" i="239"/>
  <c r="K26" i="239"/>
  <c r="L26" i="239"/>
  <c r="M26" i="239"/>
  <c r="N26" i="239"/>
  <c r="G24" i="239"/>
  <c r="H24" i="239"/>
  <c r="I24" i="239"/>
  <c r="J24" i="239"/>
  <c r="K24" i="239"/>
  <c r="L24" i="239"/>
  <c r="M24" i="239"/>
  <c r="N24" i="239"/>
  <c r="G22" i="239"/>
  <c r="H22" i="239"/>
  <c r="H48" i="239" s="1"/>
  <c r="I22" i="239"/>
  <c r="J22" i="239"/>
  <c r="K22" i="239"/>
  <c r="L22" i="239"/>
  <c r="M22" i="239"/>
  <c r="N22" i="239"/>
  <c r="G17" i="239"/>
  <c r="G19" i="239" s="1"/>
  <c r="H17" i="239"/>
  <c r="H19" i="239" s="1"/>
  <c r="I17" i="239"/>
  <c r="I19" i="239" s="1"/>
  <c r="J17" i="239"/>
  <c r="J19" i="239" s="1"/>
  <c r="K17" i="239"/>
  <c r="K19" i="239" s="1"/>
  <c r="L17" i="239"/>
  <c r="L19" i="239" s="1"/>
  <c r="M17" i="239"/>
  <c r="M19" i="239" s="1"/>
  <c r="N17" i="239"/>
  <c r="N19" i="239" s="1"/>
  <c r="G36" i="239" l="1"/>
  <c r="H30" i="239"/>
  <c r="H36" i="239" s="1"/>
  <c r="H47" i="239" s="1"/>
  <c r="H49" i="239" s="1"/>
  <c r="M30" i="239"/>
  <c r="M36" i="239" s="1"/>
  <c r="M47" i="239" s="1"/>
  <c r="I30" i="239"/>
  <c r="AL47" i="239"/>
  <c r="AL49" i="239" s="1"/>
  <c r="AL52" i="239" s="1"/>
  <c r="K30" i="239"/>
  <c r="K48" i="239"/>
  <c r="G48" i="239"/>
  <c r="G47" i="239"/>
  <c r="N48" i="239"/>
  <c r="N30" i="239"/>
  <c r="J30" i="239"/>
  <c r="J36" i="239" s="1"/>
  <c r="I48" i="239"/>
  <c r="L48" i="239"/>
  <c r="L30" i="239"/>
  <c r="M48" i="239"/>
  <c r="J48" i="239"/>
  <c r="W9" i="240"/>
  <c r="AH27" i="240"/>
  <c r="AE9" i="240"/>
  <c r="I36" i="239" l="1"/>
  <c r="I47" i="239" s="1"/>
  <c r="I49" i="239" s="1"/>
  <c r="K36" i="239"/>
  <c r="K47" i="239" s="1"/>
  <c r="K49" i="239" s="1"/>
  <c r="J47" i="239"/>
  <c r="J49" i="239" s="1"/>
  <c r="J52" i="239" s="1"/>
  <c r="L36" i="239"/>
  <c r="L47" i="239" s="1"/>
  <c r="L49" i="239" s="1"/>
  <c r="N36" i="239"/>
  <c r="N47" i="239" s="1"/>
  <c r="N49" i="239" s="1"/>
  <c r="N52" i="239" s="1"/>
  <c r="G49" i="239"/>
  <c r="M49" i="239"/>
  <c r="AG24" i="240"/>
  <c r="AF24" i="240"/>
  <c r="AF26" i="240" s="1"/>
  <c r="AE24" i="240"/>
  <c r="AG23" i="240"/>
  <c r="AG26" i="240" s="1"/>
  <c r="AE23" i="240"/>
  <c r="AG20" i="240"/>
  <c r="AF20" i="240"/>
  <c r="AE20" i="240"/>
  <c r="AG19" i="240"/>
  <c r="AF19" i="240"/>
  <c r="AE19" i="240"/>
  <c r="AG17" i="240"/>
  <c r="AF17" i="240"/>
  <c r="AE17" i="240"/>
  <c r="AG16" i="240"/>
  <c r="AF16" i="240"/>
  <c r="AE16" i="240"/>
  <c r="AG15" i="240"/>
  <c r="AF15" i="240"/>
  <c r="AE15" i="240"/>
  <c r="AG13" i="240"/>
  <c r="AF13" i="240"/>
  <c r="AE13" i="240"/>
  <c r="AG12" i="240"/>
  <c r="AF12" i="240"/>
  <c r="AE12" i="240"/>
  <c r="AG11" i="240"/>
  <c r="AF11" i="240"/>
  <c r="AE11" i="240"/>
  <c r="AG10" i="240"/>
  <c r="AF10" i="240"/>
  <c r="AE10" i="240"/>
  <c r="AG9" i="240"/>
  <c r="AF9" i="240"/>
  <c r="Y24" i="240"/>
  <c r="X24" i="240"/>
  <c r="W24" i="240"/>
  <c r="Y23" i="240"/>
  <c r="X23" i="240"/>
  <c r="W23" i="240"/>
  <c r="W26" i="240" s="1"/>
  <c r="V24" i="240"/>
  <c r="V23" i="240"/>
  <c r="V26" i="240" s="1"/>
  <c r="Y20" i="240"/>
  <c r="X20" i="240"/>
  <c r="W20" i="240"/>
  <c r="Y19" i="240"/>
  <c r="X19" i="240"/>
  <c r="W19" i="240"/>
  <c r="Y17" i="240"/>
  <c r="X17" i="240"/>
  <c r="W17" i="240"/>
  <c r="Y16" i="240"/>
  <c r="X16" i="240"/>
  <c r="W16" i="240"/>
  <c r="Y15" i="240"/>
  <c r="X15" i="240"/>
  <c r="W15" i="240"/>
  <c r="W11" i="240"/>
  <c r="X11" i="240"/>
  <c r="Y11" i="240"/>
  <c r="W12" i="240"/>
  <c r="X12" i="240"/>
  <c r="Y12" i="240"/>
  <c r="W13" i="240"/>
  <c r="X13" i="240"/>
  <c r="Y13" i="240"/>
  <c r="Y10" i="240"/>
  <c r="X10" i="240"/>
  <c r="W10" i="240"/>
  <c r="Y9" i="240"/>
  <c r="X9" i="240"/>
  <c r="V20" i="240"/>
  <c r="V19" i="240"/>
  <c r="V17" i="240"/>
  <c r="V16" i="240"/>
  <c r="V15" i="240"/>
  <c r="V11" i="240"/>
  <c r="V12" i="240"/>
  <c r="V13" i="240"/>
  <c r="V10" i="240"/>
  <c r="V9" i="240"/>
  <c r="Z27" i="240"/>
  <c r="AL27" i="240" s="1"/>
  <c r="S21" i="240"/>
  <c r="T21" i="240"/>
  <c r="U21" i="240"/>
  <c r="S18" i="240"/>
  <c r="T18" i="240"/>
  <c r="U18" i="240"/>
  <c r="S14" i="240"/>
  <c r="T14" i="240"/>
  <c r="U14" i="240"/>
  <c r="M24" i="240"/>
  <c r="L24" i="240"/>
  <c r="K24" i="240"/>
  <c r="M23" i="240"/>
  <c r="L23" i="240"/>
  <c r="K23" i="240"/>
  <c r="J24" i="240"/>
  <c r="J23" i="240"/>
  <c r="M20" i="240"/>
  <c r="L20" i="240"/>
  <c r="K20" i="240"/>
  <c r="M19" i="240"/>
  <c r="L19" i="240"/>
  <c r="K19" i="240"/>
  <c r="M17" i="240"/>
  <c r="L17" i="240"/>
  <c r="K17" i="240"/>
  <c r="M16" i="240"/>
  <c r="L16" i="240"/>
  <c r="K16" i="240"/>
  <c r="M15" i="240"/>
  <c r="L15" i="240"/>
  <c r="K15" i="240"/>
  <c r="K11" i="240"/>
  <c r="L11" i="240"/>
  <c r="M11" i="240"/>
  <c r="K12" i="240"/>
  <c r="L12" i="240"/>
  <c r="M12" i="240"/>
  <c r="K13" i="240"/>
  <c r="L13" i="240"/>
  <c r="M13" i="240"/>
  <c r="L10" i="240"/>
  <c r="M10" i="240"/>
  <c r="M9" i="240"/>
  <c r="L9" i="240"/>
  <c r="K10" i="240"/>
  <c r="K9" i="240"/>
  <c r="AI9" i="240" s="1"/>
  <c r="J20" i="240"/>
  <c r="J19" i="240"/>
  <c r="J16" i="240"/>
  <c r="J17" i="240"/>
  <c r="J15" i="240"/>
  <c r="J11" i="240"/>
  <c r="J12" i="240"/>
  <c r="J13" i="240"/>
  <c r="J10" i="240"/>
  <c r="G21" i="240"/>
  <c r="H21" i="240"/>
  <c r="I21" i="240"/>
  <c r="G18" i="240"/>
  <c r="H18" i="240"/>
  <c r="I18" i="240"/>
  <c r="G14" i="240"/>
  <c r="H14" i="240"/>
  <c r="I14" i="240"/>
  <c r="J9" i="240"/>
  <c r="X26" i="240" l="1"/>
  <c r="X21" i="240"/>
  <c r="Y26" i="240"/>
  <c r="Z20" i="240"/>
  <c r="V21" i="240"/>
  <c r="AI19" i="240"/>
  <c r="U22" i="240"/>
  <c r="J26" i="240"/>
  <c r="AJ17" i="240"/>
  <c r="AJ16" i="240"/>
  <c r="AJ12" i="240"/>
  <c r="AI13" i="240"/>
  <c r="AI11" i="240"/>
  <c r="L26" i="240"/>
  <c r="K21" i="240"/>
  <c r="M21" i="240"/>
  <c r="AH24" i="240"/>
  <c r="I22" i="240"/>
  <c r="AE21" i="240"/>
  <c r="T22" i="240"/>
  <c r="AE18" i="240"/>
  <c r="AK15" i="240"/>
  <c r="Z24" i="240"/>
  <c r="AG18" i="240"/>
  <c r="M26" i="240"/>
  <c r="W21" i="240"/>
  <c r="K26" i="240"/>
  <c r="AG21" i="240"/>
  <c r="AE26" i="240"/>
  <c r="S22" i="240"/>
  <c r="AK16" i="240"/>
  <c r="AJ15" i="240"/>
  <c r="X18" i="240"/>
  <c r="AI16" i="240"/>
  <c r="AI12" i="240"/>
  <c r="W14" i="240"/>
  <c r="N10" i="240"/>
  <c r="AJ24" i="240"/>
  <c r="AH23" i="240"/>
  <c r="AI17" i="240"/>
  <c r="N13" i="240"/>
  <c r="AE14" i="240"/>
  <c r="AH13" i="240"/>
  <c r="AJ10" i="240"/>
  <c r="AK11" i="240"/>
  <c r="N11" i="240"/>
  <c r="AJ9" i="240"/>
  <c r="AK10" i="240"/>
  <c r="AK12" i="240"/>
  <c r="AK9" i="240"/>
  <c r="AK13" i="240"/>
  <c r="L21" i="240"/>
  <c r="N12" i="240"/>
  <c r="Z12" i="240"/>
  <c r="W18" i="240"/>
  <c r="Z17" i="240"/>
  <c r="AH16" i="240"/>
  <c r="AK19" i="240"/>
  <c r="AI20" i="240"/>
  <c r="AI24" i="240"/>
  <c r="Z13" i="240"/>
  <c r="Z16" i="240"/>
  <c r="AG14" i="240"/>
  <c r="AF18" i="240"/>
  <c r="AH17" i="240"/>
  <c r="AK17" i="240"/>
  <c r="AF21" i="240"/>
  <c r="AH20" i="240"/>
  <c r="AJ20" i="240"/>
  <c r="AJ13" i="240"/>
  <c r="AK20" i="240"/>
  <c r="AI23" i="240"/>
  <c r="AI26" i="240" s="1"/>
  <c r="AK24" i="240"/>
  <c r="AJ19" i="240"/>
  <c r="N20" i="240"/>
  <c r="N24" i="240"/>
  <c r="Y21" i="240"/>
  <c r="AK23" i="240"/>
  <c r="N17" i="240"/>
  <c r="L18" i="240"/>
  <c r="N15" i="240"/>
  <c r="H22" i="240"/>
  <c r="AJ11" i="240"/>
  <c r="AH11" i="240"/>
  <c r="G22" i="240"/>
  <c r="J14" i="240"/>
  <c r="N9" i="240"/>
  <c r="K18" i="240"/>
  <c r="N16" i="240"/>
  <c r="J21" i="240"/>
  <c r="N23" i="240"/>
  <c r="AJ23" i="240"/>
  <c r="V18" i="240"/>
  <c r="Z15" i="240"/>
  <c r="AI15" i="240"/>
  <c r="Z10" i="240"/>
  <c r="V14" i="240"/>
  <c r="Z11" i="240"/>
  <c r="AF14" i="240"/>
  <c r="AI10" i="240"/>
  <c r="Z9" i="240"/>
  <c r="Y14" i="240"/>
  <c r="AH10" i="240"/>
  <c r="AH12" i="240"/>
  <c r="AH9" i="240"/>
  <c r="AH15" i="240"/>
  <c r="AH19" i="240"/>
  <c r="Z23" i="240"/>
  <c r="Z26" i="240" s="1"/>
  <c r="Y18" i="240"/>
  <c r="Z19" i="240"/>
  <c r="X14" i="240"/>
  <c r="N19" i="240"/>
  <c r="M18" i="240"/>
  <c r="L14" i="240"/>
  <c r="M14" i="240"/>
  <c r="K14" i="240"/>
  <c r="J18" i="240"/>
  <c r="I45" i="261"/>
  <c r="J39" i="261"/>
  <c r="J40" i="261"/>
  <c r="J41" i="261"/>
  <c r="J44" i="261" s="1"/>
  <c r="J38" i="261"/>
  <c r="I39" i="261"/>
  <c r="I40" i="261"/>
  <c r="I41" i="261"/>
  <c r="I44" i="261" s="1"/>
  <c r="I38" i="261"/>
  <c r="J37" i="261"/>
  <c r="I37" i="261"/>
  <c r="J18" i="261"/>
  <c r="I18" i="261"/>
  <c r="J59" i="261"/>
  <c r="I59" i="261"/>
  <c r="H59" i="261"/>
  <c r="K59" i="261" s="1"/>
  <c r="H46" i="261"/>
  <c r="H45" i="261"/>
  <c r="E46" i="261"/>
  <c r="E45" i="261"/>
  <c r="H39" i="261"/>
  <c r="H40" i="261"/>
  <c r="H41" i="261"/>
  <c r="H44" i="261" s="1"/>
  <c r="H38" i="261"/>
  <c r="H37" i="261"/>
  <c r="E39" i="261"/>
  <c r="E40" i="261"/>
  <c r="E41" i="261"/>
  <c r="E44" i="261" s="1"/>
  <c r="E38" i="261"/>
  <c r="E37" i="261"/>
  <c r="H32" i="261"/>
  <c r="H33" i="261"/>
  <c r="H34" i="261"/>
  <c r="H31" i="261"/>
  <c r="E32" i="261"/>
  <c r="E33" i="261"/>
  <c r="E34" i="261"/>
  <c r="E31" i="261"/>
  <c r="E28" i="261"/>
  <c r="H28" i="261"/>
  <c r="H27" i="261"/>
  <c r="E27" i="261"/>
  <c r="E25" i="261"/>
  <c r="H25" i="261"/>
  <c r="H26" i="261" s="1"/>
  <c r="H23" i="261"/>
  <c r="H24" i="261" s="1"/>
  <c r="E23" i="261"/>
  <c r="E24" i="261" s="1"/>
  <c r="H21" i="261"/>
  <c r="H20" i="261"/>
  <c r="E21" i="261"/>
  <c r="E20" i="261"/>
  <c r="H18" i="261"/>
  <c r="E18" i="261"/>
  <c r="H11" i="261"/>
  <c r="H12" i="261"/>
  <c r="H13" i="261"/>
  <c r="H14" i="261"/>
  <c r="H15" i="261"/>
  <c r="H16" i="261"/>
  <c r="H10" i="261"/>
  <c r="H9" i="261"/>
  <c r="E11" i="261"/>
  <c r="K11" i="261" s="1"/>
  <c r="E12" i="261"/>
  <c r="E13" i="261"/>
  <c r="K13" i="261" s="1"/>
  <c r="E14" i="261"/>
  <c r="K14" i="261" s="1"/>
  <c r="E15" i="261"/>
  <c r="E16" i="261"/>
  <c r="E10" i="261"/>
  <c r="K10" i="261" s="1"/>
  <c r="E9" i="261"/>
  <c r="H58" i="261"/>
  <c r="G58" i="261"/>
  <c r="G61" i="261" s="1"/>
  <c r="E58" i="261"/>
  <c r="D58" i="261"/>
  <c r="D35" i="261"/>
  <c r="F35" i="261"/>
  <c r="G35" i="261"/>
  <c r="D29" i="261"/>
  <c r="F29" i="261"/>
  <c r="G29" i="261"/>
  <c r="D26" i="261"/>
  <c r="F26" i="261"/>
  <c r="G26" i="261"/>
  <c r="D24" i="261"/>
  <c r="F24" i="261"/>
  <c r="G24" i="261"/>
  <c r="D22" i="261"/>
  <c r="F22" i="261"/>
  <c r="G22" i="261"/>
  <c r="D17" i="261"/>
  <c r="D19" i="261" s="1"/>
  <c r="F17" i="261"/>
  <c r="F19" i="261" s="1"/>
  <c r="G17" i="261"/>
  <c r="G19" i="261" s="1"/>
  <c r="J46" i="261"/>
  <c r="J45" i="261"/>
  <c r="J34" i="261"/>
  <c r="J33" i="261"/>
  <c r="J32" i="261"/>
  <c r="J31" i="261"/>
  <c r="J28" i="261"/>
  <c r="J27" i="261"/>
  <c r="J25" i="261"/>
  <c r="J26" i="261" s="1"/>
  <c r="J23" i="261"/>
  <c r="J24" i="261" s="1"/>
  <c r="J21" i="261"/>
  <c r="J20" i="261"/>
  <c r="J16" i="261"/>
  <c r="J15" i="261"/>
  <c r="J14" i="261"/>
  <c r="J13" i="261"/>
  <c r="J12" i="261"/>
  <c r="J11" i="261"/>
  <c r="J10" i="261"/>
  <c r="J9" i="261"/>
  <c r="J23" i="260"/>
  <c r="J26" i="260" s="1"/>
  <c r="I23" i="260"/>
  <c r="I26" i="260" s="1"/>
  <c r="H20" i="260"/>
  <c r="H19" i="260"/>
  <c r="H16" i="260"/>
  <c r="H17" i="260"/>
  <c r="H15" i="260"/>
  <c r="H11" i="260"/>
  <c r="H12" i="260"/>
  <c r="H13" i="260"/>
  <c r="H10" i="260"/>
  <c r="H9" i="260"/>
  <c r="H27" i="260"/>
  <c r="K27" i="260" s="1"/>
  <c r="H23" i="260"/>
  <c r="H26" i="260" s="1"/>
  <c r="H62" i="261" s="1"/>
  <c r="E24" i="260"/>
  <c r="E23" i="260"/>
  <c r="E20" i="260"/>
  <c r="E19" i="260"/>
  <c r="E17" i="260"/>
  <c r="E16" i="260"/>
  <c r="E15" i="260"/>
  <c r="E10" i="260"/>
  <c r="E11" i="260"/>
  <c r="E12" i="260"/>
  <c r="E13" i="260"/>
  <c r="E9" i="260"/>
  <c r="G26" i="260"/>
  <c r="G62" i="261" s="1"/>
  <c r="D62" i="261"/>
  <c r="G21" i="260"/>
  <c r="G18" i="260"/>
  <c r="D18" i="260"/>
  <c r="G14" i="260"/>
  <c r="D14" i="260"/>
  <c r="J27" i="260"/>
  <c r="J20" i="260"/>
  <c r="J19" i="260"/>
  <c r="J17" i="260"/>
  <c r="J16" i="260"/>
  <c r="J15" i="260"/>
  <c r="J13" i="260"/>
  <c r="J12" i="260"/>
  <c r="J11" i="260"/>
  <c r="J10" i="260"/>
  <c r="J9" i="260"/>
  <c r="AG22" i="240" l="1"/>
  <c r="AK26" i="240"/>
  <c r="AH21" i="240"/>
  <c r="K12" i="261"/>
  <c r="AL24" i="240"/>
  <c r="K33" i="261"/>
  <c r="AH26" i="240"/>
  <c r="AI21" i="240"/>
  <c r="F48" i="261"/>
  <c r="K15" i="261"/>
  <c r="Z21" i="240"/>
  <c r="N26" i="240"/>
  <c r="N21" i="240"/>
  <c r="AH18" i="240"/>
  <c r="AL9" i="240"/>
  <c r="G55" i="261"/>
  <c r="H22" i="261"/>
  <c r="K21" i="261"/>
  <c r="AJ18" i="240"/>
  <c r="X22" i="240"/>
  <c r="AL12" i="240"/>
  <c r="AL13" i="240"/>
  <c r="AL15" i="240"/>
  <c r="AJ26" i="240"/>
  <c r="AJ21" i="240"/>
  <c r="D30" i="261"/>
  <c r="D36" i="261" s="1"/>
  <c r="D47" i="261" s="1"/>
  <c r="G30" i="261"/>
  <c r="G36" i="261" s="1"/>
  <c r="AE22" i="240"/>
  <c r="H61" i="261"/>
  <c r="H55" i="261" s="1"/>
  <c r="H21" i="260"/>
  <c r="G48" i="261"/>
  <c r="K25" i="261"/>
  <c r="K26" i="261" s="1"/>
  <c r="AK18" i="240"/>
  <c r="AL16" i="240"/>
  <c r="K9" i="260"/>
  <c r="E26" i="260"/>
  <c r="E62" i="261" s="1"/>
  <c r="K16" i="260"/>
  <c r="K12" i="260"/>
  <c r="D61" i="261"/>
  <c r="D55" i="261" s="1"/>
  <c r="J58" i="261"/>
  <c r="J61" i="261" s="1"/>
  <c r="K28" i="261"/>
  <c r="K38" i="261"/>
  <c r="E61" i="261"/>
  <c r="K58" i="261"/>
  <c r="K61" i="261" s="1"/>
  <c r="D48" i="261"/>
  <c r="K27" i="261"/>
  <c r="E29" i="261"/>
  <c r="K46" i="261"/>
  <c r="H29" i="261"/>
  <c r="H30" i="261" s="1"/>
  <c r="K23" i="261"/>
  <c r="K24" i="261" s="1"/>
  <c r="F30" i="261"/>
  <c r="F36" i="261" s="1"/>
  <c r="K32" i="261"/>
  <c r="K45" i="261"/>
  <c r="K41" i="261"/>
  <c r="K44" i="261" s="1"/>
  <c r="K40" i="261"/>
  <c r="K39" i="261"/>
  <c r="K37" i="261"/>
  <c r="K34" i="261"/>
  <c r="K31" i="261"/>
  <c r="E35" i="261"/>
  <c r="E22" i="261"/>
  <c r="E48" i="261" s="1"/>
  <c r="K20" i="261"/>
  <c r="K22" i="261" s="1"/>
  <c r="K18" i="261"/>
  <c r="C9" i="266"/>
  <c r="W22" i="240"/>
  <c r="AK14" i="240"/>
  <c r="AL17" i="240"/>
  <c r="Z18" i="240"/>
  <c r="N18" i="240"/>
  <c r="AI18" i="240"/>
  <c r="AL11" i="240"/>
  <c r="AJ14" i="240"/>
  <c r="AL10" i="240"/>
  <c r="AL19" i="240"/>
  <c r="N14" i="240"/>
  <c r="AK21" i="240"/>
  <c r="V22" i="240"/>
  <c r="V53" i="239" s="1"/>
  <c r="V51" i="239" s="1"/>
  <c r="V63" i="239" s="1"/>
  <c r="AF22" i="240"/>
  <c r="AL20" i="240"/>
  <c r="K16" i="261"/>
  <c r="J22" i="261"/>
  <c r="J48" i="261" s="1"/>
  <c r="J29" i="261"/>
  <c r="J30" i="261" s="1"/>
  <c r="J35" i="261"/>
  <c r="H17" i="261"/>
  <c r="H19" i="261" s="1"/>
  <c r="H35" i="261"/>
  <c r="H18" i="260"/>
  <c r="G22" i="260"/>
  <c r="G53" i="261" s="1"/>
  <c r="K23" i="260"/>
  <c r="J17" i="261"/>
  <c r="J19" i="261" s="1"/>
  <c r="L22" i="240"/>
  <c r="J22" i="240"/>
  <c r="J53" i="239" s="1"/>
  <c r="K22" i="240"/>
  <c r="K20" i="260"/>
  <c r="J21" i="260"/>
  <c r="E21" i="260"/>
  <c r="K17" i="260"/>
  <c r="E18" i="260"/>
  <c r="K15" i="260"/>
  <c r="J18" i="260"/>
  <c r="D22" i="260"/>
  <c r="D53" i="261" s="1"/>
  <c r="K13" i="260"/>
  <c r="E14" i="260"/>
  <c r="J62" i="261"/>
  <c r="AL23" i="240"/>
  <c r="AL26" i="240" s="1"/>
  <c r="AI14" i="240"/>
  <c r="Z14" i="240"/>
  <c r="J14" i="260"/>
  <c r="AH14" i="240"/>
  <c r="Y22" i="240"/>
  <c r="M22" i="240"/>
  <c r="H48" i="261"/>
  <c r="K29" i="261"/>
  <c r="E26" i="261"/>
  <c r="E17" i="261"/>
  <c r="E19" i="261" s="1"/>
  <c r="K9" i="261"/>
  <c r="K11" i="260"/>
  <c r="H14" i="260"/>
  <c r="K10" i="260"/>
  <c r="K24" i="260"/>
  <c r="C15" i="266" s="1"/>
  <c r="K19" i="260"/>
  <c r="O347" i="244"/>
  <c r="P347" i="244" s="1"/>
  <c r="O302" i="244"/>
  <c r="P302" i="244" s="1"/>
  <c r="O301" i="244"/>
  <c r="P301" i="244" s="1"/>
  <c r="O300" i="244"/>
  <c r="K374" i="244"/>
  <c r="K376" i="244" s="1"/>
  <c r="I374" i="244"/>
  <c r="I376" i="244" s="1"/>
  <c r="G374" i="244"/>
  <c r="G376" i="244" s="1"/>
  <c r="F374" i="244"/>
  <c r="F376" i="244" s="1"/>
  <c r="E374" i="244"/>
  <c r="E376" i="244" s="1"/>
  <c r="D374" i="244"/>
  <c r="D376" i="244" s="1"/>
  <c r="C374" i="244"/>
  <c r="C376" i="244" s="1"/>
  <c r="L236" i="244"/>
  <c r="L296" i="244" s="1"/>
  <c r="H236" i="244"/>
  <c r="H296" i="244" s="1"/>
  <c r="O8" i="244"/>
  <c r="L8" i="244"/>
  <c r="H8" i="244"/>
  <c r="H36" i="261" l="1"/>
  <c r="AH22" i="240"/>
  <c r="AH53" i="239" s="1"/>
  <c r="AH51" i="239" s="1"/>
  <c r="AH63" i="239" s="1"/>
  <c r="P300" i="244"/>
  <c r="P373" i="244" s="1"/>
  <c r="O373" i="244"/>
  <c r="J36" i="261"/>
  <c r="J47" i="261" s="1"/>
  <c r="J49" i="261" s="1"/>
  <c r="J52" i="261" s="1"/>
  <c r="J55" i="261"/>
  <c r="K17" i="261"/>
  <c r="K19" i="261" s="1"/>
  <c r="D49" i="261"/>
  <c r="D52" i="261" s="1"/>
  <c r="D51" i="261" s="1"/>
  <c r="D63" i="261" s="1"/>
  <c r="F47" i="261"/>
  <c r="F49" i="261" s="1"/>
  <c r="F52" i="261" s="1"/>
  <c r="G47" i="261"/>
  <c r="G49" i="261" s="1"/>
  <c r="G52" i="261" s="1"/>
  <c r="G51" i="261" s="1"/>
  <c r="G63" i="261" s="1"/>
  <c r="K30" i="261"/>
  <c r="AJ22" i="240"/>
  <c r="AK22" i="240"/>
  <c r="AL18" i="240"/>
  <c r="N22" i="240"/>
  <c r="AL21" i="240"/>
  <c r="E55" i="261"/>
  <c r="AI22" i="240"/>
  <c r="C14" i="266"/>
  <c r="C17" i="266" s="1"/>
  <c r="K26" i="260"/>
  <c r="H22" i="260"/>
  <c r="H53" i="261" s="1"/>
  <c r="E30" i="261"/>
  <c r="K35" i="261"/>
  <c r="H47" i="261"/>
  <c r="H49" i="261" s="1"/>
  <c r="H52" i="261" s="1"/>
  <c r="AL14" i="240"/>
  <c r="Z22" i="240"/>
  <c r="Z53" i="239" s="1"/>
  <c r="Z51" i="239" s="1"/>
  <c r="Z63" i="239" s="1"/>
  <c r="K48" i="261"/>
  <c r="K18" i="260"/>
  <c r="J51" i="239"/>
  <c r="J63" i="239" s="1"/>
  <c r="K21" i="260"/>
  <c r="E22" i="260"/>
  <c r="E53" i="261" s="1"/>
  <c r="J53" i="261"/>
  <c r="J22" i="260"/>
  <c r="K14" i="260"/>
  <c r="M374" i="244"/>
  <c r="M376" i="244" s="1"/>
  <c r="P236" i="244"/>
  <c r="P296" i="244" s="1"/>
  <c r="H374" i="244"/>
  <c r="H376" i="244" s="1"/>
  <c r="L374" i="244"/>
  <c r="L376" i="244" s="1"/>
  <c r="N374" i="244"/>
  <c r="N376" i="244" s="1"/>
  <c r="P8" i="244"/>
  <c r="J374" i="244"/>
  <c r="J376" i="244" s="1"/>
  <c r="K36" i="261" l="1"/>
  <c r="E36" i="261"/>
  <c r="E47" i="261" s="1"/>
  <c r="E49" i="261" s="1"/>
  <c r="E52" i="261" s="1"/>
  <c r="E51" i="261" s="1"/>
  <c r="E63" i="261" s="1"/>
  <c r="K47" i="261"/>
  <c r="K49" i="261" s="1"/>
  <c r="K52" i="261" s="1"/>
  <c r="C7" i="266" s="1"/>
  <c r="AL22" i="240"/>
  <c r="AL53" i="239" s="1"/>
  <c r="AL51" i="239" s="1"/>
  <c r="AL63" i="239" s="1"/>
  <c r="K53" i="261"/>
  <c r="H51" i="261"/>
  <c r="H63" i="261" s="1"/>
  <c r="K22" i="260"/>
  <c r="C13" i="266" s="1"/>
  <c r="O374" i="244"/>
  <c r="O376" i="244" s="1"/>
  <c r="P374" i="244"/>
  <c r="P376" i="244" s="1"/>
  <c r="AD27" i="240"/>
  <c r="X39" i="239" l="1"/>
  <c r="AJ39" i="239" s="1"/>
  <c r="W39" i="239"/>
  <c r="Z39" i="239" l="1"/>
  <c r="AI39" i="239"/>
  <c r="AL39" i="239" s="1"/>
  <c r="I9" i="260"/>
  <c r="F26" i="260" l="1"/>
  <c r="F62" i="261" s="1"/>
  <c r="C62" i="261"/>
  <c r="I27" i="260"/>
  <c r="AC59" i="239"/>
  <c r="AA59" i="239"/>
  <c r="R59" i="239"/>
  <c r="C35" i="261"/>
  <c r="I33" i="261"/>
  <c r="I34" i="261"/>
  <c r="F58" i="261"/>
  <c r="F61" i="261" s="1"/>
  <c r="C58" i="261"/>
  <c r="AC24" i="240"/>
  <c r="AB24" i="240"/>
  <c r="AA24" i="240"/>
  <c r="R24" i="240"/>
  <c r="F24" i="240"/>
  <c r="AC23" i="240"/>
  <c r="AB23" i="240"/>
  <c r="AA23" i="240"/>
  <c r="R23" i="240"/>
  <c r="F23" i="240"/>
  <c r="D35" i="239"/>
  <c r="E35" i="239"/>
  <c r="O35" i="239"/>
  <c r="P35" i="239"/>
  <c r="Q35" i="239"/>
  <c r="C35" i="239"/>
  <c r="AA33" i="239"/>
  <c r="AB33" i="239"/>
  <c r="AC33" i="239"/>
  <c r="AA34" i="239"/>
  <c r="AB34" i="239"/>
  <c r="AC34" i="239"/>
  <c r="F33" i="239"/>
  <c r="F34" i="239"/>
  <c r="AC62" i="239"/>
  <c r="AB62" i="239"/>
  <c r="AA62" i="239"/>
  <c r="R62" i="239"/>
  <c r="F62" i="239"/>
  <c r="AB59" i="239"/>
  <c r="AC58" i="239"/>
  <c r="Q58" i="239"/>
  <c r="Q61" i="239" s="1"/>
  <c r="P58" i="239"/>
  <c r="P61" i="239" s="1"/>
  <c r="O58" i="239"/>
  <c r="O61" i="239" s="1"/>
  <c r="E58" i="239"/>
  <c r="E61" i="239" s="1"/>
  <c r="D58" i="239"/>
  <c r="D61" i="239" s="1"/>
  <c r="C58" i="239"/>
  <c r="C61" i="239" s="1"/>
  <c r="AB57" i="239"/>
  <c r="AA57" i="239"/>
  <c r="R57" i="239"/>
  <c r="F57" i="239"/>
  <c r="AB56" i="239"/>
  <c r="AA56" i="239"/>
  <c r="R56" i="239"/>
  <c r="R58" i="239" s="1"/>
  <c r="F56" i="239"/>
  <c r="R20" i="239"/>
  <c r="R21" i="239"/>
  <c r="C22" i="261"/>
  <c r="I21" i="261"/>
  <c r="AA21" i="239"/>
  <c r="AB21" i="239"/>
  <c r="AC21" i="239"/>
  <c r="D22" i="239"/>
  <c r="E22" i="239"/>
  <c r="O22" i="239"/>
  <c r="P22" i="239"/>
  <c r="Q22" i="239"/>
  <c r="C22" i="239"/>
  <c r="F21" i="239"/>
  <c r="F18" i="239"/>
  <c r="R18" i="239"/>
  <c r="AC18" i="239"/>
  <c r="AB18" i="239"/>
  <c r="AA18" i="239"/>
  <c r="C24" i="239"/>
  <c r="F37" i="239"/>
  <c r="R46" i="239"/>
  <c r="R41" i="239"/>
  <c r="R44" i="239" s="1"/>
  <c r="R39" i="239"/>
  <c r="R40" i="239"/>
  <c r="R38" i="239"/>
  <c r="F39" i="239"/>
  <c r="F40" i="239"/>
  <c r="F38" i="239"/>
  <c r="R37" i="239"/>
  <c r="R31" i="239"/>
  <c r="R35" i="239" s="1"/>
  <c r="D14" i="240"/>
  <c r="O14" i="240"/>
  <c r="P14" i="240"/>
  <c r="Q14" i="240"/>
  <c r="C14" i="240"/>
  <c r="AC40" i="239"/>
  <c r="AB40" i="239"/>
  <c r="AA40" i="239"/>
  <c r="AC39" i="239"/>
  <c r="AB39" i="239"/>
  <c r="AA39" i="239"/>
  <c r="AC38" i="239"/>
  <c r="AB38" i="239"/>
  <c r="AA38" i="239"/>
  <c r="AC37" i="239"/>
  <c r="AB37" i="239"/>
  <c r="AA37" i="239"/>
  <c r="D21" i="240"/>
  <c r="E21" i="240"/>
  <c r="O21" i="240"/>
  <c r="P21" i="240"/>
  <c r="Q21" i="240"/>
  <c r="C21" i="240"/>
  <c r="F21" i="260"/>
  <c r="C21" i="260"/>
  <c r="I10" i="260"/>
  <c r="I15" i="260"/>
  <c r="I46" i="261"/>
  <c r="I32" i="261"/>
  <c r="I31" i="261"/>
  <c r="C29" i="261"/>
  <c r="I28" i="261"/>
  <c r="I27" i="261"/>
  <c r="C26" i="261"/>
  <c r="I25" i="261"/>
  <c r="I26" i="261" s="1"/>
  <c r="I23" i="261"/>
  <c r="I24" i="261" s="1"/>
  <c r="I20" i="261"/>
  <c r="C17" i="261"/>
  <c r="C19" i="261" s="1"/>
  <c r="I16" i="261"/>
  <c r="I15" i="261"/>
  <c r="I14" i="261"/>
  <c r="I13" i="261"/>
  <c r="I12" i="261"/>
  <c r="I11" i="261"/>
  <c r="I10" i="261"/>
  <c r="I9" i="261"/>
  <c r="P48" i="239"/>
  <c r="D29" i="239"/>
  <c r="E29" i="239"/>
  <c r="O29" i="239"/>
  <c r="P29" i="239"/>
  <c r="Q29" i="239"/>
  <c r="C29" i="239"/>
  <c r="D26" i="239"/>
  <c r="E26" i="239"/>
  <c r="O26" i="239"/>
  <c r="P26" i="239"/>
  <c r="Q26" i="239"/>
  <c r="C26" i="239"/>
  <c r="D24" i="239"/>
  <c r="E24" i="239"/>
  <c r="O24" i="239"/>
  <c r="P24" i="239"/>
  <c r="Q24" i="239"/>
  <c r="D17" i="239"/>
  <c r="D19" i="239" s="1"/>
  <c r="E17" i="239"/>
  <c r="E19" i="239" s="1"/>
  <c r="O17" i="239"/>
  <c r="O19" i="239" s="1"/>
  <c r="P17" i="239"/>
  <c r="P19" i="239" s="1"/>
  <c r="Q17" i="239"/>
  <c r="Q19" i="239" s="1"/>
  <c r="R17" i="239"/>
  <c r="C17" i="239"/>
  <c r="C19" i="239" s="1"/>
  <c r="C18" i="260"/>
  <c r="I20" i="260"/>
  <c r="I19" i="260"/>
  <c r="F18" i="260"/>
  <c r="I17" i="260"/>
  <c r="I16" i="260"/>
  <c r="C14" i="260"/>
  <c r="I13" i="260"/>
  <c r="I12" i="260"/>
  <c r="AC28" i="239"/>
  <c r="AB28" i="239"/>
  <c r="AA28" i="239"/>
  <c r="R28" i="239"/>
  <c r="R29" i="239" s="1"/>
  <c r="F28" i="239"/>
  <c r="AA45" i="239"/>
  <c r="R45" i="239"/>
  <c r="AC11" i="240"/>
  <c r="AC10" i="240"/>
  <c r="F9" i="240"/>
  <c r="AA9" i="240"/>
  <c r="AC9" i="240"/>
  <c r="F10" i="240"/>
  <c r="AA10" i="240"/>
  <c r="AB10" i="240"/>
  <c r="F11" i="240"/>
  <c r="R11" i="240"/>
  <c r="AB11" i="240"/>
  <c r="F13" i="240"/>
  <c r="R13" i="240"/>
  <c r="AA13" i="240"/>
  <c r="AB13" i="240"/>
  <c r="AC13" i="240"/>
  <c r="F12" i="240"/>
  <c r="R12" i="240"/>
  <c r="AA12" i="240"/>
  <c r="AB12" i="240"/>
  <c r="AC12" i="240"/>
  <c r="F15" i="240"/>
  <c r="R15" i="240"/>
  <c r="AA15" i="240"/>
  <c r="AB15" i="240"/>
  <c r="AC15" i="240"/>
  <c r="F16" i="240"/>
  <c r="R16" i="240"/>
  <c r="AA16" i="240"/>
  <c r="AB16" i="240"/>
  <c r="AC16" i="240"/>
  <c r="F17" i="240"/>
  <c r="R17" i="240"/>
  <c r="AA17" i="240"/>
  <c r="AB17" i="240"/>
  <c r="AC17" i="240"/>
  <c r="C18" i="240"/>
  <c r="D18" i="240"/>
  <c r="E18" i="240"/>
  <c r="O18" i="240"/>
  <c r="P18" i="240"/>
  <c r="Q18" i="240"/>
  <c r="F19" i="240"/>
  <c r="R19" i="240"/>
  <c r="AA19" i="240"/>
  <c r="AB19" i="240"/>
  <c r="AC19" i="240"/>
  <c r="F20" i="240"/>
  <c r="R20" i="240"/>
  <c r="AA20" i="240"/>
  <c r="AB20" i="240"/>
  <c r="AC20" i="240"/>
  <c r="F31" i="239"/>
  <c r="AA31" i="239"/>
  <c r="AB31" i="239"/>
  <c r="AC31" i="239"/>
  <c r="F25" i="239"/>
  <c r="F26" i="239" s="1"/>
  <c r="R25" i="239"/>
  <c r="R26" i="239" s="1"/>
  <c r="AA25" i="239"/>
  <c r="AA26" i="239" s="1"/>
  <c r="AB25" i="239"/>
  <c r="AB26" i="239" s="1"/>
  <c r="AC25" i="239"/>
  <c r="AC26" i="239" s="1"/>
  <c r="F23" i="239"/>
  <c r="F24" i="239" s="1"/>
  <c r="R23" i="239"/>
  <c r="R24" i="239" s="1"/>
  <c r="AA23" i="239"/>
  <c r="AA24" i="239" s="1"/>
  <c r="AB23" i="239"/>
  <c r="AB24" i="239" s="1"/>
  <c r="AC23" i="239"/>
  <c r="AC24" i="239" s="1"/>
  <c r="F32" i="239"/>
  <c r="AA32" i="239"/>
  <c r="AB32" i="239"/>
  <c r="AC32" i="239"/>
  <c r="F27" i="239"/>
  <c r="AA27" i="239"/>
  <c r="AB27" i="239"/>
  <c r="AC27" i="239"/>
  <c r="AB29" i="239"/>
  <c r="F9" i="239"/>
  <c r="AA9" i="239"/>
  <c r="AB9" i="239"/>
  <c r="AC9" i="239"/>
  <c r="F10" i="239"/>
  <c r="AA10" i="239"/>
  <c r="AB10" i="239"/>
  <c r="AC10" i="239"/>
  <c r="AB11" i="239"/>
  <c r="AC11" i="239"/>
  <c r="F12" i="239"/>
  <c r="AD12" i="239" s="1"/>
  <c r="AA12" i="239"/>
  <c r="AB12" i="239"/>
  <c r="AC12" i="239"/>
  <c r="F13" i="239"/>
  <c r="AD13" i="239" s="1"/>
  <c r="AA13" i="239"/>
  <c r="AB13" i="239"/>
  <c r="AC13" i="239"/>
  <c r="F14" i="239"/>
  <c r="AD14" i="239" s="1"/>
  <c r="AA14" i="239"/>
  <c r="AB14" i="239"/>
  <c r="AC14" i="239"/>
  <c r="F15" i="239"/>
  <c r="AD15" i="239" s="1"/>
  <c r="AA15" i="239"/>
  <c r="AB15" i="239"/>
  <c r="AC15" i="239"/>
  <c r="F16" i="239"/>
  <c r="AD16" i="239" s="1"/>
  <c r="AA16" i="239"/>
  <c r="AB16" i="239"/>
  <c r="AC16" i="239"/>
  <c r="F45" i="239"/>
  <c r="AC45" i="239"/>
  <c r="F41" i="239"/>
  <c r="F44" i="239" s="1"/>
  <c r="AA41" i="239"/>
  <c r="AA44" i="239" s="1"/>
  <c r="AB41" i="239"/>
  <c r="AB44" i="239" s="1"/>
  <c r="AC41" i="239"/>
  <c r="AC44" i="239" s="1"/>
  <c r="F20" i="239"/>
  <c r="AA20" i="239"/>
  <c r="AB20" i="239"/>
  <c r="AC20" i="239"/>
  <c r="AC22" i="239" s="1"/>
  <c r="F46" i="239"/>
  <c r="AA46" i="239"/>
  <c r="AB46" i="239"/>
  <c r="AC46" i="239"/>
  <c r="AB45" i="239"/>
  <c r="F11" i="239"/>
  <c r="AA11" i="239"/>
  <c r="R9" i="240"/>
  <c r="AA11" i="240"/>
  <c r="AB9" i="240"/>
  <c r="R10" i="240"/>
  <c r="I11" i="260"/>
  <c r="F14" i="260"/>
  <c r="AD21" i="239"/>
  <c r="D30" i="239" l="1"/>
  <c r="AA21" i="240"/>
  <c r="F58" i="239"/>
  <c r="F61" i="239" s="1"/>
  <c r="R26" i="240"/>
  <c r="I22" i="261"/>
  <c r="I48" i="261" s="1"/>
  <c r="AC61" i="239"/>
  <c r="D36" i="239"/>
  <c r="I58" i="261"/>
  <c r="I61" i="261" s="1"/>
  <c r="AB26" i="240"/>
  <c r="R30" i="239"/>
  <c r="R36" i="239" s="1"/>
  <c r="F55" i="239"/>
  <c r="R21" i="240"/>
  <c r="AA26" i="240"/>
  <c r="AD19" i="240"/>
  <c r="I21" i="260"/>
  <c r="F26" i="240"/>
  <c r="AC26" i="240"/>
  <c r="F55" i="261"/>
  <c r="F22" i="260"/>
  <c r="F53" i="261" s="1"/>
  <c r="F51" i="261" s="1"/>
  <c r="C61" i="261"/>
  <c r="C55" i="261" s="1"/>
  <c r="C48" i="261"/>
  <c r="I29" i="261"/>
  <c r="I30" i="261" s="1"/>
  <c r="I17" i="261"/>
  <c r="I19" i="261" s="1"/>
  <c r="R18" i="240"/>
  <c r="AD24" i="240"/>
  <c r="AB58" i="239"/>
  <c r="AB61" i="239" s="1"/>
  <c r="F29" i="239"/>
  <c r="F30" i="239" s="1"/>
  <c r="R22" i="239"/>
  <c r="Q48" i="239"/>
  <c r="AD57" i="239"/>
  <c r="AA58" i="239"/>
  <c r="AA61" i="239" s="1"/>
  <c r="AC17" i="239"/>
  <c r="AC19" i="239" s="1"/>
  <c r="K62" i="261"/>
  <c r="K55" i="261" s="1"/>
  <c r="I62" i="261"/>
  <c r="E30" i="239"/>
  <c r="E36" i="239" s="1"/>
  <c r="E47" i="239" s="1"/>
  <c r="R61" i="239"/>
  <c r="R55" i="239" s="1"/>
  <c r="AD27" i="239"/>
  <c r="AD28" i="239"/>
  <c r="Q30" i="239"/>
  <c r="AD32" i="239"/>
  <c r="P30" i="239"/>
  <c r="AD33" i="239"/>
  <c r="AC18" i="240"/>
  <c r="E22" i="240"/>
  <c r="K51" i="261"/>
  <c r="J51" i="261"/>
  <c r="J63" i="261" s="1"/>
  <c r="F21" i="240"/>
  <c r="AD20" i="240"/>
  <c r="D22" i="240"/>
  <c r="I14" i="260"/>
  <c r="Q22" i="240"/>
  <c r="R14" i="240"/>
  <c r="O22" i="240"/>
  <c r="I18" i="260"/>
  <c r="C48" i="239"/>
  <c r="C30" i="239"/>
  <c r="AD25" i="239"/>
  <c r="AD26" i="239" s="1"/>
  <c r="F22" i="239"/>
  <c r="F48" i="239" s="1"/>
  <c r="I35" i="261"/>
  <c r="AD9" i="239"/>
  <c r="AD62" i="239"/>
  <c r="AD46" i="239"/>
  <c r="AD37" i="239"/>
  <c r="R19" i="239"/>
  <c r="E48" i="239"/>
  <c r="AC48" i="239"/>
  <c r="AC35" i="239"/>
  <c r="AB22" i="239"/>
  <c r="AB48" i="239" s="1"/>
  <c r="AB30" i="239"/>
  <c r="AD23" i="239"/>
  <c r="AD24" i="239" s="1"/>
  <c r="AB35" i="239"/>
  <c r="D47" i="239"/>
  <c r="AD39" i="239"/>
  <c r="AD34" i="239"/>
  <c r="AD59" i="239"/>
  <c r="C30" i="261"/>
  <c r="AD56" i="239"/>
  <c r="AD58" i="239" s="1"/>
  <c r="AD45" i="239"/>
  <c r="D48" i="239"/>
  <c r="AD38" i="239"/>
  <c r="AD40" i="239"/>
  <c r="O48" i="239"/>
  <c r="AA22" i="239"/>
  <c r="AA48" i="239" s="1"/>
  <c r="AD18" i="239"/>
  <c r="AB17" i="239"/>
  <c r="AB19" i="239" s="1"/>
  <c r="F17" i="239"/>
  <c r="F19" i="239" s="1"/>
  <c r="AA17" i="239"/>
  <c r="AA19" i="239" s="1"/>
  <c r="C22" i="260"/>
  <c r="C53" i="261" s="1"/>
  <c r="AD15" i="240"/>
  <c r="AB18" i="240"/>
  <c r="AD11" i="240"/>
  <c r="AD12" i="240"/>
  <c r="AD10" i="240"/>
  <c r="AB21" i="240"/>
  <c r="AD17" i="240"/>
  <c r="F18" i="240"/>
  <c r="AB14" i="240"/>
  <c r="AA14" i="240"/>
  <c r="C22" i="240"/>
  <c r="AA29" i="239"/>
  <c r="AA30" i="239" s="1"/>
  <c r="AD9" i="240"/>
  <c r="AD11" i="239"/>
  <c r="AC29" i="239"/>
  <c r="AC30" i="239" s="1"/>
  <c r="AA35" i="239"/>
  <c r="AD31" i="239"/>
  <c r="AD13" i="240"/>
  <c r="P22" i="240"/>
  <c r="R48" i="239"/>
  <c r="AA18" i="240"/>
  <c r="AD23" i="240"/>
  <c r="AD41" i="239"/>
  <c r="AD44" i="239" s="1"/>
  <c r="AD20" i="239"/>
  <c r="AD22" i="239" s="1"/>
  <c r="AD10" i="239"/>
  <c r="F35" i="239"/>
  <c r="AC21" i="240"/>
  <c r="AD16" i="240"/>
  <c r="F14" i="240"/>
  <c r="AC14" i="240"/>
  <c r="O30" i="239"/>
  <c r="AB36" i="239" l="1"/>
  <c r="I53" i="261"/>
  <c r="AA36" i="239"/>
  <c r="I36" i="261"/>
  <c r="F36" i="239"/>
  <c r="F47" i="239" s="1"/>
  <c r="F49" i="239" s="1"/>
  <c r="F52" i="239" s="1"/>
  <c r="C36" i="261"/>
  <c r="C47" i="261" s="1"/>
  <c r="C49" i="261" s="1"/>
  <c r="C52" i="261" s="1"/>
  <c r="C51" i="261" s="1"/>
  <c r="C63" i="261" s="1"/>
  <c r="Q36" i="239"/>
  <c r="Q47" i="239" s="1"/>
  <c r="Q49" i="239" s="1"/>
  <c r="AC36" i="239"/>
  <c r="AC47" i="239" s="1"/>
  <c r="AC49" i="239" s="1"/>
  <c r="P36" i="239"/>
  <c r="P47" i="239" s="1"/>
  <c r="P49" i="239" s="1"/>
  <c r="O36" i="239"/>
  <c r="O47" i="239" s="1"/>
  <c r="O49" i="239" s="1"/>
  <c r="R22" i="240"/>
  <c r="R53" i="239" s="1"/>
  <c r="AD26" i="240"/>
  <c r="AD21" i="240"/>
  <c r="C36" i="239"/>
  <c r="C47" i="239" s="1"/>
  <c r="C49" i="239" s="1"/>
  <c r="E49" i="239"/>
  <c r="F63" i="261"/>
  <c r="I55" i="261"/>
  <c r="K63" i="261"/>
  <c r="C8" i="266"/>
  <c r="C11" i="266" s="1"/>
  <c r="C20" i="266" s="1"/>
  <c r="AD61" i="239"/>
  <c r="AD55" i="239" s="1"/>
  <c r="AD29" i="239"/>
  <c r="AD30" i="239" s="1"/>
  <c r="AB47" i="239"/>
  <c r="AB49" i="239" s="1"/>
  <c r="AD17" i="239"/>
  <c r="AD19" i="239" s="1"/>
  <c r="F22" i="240"/>
  <c r="F53" i="239" s="1"/>
  <c r="N53" i="239" s="1"/>
  <c r="I22" i="260"/>
  <c r="R47" i="239"/>
  <c r="R49" i="239" s="1"/>
  <c r="R52" i="239" s="1"/>
  <c r="AA47" i="239"/>
  <c r="AA49" i="239" s="1"/>
  <c r="I47" i="261"/>
  <c r="I49" i="261" s="1"/>
  <c r="AD35" i="239"/>
  <c r="D49" i="239"/>
  <c r="AB22" i="240"/>
  <c r="AD18" i="240"/>
  <c r="AA22" i="240"/>
  <c r="AC22" i="240"/>
  <c r="AD14" i="240"/>
  <c r="AD48" i="239"/>
  <c r="AD36" i="239" l="1"/>
  <c r="R51" i="239"/>
  <c r="R63" i="239" s="1"/>
  <c r="N51" i="239"/>
  <c r="N63" i="239" s="1"/>
  <c r="AD47" i="239"/>
  <c r="AD49" i="239" s="1"/>
  <c r="AD52" i="239" s="1"/>
  <c r="I52" i="261"/>
  <c r="I51" i="261" s="1"/>
  <c r="I63" i="261" s="1"/>
  <c r="F51" i="239"/>
  <c r="F63" i="239" s="1"/>
  <c r="C19" i="266"/>
  <c r="C21" i="266" s="1"/>
  <c r="AD22" i="240"/>
  <c r="AD53" i="239" s="1"/>
  <c r="AD51" i="239" l="1"/>
  <c r="AD63" i="239" s="1"/>
</calcChain>
</file>

<file path=xl/sharedStrings.xml><?xml version="1.0" encoding="utf-8"?>
<sst xmlns="http://schemas.openxmlformats.org/spreadsheetml/2006/main" count="3412" uniqueCount="1303">
  <si>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</si>
  <si>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</si>
  <si>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</si>
  <si>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</si>
  <si>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</si>
  <si>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</si>
  <si>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</si>
  <si>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</si>
  <si>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</si>
  <si>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</si>
  <si>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</si>
  <si>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</si>
  <si>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</si>
  <si>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</si>
  <si>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</si>
  <si>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</si>
  <si>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</si>
  <si>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</si>
  <si>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</si>
  <si>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</si>
  <si>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</si>
  <si>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</si>
  <si>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Székesfehérvár Megyei Jogú Város Önkormányzat</t>
  </si>
  <si>
    <t>Költségvetési szervek összesen</t>
  </si>
  <si>
    <t>Eredeti előirányzat</t>
  </si>
  <si>
    <t>~ ebből: Szent István Király Múzeum támogatása</t>
  </si>
  <si>
    <t xml:space="preserve">              Vörösmarty Mihály Megyei Könyvtár és a városi könyvtár támogatása</t>
  </si>
  <si>
    <t xml:space="preserve">              Vörösmarty Színház támogatása</t>
  </si>
  <si>
    <t>1, Személyi juttatás</t>
  </si>
  <si>
    <t>2, Munkaadókat terhelő járulékok és szociális hozzájárulási adó</t>
  </si>
  <si>
    <t>3, Dologi kiadás</t>
  </si>
  <si>
    <t>Személyi juttatás</t>
  </si>
  <si>
    <t>Munkaadókat terhelő járulékok és szociális hozzájárulási adó</t>
  </si>
  <si>
    <t>Dologi kiadás</t>
  </si>
  <si>
    <t>g.=b. +…+ f.</t>
  </si>
  <si>
    <t>h.</t>
  </si>
  <si>
    <t>i.</t>
  </si>
  <si>
    <t>j.</t>
  </si>
  <si>
    <t>k.=h. +i.+ j.</t>
  </si>
  <si>
    <t>l.</t>
  </si>
  <si>
    <t>m.</t>
  </si>
  <si>
    <t xml:space="preserve">III. </t>
  </si>
  <si>
    <t>Városfejlesztés</t>
  </si>
  <si>
    <t>Humán Szolgáltatás</t>
  </si>
  <si>
    <t>A.</t>
  </si>
  <si>
    <t>Kiadások összesen (I-VIII.)</t>
  </si>
  <si>
    <t>Céltartalék összesen</t>
  </si>
  <si>
    <t>IX.</t>
  </si>
  <si>
    <t>Tartalékok összesen</t>
  </si>
  <si>
    <t>C.</t>
  </si>
  <si>
    <t>KIADÁSOK MINDÖSSZESEN (I-IX.)</t>
  </si>
  <si>
    <t xml:space="preserve">             Alba Regia Sport Club - Ingatlan üzemeltetésével összefüggő költségekhez</t>
  </si>
  <si>
    <t>Beruházások</t>
  </si>
  <si>
    <t>MEGNEVEZÉS</t>
  </si>
  <si>
    <t>Működési bevételek</t>
  </si>
  <si>
    <t>Személyi juttatások</t>
  </si>
  <si>
    <t>Közhatalmi bevételek</t>
  </si>
  <si>
    <t>Dologi kiadások</t>
  </si>
  <si>
    <t>Tartalékok</t>
  </si>
  <si>
    <t>Felhalmozási bevételek</t>
  </si>
  <si>
    <t>Felújítások</t>
  </si>
  <si>
    <t>Költségvetési bevételek-kiadások egyenlege</t>
  </si>
  <si>
    <t>Költségvetési kiadások összesen:</t>
  </si>
  <si>
    <t>Költségvetési bevételek összesen:</t>
  </si>
  <si>
    <t>VAGYONGAZDÁLKODÁS</t>
  </si>
  <si>
    <t>VÁROS- ÉS KÖZSÉGGAZDÁLKODÁS</t>
  </si>
  <si>
    <t>HUMÁN SZOLGÁLTATÁS</t>
  </si>
  <si>
    <t xml:space="preserve">             Alba Regia Atlétikai Klub</t>
  </si>
  <si>
    <t>NEMZETISÉGI ÖNKORMÁNYZATOK</t>
  </si>
  <si>
    <t>~ ebből: Kulturális Alap</t>
  </si>
  <si>
    <t xml:space="preserve">              Egészségügyi Alap</t>
  </si>
  <si>
    <t xml:space="preserve">              Sport Alap</t>
  </si>
  <si>
    <t>Társadalmi Felelősségvállalási Alap</t>
  </si>
  <si>
    <t>Céltartalék</t>
  </si>
  <si>
    <t>Önkormányzat mindösszesen</t>
  </si>
  <si>
    <t xml:space="preserve">           Fehérvári Kézművesek Egyesülete</t>
  </si>
  <si>
    <t xml:space="preserve">           Hermann László Vonószenekari Egyesület</t>
  </si>
  <si>
    <t xml:space="preserve">           Székesfehérvári Művészek Társasága</t>
  </si>
  <si>
    <t>Általános tartalék</t>
  </si>
  <si>
    <t>Kiadások összesen</t>
  </si>
  <si>
    <t>I.</t>
  </si>
  <si>
    <t>Pénzügyi igazgatási feladatok</t>
  </si>
  <si>
    <t>Különféle adók, díjak, pénzügyi kiadások</t>
  </si>
  <si>
    <t>Közösségi, társadalmi és információs tevékenység</t>
  </si>
  <si>
    <t>Társadalmi kapcsolatok kiadásai</t>
  </si>
  <si>
    <t>Személyügyi kiadások</t>
  </si>
  <si>
    <t>Informatikai terület</t>
  </si>
  <si>
    <t>Szociális ellátási és gyermekvédelmi feladatok</t>
  </si>
  <si>
    <t>Fejlesztési, felhalmozási ráfordítások</t>
  </si>
  <si>
    <t>IV.</t>
  </si>
  <si>
    <t>Lakás-, vagyongazdálkodási kiadások</t>
  </si>
  <si>
    <t>V.</t>
  </si>
  <si>
    <t>Székesfehérvár Városgondnoksága Kft.</t>
  </si>
  <si>
    <t>Főépítészi kiadások</t>
  </si>
  <si>
    <t>Környezetvédelmi kiadások</t>
  </si>
  <si>
    <t>VI.</t>
  </si>
  <si>
    <t>Közoktatási feladatok</t>
  </si>
  <si>
    <t>Szociális intézményi és egészségügyi feladatok</t>
  </si>
  <si>
    <t>Közművelődési kiadások</t>
  </si>
  <si>
    <t>Diáksport és szabadidős tevékenység</t>
  </si>
  <si>
    <t>VII.</t>
  </si>
  <si>
    <t>VIII.</t>
  </si>
  <si>
    <t>Humán Közszolgálati Szakbizottsági keret</t>
  </si>
  <si>
    <t>Polgármesteri keret</t>
  </si>
  <si>
    <t>Képviselői Alap</t>
  </si>
  <si>
    <t xml:space="preserve">             Egyéb sportszakosztályi támogatások</t>
  </si>
  <si>
    <t xml:space="preserve">              Kegyeleti rendelet végrehajtása</t>
  </si>
  <si>
    <t xml:space="preserve">              Rászorulókat segítő karácsonyi programok és támogatások</t>
  </si>
  <si>
    <t>Nemzetközi kapcsolatok és reprezentáció</t>
  </si>
  <si>
    <t>~ ebből: Önkormányzati Informatikai Központ Nonprofit Kft.</t>
  </si>
  <si>
    <t>Rendvédelmi, közbiztonsági feladatok, védelmi felkészítés</t>
  </si>
  <si>
    <t>II.</t>
  </si>
  <si>
    <t>HATÓSÁGI TEVÉKENYSÉG</t>
  </si>
  <si>
    <t>III.</t>
  </si>
  <si>
    <t>IGAZGATÁSI TEVÉKENYSÉG</t>
  </si>
  <si>
    <t>Közbeszerzési és egyéb jogi eljárásokkal kapcsolatos kiadások</t>
  </si>
  <si>
    <t xml:space="preserve">             Köfém Sport Club Női Kézilabda Szakosztály</t>
  </si>
  <si>
    <t xml:space="preserve">              Jubileumi jutalom, jogszabályból fakadó személyi jellegű többlet kifizetések kerete</t>
  </si>
  <si>
    <t xml:space="preserve">           KÖFÉM Oktatási és Közművelődési Központ Nonprofit Közhasznú Kft.</t>
  </si>
  <si>
    <t>Környezetvédelmi Alap</t>
  </si>
  <si>
    <t>~ ebből: Nemzetközi kapcsolatok</t>
  </si>
  <si>
    <t xml:space="preserve">              Reprezentáció</t>
  </si>
  <si>
    <t xml:space="preserve">              Határon túli magyar kapcsolatok</t>
  </si>
  <si>
    <t xml:space="preserve">              Székesfehérvári Csemete Alapítvány támogatása - bölcsődei ellátás</t>
  </si>
  <si>
    <t xml:space="preserve">           Székesfehérvári Egyházmegye</t>
  </si>
  <si>
    <t xml:space="preserve"> - Kulturális feladatok</t>
  </si>
  <si>
    <t xml:space="preserve">  - Közművelődési megállapodások, támogatások</t>
  </si>
  <si>
    <t xml:space="preserve">           Vörösmarty Társaság</t>
  </si>
  <si>
    <t>~ ebből: Diáksportkör kiadásai</t>
  </si>
  <si>
    <t xml:space="preserve">              Sportcélok és feladatok</t>
  </si>
  <si>
    <t>~ ebből: Nyugdíjazással kapcsolatos kifizetések</t>
  </si>
  <si>
    <t xml:space="preserve">           Vasutas Országos Közművelődési és Szabadidő Egyesület Vörösmarty Mihály Művelődési Ház</t>
  </si>
  <si>
    <t xml:space="preserve">              Székesfehérvári Református Egyházközség támogatása - Olajfa Református Óvoda</t>
  </si>
  <si>
    <t>Tagdíjak, testületek</t>
  </si>
  <si>
    <t xml:space="preserve">              Székesfehérvári Fogyasztóvédelmi Egyesület</t>
  </si>
  <si>
    <t xml:space="preserve">              Alapítvány a Székesfehérvári Fogyasztóvédelemért</t>
  </si>
  <si>
    <t xml:space="preserve">           Alba Regia Vegyeskar Egyesület</t>
  </si>
  <si>
    <t xml:space="preserve">           Székesfehérvári "Bakony" Népzenei Együttes Egyesület</t>
  </si>
  <si>
    <t xml:space="preserve">           Székesfehérvári Ifjúsági Fúvószenekar Egyesület</t>
  </si>
  <si>
    <t xml:space="preserve">           "Aranybulla" Könyvtár Alapítvány</t>
  </si>
  <si>
    <t>Kötelező feladat</t>
  </si>
  <si>
    <t>Önként vállalt feladat</t>
  </si>
  <si>
    <t>X</t>
  </si>
  <si>
    <t>-</t>
  </si>
  <si>
    <t>Sportlétesítményekkel kapcsolatos kiadások</t>
  </si>
  <si>
    <t xml:space="preserve">             Handball Future Szolgáltató Kft.- Ingatlan üzemeltetésével összefüggő költségekhez</t>
  </si>
  <si>
    <t>Megnevezés</t>
  </si>
  <si>
    <t>a.</t>
  </si>
  <si>
    <t>b.</t>
  </si>
  <si>
    <t>c.</t>
  </si>
  <si>
    <t>d.</t>
  </si>
  <si>
    <t>e.</t>
  </si>
  <si>
    <t>f.</t>
  </si>
  <si>
    <t>Összesen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</si>
  <si>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</si>
  <si>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</si>
  <si>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</si>
  <si>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</si>
  <si>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</si>
  <si>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</si>
  <si>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</si>
  <si>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</si>
  <si>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</si>
  <si>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Rovat száma</t>
  </si>
  <si>
    <t>K1</t>
  </si>
  <si>
    <t>K2</t>
  </si>
  <si>
    <t>K3</t>
  </si>
  <si>
    <t>K4</t>
  </si>
  <si>
    <t>K6</t>
  </si>
  <si>
    <t>K7</t>
  </si>
  <si>
    <t>K8</t>
  </si>
  <si>
    <t>7, Beruházások</t>
  </si>
  <si>
    <t>8, Felújítások</t>
  </si>
  <si>
    <t>(K1-K8)</t>
  </si>
  <si>
    <t>B1</t>
  </si>
  <si>
    <t>B2</t>
  </si>
  <si>
    <t>B3</t>
  </si>
  <si>
    <t>B4</t>
  </si>
  <si>
    <t>B5</t>
  </si>
  <si>
    <t>B6</t>
  </si>
  <si>
    <t>B7</t>
  </si>
  <si>
    <t>4. Előző évi felhalmozási célú költségvetési maradvány igénybevétele</t>
  </si>
  <si>
    <t>5. Maradvány igénybevétele (3+4)</t>
  </si>
  <si>
    <t>B8</t>
  </si>
  <si>
    <t>Szennyvízcsatorna építések</t>
  </si>
  <si>
    <t>Székesfehérvár Vizi Társulat éves tagdíja</t>
  </si>
  <si>
    <t>Egyéb</t>
  </si>
  <si>
    <t>Tervezési munkák</t>
  </si>
  <si>
    <t>Hatósági és egyéb díjak</t>
  </si>
  <si>
    <t>Pályázat előkészítésére és önerő keret</t>
  </si>
  <si>
    <t>Belvárosi épületek rekonstrukcióját szolgáló fejlesztési alap (vissza nem térítendő támogatás)</t>
  </si>
  <si>
    <t>5, Egyéb működési célú kiadások</t>
  </si>
  <si>
    <t>3. Előző évi működési célú költségvetési  maradvány igénybevétele</t>
  </si>
  <si>
    <t>Tájékoztató Székesfehérvár Megyei Jogú Város Önkormányzat és  Költségvetési szervei</t>
  </si>
  <si>
    <t>Költségvetési szervek</t>
  </si>
  <si>
    <t>b/1</t>
  </si>
  <si>
    <t>c/1</t>
  </si>
  <si>
    <t>d/1</t>
  </si>
  <si>
    <t>1, Helyi önkormányzatok működésének általános támogatása</t>
  </si>
  <si>
    <t xml:space="preserve">4, Települési önkormányzatok kulturális feladatainak támogatása </t>
  </si>
  <si>
    <t>5, Működési célú központosított előirányzatok</t>
  </si>
  <si>
    <t>6, Önkormányzatok működési támogatásai összesen (1+2+3+4+5):</t>
  </si>
  <si>
    <t>B111</t>
  </si>
  <si>
    <t>B112</t>
  </si>
  <si>
    <t>B113</t>
  </si>
  <si>
    <t>B114</t>
  </si>
  <si>
    <t>B115</t>
  </si>
  <si>
    <t>B11</t>
  </si>
  <si>
    <t>B21</t>
  </si>
  <si>
    <t>B34</t>
  </si>
  <si>
    <t>B351</t>
  </si>
  <si>
    <t>B354</t>
  </si>
  <si>
    <t>B355</t>
  </si>
  <si>
    <t>B35</t>
  </si>
  <si>
    <t>B36</t>
  </si>
  <si>
    <t>B404</t>
  </si>
  <si>
    <t>B408</t>
  </si>
  <si>
    <t>B52</t>
  </si>
  <si>
    <t>11, Általános tartalék</t>
  </si>
  <si>
    <t>12, Céltartalék</t>
  </si>
  <si>
    <t>13, Tartalékok összesen:</t>
  </si>
  <si>
    <t>14,Költségvetési kiadások összesen:</t>
  </si>
  <si>
    <t>K9</t>
  </si>
  <si>
    <t>~ ebből: Tulajdonosi bevételek</t>
  </si>
  <si>
    <t xml:space="preserve">              Kiszámlázott általános forgalmi adó, és általános forgalmi adó visszatérítése</t>
  </si>
  <si>
    <t>B406-B407</t>
  </si>
  <si>
    <t xml:space="preserve">              Kamatbevételek</t>
  </si>
  <si>
    <t>B813</t>
  </si>
  <si>
    <t>1. Költségvetési bevételek mindösszesen</t>
  </si>
  <si>
    <t>2. Költségvetési kiadások mindösszesen</t>
  </si>
  <si>
    <t>I. Költségvetési bevételek</t>
  </si>
  <si>
    <t>III. Költségvetési kiadások</t>
  </si>
  <si>
    <t>V. Költségvetési egyenleg I-III.</t>
  </si>
  <si>
    <t>VI. Finanszírozási egyenleg II-IV.</t>
  </si>
  <si>
    <t>VII. Egyenleg V-VI.</t>
  </si>
  <si>
    <t>Székesfehérvár Megyei Jogú Város Önkormányzat és  Költségvetési szervei</t>
  </si>
  <si>
    <t>(B1-B7)</t>
  </si>
  <si>
    <t>1. Maradvány igénybevétele</t>
  </si>
  <si>
    <t>Műszaki ellenőrzések kerete</t>
  </si>
  <si>
    <t>7, Egyéb működési célú támogatások bevételei államháztartáson belülről</t>
  </si>
  <si>
    <t>B16</t>
  </si>
  <si>
    <t>8, Működési célú támogatások államháztartáson belülről összesen (6+7):</t>
  </si>
  <si>
    <t>9, Felhalmozási célú önkormányzati támogatások</t>
  </si>
  <si>
    <t>B25</t>
  </si>
  <si>
    <t>10, Egyéb felhalmozási célú támogatások bevételei államháztartáson belülről</t>
  </si>
  <si>
    <t>11, Felhalmozási célú támogatások államháztartáson belülről összesen: (9+10)</t>
  </si>
  <si>
    <t xml:space="preserve">              Közbiztonsági problémák társadalmi kezelése</t>
  </si>
  <si>
    <t>Anyakönyvi népesség-nyilvántartási és okmánykibocsátási tevékenység</t>
  </si>
  <si>
    <t xml:space="preserve">              Alba Volán Zrt. 504/2012.(VIII.17.) kgy.hat. .I. 1. b. pontja alapján történő finanszírozására</t>
  </si>
  <si>
    <t xml:space="preserve">           Fehérvári Versünnep, a Költészet Napja - Fehérvár Médiacentrum Kft.</t>
  </si>
  <si>
    <t xml:space="preserve">           Székesfehérvári Turisztikai Közhasznú Nonprofit Kft. - működéshez</t>
  </si>
  <si>
    <t xml:space="preserve"> - Kulturális feladatokhoz kapcsolódó egyéb rendezvények</t>
  </si>
  <si>
    <t>Sportszakosztályi és csarnoküzemeltetési támogatások</t>
  </si>
  <si>
    <t>Egyéb sportcélú támogatások</t>
  </si>
  <si>
    <t xml:space="preserve">              Intézményi kafetéria juttatás fedezetére</t>
  </si>
  <si>
    <t>~ ebből: Civil nap megrendezési költségei</t>
  </si>
  <si>
    <t xml:space="preserve">              Önkormányzati kitüntetések, címek</t>
  </si>
  <si>
    <t xml:space="preserve">              Lakásbérlők és Lakástulajdonosok Érdekvédelmi Egyesülete</t>
  </si>
  <si>
    <t xml:space="preserve">              Alba Regia Nyugdíjas Egyesület</t>
  </si>
  <si>
    <t xml:space="preserve">              Széna Egyesület a Családokért</t>
  </si>
  <si>
    <t xml:space="preserve">              Szegényeket Támogató Alapítvány</t>
  </si>
  <si>
    <t xml:space="preserve">              Ifjúság A Jövő Családjaiért Kulturális Közhasznú Egyesület</t>
  </si>
  <si>
    <t xml:space="preserve">              Székesfehérvári Egyházmegye-Belvárosi templomok turisztikai célú támogatása</t>
  </si>
  <si>
    <t xml:space="preserve">              Székesfehérvári Városszépítő- és Védő Egyesület</t>
  </si>
  <si>
    <t xml:space="preserve">              Magyar Hadisírgondozó Szövetség</t>
  </si>
  <si>
    <t xml:space="preserve">              Fehérvári Tűzoltó Egyesület</t>
  </si>
  <si>
    <t>Lakáselidegenítés kiadásai</t>
  </si>
  <si>
    <t xml:space="preserve">           Primavera Vegyeskórus Egyesület</t>
  </si>
  <si>
    <t xml:space="preserve">           Székesfehérvár-Tác Önkormányzati Társulás működésével kapcsolatos költségekre</t>
  </si>
  <si>
    <t xml:space="preserve">           "Ars Musica" Zenebarátok Egyesülete</t>
  </si>
  <si>
    <t>Egyéb felhalmozási célú kiadások</t>
  </si>
  <si>
    <t>Költségvetési kiadások összesen</t>
  </si>
  <si>
    <t>K5</t>
  </si>
  <si>
    <t>Működési célú támogatások államháztartáson belülről</t>
  </si>
  <si>
    <t>Felhalmozási célú támogatások államháztartáson belülről</t>
  </si>
  <si>
    <t>Működési célú átvett pénzeszközök</t>
  </si>
  <si>
    <t>Felhalmozási célú átvett pénzeszközök</t>
  </si>
  <si>
    <t>Maradvány igénybevétele</t>
  </si>
  <si>
    <t>n.=l.+m.</t>
  </si>
  <si>
    <t xml:space="preserve">           Vox Mirabilis Közhasznú Kulturális Egyesület</t>
  </si>
  <si>
    <t>Egyéb működési célú kiadások</t>
  </si>
  <si>
    <t>Egyéb felhalmozási célú  kiadások</t>
  </si>
  <si>
    <t>9, Egyéb felhalmozási célú kiadások</t>
  </si>
  <si>
    <t>K5(k512)</t>
  </si>
  <si>
    <t>K1-8.</t>
  </si>
  <si>
    <t>K1-5.</t>
  </si>
  <si>
    <t>K6-8.</t>
  </si>
  <si>
    <t>(K1-8.)</t>
  </si>
  <si>
    <t>B1-7.</t>
  </si>
  <si>
    <t>o.=g.+k.+n.</t>
  </si>
  <si>
    <t>Közlekedési kiadások</t>
  </si>
  <si>
    <t>~ ebből: HEROSZ Egyesület</t>
  </si>
  <si>
    <t>Felhalmozási célú támogatások bevételei államháztartáson belülről</t>
  </si>
  <si>
    <t>Működési költségvetési kiadások összesen:</t>
  </si>
  <si>
    <t>Működési költségvetési bevételek összesen:</t>
  </si>
  <si>
    <t>Működési költségvetési kiadások</t>
  </si>
  <si>
    <t>Működési költségvetési bevételek</t>
  </si>
  <si>
    <t>Felhalmozási költségvetési kiadások</t>
  </si>
  <si>
    <t>Felhalmozási költségvetési bevételek</t>
  </si>
  <si>
    <t xml:space="preserve">Felhalmozási bevételek </t>
  </si>
  <si>
    <t>Működési költségvetési bevételek-kiadások egyenlege</t>
  </si>
  <si>
    <t>Felhalmozási költségvetési bevételek- kiadások egyenlege</t>
  </si>
  <si>
    <t>Felhalmozási költségvetési kiadások összesen:</t>
  </si>
  <si>
    <t>Felhalmozási költségvetési bevételek összesen:</t>
  </si>
  <si>
    <t>Működési finanszírozási kiadások</t>
  </si>
  <si>
    <t>Működési finanszírozási bevételek</t>
  </si>
  <si>
    <t>Működési finanszírozási bevételek-kiadások egyenlege</t>
  </si>
  <si>
    <t>Működési finanszírozási kiadások összesen:</t>
  </si>
  <si>
    <t>Működési finanszírozási bevételek összesen:</t>
  </si>
  <si>
    <t>Működési egyenleg</t>
  </si>
  <si>
    <t>Felhalmozási finanszírozási kiadások</t>
  </si>
  <si>
    <t>Felhalmozási finanszírozási kiadások összesen:</t>
  </si>
  <si>
    <t>Felhalmozási finanszírozási bevételek</t>
  </si>
  <si>
    <t>Felhalmozási finanszírozási bevételek összesen:</t>
  </si>
  <si>
    <t>Felhalmozási egyenleg</t>
  </si>
  <si>
    <t>Finanszírozási kiadások összesen:</t>
  </si>
  <si>
    <t>Finanszírozási bevételek összesen:</t>
  </si>
  <si>
    <t>Egyenleg</t>
  </si>
  <si>
    <t>Finanszírozási bevételek-kiadások egyenlege</t>
  </si>
  <si>
    <t>Felhalmozási finanszírozási bevételek-kiadások egyenlege</t>
  </si>
  <si>
    <t>Támogatási keretek, alapok</t>
  </si>
  <si>
    <t>2. Irányító szervi támogatás</t>
  </si>
  <si>
    <t>Irányító szervi támogatás folyósítása</t>
  </si>
  <si>
    <t xml:space="preserve">Irányító szervi támogatás </t>
  </si>
  <si>
    <t>I. Költségvetési egyenleg (1-2) az Áht. szerint</t>
  </si>
  <si>
    <t>6. Irányító szervi támogatás</t>
  </si>
  <si>
    <t>B816</t>
  </si>
  <si>
    <t>9. Finanszírozási kiadások összesen:</t>
  </si>
  <si>
    <t>3, Települési önkormányzatok szociális, gyermekjóléti és gyermekétkeztetési feladatainak támogatása</t>
  </si>
  <si>
    <t>K915</t>
  </si>
  <si>
    <t>II. Finanszírozási bevételek összesen (1+2+3)</t>
  </si>
  <si>
    <t>K5 (K501-K512)</t>
  </si>
  <si>
    <t>K5 (K513)</t>
  </si>
  <si>
    <t>2, Települési önkormányzatok egyes köznevelési feladatainak támogatása</t>
  </si>
  <si>
    <t>5, Működési célú költségvetési támogatások és kiegészítő támogatások</t>
  </si>
  <si>
    <t xml:space="preserve">VÁROSFEJLESZTÉS </t>
  </si>
  <si>
    <t xml:space="preserve">           Alba Regia Táncegyesület - közszolgáltatási szerződés</t>
  </si>
  <si>
    <t xml:space="preserve">           Alba Regia Táncegyesület - programok és működési támogatás</t>
  </si>
  <si>
    <t xml:space="preserve">           Gárdonyi Géza Művelődési Ház és Könyvtár Egyesület</t>
  </si>
  <si>
    <t xml:space="preserve">             Alba Regia SC Kft. Kosárlabda Szakosztály</t>
  </si>
  <si>
    <t xml:space="preserve">             Delfin Sportegyesület- működésre</t>
  </si>
  <si>
    <t xml:space="preserve">             Laroco Motorsport Klub Veszprém-Fehérvár rally megrendezése</t>
  </si>
  <si>
    <t xml:space="preserve">             Pro Rekreatione Közhasznú Nonprofit Kft.- Velence-tavi Vízi Sportiskola működési támogatás</t>
  </si>
  <si>
    <t xml:space="preserve">              Nemzetiségi Alap</t>
  </si>
  <si>
    <t xml:space="preserve">              Kistelepülési könyvtári és közművelődési kiegészítő támogatás (Vörösmarty Könyvtár)</t>
  </si>
  <si>
    <t xml:space="preserve">           Fehérvári Programszervező Kft.</t>
  </si>
  <si>
    <t>~ ebből: Székesfehérvári Többcélú Kistérségi Társulás feladatellátásához való működési hozzájárulás</t>
  </si>
  <si>
    <t>Feladat megnevezése</t>
  </si>
  <si>
    <t>Szennyvízcsatorna összesen:</t>
  </si>
  <si>
    <t>Útfelújítások</t>
  </si>
  <si>
    <t xml:space="preserve">          Gyalogos és kerékpáros biztonsági program</t>
  </si>
  <si>
    <t xml:space="preserve">          Jelzőlámpa-rendszer fejlesztése</t>
  </si>
  <si>
    <t xml:space="preserve">          Közműoszlop-kiváltások</t>
  </si>
  <si>
    <t>Egyéb javaslat</t>
  </si>
  <si>
    <t xml:space="preserve">Várkörúti szoborpark felújítása </t>
  </si>
  <si>
    <t>Útfelújítások összesen:</t>
  </si>
  <si>
    <t>Csapadékvíz elvezetés, árvíz-belvíz védekezés</t>
  </si>
  <si>
    <t>Csapadékcsatorna üzemeltetés</t>
  </si>
  <si>
    <t>Brassói utca - csapadékcsatorna rekonstrukció</t>
  </si>
  <si>
    <t>Csapadékvíz elvezetés, árvíz-belvíz védekezés összesen:</t>
  </si>
  <si>
    <t>Korlátozási kártalanítás</t>
  </si>
  <si>
    <t>Szemünk Fénye program</t>
  </si>
  <si>
    <t>Belvárosi épületek rekonstrukcióját szolgáló fejlesztési alap (visszatérítendő támogatás)</t>
  </si>
  <si>
    <t>544/2015. (VII.23.) kgy.határozathoz kapcsolódó fejlesztési keret</t>
  </si>
  <si>
    <t>Egyéb összesen:</t>
  </si>
  <si>
    <t>Fő és gyűjtőutak felújítása - Ligetsor (Ligetsor felújítás és parkolómező, körforgalom, iskola-óvoda előtti tér, sétány)</t>
  </si>
  <si>
    <t>Székesfehérvár-Csala 22 kV-os vezeték kiváltása</t>
  </si>
  <si>
    <t>Autóbusz-hálózat átalakításával összefüggő feladatok</t>
  </si>
  <si>
    <t>Államigazgatási feladat</t>
  </si>
  <si>
    <t>Államigaz-gatási feladat</t>
  </si>
  <si>
    <t>Székesfehérvári Mikrovállalkozások Kamattámogatási Programja</t>
  </si>
  <si>
    <t xml:space="preserve">              Ifjúsági Alap</t>
  </si>
  <si>
    <t>Álláshely</t>
  </si>
  <si>
    <t>6, Működési költségvetési kiadások összesen</t>
  </si>
  <si>
    <t>10, Felhalmozási költségvetési kiadások összesen</t>
  </si>
  <si>
    <t>6, Működési költségvetési kiadások  összesen:</t>
  </si>
  <si>
    <t>10, Felhalmozási költségvetési kiadások összesen:</t>
  </si>
  <si>
    <t>Előző évi felhalmozási célú költségvetési maradvány igénybevétele</t>
  </si>
  <si>
    <t>Előző évi működési célú költségvetési maradvány igénybevétele</t>
  </si>
  <si>
    <t xml:space="preserve">             Maroshegyi Ifjúsági Egyesület</t>
  </si>
  <si>
    <t xml:space="preserve">             Egészség és Kultúra Egyesület - Fehérvár Feszt megrendezésének támogatása </t>
  </si>
  <si>
    <t xml:space="preserve">             Székesfehérvári Városszépítő- és Védő Egyesület - Székesfehérvár Hosszútemető műemlék jellegű sírjainak karbantartására, felújítására</t>
  </si>
  <si>
    <t>Működési költségvetés összesen</t>
  </si>
  <si>
    <t>Felhalmozási költségvetés összesen</t>
  </si>
  <si>
    <t>Önkormányzat eredeti előirányzata</t>
  </si>
  <si>
    <t>~ Igazgatási tevékenységet érintő átcsoportosítás</t>
  </si>
  <si>
    <t>~ Igazgatási tevékenységet érintő átcsoportosítás általános tartalékról</t>
  </si>
  <si>
    <t>~ Igazgatási tevékenységet érintő átcsoportosítás céltartalékról</t>
  </si>
  <si>
    <t xml:space="preserve">Költségvetési és finanszírozási egyenleg működési és felhalmozási cél szerinti bontásban (eFt-ban)  </t>
  </si>
  <si>
    <t>Módosított előirányzat</t>
  </si>
  <si>
    <t>Javasolt módosítás</t>
  </si>
  <si>
    <t>b/2</t>
  </si>
  <si>
    <t>b/3</t>
  </si>
  <si>
    <t>c/2</t>
  </si>
  <si>
    <t>c/3</t>
  </si>
  <si>
    <t>d/2</t>
  </si>
  <si>
    <t>d/3</t>
  </si>
  <si>
    <t>d/1=b/1+c/1</t>
  </si>
  <si>
    <t>d/2=b/2+c/2</t>
  </si>
  <si>
    <t>d/3=b/3+c/3</t>
  </si>
  <si>
    <t>b/1.</t>
  </si>
  <si>
    <t>b/2.</t>
  </si>
  <si>
    <t>b/3.</t>
  </si>
  <si>
    <t>c/1.</t>
  </si>
  <si>
    <t>c/2.</t>
  </si>
  <si>
    <t>c/3.</t>
  </si>
  <si>
    <t>d/1.=b/1.+c/1.</t>
  </si>
  <si>
    <t>d/2.=b/2.+c/2.</t>
  </si>
  <si>
    <t>d/3.=b/3.+c/3.</t>
  </si>
  <si>
    <t>Székesfehérvár Megyei Jogú Város Önkormányzat és Költségvetési szervei</t>
  </si>
  <si>
    <t>Diáksportkör kiadásai</t>
  </si>
  <si>
    <t>~ Intézményhez lebontva</t>
  </si>
  <si>
    <t>Tervezett felújítási munka</t>
  </si>
  <si>
    <t>Ybl Miklós-program: Intézményfelújítások</t>
  </si>
  <si>
    <t>Egyesített Szociális Intézmény</t>
  </si>
  <si>
    <t>Összesen:</t>
  </si>
  <si>
    <t>Mészöly Géza u. Orvosi rendelő</t>
  </si>
  <si>
    <t>Akadálymentesítéshez, lift kialakításához kapcsolódó munkák</t>
  </si>
  <si>
    <t>3. számú Bölcsőde</t>
  </si>
  <si>
    <t xml:space="preserve">Polgármesteri Hivatal </t>
  </si>
  <si>
    <t>Polgármesteri Hivatal épületeit érintő felújítások</t>
  </si>
  <si>
    <t>Tartalék keret</t>
  </si>
  <si>
    <t>Vis Maior</t>
  </si>
  <si>
    <t>Épület energiahatékonysági rekonstrukciója, akadálymentesítése, külső terek felújítása, eszközök beszerzése a TOP 6.2. intézkedés kiírására figyelemmel</t>
  </si>
  <si>
    <t xml:space="preserve">Rákóczi Utcai Óvoda </t>
  </si>
  <si>
    <t>Mindösszesen:</t>
  </si>
  <si>
    <t>~ Főösszeget nem érintő belső átcsoportosítás</t>
  </si>
  <si>
    <t>Kríziskezelő Központ</t>
  </si>
  <si>
    <t xml:space="preserve">           Önként vállalt feladat összesen</t>
  </si>
  <si>
    <t>Ebből: Kötelező feladat összesen</t>
  </si>
  <si>
    <t>összesen:</t>
  </si>
  <si>
    <t xml:space="preserve">            Önként vállalt feladat e.i.</t>
  </si>
  <si>
    <t>~ ebből:Kötelező feladate.i.</t>
  </si>
  <si>
    <t>Polgármesteri Hivatal</t>
  </si>
  <si>
    <t>Intézmények összesen:</t>
  </si>
  <si>
    <t>Kulturális ellátás összesen:</t>
  </si>
  <si>
    <t>A Szabadművelődés Háza</t>
  </si>
  <si>
    <t>Ebből: Önként vállalt feladat összesen</t>
  </si>
  <si>
    <t>~ ebből:Önként vállalt feladat e.i.</t>
  </si>
  <si>
    <t>Vörösmarty Színház</t>
  </si>
  <si>
    <t>Alba Regia Szimfonikus Zenekar</t>
  </si>
  <si>
    <t>Szent István Király Múzeum</t>
  </si>
  <si>
    <t>Vörösmarty Mihály Könyvtár</t>
  </si>
  <si>
    <t>Városi Levéltár és Kutatóintézet</t>
  </si>
  <si>
    <t xml:space="preserve">Székesfehérvári Intézményi Központ </t>
  </si>
  <si>
    <t>Szociális ellátás összesen</t>
  </si>
  <si>
    <t>Humán Szolg. összesen</t>
  </si>
  <si>
    <t>Óvodák összesen</t>
  </si>
  <si>
    <t>Ligetsori Óvoda</t>
  </si>
  <si>
    <t>Szivárvány Óvoda</t>
  </si>
  <si>
    <t>Tolnai Úti Óvoda</t>
  </si>
  <si>
    <t>Szárazréti Óvoda</t>
  </si>
  <si>
    <t>Napsugár Óvoda</t>
  </si>
  <si>
    <t>Maroshegyi Óvoda</t>
  </si>
  <si>
    <t>Hosszúsétatéri Óvoda</t>
  </si>
  <si>
    <t>Felsővárosi Óvoda</t>
  </si>
  <si>
    <t>Árpád Úti Óvoda</t>
  </si>
  <si>
    <t>Bölcsőde összesen</t>
  </si>
  <si>
    <t>Nyitnikék Bölcsőde</t>
  </si>
  <si>
    <t>Napraforgó Bölcsőde</t>
  </si>
  <si>
    <t>Százszorszép Bölcsőde</t>
  </si>
  <si>
    <t>Eü. Ellátás összesen</t>
  </si>
  <si>
    <t>Frim Jakab Képességfejlesztő Szakosított Otthon</t>
  </si>
  <si>
    <t>Humán Szolgáltató Intézet</t>
  </si>
  <si>
    <t>l.=j.+k.</t>
  </si>
  <si>
    <t>k.=d.+g.+i.</t>
  </si>
  <si>
    <t>j.=c.+e +f.+h.</t>
  </si>
  <si>
    <t>g.</t>
  </si>
  <si>
    <t>(B1-8.)</t>
  </si>
  <si>
    <t>(B1-7.)</t>
  </si>
  <si>
    <t>(B2+B5+B7)</t>
  </si>
  <si>
    <t>(B1+B3+B4+B6)</t>
  </si>
  <si>
    <t>Önkormányzati támogatás</t>
  </si>
  <si>
    <t>Bevételek  összesen</t>
  </si>
  <si>
    <t>Finanszírozási bevételek</t>
  </si>
  <si>
    <t>Költségvetési  bevételek összesen</t>
  </si>
  <si>
    <t xml:space="preserve"> Közhatalmi bevételek</t>
  </si>
  <si>
    <t>KÖLTSÉGVETÉSI SZERVEK</t>
  </si>
  <si>
    <t>cím</t>
  </si>
  <si>
    <t>o.=m.+n.</t>
  </si>
  <si>
    <t>n.</t>
  </si>
  <si>
    <t>m.=h.+l.</t>
  </si>
  <si>
    <t>l.=i.+j.+k.</t>
  </si>
  <si>
    <t>k.</t>
  </si>
  <si>
    <t>h.=c.+d.+e.+f.+g.</t>
  </si>
  <si>
    <t>(K1-9.)</t>
  </si>
  <si>
    <t>(K6-8.)</t>
  </si>
  <si>
    <t>(K1-5.)</t>
  </si>
  <si>
    <t>Kiadások  összesen</t>
  </si>
  <si>
    <t>Finanszírozási kiadások</t>
  </si>
  <si>
    <t>Egyéb működési célú  kiadások</t>
  </si>
  <si>
    <t>Ellátottak pénzbeli juttatásai</t>
  </si>
  <si>
    <t>Munkaadókat terhelő járulékok és szocilis hozzájárulási adó</t>
  </si>
  <si>
    <t xml:space="preserve"> INTÉZMÉNYEK</t>
  </si>
  <si>
    <t>Cím</t>
  </si>
  <si>
    <t>Működési költségvetési bevételek összesen</t>
  </si>
  <si>
    <t>Felhalmozási költségvetési bevételek összesen</t>
  </si>
  <si>
    <t>Rákóczi Utcai Óvoda</t>
  </si>
  <si>
    <t>Tolnai Utcai Óvoda</t>
  </si>
  <si>
    <t>Székesfehérvári Család- és Gyermekjóléti Központ</t>
  </si>
  <si>
    <t xml:space="preserve">           Államigazgatási feladat
           összesen</t>
  </si>
  <si>
    <t xml:space="preserve">            Államigazgatási feladat e.i.</t>
  </si>
  <si>
    <t>Működési költségvetési kiadások összesen</t>
  </si>
  <si>
    <t>Felhalmozási költségvetési kiadások  összesen</t>
  </si>
  <si>
    <t xml:space="preserve">I. </t>
  </si>
  <si>
    <t>Igazgatási tevékenység</t>
  </si>
  <si>
    <t>~ Intézményekhez lebontva</t>
  </si>
  <si>
    <t>~ Bevétel miatti növekedés</t>
  </si>
  <si>
    <t xml:space="preserve">   Költségvetési szerveknél foglalkoztatottak bérkompenzációja</t>
  </si>
  <si>
    <t>K9121</t>
  </si>
  <si>
    <t>B8121</t>
  </si>
  <si>
    <t>Forgatási célú belföldi értékpapírok beváltása, értékesítése</t>
  </si>
  <si>
    <t>Forgatási célú belföldi értékpapírok vásárlása</t>
  </si>
  <si>
    <t>7, Forgatási célú belföldi értékpapírok beváltása, értékesítése</t>
  </si>
  <si>
    <t>4, Ellátottak pénzbeli juttatásai</t>
  </si>
  <si>
    <t>15, Forgatási célú belföldi értékpapírok vásárlása</t>
  </si>
  <si>
    <t>K914</t>
  </si>
  <si>
    <t>17, Irányító szervi támogatás folyósítása</t>
  </si>
  <si>
    <t>18, Finanszírozási kiadások összesen:</t>
  </si>
  <si>
    <t>II. Finanszírozási egyenleg (8-9)</t>
  </si>
  <si>
    <t>8. Finanszírozási bevételek összesen (5+6+7):</t>
  </si>
  <si>
    <t>Egyenleg (I-II.)</t>
  </si>
  <si>
    <t>3. Forgatási célú belföldi értékpapírok beváltása, értékesítése</t>
  </si>
  <si>
    <t>1, Forgatási célú belföldi értékpapírok vásárlása</t>
  </si>
  <si>
    <t>3, Irányító szervi támogatás folyósítása</t>
  </si>
  <si>
    <t>IV. Finanszírozási kiadások összesen (1+2+3)</t>
  </si>
  <si>
    <t>Szolidaritási hozzájárulás</t>
  </si>
  <si>
    <t xml:space="preserve">             Vadásztölténygyári Vasas Ifjúsági és Sport Egyesület- Futballfesztivál megrendezésének támogatása</t>
  </si>
  <si>
    <t xml:space="preserve">             Ifjúsági feladatok és a Székesfehérvári Diáktanács működése</t>
  </si>
  <si>
    <t xml:space="preserve">             Székesfehérvári Szerb Nemzetiségi Önkormányzat- Szerb templom karbantartásához, felújításához, nyitvatartásához</t>
  </si>
  <si>
    <t xml:space="preserve">             GAP Média Kft. - Ezer Lámpás Éjszakája rendezvénysorozat</t>
  </si>
  <si>
    <t xml:space="preserve">             Székesfehérvári Születési Támogatási Program</t>
  </si>
  <si>
    <t xml:space="preserve">             Székesfehérvári Szociális Alapítvány</t>
  </si>
  <si>
    <t xml:space="preserve">             Székesfehérvári Érzékenyítő Program</t>
  </si>
  <si>
    <t xml:space="preserve">             Fehérvár kártya</t>
  </si>
  <si>
    <t>~ ebből: Városrészi közbiztonsági feladatok támogatása</t>
  </si>
  <si>
    <t xml:space="preserve">              Térfigyelő kamerarendszer bővítése (Közbiztonság növelését szolgáló fejlesztések megvalósítása)</t>
  </si>
  <si>
    <t>Víziközmű-fejlesztési Alap</t>
  </si>
  <si>
    <t>~ ebből: Helyi közösségi közlekedés finanszírozási kerete</t>
  </si>
  <si>
    <t xml:space="preserve">              Önálló Főiskolai Közalapítvány támogatása</t>
  </si>
  <si>
    <t xml:space="preserve">              Székesfehérvári Tankerületi Központ- oktatásszakmai munkájának támogatása</t>
  </si>
  <si>
    <t xml:space="preserve">              Székesfehérvári Szakképzési Centrum - oktatásszakmai munkájának támogatása</t>
  </si>
  <si>
    <t xml:space="preserve">              Mozgássérültek Fejér Megyei Egyesülete által fenntartott Viktória Rehabilitációs Központ egészségügyi és szociális ellátásának támogatása</t>
  </si>
  <si>
    <t xml:space="preserve">              Alba Civitan Rehabilitációs Nonprofit Kft. támogatása</t>
  </si>
  <si>
    <t xml:space="preserve">              Székesfehérvár Fejlődéséért Alapítvány támogatása</t>
  </si>
  <si>
    <t xml:space="preserve">              Kégl György Program - Fejér Megyei Szent György Egyetemi Oktató Kórház működési és fejlesztési támogatása</t>
  </si>
  <si>
    <t xml:space="preserve">              Kégl György Program - Egészségügyi feladatok</t>
  </si>
  <si>
    <t xml:space="preserve">              Társulási orvosi ügyeleti feladatok ellátásához személygépjármű beszerzés kerete</t>
  </si>
  <si>
    <t xml:space="preserve">           Bory-Vár Alapítvány támogatása</t>
  </si>
  <si>
    <t xml:space="preserve">           Kákics Kulturális Egyesület</t>
  </si>
  <si>
    <t>~ ebből: Fehérvár FC Kft.</t>
  </si>
  <si>
    <t xml:space="preserve">             Alba Volán Sportclub Öttusa Szakosztály</t>
  </si>
  <si>
    <t xml:space="preserve">             Fehérvár Enthroners Sportegyesület</t>
  </si>
  <si>
    <t xml:space="preserve">             Fehérvár Frizbi Sportegyesület</t>
  </si>
  <si>
    <t>TÁMOGATÁSI ALAPOK (KERETEK, ALAPOK)</t>
  </si>
  <si>
    <t xml:space="preserve">ebből: Hídfelújítások </t>
  </si>
  <si>
    <t xml:space="preserve">          Balatoni u. járda töltésmegerősítés kiviteli terv készítés</t>
  </si>
  <si>
    <t>Iskolák előtti közösségi terek kialakítása</t>
  </si>
  <si>
    <t>Közösségi terek tervezése, létrehozása</t>
  </si>
  <si>
    <t>Bátky áteresz ikresítése</t>
  </si>
  <si>
    <t>Jancsár árok mederkotrása külterületen (1+053- 1+659 szelvények között)</t>
  </si>
  <si>
    <t>Jancsár árok mederkotrása belterületen, Bakony utca teljes hosszában,iszapelhelyezéssel</t>
  </si>
  <si>
    <t>Árpád-ház programhoz kapcsolódó tervezési, előkészítési feladatok figyelemmel az 1315/2016.(VII.1.) Korm.határozatra</t>
  </si>
  <si>
    <t>Középiskolai Campus</t>
  </si>
  <si>
    <t>Utastájékoztatás (arculattervezés, táblacsere, menetrend, menetrendfüzet)</t>
  </si>
  <si>
    <t>Budapesti Corvinus Egyetem Székesfehérvári Campusa elhelyezésével és működtetésével kapcsolatos beruházások elvégzésére (479/2016. (VI.24.) kgy. hat. alapján)</t>
  </si>
  <si>
    <t>Székesfehérvár déli összekötőút megvalósítása, előkészítése</t>
  </si>
  <si>
    <t>Felsőváros vízrendezése II. ütem</t>
  </si>
  <si>
    <t>Varga csatorna mederrendezése</t>
  </si>
  <si>
    <t>Kégl és Távírda utca csapadékcsatorna rekonstrukció</t>
  </si>
  <si>
    <t>Vásárhelyi út felújítása Batthyányi utcai csomópontjától az ipari és logisztikai területek eléréséig</t>
  </si>
  <si>
    <t>Székesfehérvár szennyvíztisztító telep biogáz vonalának fejlesztése</t>
  </si>
  <si>
    <t>Palotavárosi tavak sport és rekreációs célú hasznosítása</t>
  </si>
  <si>
    <t>Villamos hálózat korszerűsítése</t>
  </si>
  <si>
    <t>Nyílászáró csere</t>
  </si>
  <si>
    <t>Napsugár Óvoda Nefelejcs Tagóvodája</t>
  </si>
  <si>
    <t>Budai u. 56/a ingatlan felújítása (Csemete Gyermekcentrum Bölcsőde)</t>
  </si>
  <si>
    <t>Kégl György Program</t>
  </si>
  <si>
    <t>Integrált Területi Program (ITP) felújításai</t>
  </si>
  <si>
    <t>Integrált Területi Program (ITP) felújításai összesen:</t>
  </si>
  <si>
    <t>Államháztartáson belüli megelőlegezések visszafizetése</t>
  </si>
  <si>
    <t>Sportcélok és feladatok</t>
  </si>
  <si>
    <t xml:space="preserve">~ Intézményhez lebontva </t>
  </si>
  <si>
    <t xml:space="preserve">IV. </t>
  </si>
  <si>
    <t>Vagyongazdálkodás</t>
  </si>
  <si>
    <t>Ssz.</t>
  </si>
  <si>
    <t>Projekt megnevezése</t>
  </si>
  <si>
    <t>Státusz</t>
  </si>
  <si>
    <t>Projekt összköltség</t>
  </si>
  <si>
    <t>2015. évi támogatás</t>
  </si>
  <si>
    <t>2016. évi támogatás</t>
  </si>
  <si>
    <t>2017. évi támogatás</t>
  </si>
  <si>
    <t>2018. évi támogatás</t>
  </si>
  <si>
    <t>2019. évi támogatás</t>
  </si>
  <si>
    <t>2020. évi támogatás</t>
  </si>
  <si>
    <t>EU-s forrás</t>
  </si>
  <si>
    <t>Hazai forrás</t>
  </si>
  <si>
    <t>Fő és gyűjtőutak felújítása - Berényi u. II. ütem</t>
  </si>
  <si>
    <t>Végrehajtás alatt</t>
  </si>
  <si>
    <t>Projektzárás alatt</t>
  </si>
  <si>
    <t>Felsőváros vízrendezése I. ütem (A-0-0-I/5 csapadékcsatorna kivitelezése, valamint az A-3-0 csapadékcsatorna rekonstrukciója)</t>
  </si>
  <si>
    <t>3. számú Bölcsőde - az épület energiahatékonysági rekonstrukciója, akadálymentesítése, külső terek felújítása, eszközök beszerzése a TOP 6.2 intézkedés kiírására figyelemmel</t>
  </si>
  <si>
    <t>Tulipános Óvoda - az épület energiahatékonysági rekonstrukciója, akadálymentesítése, külső terek felújítása, eszközök beszerzése a TOP 6.2 intézkedés kiírására figyelemmel</t>
  </si>
  <si>
    <t>Rákóczi Utcai Óvoda  - az épület energiahatékonysági rekonstrukciója, akadálymentesítése, külső terek felújítása, eszközök beszerzése a TOP 6.2 intézkedés kiírására figyelemmel</t>
  </si>
  <si>
    <t>Kisléptékű közlekedési célú fejlesztés a munkaerő mobilitás és a gazdaságfejlesztés érdekében</t>
  </si>
  <si>
    <t>Túrózsáki út melletti szabadidőpark létrehozása és sétány kialakítása (Túrózsáki út-Bártfai út)</t>
  </si>
  <si>
    <t>Helyi foglalkoztatási együttműködések Székesfehérvár és járása területén</t>
  </si>
  <si>
    <t>Segítő Fehérvár program</t>
  </si>
  <si>
    <t>Székesfehérvári Stadionrekonstrukciós program megvalósítására, figyelemmel a 1285/2015.(IV.30.) Korm. Határozatra, valamint a megvalósítás ütemezésére *</t>
  </si>
  <si>
    <t>Székesfehérvári Sóstó Természetvédelmi Terület és Vidámparki Csónakázótó rehabilitációjára, figyelemmel a 1285/2015.(IV.30.) Korm. Határozatra, valamint a megvalósítás ütemezésére</t>
  </si>
  <si>
    <t>Felsőváros vízrendezése II. üteme</t>
  </si>
  <si>
    <t>Székesfehérvári szennyvíztisztító telep biogáz vonalának fejlesztése</t>
  </si>
  <si>
    <t>Előkészítés alatt</t>
  </si>
  <si>
    <t>Mindösszesen</t>
  </si>
  <si>
    <t>* megjegyzés: a projekt összege Áfá-t nem tartalmaz.</t>
  </si>
  <si>
    <t>Feketehegyi Kultúrudvarhoz kapcsolódó fejlesztésekre (186/2017.(III.24.) kgy.hat.alapján)</t>
  </si>
  <si>
    <t>Sportcsarnok, egyéb létesítmények, felszíni parkolók, zöldfelület építésének önkormányzati önrésze (345/2017.(IV.28.) kgy.hat.alapján)</t>
  </si>
  <si>
    <t>Parkolóház kialakítására (282/2017.(IV.7.) kgy.hat.alapján)</t>
  </si>
  <si>
    <t>Honvéd u. 8. szám alatti ingatlan felújítása (292/2017.(IV.7.) kgy.hat.alapján)</t>
  </si>
  <si>
    <t xml:space="preserve">   Szociális ágazati összevont pótlék</t>
  </si>
  <si>
    <t xml:space="preserve">   Kulturális illetménypótlék</t>
  </si>
  <si>
    <t xml:space="preserve">   Önkormányzati feladatellátást szolgáló támogatási keret</t>
  </si>
  <si>
    <t xml:space="preserve">   Nyugdíjazással kapcsolatos kifizetések</t>
  </si>
  <si>
    <t xml:space="preserve">   Jubileumi jutalom, jogszabályból fakadó személyi jellegű többlet kifizetések kerete</t>
  </si>
  <si>
    <t xml:space="preserve">   Intézményi kafetéria juttatás fedezetére</t>
  </si>
  <si>
    <t xml:space="preserve">   Kistelepülési könyvtári és közművelődési kiegészítő támogatás (Vörösmarty Könyvtár)</t>
  </si>
  <si>
    <t>~ Polgármesteri Hivatalhoz lebontva</t>
  </si>
  <si>
    <t>Költségvetési szerveknek lebontás
 (6)</t>
  </si>
  <si>
    <t>~ Jogszabályból fakadó személyi jellegű többletkifizetések</t>
  </si>
  <si>
    <t>~ Játékvezetői díjak</t>
  </si>
  <si>
    <t>~ Kistelepülési könyvtári és közművelődési kiegészítő támogatás (központi)</t>
  </si>
  <si>
    <t>~ Nyugdíjazással kapcsolatos kifizetések</t>
  </si>
  <si>
    <t>~ Képviselői Alap</t>
  </si>
  <si>
    <t>~ Polgármesteri Keret</t>
  </si>
  <si>
    <t>Kötlező feladat</t>
  </si>
  <si>
    <t>Önként vállat feladat</t>
  </si>
  <si>
    <t>Önként  vállalt feladat</t>
  </si>
  <si>
    <t>7. számú Bölcsőde</t>
  </si>
  <si>
    <t>Bevételek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</si>
  <si>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</si>
  <si>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</si>
  <si>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</si>
  <si>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</si>
  <si>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</si>
  <si>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</si>
  <si>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</si>
  <si>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</si>
  <si>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</si>
  <si>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</si>
  <si>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</si>
  <si>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</si>
  <si>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</si>
  <si>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Működési célú pénzeszköz átvétel</t>
  </si>
  <si>
    <t>Felhalmozási célú pénzeszköz átvétel</t>
  </si>
  <si>
    <t>Bevétel összesen*</t>
  </si>
  <si>
    <t>Kiadások</t>
  </si>
  <si>
    <t>Költségvetési szervek  kiadásai</t>
  </si>
  <si>
    <t>Igazgatási és egyéb központosított kiadások</t>
  </si>
  <si>
    <t>Fejlesztési kiadások, Viziközmű-fejlesztési Alap</t>
  </si>
  <si>
    <t>Tartalék</t>
  </si>
  <si>
    <t>Államháztartáson belüli megelőlegezések</t>
  </si>
  <si>
    <t>Kiadás összesen*</t>
  </si>
  <si>
    <t>* Megjegyzés: Tartalmazza a finanszírozási célú bevételeket és kiadásokat, kivéve az irányító szervi támogatást a duplikáció elkerülése okán.</t>
  </si>
  <si>
    <t>2018. évi bevételei eFt-ban</t>
  </si>
  <si>
    <t>12, Építményadó</t>
  </si>
  <si>
    <t>13, Vagyoni típusú adók összesen: (12)</t>
  </si>
  <si>
    <t>14, Iparűzési adó</t>
  </si>
  <si>
    <t>15, Értékesítési és forgalmi adók (14)</t>
  </si>
  <si>
    <t>16, Gépjárműadó</t>
  </si>
  <si>
    <t>17, Idegenforgalmi adó</t>
  </si>
  <si>
    <t>18, Egyéb áruhasználati és szolgáltatási adók (17)</t>
  </si>
  <si>
    <t>19, Termékek és szolgáltatások adói összesen (15+16+18):</t>
  </si>
  <si>
    <t>20, Egyéb települési adó</t>
  </si>
  <si>
    <t>21, Adópótlék, adóbírság</t>
  </si>
  <si>
    <t>22, Szabálysértési pénz és helyszíni bírság és közigazgatási bírság</t>
  </si>
  <si>
    <t>23, Egyéb bírság</t>
  </si>
  <si>
    <t>24, Egyéb közhatalmi bevételek összesen (20+21+22+23):</t>
  </si>
  <si>
    <t>25, Közhatalmi bevételek összesen (13+19+24):</t>
  </si>
  <si>
    <t>26, Működési bevételek</t>
  </si>
  <si>
    <t>27, Ingatlanok értékesítése</t>
  </si>
  <si>
    <t>29, Működési célú átvett pénzeszközök</t>
  </si>
  <si>
    <t>30, Felhalmozási célú átvett pénzeszközök</t>
  </si>
  <si>
    <t>31, Működési költségvetési bevételek összesen (8+25+26+29):</t>
  </si>
  <si>
    <t>32, Felhalmozási költségvetési bevételek összesen (11+28+30):</t>
  </si>
  <si>
    <t>33, Költségvetési bevételek összesen (31+32):</t>
  </si>
  <si>
    <t>2018. évi kiadásai eFt-ban</t>
  </si>
  <si>
    <t>összevont 2018. évi bevételi és kiadási  egyenlege eFt-ban</t>
  </si>
  <si>
    <t>összevont 2018. évi kiadásairól eFt-ban</t>
  </si>
  <si>
    <t>összevont 2018. évi bevételeiről eFt-ban</t>
  </si>
  <si>
    <t>Önkormányzat 2018. évi költségvetési kiadásai (eFt-ban)</t>
  </si>
  <si>
    <t xml:space="preserve">~3/2018.(II.8.) önkormányzati rendelet 6.§ (10) bekezdése szerinti átcsoportosítás </t>
  </si>
  <si>
    <t>~3/2018.(II.8.) önkormányzati rendelet 6.§ (10) bekezdése szerinti átcsoportosítás</t>
  </si>
  <si>
    <t>Felújítási kiadások</t>
  </si>
  <si>
    <t>Az Önkormányzat költségvetési kiadásai feladatonkénti bontásban
(eFt-ban)</t>
  </si>
  <si>
    <t>Állami (államigaz-gatási feladat)</t>
  </si>
  <si>
    <t>x</t>
  </si>
  <si>
    <t xml:space="preserve">             Vadmadárkórház Természetvédelmi Alapítvány a Vadon Élő Madarak Megmentéséért</t>
  </si>
  <si>
    <t xml:space="preserve">             Egészség és Kultúra Egyesület - Skate Park és szurkolói klub működtetése</t>
  </si>
  <si>
    <t xml:space="preserve">            Helyi foglalkoztatási együttműködések Székesfehérvár és járása területén</t>
  </si>
  <si>
    <t xml:space="preserve">            Gaja Környezetvédő Egyesület működési támogatása</t>
  </si>
  <si>
    <t xml:space="preserve">            Önkormányzati közalapítványok támogatása (379/2016. (V.27.) kgy. hat. alapján)</t>
  </si>
  <si>
    <t xml:space="preserve">            Hadisírok, emlékművek helyreállítása, felújítása</t>
  </si>
  <si>
    <t xml:space="preserve">            Katonai Emlékpark Közhasznú Nonprofit Kft.- A Katonai Emlékpark kiemelt- elsősorban pedagógiai-programjainak támogatása</t>
  </si>
  <si>
    <t xml:space="preserve">           1956-os Magyar Szabadságharcosok Világszövetsége Egyesület</t>
  </si>
  <si>
    <t xml:space="preserve">           Honvédség és Társadalom Baráti Kör Székesfehérvári Szervezete</t>
  </si>
  <si>
    <t xml:space="preserve">           Dévai Szent Ferenc Alapítvány- Szent Imre Iskolaház működéséhez támogatás</t>
  </si>
  <si>
    <t xml:space="preserve">           Fehérvári Civil Központ üzemeltetése</t>
  </si>
  <si>
    <t xml:space="preserve">          III. Adventi Jótékonysági Futás és a VII. Székesfehérvári Jótékonysági Estély (744/2017.(X.20.) kgy.hat.alapján)</t>
  </si>
  <si>
    <t xml:space="preserve">           "Zöld fal" projekt</t>
  </si>
  <si>
    <t xml:space="preserve">           Civil Centrum Közhasznú Alapítvány - Esélykör működtetése</t>
  </si>
  <si>
    <t xml:space="preserve">           Ciszterci Szent István Gimnázium - prevenciós előadássorozat támogatása</t>
  </si>
  <si>
    <t xml:space="preserve">           Fiatalok Fehérvárért Egyesület</t>
  </si>
  <si>
    <t xml:space="preserve">           Székesfehérvári Református Egyházközség támogatási kerete</t>
  </si>
  <si>
    <t xml:space="preserve">           Magyar Vöröskereszt Fejér Megyei Szervezete</t>
  </si>
  <si>
    <t xml:space="preserve">           Tarsoly Ifjúságért Egyesület</t>
  </si>
  <si>
    <t xml:space="preserve">           Szociális keret</t>
  </si>
  <si>
    <t xml:space="preserve">          Nagycsaládosok Országos Egyesülete - székesfehérvári csoport támogatása</t>
  </si>
  <si>
    <t xml:space="preserve">              Fejér Megyei Rendőr-Főkapitányság - Székesfehérvári Rendőrkapitányság működésére</t>
  </si>
  <si>
    <t xml:space="preserve">              Fejér Megyei Katasztrófavédelmi Igazgatóság - Polgári Védelmi Kirendeltségének 2018. évi támogatására</t>
  </si>
  <si>
    <t xml:space="preserve">              Ingatlangazdálkodási Alap</t>
  </si>
  <si>
    <t>Közműellátási feladatok</t>
  </si>
  <si>
    <t xml:space="preserve">              "Aranyeső" Alapítvány az egészséges emberért támogatása - Hétpettyes Óvoda</t>
  </si>
  <si>
    <t xml:space="preserve">              "Lánczos Kornél-Szekfű Gyula" Ösztöndíj Közalapítvány támogatása</t>
  </si>
  <si>
    <t xml:space="preserve">              Tóth István és Tóth Terézia Ösztöndíj Közalapítvány támogatása</t>
  </si>
  <si>
    <t xml:space="preserve">              Színes Diploma átadó ünnepség megrendezésére - Pedagógusok Szakszervezete Fejér Megyei Szervezete</t>
  </si>
  <si>
    <t xml:space="preserve">              "Székesfehérvári felsőoktatási intézmények támogatása"</t>
  </si>
  <si>
    <t xml:space="preserve">              "Alba Regia" tanulmányi ösztöndíj</t>
  </si>
  <si>
    <t xml:space="preserve">              "Alapítvány a hunyadis diákokért"</t>
  </si>
  <si>
    <t xml:space="preserve">              "Barátod az alumínium - Kincsek Hulladékból Program"</t>
  </si>
  <si>
    <t xml:space="preserve">              Mozgássérültek Fejér Megyei Egyesülete (834/2017.(XII.1.) kgy.hat.alapján</t>
  </si>
  <si>
    <t xml:space="preserve">              Székesfehérvár Egészségügyi Ellátásáért Közalapítvány támogatása</t>
  </si>
  <si>
    <t xml:space="preserve">              HPV 9 komponensű oltóanyag beszerzése a székesfehérvári lakóhellyel rendelkező 2017. és 2018. évben 12. életévüket betöltő fiú gyermekek részére</t>
  </si>
  <si>
    <t xml:space="preserve">              Fehérvári Pályakezdő Orvosok Egyesülete támogatása</t>
  </si>
  <si>
    <t xml:space="preserve">              Sclerosis Multiplex Alapítvány</t>
  </si>
  <si>
    <t xml:space="preserve">              Segítő Fehérvár program</t>
  </si>
  <si>
    <t xml:space="preserve">           Városi rendezvények</t>
  </si>
  <si>
    <t xml:space="preserve">           "Szín-Tér"/Színjátszó-Versmondó/ Egyesület </t>
  </si>
  <si>
    <t xml:space="preserve">          "Quartettissimo Fesztivál- Károlyi József Alapítvány"</t>
  </si>
  <si>
    <t xml:space="preserve">          Fehérvári Zenei Napok - A Tehetséges Zenészekért Alapítvány</t>
  </si>
  <si>
    <t xml:space="preserve">          Fehérvári Zenei Napok - A Tehetséges Zenészekért Alapítvány - visszatérítendő támogatás</t>
  </si>
  <si>
    <t xml:space="preserve">          Magyar Éremgyűjtők Egyesülete támogatása</t>
  </si>
  <si>
    <t xml:space="preserve">         Fricsay Richárd Katonazenekari Fesztivál és Gála</t>
  </si>
  <si>
    <t xml:space="preserve">         Könyvkiadás</t>
  </si>
  <si>
    <t xml:space="preserve">         Székesfehérvári művészek támogatása</t>
  </si>
  <si>
    <t xml:space="preserve">         Kulturális célú kiadások év közben jelentkező többletfeladatok</t>
  </si>
  <si>
    <t xml:space="preserve">         Városházi rendezvények, - Díszterem</t>
  </si>
  <si>
    <t xml:space="preserve">         Világháborús megemlékezések</t>
  </si>
  <si>
    <t xml:space="preserve">         Jazz Fesztivál megrendezése- M.A.P.! Workshop Kft.</t>
  </si>
  <si>
    <t xml:space="preserve">         Székelyföldi Verstábor - Fortis Hungarorum Kulturális Egyesület</t>
  </si>
  <si>
    <t xml:space="preserve">         Reformáció Emlékéve</t>
  </si>
  <si>
    <t xml:space="preserve">         Magyar Zsidó Kulturális Egyesület</t>
  </si>
  <si>
    <t xml:space="preserve">         Bálok támogatása </t>
  </si>
  <si>
    <t xml:space="preserve">         XV. Alba Regia Nemzetközi Gyermekkórusfesztivál - "Kodály Zoltán Általános Iskola és Művészeti Központ" Alapítvány</t>
  </si>
  <si>
    <t xml:space="preserve">        Városrészi rendezvények</t>
  </si>
  <si>
    <t xml:space="preserve">        Emléktábla elhelyezéséhez támogatás</t>
  </si>
  <si>
    <t xml:space="preserve">        Fehéredő Múlt című film 4. rész elkészítése</t>
  </si>
  <si>
    <t xml:space="preserve">        Szent László nyomában, Erdélyben című film elkészítése</t>
  </si>
  <si>
    <t xml:space="preserve">        Mátyás király-emlékév</t>
  </si>
  <si>
    <t xml:space="preserve">             Fehérvár AV 19 Sport Club Jégkorong Szakosztály</t>
  </si>
  <si>
    <t>~ ebből: Fehérvár AV 19 Sport Club  - Ingatlan üzemeltetésével, fejlesztésével összefüggő költségekhez</t>
  </si>
  <si>
    <t xml:space="preserve">             Magyar Labdarúgó Szövetség Fejér Megyei Igazgatósága - "Alba Liga" kispályás labdarúgó bajnokság támogatása</t>
  </si>
  <si>
    <t xml:space="preserve">             Track&amp;Race - Sportügynökség Korlátolt Felelősségű Társaság - "Gyulai István Memorial-Atlétikai Magyar Nagydíj" </t>
  </si>
  <si>
    <t xml:space="preserve">             Alba Regia Atlétikai Klub - Országos atlétikai versenyek megrendezésére</t>
  </si>
  <si>
    <t xml:space="preserve">             Felsővárosi Fésüs Röplabda Akadémia Fehérvár</t>
  </si>
  <si>
    <t xml:space="preserve">            "Fehérvár Kiskút Teniszklub" Sportegyesület </t>
  </si>
  <si>
    <t xml:space="preserve">            Fehérvári Sakk Egyesület</t>
  </si>
  <si>
    <t xml:space="preserve">            MÁV Előre Sport Club </t>
  </si>
  <si>
    <t xml:space="preserve">            Év közben jelentkező sportcélú kiadások</t>
  </si>
  <si>
    <t xml:space="preserve">            Alba Volán Sportclub  Férfi-Női Öttusa Európabajnokság</t>
  </si>
  <si>
    <t xml:space="preserve">            Rotpunkt Sziklamászó Egyesület</t>
  </si>
  <si>
    <t xml:space="preserve">            2020. évi nemzetközi sportversenyekre</t>
  </si>
  <si>
    <t xml:space="preserve">            Tour de Hongrie 2018. székesfehérvári szakasza</t>
  </si>
  <si>
    <t xml:space="preserve">              Költségvetési szervek működési költségeinek  tartalék kerete, valamint az új illetve átszervezéssel érintett intézmények megalakulásával és átszervezésével kapcsolatos eseti költségeinek fedezetére</t>
  </si>
  <si>
    <t xml:space="preserve">              Közalkalmazottak illetményrendezési kerete</t>
  </si>
  <si>
    <t>Fejlesztési kiadások 2018. évi feladatonkénti megbontása
(eFt-ban)</t>
  </si>
  <si>
    <t>Székesfehérvár Város és Térsége Szennyvízcsatorna Hálózat Bővítési Önkormányzati Társulás 2018. évi önkormányzati önrésze</t>
  </si>
  <si>
    <t xml:space="preserve">Saára Gyula program </t>
  </si>
  <si>
    <t xml:space="preserve">          Kégl és Távírda utca felújítása</t>
  </si>
  <si>
    <t xml:space="preserve">          Arany János utca és kapcsolódó terek felújítása</t>
  </si>
  <si>
    <t xml:space="preserve">          Brassói u. járda és szegély helyreállítás költségeire</t>
  </si>
  <si>
    <t xml:space="preserve">          Pozsonyi út Zsolnai és Nagyszombati út között  kiviteli tervek (TOP forráson felül)</t>
  </si>
  <si>
    <t xml:space="preserve">          Salétrom utca sétány II. ütem + közvilágítás</t>
  </si>
  <si>
    <t xml:space="preserve">          Palotaváros forgalomszabályozás tervezés </t>
  </si>
  <si>
    <t xml:space="preserve">          Nagyszombati út felújításához kapcsolódó tervezési feladatok</t>
  </si>
  <si>
    <t xml:space="preserve">          Pozsonyi út felújítása Zsolnai és Nagyszombati út között</t>
  </si>
  <si>
    <t xml:space="preserve">          Szilvamag közterület fejlesztés folytatása</t>
  </si>
  <si>
    <t xml:space="preserve">          Mártírok útja jobbra kanyarodó sáv kialakítása</t>
  </si>
  <si>
    <t xml:space="preserve">          Börgöndi járda és csapadékcsatorna építése, buszforduló átépítése, parkolók kialakítása</t>
  </si>
  <si>
    <t xml:space="preserve">           Széchenyi út - Horvát István út új sáv kiépítése középsziget csökkentésével</t>
  </si>
  <si>
    <t xml:space="preserve">           Széchenyi út felújítása a Budai út és Horvát István utca között</t>
  </si>
  <si>
    <t xml:space="preserve">           Berényi út III. ütem útépítés</t>
  </si>
  <si>
    <t xml:space="preserve">          Fiskális út felújítása I. ütem</t>
  </si>
  <si>
    <t xml:space="preserve">          Zombori út felújítása</t>
  </si>
  <si>
    <t xml:space="preserve">          Salétrom utca IV. ütem KRESZ park kialakítása</t>
  </si>
  <si>
    <t xml:space="preserve">          Vásárhelyi út felújítása az 1+800 - 2+272,76 km között</t>
  </si>
  <si>
    <t xml:space="preserve">          Csanádi tér parkolók építése</t>
  </si>
  <si>
    <t>Jávor Ottó tér terület és parkrendezés</t>
  </si>
  <si>
    <t>Horváth I. ltp csapadékvíz elvezetése</t>
  </si>
  <si>
    <t>Varga csatorna árapasztó műtárgy tervei</t>
  </si>
  <si>
    <t>Varga csatorna árapasztó műtárgy kivitelezése</t>
  </si>
  <si>
    <t>Zrínyi utca csapadékcsatorna átépítés</t>
  </si>
  <si>
    <t>Berényi út III. csapadékcsatorna átépítése</t>
  </si>
  <si>
    <t>Zombori utca csapadékcsatorna átépítése</t>
  </si>
  <si>
    <t>Arany János u. 10. szám alatti ingatlan felújításával kapcsolatos tervezési feladatok</t>
  </si>
  <si>
    <t>Alba Geotrade Zrt. EKN. Vezetés, bemérések</t>
  </si>
  <si>
    <t>Tervfelülvizsgálatok, közműegyeztetések</t>
  </si>
  <si>
    <t>Székesfehérvári Stadionrekonstrukciós program megvalósítására, figyelemmel a 1285/2015.(IV.30.) Korm. Határozatra, valamint a megvalósítás ütemezésére</t>
  </si>
  <si>
    <t>Multifunkcionális csarnok megvalósításához szükséges tervezési, előkészítési feladatok</t>
  </si>
  <si>
    <t>Szent István Király  Múzeum épületének rekonstrukciója előkészítése</t>
  </si>
  <si>
    <t>„Az ország bölcsője” kiemelt székesfehérvári alprogram első szakaszának megvalósításáról és a második szakasz egyes fejlesztési elemeinek bemutatásáról szóló 1469/2016. (VII.25.) Kormányhatározat értelmében</t>
  </si>
  <si>
    <t>Az árpád-ház program részét képező "Az ország bölcsője" kiemelt székesfehérvári alprogram második szakasz további elemeinek előzetes koncepciójáról szóló 1792/2017. (XI.8.) Kormányhatározat alapján</t>
  </si>
  <si>
    <t>Városmester üzemeltetés, fejlesztés</t>
  </si>
  <si>
    <t>TÁC-Gorsium külső ivó és szennyvízhálózat kiépítése</t>
  </si>
  <si>
    <t>Tác-Gorsium csapadékvíz elvezetése</t>
  </si>
  <si>
    <t>Székesfehérvár, 5531/44 hrsz-ú ingatlan felújítása (604/2017.(VIII.18.) kgy.hat.alapján)</t>
  </si>
  <si>
    <t>Bory-vár épületdiagnosztikai és tartószerkezeti vizsgálat</t>
  </si>
  <si>
    <t>Országzászló tér felúíjtása (492/2017.(VI.16.) kgy.hat. Alapján)</t>
  </si>
  <si>
    <t>Székesfehérvári 9732/4. hrsz. alatt nyilvántartott rugby pálya felújítása</t>
  </si>
  <si>
    <t>Internet optika kiépítése Csalára és leágazása Béla úti temetőbe</t>
  </si>
  <si>
    <t>Gárdonyi Géza Művelődési Ház és Könyvtár felújítására irányuló beruházás előkészítése (1841/2017.(XI.10.) Kormány határozat alapján)</t>
  </si>
  <si>
    <t>Bartók Béla tér fejlesztése  (TOP-7.1.1-16 )</t>
  </si>
  <si>
    <t>Zöld város - Fehérvár Tüdeje</t>
  </si>
  <si>
    <t>Fekete Sas Szálló rekonstrukciójához és fejlesztéséhez szükséges előkészítő és tervezési feladatok</t>
  </si>
  <si>
    <t>Velencei Gyermek- és Ifjúsági Tábor fejlesztése</t>
  </si>
  <si>
    <t>A belváros élhetőségének javítását szolgáló Zichy-liget projekt tervezése</t>
  </si>
  <si>
    <t>ITP keretében megvalósuló fejlesztések</t>
  </si>
  <si>
    <t>Fő és gyűjtőutak felújítása- Berényi u. II. ütem</t>
  </si>
  <si>
    <t>Székesfehérvár déli összekötőút megvalósítása</t>
  </si>
  <si>
    <t>Túrózsáki út melletti szabadidőpark létrehozása és sétány kialakiítása (Túrózsáki út-Bártfai út)</t>
  </si>
  <si>
    <t>Felsőváros vízrendezése I. ütem</t>
  </si>
  <si>
    <t>Felsőváros vízrendezése III. ütem</t>
  </si>
  <si>
    <t>Berényi u. II. ütem vízrendezés</t>
  </si>
  <si>
    <t>Bölcsődei intézmények eszközfejlesztése</t>
  </si>
  <si>
    <t>Óvodai udvarok megújítása</t>
  </si>
  <si>
    <t>Fenntartható városi közlekedés I. ütem</t>
  </si>
  <si>
    <t>Fenntartható városi közlekedés III. ütem</t>
  </si>
  <si>
    <t>Innovatív Szociális Szolgáltató Központ kialakítása Székesfehérváron</t>
  </si>
  <si>
    <t xml:space="preserve">A helyi identitás és kohézió erősítése- TOP-6.9.2-16 </t>
  </si>
  <si>
    <t>Felújítási kiadások 2018. évben
(eFt-ban)</t>
  </si>
  <si>
    <t>I. számú Gondozási egység tetőtér beépítési munkáival készülő férőhely bővítés feladataira</t>
  </si>
  <si>
    <t>I. számú Gondozási egység villamos hálózat rekonstrukciója kiviteli terv alapján (tervezés és kivitelezés)</t>
  </si>
  <si>
    <t>III. számú gondozási központ lépcsőházi acél üvegportál cseréje műanyag szerkezetre, hőtükrös fóliázással</t>
  </si>
  <si>
    <t>III. számú gondozási központ villamos és gépészeti rendszerének felújításával kapcsolatos tervezési és kivitelezési feladatok, valamint a IV. számú gondozási központ bővítésével kapcsolatos tervezési feladatok</t>
  </si>
  <si>
    <t>Szárazréti Orvosi Rendelő</t>
  </si>
  <si>
    <t>Belső udvar felújítása</t>
  </si>
  <si>
    <t>Tetőfelújítás, lemezfedés készítése</t>
  </si>
  <si>
    <t>Udvari gyermek vizesblokkok felújítása</t>
  </si>
  <si>
    <t>Csapadékvíz elvezetés kiépítése</t>
  </si>
  <si>
    <t>Szivárvány Óvoda Püspökkertvárosi Tagóvodája</t>
  </si>
  <si>
    <t>Tetőfelújítás</t>
  </si>
  <si>
    <t>Radiátorok cseréje</t>
  </si>
  <si>
    <t>Étellift csere</t>
  </si>
  <si>
    <t>Kazán csere</t>
  </si>
  <si>
    <t>Árpád úti Óvoda</t>
  </si>
  <si>
    <t>Árpád úti Óvoda Vízivárosi Tagóvodája</t>
  </si>
  <si>
    <t>Homlokzati FENFA elemek és nyílászárók cseréje</t>
  </si>
  <si>
    <t xml:space="preserve">Fűtési rendszer felújítása </t>
  </si>
  <si>
    <t>Gyöngyvirág Óvoda</t>
  </si>
  <si>
    <t xml:space="preserve">Arany János Óvoda, Általános Iskola, Speciális Szakiskola és EGYMI </t>
  </si>
  <si>
    <t>Felújítási munkálatokkal kapcsolatos feladatok</t>
  </si>
  <si>
    <t>Felsővárosi Közösségi Ház belső tereinek felújítási munkái</t>
  </si>
  <si>
    <t>Ady Endre utca 6. szám felöli tűzfalának javítása</t>
  </si>
  <si>
    <t>Csók István Képtár</t>
  </si>
  <si>
    <t>Homlokzat helyreállítása, árkádsor alatti világítás kiépítése lépcső helyreállítással</t>
  </si>
  <si>
    <t>Konyha felújítás tervezése és homlokzati nyílászárók cseréje</t>
  </si>
  <si>
    <t>Verseci utcai Köfém orvosi rendelő</t>
  </si>
  <si>
    <t>Rendelő felújítási és akadálymentesítési munkák tervezése, kivitelezése</t>
  </si>
  <si>
    <t>Épület energiahatékonysági rekonstrukcdiója, akadálymentesítés, külső terek felújítása, eszközök beszerzése a TOP 6.2. intézkedés kiírására figyelemmel</t>
  </si>
  <si>
    <t>Szászszorszép Bölcsőde</t>
  </si>
  <si>
    <t>Épület felújítása és eszközbeszerzés a TOP 6.6.1-16 kódszámú pályázati felhívás keretében</t>
  </si>
  <si>
    <t xml:space="preserve">Maroshegyi Óvoda </t>
  </si>
  <si>
    <t>Óvodaudvar korszerűsítése - udvari eszközök beszerzése</t>
  </si>
  <si>
    <t>Batthyány utcai Orvosi Rendelő</t>
  </si>
  <si>
    <t>Felnőtt háziorvosi rendelő felújítása</t>
  </si>
  <si>
    <t>Ybl Miklós lakótelepi rendelőépület</t>
  </si>
  <si>
    <t>Gyermekorvosi rendelő és védőnői tanácsadó átalakítása, bővítése, felújítása a TOP 6.2.1-16 kódszámú pályázati felhívás keretében</t>
  </si>
  <si>
    <t>Szekfű Gyula utcai rendelőépület</t>
  </si>
  <si>
    <t>Felnőtt fogászati, fogszabályzós szakrendelés, valamint háziorvosi rendelő felújítása, fejlesztése</t>
  </si>
  <si>
    <t>Nyitó pénzkészlet</t>
  </si>
  <si>
    <t>Bevétel-Kiadás különbözet havi bontásban (maradvány igénybevétele nélkül)</t>
  </si>
  <si>
    <t>Záró Pénzkészlet (Nyitó pénzkészlet + Bevétel-Kiadás különbözete)</t>
  </si>
  <si>
    <t>2021. évi támogatás</t>
  </si>
  <si>
    <t>Berényi út II. ütem víz, szennyvíz, csapadékvíz elvezetés és Nefelejcs utca átkötése csapadékcsatorna</t>
  </si>
  <si>
    <t xml:space="preserve">Maroshegyi Óvoda bővítése </t>
  </si>
  <si>
    <t>Berényi u. III. ütem útépítés</t>
  </si>
  <si>
    <t>32.</t>
  </si>
  <si>
    <t>Ybl Miklós lakótelepi rendelőépület - Gyermekorvosi rendelő és védőnői tanácsadó átalakítása, bővítése, felújítása a TOP 6.2.1-16 kódszámú pályázati felhívás keretében</t>
  </si>
  <si>
    <t>33.</t>
  </si>
  <si>
    <t>Batthyány utcai Orvosi Rendelő - Felnőtt háziorvosi rendelő felújítása</t>
  </si>
  <si>
    <t>34.</t>
  </si>
  <si>
    <t>Szekfű Gyula utcai rendelőépület - Felnőtt fogászati, fogszabályzós szakrendelés, valamint háziorvosi rendelő felújítása, fejlesztése</t>
  </si>
  <si>
    <t>35.</t>
  </si>
  <si>
    <t>Szászszorszép Bölcsőde - Épület felújítása és eszközbeszerzés a TOP 6.6.1-16 kódszámú pályázati felhívás keretében</t>
  </si>
  <si>
    <t>36.</t>
  </si>
  <si>
    <t>37.</t>
  </si>
  <si>
    <t xml:space="preserve">Szent István Király  Múzeum épületének rekonstrukciója, előkészítése </t>
  </si>
  <si>
    <t>38.</t>
  </si>
  <si>
    <t>39.</t>
  </si>
  <si>
    <t>40.</t>
  </si>
  <si>
    <t>41.</t>
  </si>
  <si>
    <t>42.</t>
  </si>
  <si>
    <t>43.</t>
  </si>
  <si>
    <t>44.</t>
  </si>
  <si>
    <t>Halász utcai játszótér bővítése</t>
  </si>
  <si>
    <t>45.</t>
  </si>
  <si>
    <t>46.</t>
  </si>
  <si>
    <t>Javasolt módosítás 
(2)</t>
  </si>
  <si>
    <t>2018. évre áthúzódó
(4)</t>
  </si>
  <si>
    <t>2018. évi előirányzat     (5)</t>
  </si>
  <si>
    <t xml:space="preserve">          Szent Candid Alapítvány</t>
  </si>
  <si>
    <t xml:space="preserve">         Magyar Néprajzi Társaság</t>
  </si>
  <si>
    <t xml:space="preserve">         MARKÓ S. MÁRIA EMLÉKALAPÍTVÁNY AZ ESÉLYEGYENLŐSÉGÉRT Alapítvány</t>
  </si>
  <si>
    <t xml:space="preserve">          Székesfehérvári Otthon Segítünk Alapítvány</t>
  </si>
  <si>
    <t xml:space="preserve">          SZIVÁRVÁNY Szociális Alapítvány</t>
  </si>
  <si>
    <t xml:space="preserve">          Velence 2004 Kft-gasztroversenyeken történő részvétel támogatása</t>
  </si>
  <si>
    <t xml:space="preserve">              Oktatásfejlesztő Széchenyi Alapítvány</t>
  </si>
  <si>
    <t xml:space="preserve">          Gárdonyi Géza Művelődési Ház és Könyvtár Egyesület- programok támogatása</t>
  </si>
  <si>
    <t xml:space="preserve">          Fehérvári Kézművesek Egyesülete- programok támogatása</t>
  </si>
  <si>
    <t xml:space="preserve">        Magyar Olimpiai Akadémia 70. vándorgyűlése</t>
  </si>
  <si>
    <t xml:space="preserve">        M.A.P.! Workshop Kft. - Street Food Fest Fehérvár</t>
  </si>
  <si>
    <t xml:space="preserve">           Alba Triatlon és Szabadidős Sportegyesület</t>
  </si>
  <si>
    <t xml:space="preserve">           FREE SPIRIT TÁNC-SPORT EGYESÜLET</t>
  </si>
  <si>
    <t xml:space="preserve">          VIDEOTON FCF Baráti Kör Egyesület</t>
  </si>
  <si>
    <t xml:space="preserve">   Városi diákolimpiai versenyek játékvezetői díjaira</t>
  </si>
  <si>
    <t xml:space="preserve">   Városi nyitott tornatermek és szabadidősport rendezvények, versenyek játékvezetői díjaira</t>
  </si>
  <si>
    <t xml:space="preserve">             KÖFÉM SPORT CLUB - visszatérítendő támogatás</t>
  </si>
  <si>
    <t>Székesfehérvári Balett Színház</t>
  </si>
  <si>
    <t>Költségvetési szervek 2018.évi kiadási előirányzata (eFt-ban)</t>
  </si>
  <si>
    <t>~ Főösszeget érintő saját hatáskörű átcsoportosítás</t>
  </si>
  <si>
    <t>~ Főösszeget nem érintő saját hatáskörű átcsoportosítás</t>
  </si>
  <si>
    <t xml:space="preserve">   Nemzetközi kapcsolatok</t>
  </si>
  <si>
    <t xml:space="preserve">   Könyvkiadás</t>
  </si>
  <si>
    <t xml:space="preserve">   Szociális ágazatban egészségügyi végzettséghez kötött munkakörben foglalkoztatottak egészségügyi kiegészítő pótléka</t>
  </si>
  <si>
    <t>Multifunkcionális csarnok kivitelezése és kapcsolódó feladatok</t>
  </si>
  <si>
    <t>8. számú Bölcsőde</t>
  </si>
  <si>
    <t>Belvárosi Brunszvik Teréz Óvoda</t>
  </si>
  <si>
    <t>Gyöngyvirág Óvoda-Székesfehérvár</t>
  </si>
  <si>
    <t>Nemzeti Szabadidős-Egészség Sportpark Program önkormányzati saját erő (194/2018.(III.19.) kgy.hat.alapján)</t>
  </si>
  <si>
    <t>álláshely</t>
  </si>
  <si>
    <t>128/2018 (III.9.) Kgy határozat alapján</t>
  </si>
  <si>
    <t>128/2018. (III.9)  és a 215/2018. (IV.20.) Kgy határozat alapján</t>
  </si>
  <si>
    <t>2018. január 1.</t>
  </si>
  <si>
    <t>2018. március 1.</t>
  </si>
  <si>
    <t>2018. május 1.</t>
  </si>
  <si>
    <t>2018.június 1.</t>
  </si>
  <si>
    <t>2018. június 1.</t>
  </si>
  <si>
    <t>2018. július 1.</t>
  </si>
  <si>
    <t>2018. augusztus  1.</t>
  </si>
  <si>
    <t>2018. augusztus  15.</t>
  </si>
  <si>
    <t xml:space="preserve"> Eü. ellátás összesen</t>
  </si>
  <si>
    <t>Nyítnikék Bölcsőde</t>
  </si>
  <si>
    <t>Belvárosi Bunszvik Teréz Óvoda</t>
  </si>
  <si>
    <t xml:space="preserve">Humán Szolgáltató összesen </t>
  </si>
  <si>
    <t>Székesfehérvári Intézményi Központ</t>
  </si>
  <si>
    <t>Kulturális ellátás összesen</t>
  </si>
  <si>
    <t>Költségvetési szervek összesen:</t>
  </si>
  <si>
    <t>Költségvetési szervek 2018. évi álláshelyeinek meghatározása</t>
  </si>
  <si>
    <t xml:space="preserve">         Hiszek Benned Sport Program</t>
  </si>
  <si>
    <t xml:space="preserve">             Utcai szociális munkát végző szolgáltatók részére gépjármű vásárlás támogatása</t>
  </si>
  <si>
    <t xml:space="preserve">          Fejér Megyei Művelődési Központ</t>
  </si>
  <si>
    <t xml:space="preserve">         Államalapító Szent István Érdemrend és Díj Alapítvány</t>
  </si>
  <si>
    <t xml:space="preserve">          Fehérvári Vizilabda Sportegyesület- uszoda fejlesztéssel kapcsolatos tervek elkészítéséhez támogatás (230/2018.(IV.20.) kgy.hat.alapján)</t>
  </si>
  <si>
    <t xml:space="preserve">          Alba-Fehérvár Kosárlabda Kft.- Túrózsáki szabadidőpark sportburkolat kiépítésének támogatása (233/2018.(IV.20.) kgy.hat.alapján)</t>
  </si>
  <si>
    <t xml:space="preserve">             Rászoruló gyermekek intézményen kívüli szünidei étkeztetésének támogatása</t>
  </si>
  <si>
    <t xml:space="preserve">             Költségvetési szerveknél foglalkoztatottak bérkompenzációja</t>
  </si>
  <si>
    <t xml:space="preserve">             Szociális ágazati összevont pótlék</t>
  </si>
  <si>
    <t xml:space="preserve">             Szociális ágazatban egészségügyi végzettséghez kötött munkakörben foglalkoztatottak egészségügyi kiegészítő pótléka</t>
  </si>
  <si>
    <t xml:space="preserve">             Kulturális illetménypótlék</t>
  </si>
  <si>
    <t xml:space="preserve">             Közszolgáltatások fenntartására és fejlesztésére elkülönített keret</t>
  </si>
  <si>
    <t xml:space="preserve">             Önkormányzati feladatellátást szolgáló támogatási keret</t>
  </si>
  <si>
    <t>Udvar felújítása (263/2018.(IV.20.) kgy.hat.alapján</t>
  </si>
  <si>
    <t xml:space="preserve">2018. évi előirányzat-felhasználási terv </t>
  </si>
  <si>
    <t>(eFt-ban)</t>
  </si>
  <si>
    <t xml:space="preserve">Európai uniós és hazai forrásból megvalósuló projektek </t>
  </si>
  <si>
    <t>támogatástartalmának bemutatása 2015-2021. évekre (eFt-ban)</t>
  </si>
  <si>
    <t>Új Módosított előirányzat</t>
  </si>
  <si>
    <t>Módosított előirányzat 
(1)</t>
  </si>
  <si>
    <t>Új Módosított előirányzat 
(3)=(1)+(2)</t>
  </si>
  <si>
    <t>Önkormányzat I. módosított előirányzata</t>
  </si>
  <si>
    <t>II. módosítás</t>
  </si>
  <si>
    <t xml:space="preserve">           Polgárdi iskola helyreállításához gyorssegély</t>
  </si>
  <si>
    <t xml:space="preserve">   Kulturális célú kiadások év közben jelentkező többletfeladatok - 27. Öreghegyi Mulatság rendezvényhez kapcsolódó költségekhez hozzájárulás (A Szabadművelődés Háza)</t>
  </si>
  <si>
    <t xml:space="preserve">   Könyvkiadás - Kováts György- Székesfehérvár neves személyiségei I-II., Kováts Györgyné Újvári Éva- Alba Regia főiskoláinak 1000 éve, 1000-2016 c. kiadványok 200-200 példányban történő megjelentetéséhez kapcsolódó költségekhez hozzájárulás (Városi Levéltár és Kutatóintézet)</t>
  </si>
  <si>
    <t xml:space="preserve">   Nemzetközi kapcsolatok - Opolei bábszínházban a "Pukedli" című táncos előadás költségeihez hozzájárulás (Vörösmarty Színház) </t>
  </si>
  <si>
    <t xml:space="preserve">   Határon túli magyar kapcsolatok - Az Aranybulla Művészeti Napok alkalmából megnyíló Éltes Barna sepsiszentgyörgyi szobrászművész kiállítási anyagának szállítási költségeihez hozzájárulás (A Szabadművelődés Háza)</t>
  </si>
  <si>
    <t xml:space="preserve">    Kégl György Program - Egészségügyi feladatok - Háziorvosi, házi gyermekorvosi és iskolafogászati körzetek támogatása (Humán Szolgáltató Intézet)</t>
  </si>
  <si>
    <t xml:space="preserve">   2018. június 21-i rendezvényen a Galiba Zenekar fellépési költségeihez hozzájárulás (Árpád úti Óvoda)</t>
  </si>
  <si>
    <t xml:space="preserve">   2018. évben megvalósításra kerülő programokhoz és tárgyi eszköz beszerzéshez kapcsolódó költségekhez hozzájárulás (Napraforgó Bölcsőde)</t>
  </si>
  <si>
    <t xml:space="preserve">   Püspökkertvárosi Tagóvoda 2018. évben megvalósuló programjaihoz és tárgyi eszköz beszerzéseihez kapcsolódó költségekhez hozzájárulás (Szivárvány Óvoda)</t>
  </si>
  <si>
    <t xml:space="preserve">   2018. évben megvalósításra kerülő programokhoz és tárgyi eszköz beszerzéshez kapcsolódó költségekhez hozzájárulás (Kríziskezelő Központ)</t>
  </si>
  <si>
    <t xml:space="preserve">   Széna Téri Tagkönyvtár programjaihoz és tárgyi eszköz beszerzéseihez kapcsolódó költségekhez hozzájárulás (Vörösmarty Mihály Könyvtár)</t>
  </si>
  <si>
    <t xml:space="preserve">   Zsolt utcai Tagkönyvtár programjaihoz és tárgyi eszköz beszerzéseihez kapcsolódó költségekhez hozzájárulás (Vörösmarty Mihály Könyvtár)</t>
  </si>
  <si>
    <t xml:space="preserve">   Öreghegyi Nyugdíjas Klub által 2018. évben megvalósításra kerülő programokhoz hozzájárulás (A Szabadművelődés Háza)</t>
  </si>
  <si>
    <t xml:space="preserve">   "Öreghegyi Mulatságok" című program megrendezéséhez hozzájárulás (A Szabadművelődés Háza) </t>
  </si>
  <si>
    <t xml:space="preserve">   Székesfehérvár-Kisfalud városrész lakói számára 2018. évben megvalósításra kerülő programokhoz hozzájárulás (A Szabadművelődés Háza)</t>
  </si>
  <si>
    <t xml:space="preserve">   A Fehérvári Nóta Klub által 2018. évben megvalósításra kerülő programokhoz hozzájárulás (A Szabadművelődés Háza)</t>
  </si>
  <si>
    <t xml:space="preserve">   Székesfehérvári Vörösmarty Mihály Általános Iskola Farkasvermi Tagiskolája részére 2018. évi kézműves tábor szervezéséhez kapcsolódó költségekhez hozzájárulás (A Szabadművelődés Háza)</t>
  </si>
  <si>
    <t xml:space="preserve">   2018. június 1. és 2019. március 31. napja között megvalósításra kerülő rendezvényekhez, programokhoz és tárgyi eszköz beszerzéséhez kapcsolódó költségekhez hozzájárulás (A Szabadművelődés Háza)</t>
  </si>
  <si>
    <t xml:space="preserve">   Óvodaigazgatók munkaközösségének támogatása (Szárazréti Óvoda)</t>
  </si>
  <si>
    <t xml:space="preserve">   Kulturális célú kiadások év közben jelentkező többletfeladatok - Intézményi működéshez kapcsolódó kiadások (Székesfehérvári Balett Színház)</t>
  </si>
  <si>
    <t xml:space="preserve">   Vállalkozók és Munkáltatók Országos Szövetsége</t>
  </si>
  <si>
    <t xml:space="preserve">   TIMI-BEA Művészeti Szolgáltató, Kulturális Betéti Társaság</t>
  </si>
  <si>
    <t>Város- és községgazdálkodás</t>
  </si>
  <si>
    <t xml:space="preserve">   HEROSZ Egyesület</t>
  </si>
  <si>
    <t xml:space="preserve">   "Aranybulla" Könyvtár Alapítvány működési támogatása</t>
  </si>
  <si>
    <t xml:space="preserve">   Fehérvár FC Kft.</t>
  </si>
  <si>
    <t xml:space="preserve">   Egyéb sportszakosztályi támogatások</t>
  </si>
  <si>
    <t xml:space="preserve">   Fehérvár Enthroners Sportegyesület</t>
  </si>
  <si>
    <t xml:space="preserve">   Felsővárosi Általános Iskola - kerítés elemek javítása, felújítása, kisajtó készítése (308/2018.(V.18.) kgy.hat. Alapján)</t>
  </si>
  <si>
    <t xml:space="preserve">   Belvárosi Brunszvik Teréz Óvoda - udvari játszóeszközeinek felújítása (356/2018.(V.18.) kgy.hat.alapján)</t>
  </si>
  <si>
    <t xml:space="preserve">   Sóstó-Újtelep II. lakóterület úthálózatának rendezésére (361/2018.(V.18.) kgy.hat.alapján)</t>
  </si>
  <si>
    <t xml:space="preserve">   Maroshegyi Óvoda - Óvodaudvar korszerűsítése- udvari eszközök beszerzése (375/2018.(V.18.) kgy.hat.alapján)</t>
  </si>
  <si>
    <t xml:space="preserve">   Házi gyermekorvosi és iskolaorvosi szolgálat működtetésére (496-498/2018.(VII.27.) kgy.hat.alapján)</t>
  </si>
  <si>
    <t xml:space="preserve">   Fehérvári Programszervező Kft. (547/2018.(VIII.17.) kgy.hat.alapján)</t>
  </si>
  <si>
    <t xml:space="preserve">   Székesfehérvári Szakképzési Centrum - Székesfehérvári SZC Váci Mihály Ipari Szakgimnázium, Szakközépiskola és Kollégium épületenergetikai fejlesztésének támogatása (592/2018.(IX.14.) kgy.hat.alapján)</t>
  </si>
  <si>
    <t xml:space="preserve">   Vásárhelyi út felújítása Batthyányi utcai csomópontjától az ipari és logisztikai területek eléréséig (580/2018.(IX.14.) kgy.hat.alapján)</t>
  </si>
  <si>
    <t xml:space="preserve">   Varga csatorna árapasztó műtárgy kivitelezése</t>
  </si>
  <si>
    <t xml:space="preserve">   Vasútmodell kiállítás üzemeltetésének támogatása (310/2018.(V.18.) kgy.hat.alapján)</t>
  </si>
  <si>
    <t xml:space="preserve">   315/2018.(V.18.) kgy.hat.alapján ideiglenes moduláris rendszerű ebédlő telepítése</t>
  </si>
  <si>
    <t xml:space="preserve">   Széna Téri Sportcsarnok hőközpont létesítése (307/2018.(V.18.) kgy.hat.alapján)</t>
  </si>
  <si>
    <t xml:space="preserve">   Berényi u. II. ütem vízrendezés (376/2018. (V.18.) kgy.hat.alapján)</t>
  </si>
  <si>
    <t xml:space="preserve">   Berényi út III. ütem útépítés (376/2018. (V.18.) kgy.hat.alapján)</t>
  </si>
  <si>
    <t xml:space="preserve">   Berényi út III. csapadékcsatorna átépítése (376/2018. (V.18.) kgy.hat.alapján)</t>
  </si>
  <si>
    <t xml:space="preserve">   Prosperis Alba Kutatóközpont Nonprofit Kft. (544/2018. (VIII.17.) kgy.hat.alapján</t>
  </si>
  <si>
    <t xml:space="preserve">   7899/68 hrsz.-ú Juharfa utcában lévő ingatlan megvásárlása (548/2018.(VIII.17.) kgy.hat.alapján)</t>
  </si>
  <si>
    <t xml:space="preserve">   Utótisztító műtárgy üzemeltetése (550/2018.(VIII.17.) kgy.hat.alapján)</t>
  </si>
  <si>
    <t xml:space="preserve">   Rákóczi Utcai Óvoda - Épület energiahatékonysági rekonstrukciója, akadálymentesítése, külső terek felújítása, eszközök beszerzése a TOP 6.2. intézkedés kiírására figyelemmel (332/2018. (V.18.) kgy.hat.alapján)</t>
  </si>
  <si>
    <t xml:space="preserve">   Ybl Miklós lakótelepi rendelőépület - Gyermekorvosi rendelő és védőnői tanácsadó átalakítása, bővítése, felújítása a TOP 6.2.1-16 kódszámú pályázati felhívás keretében (554/2018.(VIII.17.) kgy.hat.alapján)</t>
  </si>
  <si>
    <t xml:space="preserve">  "Szín-Tér"/Színjátszó-Versmondó/ Egyesület (318/2018.(V.18.) kgy.hat.alapján)</t>
  </si>
  <si>
    <t xml:space="preserve">   Gyöngyvirág Óvoda - Nyílászáró csere (479/2018.(VI.29.) kgy.hat.alapján)</t>
  </si>
  <si>
    <t xml:space="preserve">   Szivárvány Óvoda Püspökkertvárosi Tagóvodája - Tetőfelújítás (479/2018.(VI.29.) kgy.hat.alapján)</t>
  </si>
  <si>
    <t xml:space="preserve">   Tartalék keret (479/2018.(VI.29.) kgy.hat.alapján) </t>
  </si>
  <si>
    <t>„Az ország bölcsője” kiemelt székesfehérvári alprogram első szakaszának megvalósításáról és a második szakasz egyes fejlesztési elemeinek bemutatásáról szóló 1469/2017. (VII.25.) Kormányhatározat értelmében</t>
  </si>
  <si>
    <t xml:space="preserve">   Szivárvány Óvoda Püspökkertvárosi Tagóvodája - Tetőfelújítás (480/2018.(VI.29.) kgy.hat.alapján)</t>
  </si>
  <si>
    <t xml:space="preserve">   7. számú Bölcsőde - Tetőfelújítás, lemezfedés készítése (480/2018.(VI.29.) kgy.hat.alapján)</t>
  </si>
  <si>
    <t xml:space="preserve">   Jávor Ottó tér terület és parkrendezés (462/2018.(VI.15.) kgy.hat.alapján)</t>
  </si>
  <si>
    <t xml:space="preserve">   Saára Gyula Program - Zombori út felújítása (462/2018.(VI.15.) kgy.hat.alapján)</t>
  </si>
  <si>
    <t xml:space="preserve">   Árpád úti Óvoda - Villamos hálózat korszerűsítése (359/2018.(V.18.) kgy.hat.alapján)</t>
  </si>
  <si>
    <t xml:space="preserve">   Ligetsori Óvoda - Villamos hálózat korszerűsítése (359/2018.(V.18.) kgy.hat.alapján)</t>
  </si>
  <si>
    <t xml:space="preserve">   Saára Gyula Program - Széchenyi út felújítása a Budai út és Horvát István utca között (511/2018.(VII.27.) kgy.hat.alapján)</t>
  </si>
  <si>
    <t xml:space="preserve">   Saára Gyula Program - Zombori út felújítása (511/2018.(VII.27.) kgy.hat.alapján)</t>
  </si>
  <si>
    <t xml:space="preserve">   Saára Gyula Program - Széchenyi út - Horvát István út új sáv kiépítése középsziget csökkentésével (556/2018.(VIII.17.) kgy.hat.alapján)</t>
  </si>
  <si>
    <t xml:space="preserve">   Saára Gyula Program - Zombori út felújítása (556/2018.(VIII.17.) kgy.hat.alapján)</t>
  </si>
  <si>
    <t xml:space="preserve">   Csóri karsztakna védelembe helyezése előkészítő feladatok</t>
  </si>
  <si>
    <t xml:space="preserve">   Podolini utca ivóvízvezeték kiépítése</t>
  </si>
  <si>
    <t>~3/2018.(II.8.) önkormányzati rendelet 6.§ (10) bekezdése szerinti átcsoportosítás bevétel miatti növekedés</t>
  </si>
  <si>
    <t xml:space="preserve">   Szent István Király Múzeum épületének rekonstrukciója előkészítése</t>
  </si>
  <si>
    <t xml:space="preserve">   Kártérítés és járulékai költségei</t>
  </si>
  <si>
    <t>~ Igazgatási tevékenységet érintő átcsoportosítás  általános tartalékról</t>
  </si>
  <si>
    <t xml:space="preserve">   Államkötvények vételárában lévő kamat miatti átcsoportosítás (Betétek lekötése, lejárata)</t>
  </si>
  <si>
    <t xml:space="preserve">   Központi támogatások és szerződéses kötelmek elszámolása</t>
  </si>
  <si>
    <t xml:space="preserve">   Bankköltség, forgalmi jutalék</t>
  </si>
  <si>
    <t xml:space="preserve">   Protokoll költség</t>
  </si>
  <si>
    <t xml:space="preserve">   III. Adventi Jótékonysági Futás és a Székesfehérvári Jótékonysági Estély 2018 </t>
  </si>
  <si>
    <t xml:space="preserve">   Helyi foglalkoztatási együttműködések Székesfehérvár és járása területén</t>
  </si>
  <si>
    <t xml:space="preserve">   Ifjúsági feladatok és a Székesfehérvári Diáktanács működése</t>
  </si>
  <si>
    <t xml:space="preserve">  Polgárdi iskola helyreállításához gyorssegély</t>
  </si>
  <si>
    <t xml:space="preserve">  MARKÓ S. MÁRIA EMLÉKALAPÍTVÁNY AZ ESÉLYEGYENLŐSÉGÉRT Alapítvány</t>
  </si>
  <si>
    <t xml:space="preserve">   Székesfehérvári Református Egyházközség támogatási kerete</t>
  </si>
  <si>
    <t xml:space="preserve">   Határon túli magyar kapcsolatok</t>
  </si>
  <si>
    <t xml:space="preserve">   Képviselők és egyéb önkormányzati tanácsadó, testületi tagok juttatásai </t>
  </si>
  <si>
    <t xml:space="preserve">   Megbízási díjak</t>
  </si>
  <si>
    <t xml:space="preserve">   Választott tisztségviselők juttatásai</t>
  </si>
  <si>
    <t xml:space="preserve">   Munkaadókat terhelő járulék</t>
  </si>
  <si>
    <t xml:space="preserve">   Városrészi közbiztonsági feladatok támogatása</t>
  </si>
  <si>
    <t xml:space="preserve">   Arany János Óvoda, Általános Iskola, Speciális Szakiskola és EGYMI - Felújítási munkálatokkal kapcsolatos feladatok</t>
  </si>
  <si>
    <t xml:space="preserve">   Árpád úti Óvoda - Villamos hálózat korszerűsítése </t>
  </si>
  <si>
    <t xml:space="preserve">   Felsővárosi Óvoda - Udvar felújítása (263/2018.(IV.20.) kgy.hat.alapján</t>
  </si>
  <si>
    <t xml:space="preserve">   Belvárosi Brunszvik Teréz Óvoda - Udvar felújítása (263/2018.(IV.20.) kgy.hat.alapján</t>
  </si>
  <si>
    <t xml:space="preserve">   Tolnai Úti Óvoda - Udvar felújítása (263/2018.(IV.20.) kgy.hat.alapján</t>
  </si>
  <si>
    <t xml:space="preserve">   Napsugár Óvoda Nefelejcs Tagóvodája - Kazán csere</t>
  </si>
  <si>
    <t xml:space="preserve">   Tartalék keret</t>
  </si>
  <si>
    <t xml:space="preserve">   Árpád úti Óvoda Vízivárosi Tagóvodája - Fűtési rendszer felújítása </t>
  </si>
  <si>
    <t xml:space="preserve">   Szivárvány Óvoda - Csapadékvíz elvezetés kiépítése</t>
  </si>
  <si>
    <t xml:space="preserve">   Szivárvány Óvoda Püspökkertvárosi Tagóvodája- Radiátorok cseréje</t>
  </si>
  <si>
    <t xml:space="preserve">   Budai u. 56/a ingatlan felújítása (Csemete Gyermekcentrum Bölcsőde) - Konyha felújítás tervezése és homlokzati nyílászárók cseréje</t>
  </si>
  <si>
    <t xml:space="preserve">   Csók István Képtár - Homlokzat helyreállítása, árkádsor alatti világítás kiépítése lépcső helyreállítással</t>
  </si>
  <si>
    <t xml:space="preserve">   Szászszorszép Bölcsőde - Épület felújítása és eszközbeszerzés a TOP 6.6.1-16 kódszámú pályázati felhívás keretében</t>
  </si>
  <si>
    <t xml:space="preserve">   Ybl Miklós lakótelepi rendelőépület - Gyermekorvosi rendelő és védőnői tanácsadó átalakítása, bővítése, felújítása a TOP 6.2.1-16 kódszámú pályázati felhívás keretében</t>
  </si>
  <si>
    <t xml:space="preserve">   Szekfű Gyula utcai rendelőépület - Felnőtt fogászati, fogszabályzós szakrendelés, valamint háziorvosi rendelő felújítása, fejlesztése</t>
  </si>
  <si>
    <t xml:space="preserve">   Zrínyi utca csapadékcsatorna átépítés</t>
  </si>
  <si>
    <t xml:space="preserve">   Tervezési munkák</t>
  </si>
  <si>
    <t xml:space="preserve">   Hatósági és egyéb díjak</t>
  </si>
  <si>
    <t xml:space="preserve">   Műszaki ellenőrzések kerete</t>
  </si>
  <si>
    <t xml:space="preserve">   Saára Gyula Program - Széchenyi út - Horvát István út új sáv kiépítése középsziget csökkentésével </t>
  </si>
  <si>
    <t xml:space="preserve">   Saára Gyula Program - Jelzőlámpa-rendszer fejlesztése</t>
  </si>
  <si>
    <t xml:space="preserve">   Berényi út III. csapadékcsatorna átépítése</t>
  </si>
  <si>
    <t xml:space="preserve">   Pályázat előkészítésére és önerő keret</t>
  </si>
  <si>
    <t xml:space="preserve">   Szemünk Fénye program</t>
  </si>
  <si>
    <t xml:space="preserve">   Szemünk Fénye program - eszközök vételára</t>
  </si>
  <si>
    <t xml:space="preserve">      Saára Gyula Program - Berényi út III. ütem útépítés</t>
  </si>
  <si>
    <t xml:space="preserve">   Saára Gyula Program - Kégl és Távírda utca felújítása</t>
  </si>
  <si>
    <t xml:space="preserve">   Saára Gyula Program - Pozsonyi út felújítása Zsolnai és Nagyszombati út között</t>
  </si>
  <si>
    <t xml:space="preserve">   Bátky áteresz ikresítése</t>
  </si>
  <si>
    <t xml:space="preserve">   Zombori utca csapadékcsatorna átépítése</t>
  </si>
  <si>
    <t xml:space="preserve">   Saára Gyula Program - Zombori út felújítása </t>
  </si>
  <si>
    <t xml:space="preserve">   Saára Gyula Program - Arany János utca és kapcsolódó terek felújítása</t>
  </si>
  <si>
    <t xml:space="preserve">   Székesfehérvári Stadionrekonstrukciós program megvalósítására, figyelemmel a 1285/2015.(IV.30.) Korm. Határozatra, valamint a megvalósítás ütemezésére</t>
  </si>
  <si>
    <t xml:space="preserve">   Multifunkcionális csarnok kivitelezése és kapcsolódó feladatok</t>
  </si>
  <si>
    <t xml:space="preserve">   Székesfehérvári Sóstó Természetvédelmi Terület és Vidámparki Csónakázótó rehabilitációjára, figyelemmel a 1285/2015.(IV.30.) Korm. Határozatra, valamint a megvalósítás ütemezésére</t>
  </si>
  <si>
    <t xml:space="preserve">   Fő és gyűjtőutak felújítása - Ligetsor (Ligetsor felújítás és parkolómező, körforgalom, iskola-óvoda előtti tér, sétány)</t>
  </si>
  <si>
    <t xml:space="preserve">   Fő és gyűjtőutak felújítása- Berényi u. II. ütem</t>
  </si>
  <si>
    <t xml:space="preserve">   Berényi u. II. ütem vízrendezés</t>
  </si>
  <si>
    <t xml:space="preserve">   Kégl és Távírda utca csapadékcsatorna rekonstrukció</t>
  </si>
  <si>
    <t xml:space="preserve">   Felsőváros vízrendezése III. ütem</t>
  </si>
  <si>
    <t xml:space="preserve">   Székesfehérvár szennyvíztisztító telep biogáz vonalának fejlesztése</t>
  </si>
  <si>
    <t xml:space="preserve">   Bölcsődei intézmények eszközfejlesztése</t>
  </si>
  <si>
    <t xml:space="preserve">   Innovatív Szociális Szolgáltató Központ kialakítása Székesfehérváron</t>
  </si>
  <si>
    <t xml:space="preserve">   Székesfehérvár déli összekötőút megvalósítása</t>
  </si>
  <si>
    <t xml:space="preserve">   „Az ország bölcsője” kiemelt székesfehérvári alprogram első szakaszának megvalósításáról és a második szakasz egyes fejlesztési elemeinek bemutatásáról szóló 1469/2017. (VII.25.) Kormányhatározat értelmében</t>
  </si>
  <si>
    <t xml:space="preserve">   Szakértői díjak</t>
  </si>
  <si>
    <t xml:space="preserve">   Közbeszerzési eljárásokkal kapcsolatos kiadások</t>
  </si>
  <si>
    <t xml:space="preserve">   Hirdetmény ellenőrzési díjak</t>
  </si>
  <si>
    <t xml:space="preserve">  Kégl György Program - Fejér Megyei Szent György Egyetemi Oktató Kórház működési és fejlesztési támogatása</t>
  </si>
  <si>
    <t xml:space="preserve">   Kulturális célú kiadások év közben jelentkező többletfeladatok</t>
  </si>
  <si>
    <t xml:space="preserve">  Magyar Olimpiai Akadémia 70. vándorgyűlése</t>
  </si>
  <si>
    <t xml:space="preserve">   Nemzeti és állami ünnepeink</t>
  </si>
  <si>
    <t xml:space="preserve">   KÖFÉM SPORT CLUB - visszatérítendő támogatás</t>
  </si>
  <si>
    <t xml:space="preserve">   VIDEOTON FCF Baráti Kör Egyesület</t>
  </si>
  <si>
    <t xml:space="preserve">   Év közben jelentkező sportcélú kiadások</t>
  </si>
  <si>
    <t xml:space="preserve">   Sóstói Stadion megnyitó rendezvényének kerete </t>
  </si>
  <si>
    <t>~ Önkormányzatot- Polgármesteri Hivatalt érintő átcsoportosítás</t>
  </si>
  <si>
    <t xml:space="preserve">   Informatikai fejlesztés</t>
  </si>
  <si>
    <t xml:space="preserve">   Csapadékcsatorna üzemeltetés</t>
  </si>
  <si>
    <t>16, Államháztartáson belüli megelőlegezések visszafizetése</t>
  </si>
  <si>
    <t>2, Államháztartáson belüli megelőlegezések visszafizetése</t>
  </si>
  <si>
    <t xml:space="preserve">   Központi támogatások (Államháztartáson belüli megelőlegezések visszafizetése)</t>
  </si>
  <si>
    <t xml:space="preserve">   Székesfehérvári Városfejlesztési Közhasznú Nonprofit Kft. (482/2018.(VI.29.) kgy.hat.alapján)</t>
  </si>
  <si>
    <t xml:space="preserve">  "Fehérvár Kiskút Teniszklub" Sportegyesület </t>
  </si>
  <si>
    <t xml:space="preserve">  Költségvetési szervek működési költségeinek fedezetére, valamint az új illetve átszervezéssel érintett intézmények megalakulásával és átszervezésével kapcsolatos eseti költségeinek fedezetére </t>
  </si>
  <si>
    <t xml:space="preserve">   Költségvetési szervek működési költségeinek fedezetére, valamint az új illetve átszervezéssel érintett intézmények megalakulásával és átszervezésével kapcsolatos eseti költségeinek fedezetére - Élelmezési kiadások vállalkozói díj különbözete (311/2018.(V.18.) kgy.hat.alapján)</t>
  </si>
  <si>
    <t xml:space="preserve">   Költségvetési szervek működési költségeinek fedezetére, valamint az új illetve átszervezéssel érintett intézmények megalakulásával és átszervezésével kapcsolatos eseti költségeinek fedezetére - Siklósi Gyula Várostörténeti Kutatóközpont (538/2018.(VIII.17.) kgy.hat.alapján)</t>
  </si>
  <si>
    <t xml:space="preserve">   Költségvetési szervek működési költségeinek fedezetére, valamint az új illetve átszervezéssel érintett intézmények megalakulásával és átszervezésével kapcsolatos eseti költségeinek fedezetére - Árpád-ház Program keretében megvalósuló, a Székesfehérvári Székesegyház padlózatában történő ásatás költségeinek fedezetére (Szent István Király Múzeum)</t>
  </si>
  <si>
    <t xml:space="preserve">   Költségvetési szervek működési költségeinek fedezetére, valamint az új illetve átszervezéssel érintett intézmények megalakulásával és átszervezésével kapcsolatos eseti költségeinek fedezetére - Az óvodai és iskolai szociális segítő és tevékenységek támogatása (Szfvári Család-és Gyejó Központ)</t>
  </si>
  <si>
    <t xml:space="preserve">   Költségvetési szervek működési költségeinek fedezetére, valamint az új illetve átszervezéssel érintett intézmények megalakulásával és átszervezésével kapcsolatos eseti költségeinek fedezetére - Szeptember 17-től 2 fő álláshely emelés bér-és járulék vonzata az 574/2018. (IX.14.) kgy.határozat alapján (A Szabadművelődés Háza)</t>
  </si>
  <si>
    <t xml:space="preserve">   Közalkalmazottak illetményrendezési kerete</t>
  </si>
  <si>
    <t xml:space="preserve">   Önkormányzati feladatellátást szolgáló támogatási keret- GDPR európai adatvédelmi rendelet előírása szerinti szakértői díjakra </t>
  </si>
  <si>
    <t xml:space="preserve">   Önkormányzati feladatellátást szolgáló támogatási keret- Munkahelyi balesettel összefüggésben felmerült egészségbiztosítási ellátások megfizetésére (Nyitnikék Bölcsőde)</t>
  </si>
  <si>
    <t xml:space="preserve">   Önkormányzati feladatellátást szolgáló támogatási keret- Szennyvízelvezető hálózat gerincvezeték cseréje (333/2018.(V.18.) kgy.hat.alapján) (Rákóczi utcai Óvoda)</t>
  </si>
  <si>
    <t xml:space="preserve">   Önkormányzati feladatellátást szolgáló támogatási keret- Berényi utcai rendelő eszközbeszerzéseire és a KÖFÉM rendelő berendezéseinek beszerzésére (268/2017.(IV.7.) kgy.hat.alapján) (Humán Szolgáltató Intézet)</t>
  </si>
  <si>
    <t xml:space="preserve">   Önkormányzati feladatellátást szolgáló támogatási keret- Sporteszközök, játszóeszközök beszerzésére (Napsugár Óvoda, Szárazréti Óvoda, Ligetsori óvoda)</t>
  </si>
  <si>
    <t>~ Igazgatási tevékenységet érintő belső átcsoportosítás</t>
  </si>
  <si>
    <t xml:space="preserve">   Települési hulladékok kezelése, köztisztasági tevékenység</t>
  </si>
  <si>
    <t xml:space="preserve">   Út-, hídfenntartás</t>
  </si>
  <si>
    <t xml:space="preserve">  Önkormányzati feladatellátást szolgáló támogatási keret - Vállalkozók és Munkavállalók Országos Szövetsége</t>
  </si>
  <si>
    <t xml:space="preserve">  Önkormányzati feladatellátást szolgáló támogatási keret - TIMI-BEA Művészeti Szolgáltató, Kulturális Betéti Társaság</t>
  </si>
  <si>
    <t xml:space="preserve">  Önkormányzati feladatellátást szolgáló támogatási keret - Vasútmodell kiállítás üzemeltetésének támogatása (310/2018.(V.18.) kgy.hat.alapján)</t>
  </si>
  <si>
    <t xml:space="preserve">  Önkormányzati feladatellátást szolgáló támogatási keret -  Prosperis Alba Kutatóközpont Nonprofit Kft. (544/2018. (VIII.17.) kgy.hat.alapján</t>
  </si>
  <si>
    <t xml:space="preserve">  Önkormányzati feladatellátást szolgáló támogatási keret - Sóstói Stadion megnyitó rendezvényének kerete</t>
  </si>
  <si>
    <t xml:space="preserve">  Önkormányzati feladatellátást szolgáló támogatási keret - Nemzetközi kapcsolatok</t>
  </si>
  <si>
    <t xml:space="preserve">  Önkormányzati feladatellátást szolgáló támogatási keret - Választott tisztségviselők juttatásai</t>
  </si>
  <si>
    <t xml:space="preserve">  Önkormányzati feladatellátást szolgáló támogatási keret - Ybl Miklós lakótelepi rendelőépület - Gyermekorvosi rendelő és védőnői tanácsadó átalakítása, bővítése, felújítása a TOP 6.2.1-16 kódszámú pályázati felhívás keretében (554/2018.(VIII.17.) kgy.hat.alapján)</t>
  </si>
  <si>
    <t xml:space="preserve">  Önkormányzati feladatellátást szolgáló támogatási keret - Rákóczi Utcai Óvoda - Épület energiahatékonysági rekonstrukciója, akadálymentesítése, külső terek felújítása, eszközök beszerzése a TOP 6.2. intézkedés kiírására figyelemmel (332/2018. (V.18.) kgy.hat.alapján)</t>
  </si>
  <si>
    <t xml:space="preserve">  Önkormányzati feladatellátást szolgáló támogatási keret - 315/2018.(V.18.) kgy.hat.alapján ideiglenes moduláris rendszerű ebédlő telepítése</t>
  </si>
  <si>
    <t xml:space="preserve">  Önkormányzati feladatellátást szolgáló támogatási keret - Berényi u. II. ütem vízrendezés (376/2018. (V.18.) kgy.hat.alapján)</t>
  </si>
  <si>
    <t xml:space="preserve">  Önkormányzati feladatellátást szolgáló támogatási keret - Berényi út III. csapadékcsatorna átépítése (376/2018. (V.18.) kgy.hat.alapján)</t>
  </si>
  <si>
    <t xml:space="preserve">  Önkormányzati feladatellátást szolgáló támogatási keret - 7899/68 hrsz.-ú Juharfa utcában lévő ingatlan megvásárlása (548/2018.(VIII.17.) kgy.hat.alapján)</t>
  </si>
  <si>
    <t xml:space="preserve">  Önkormányzati feladatellátást szolgáló támogatási keret - Berényi út III. ütem útépítés (376/2018. (V.18.) kgy.hat.alapján)</t>
  </si>
  <si>
    <t xml:space="preserve">  Önkormányzati feladatellátást szolgáló támogatási keret - Utótisztító műtárgy üzemeltetése (550/2018.(VIII.17.) kgy.hat.alapján)</t>
  </si>
  <si>
    <t xml:space="preserve">  Önkormányzati feladatellátást szolgáló támogatási keret - Csapadékcsatorna üzemeltetés</t>
  </si>
  <si>
    <t xml:space="preserve">  Önkormányzati feladatellátást szolgáló támogatási keret - Székesfehérvári Városfejlesztési Közhasznú Nonprofit Kft. (482/2018.(VI.29.) kgy.hat.alapján)</t>
  </si>
  <si>
    <t xml:space="preserve">  Önkormányzati feladatellátást szolgáló támogatási keret - Székesfehérvár Városgondnoksága Kft. - Települési hulladékok kezelése, köztisztasági tevékenység</t>
  </si>
  <si>
    <t xml:space="preserve">  Önkormányzati feladatellátást szolgáló támogatási keret - Székesfehérvár Városgondnoksága Kft. - Út-, hídfenntartás</t>
  </si>
  <si>
    <t xml:space="preserve">  Önkormányzati feladatellátást szolgáló támogatási keret - HEROSZ Egyesület</t>
  </si>
  <si>
    <t xml:space="preserve">  Önkormányzati feladatellátást szolgáló támogatási keret - "Aranybulla" Könyvtár Alapítvány működési támogatása</t>
  </si>
  <si>
    <t xml:space="preserve">  Önkormányzati feladatellátást szolgáló támogatási keret - "Szín-Tér"/Színjátszó-Versmondó/ Egyesület (318/2018.(V.18.) kgy.hat.alapján)</t>
  </si>
  <si>
    <t xml:space="preserve">  Önkormányzati feladatellátást szolgáló támogatási keret - Fehérvár FC Kft.</t>
  </si>
  <si>
    <t xml:space="preserve">  Önkormányzati feladatellátást szolgáló támogatási keret - Fehérvár Enthroners Sportegyesület</t>
  </si>
  <si>
    <t>~ Bérkompenzáció (IV., V., VI., VII.,VIII. havi)</t>
  </si>
  <si>
    <t>~ Gazdasági dolgozók kereset-kiegészítése 2018. 03.01-2018. 12.31. közötti időszakra a 71/2018. (II.8.) sz. kgy határozat alapján.</t>
  </si>
  <si>
    <t>~ 3. sz. házi gyermekorvosi körzet, valamint a 21. sz. háziorvosi körzet támogatása. Prevenciós tevékenységekre és működési költségekere. (Kégl György Program - Egészségügyi feladatellátás)</t>
  </si>
  <si>
    <t>~ 3. sz. és 7. sz. iskolafogászati körzet támogatása. Prevenciós tevékenységekre és működési költségekre. (Kégl György Program - Egészségügyi feladatellátás)</t>
  </si>
  <si>
    <t>~ Kafetéria (IV., V., VI., VII. havi)</t>
  </si>
  <si>
    <t>~ Berényi utcai rendelő eszközbeszerzéseire és a Köfém rendelő berendezéseinek beszerzéséhez a 268/2017. (IV.7.) kgy határozat alapján.</t>
  </si>
  <si>
    <t>~ A szociális ágazatban dolgozók részére kifizetésre kerülő összevont ágazati pótlék (IV., V., VI., VII. havi)</t>
  </si>
  <si>
    <t>~ Fel nem használt üres álláshely bérkülönbözet visszavonás</t>
  </si>
  <si>
    <t>3.sz.Bölcsőde</t>
  </si>
  <si>
    <t>~ 2018. évben megvalósításra kerülő programokhoz és tárgyi eszköz beszerzéshez kapcsolódó személyi és dologi költségekhez (Képviselői Alap)</t>
  </si>
  <si>
    <t>~ Bérkompenzáció (IV., V., VI., VII.,VIII.havi)</t>
  </si>
  <si>
    <t>~ Munkahelyi balesettel összefüggésben felmerült egészségébiztosítási ellátások megfizetése</t>
  </si>
  <si>
    <t>7. sz. Bölcsőde</t>
  </si>
  <si>
    <t>8. sz. Bölcsőde</t>
  </si>
  <si>
    <t>~ Élelmezési kiadások - vállalkozói díj különbözete 311/2018. (V.18.) kgy.határozat alapján</t>
  </si>
  <si>
    <t>~ 2018. június 21-i rendezvényen a Galiba Zenekar fellépési költségeihez (Polgármesteri Keret)</t>
  </si>
  <si>
    <t>Belvárosi Brunszvik T. Óvoda</t>
  </si>
  <si>
    <t>Gyöngyvirág Óvoda-Székesfehérvár-Kindergarten Maiglöckchen</t>
  </si>
  <si>
    <t>~ Nyugdíjazáshoz kapcsolódó kifizetések</t>
  </si>
  <si>
    <t>~ Ybl Miklós Tagóvoda részére sporteszközök, játszóeszközök beszerzése</t>
  </si>
  <si>
    <t>~ Sporteszközök, játszóeszközök beszerzése</t>
  </si>
  <si>
    <t>~ Szennyvízelvezető hálózat gerincvezeték cseréje a 333/2018. (V.18.) kgy határozat alapján</t>
  </si>
  <si>
    <t>~ Óvodaigazgatók munkaközösségének támogatása</t>
  </si>
  <si>
    <t>~ A Püspökkertvárosi Tagóvodájának 2018. évben megvalósuló programjaihoz és tárgyi eszköz beszerzéseihez (Képviselői Alap)</t>
  </si>
  <si>
    <t>~ Palotavárosi Tagóvoda részére sporteszközök, játszóeszközök beszerzése</t>
  </si>
  <si>
    <t>~ Egészségügyi kiegészítő pótlék 349/2017.Kormányrendelet alapján (2018. V., VI., VII., VIII. havi)</t>
  </si>
  <si>
    <t>~ 2017. évi C. törvény 2. melléklet III.n. pontja alapján óvodai és iskolai szociális segítő tevékenység támogatása (központi)</t>
  </si>
  <si>
    <t>~ GDPR európai adatvédelmi rendelet (EU 2016/679 sz. rendelete) előírása szerint szakértői díjak fedezete</t>
  </si>
  <si>
    <t>~ 2018. évben megvalósításra kerülő programokhoz kapcsolódó személyi és dologi költségekhez, valamint immateriális javak, tárgyi eszköz költségeihez (Képviselői Alap)</t>
  </si>
  <si>
    <t>~ Kulturális illetménypótlék (IV., V., VI., VII. havi)</t>
  </si>
  <si>
    <t>~ Kováts György- Székesfehérvár neves személyiségei I-II., Kováts Györgyné Újvári Éva - Alba Regia főiskoláinak 1000 éve, 1000-2016 c. kiadványok 200-200 példányban történő megjelentetéséhez kapcsolódó személyi és dologi költségekhez (Könyvkiadás)</t>
  </si>
  <si>
    <t>~ Széna Téri Tagkönyvtár részére programok költségeihez, eszközbeszerzéshez (Képviselői Alap)</t>
  </si>
  <si>
    <t>~ Zsolt utcai Tagkönytár részére programok költségeihez, eszközbeszerzéshez (Képviselői Alap)</t>
  </si>
  <si>
    <t>~ Az Árpád-ház Program keretében megvalósuló, a Szent István Székesegyház padlózatában történő ásatás költségeinek fedezetére.</t>
  </si>
  <si>
    <t>Siklósi Gyula Várostörténeti Kutatóközpont</t>
  </si>
  <si>
    <t>~ 2018.11.01-2018.12.31. időszak előirányzatai az 538/2018.(VIII.17.) kgy.hat.alapján</t>
  </si>
  <si>
    <t>~ A Vörösmarty Színház által az opolei bábszínházban május 19-én bemutatott Pukedli című táncos előadás költségeihez (Nemzetközi Kapcsolatok)</t>
  </si>
  <si>
    <t>~ ebből: Önként vállalt feladat e.i.</t>
  </si>
  <si>
    <t>~ Intézményi működéshez kapcsolódó kiadások - kulturális célú kiadások év közben jelentkező többletfeladatok</t>
  </si>
  <si>
    <t>~ Szeptember 17-től 2 fő álláshely emelés bér-és járulék vonzata az 574/2018. (IX.14.) kgy.határozat alapján</t>
  </si>
  <si>
    <t>~ Az Öreghegyi Nyugdíjas Klub által 2018. évben megvalósításra kerülő programjaihoz (Képviselői Alap)</t>
  </si>
  <si>
    <t>~ A 2018. augusztus hónapban megvalósuló "2018. évi Öreghegyi Mulatságok" című program megrendezéséhez (Képviselői Alap)</t>
  </si>
  <si>
    <t>~ A Székesfehérvár-Kisfalud városrész lakói számára 2018. évben megvalósításra kerülő programokhoz (Képviselői Alap)</t>
  </si>
  <si>
    <t>~ A Fehérvári Nóta Klub által 2018. évben megvalósításra kerülő programokhoz (Képviselői Alap)</t>
  </si>
  <si>
    <t>~ A Székesfehérvári Vörösmarty Mihály Általános Iskola Farkasvermi Tagiskolája részére 2018. évi kézműves tábor szervezéséhez kapcsolódó, 2018. évben felmerülő személyi és dologi költségekhez (Képviselői Alap)</t>
  </si>
  <si>
    <t>~ 2018. június 1. és 2019. március 31. napja között megvalósításra kerülő rendezvényekhez, programokhoz és tárgyi eszköz beszerzésekhez kapcsolódó személyi és dologi költségekhez (Képviselői Alap)</t>
  </si>
  <si>
    <t>~ 2018. augusztus 24-én az Aranybulla Művészeti Napok alkalmából megnyíló Éltes Barna sepsiszentgyörgyi szobrászművész kiállítási anyagának szállítása ( 2018. augusztus 1. és szeptember 30. köztt) során felmerülő dologi költségekhez (Határon túli magyar kapcsolatok)</t>
  </si>
  <si>
    <t>~ 27. Öreghegyi Mulatság rendezvényhez kapcsolódó dologi költségekhez (Kulturális célú kiadások év közben jelentkező többletfeladatok)</t>
  </si>
  <si>
    <t>~ Bérkompenzáció (IV., V., VI., VII. havi)</t>
  </si>
  <si>
    <t>~ Játékvezetői díjak (Székesfehérvári Intézményi Központ)</t>
  </si>
  <si>
    <t>~ Munkahelyi balesettel összefüggésben felmerült egészségébiztosítási ellátások megfizetése. (Nyitnikék Bölcsőde)</t>
  </si>
  <si>
    <t>~ 2017. évi C. törvény 2. melléklet III.n. pontja alapján óvodai és iskolai szociális segítő tevékenység támogatása (központi)- Székesferhérvári Család-és Gyermekjóléti Központ</t>
  </si>
  <si>
    <t>~ 2018.11.01-2018.12.31. időszak előirányzatai az 538/2018.(VIII.17.) kgy.hat.alapján (Siklósi Gyula Várostörténeti Kutatóközpont)</t>
  </si>
  <si>
    <t>~ Kégl György Program - Egészségügyi feladatellátás (Humán Szolgáltató Intézet)</t>
  </si>
  <si>
    <t>~ Határon túli magyar kapcsolatok (A Szabadművelődés Háza)</t>
  </si>
  <si>
    <t>~ Könyvkiadás ( Városi Levéltár)</t>
  </si>
  <si>
    <t>~ Kulturális célú kiadások év közben jelentkező többletfeladatok ( A Szabadművelődés Háza)</t>
  </si>
  <si>
    <t>~ Nemzetközi Kapcsolatok ( Vörösmarty Színház)</t>
  </si>
  <si>
    <t>~ Berényi utcai rendelő eszközbeszerzéseire és a Köfém rendelő berendezéseinek beszerzéséhez a 268/2017. (IV.7.) kgy határozat alapján. (Humán Szolgáltató Intézet)</t>
  </si>
  <si>
    <t>~ Sporteszközök, játszóeszközök beszerzése (Felsővárosi, Napsugár, Szárazréti és Ligetsori óvodák)</t>
  </si>
  <si>
    <t>~ Óvodaigazgatók munkaközösségének támogatása (Szárazréti Óvoda)</t>
  </si>
  <si>
    <t>~ Intézményi működéshez kapcsolódó kiadások - kulturális célú kiadások év közben jelentkező többletfeladatok( Székesfehérvári Balett Színház)</t>
  </si>
  <si>
    <t>~ Az Árpád-ház Program keretében megvalósuló, a Szent István Székesegyház padlózatában történő ásatás költségeinek fedezetére. (Szent István Király Múzeum)</t>
  </si>
  <si>
    <t>~ Bérkompenzáció (IV., V., VI., VII., VIII. havi)</t>
  </si>
  <si>
    <t>~ Gazdasági dolgozók kereset-kiegészítése 2018. 03.01-2018.12.31. időszakra a 71/2018. (II.8.) sz. kgy. határozat alapján</t>
  </si>
  <si>
    <t>~ 3.sz. házi gyermekorvosi körzet, valamit a 21.sz. háziorvosi körzet támogatása. Prevenciós tevékenységre és működési költségekre. (305/2018.(V.18.) kgy.határozat alapján (Kégl György Program-Egészségügyi feladatellátás)</t>
  </si>
  <si>
    <t>~ 3. sz. és 7.sz iskolafogászati körzet támogatása. Prevenciós tevékenységekre és működési költségekre. 305/2018. (V.18.) kgy.határozat alapján (Kégl György Program - Egészségügyi feladatellátás)</t>
  </si>
  <si>
    <t>~ Kafetéria ( IV.,V., VI., VII. havi)</t>
  </si>
  <si>
    <t>~ A szociális ágazatban dolgozók részére kifizetésre kerülő összevont pótlék ( IV., V., VI., VII. havi)</t>
  </si>
  <si>
    <t>~ Bérkompenzáció (IV., V., VI., VII., VIII: havi)</t>
  </si>
  <si>
    <t>~ Bérkompenzáció (IV., V., VI., VII. , VIII:havi)</t>
  </si>
  <si>
    <t>~ Bérkompenzáció (IV., V., VI., VII., VIII.havi)</t>
  </si>
  <si>
    <t>~Élelmezési kiadások - vállalkozói díj különbözete (311/2018. (V.18.) kgy határozat alapján</t>
  </si>
  <si>
    <t>~ 2018. június 21-i rendezvényen a Galiba Zenekar fellépési költségekhez ( Polgármesteri Keret)</t>
  </si>
  <si>
    <t>Eredeti Módosított</t>
  </si>
  <si>
    <t>Rákóczi Úti Óvoda</t>
  </si>
  <si>
    <t>~ Püspökkertvárosi Tagóvodájának 2018. évben megvalósuló programjaihoz és tárgyi eszköz beszerzéséhez (Képviselői Alap)</t>
  </si>
  <si>
    <t>~ Egészségügyi kiegészítő pótlék 349/2017. (11.23.) Kormányrendelet alapján (2018. V., VI., VII., VIII. havi)</t>
  </si>
  <si>
    <t>~ 2018. évben megvalósításra kerülő programokhoz kapcsolódó személyi és dologi költségekhez, valamint immateriális javak, tárgyi eszközök költségeihez (Képviselői Alap)</t>
  </si>
  <si>
    <t>~ Bérkompenzáció (IV., V., VI., VII. ,VIII.havi)</t>
  </si>
  <si>
    <t>~ Kováts György- Székesfehérvár neves személyiségei I-II., Kováts Györgyné Újvári Éva - Alba Regia főiskoláinak 1000 éve, 1000-2016 c. kiadványok 200-200 példányban történő megjelentetéséhez kapcsolódó személyi és dologi költségekhez ( Könyvkiadás)</t>
  </si>
  <si>
    <t>~ Zsolt utcai Tagkönyvtár részére programok költségeihez, eszközbeszerzéshez (Képviselői Alap)</t>
  </si>
  <si>
    <t>~ Az Öreghegyi Nyugdíjas Klub által 2018. évben megalósításra kerülő programjaihoz (Képviselői Alap)</t>
  </si>
  <si>
    <t>~ A Székesfehérvári Vörösmarty Mihály Általános Iskola Farkasvermi Tagiskolája részére 2018. évi kézműves tábor szerzvezéséhez kapcsolódó, 2018. évben felmerülő személyi és dologi költségekhez (Képviselői Alap)</t>
  </si>
  <si>
    <t>~ 2018. június 1 és 2019. március 31. napja között megvalósításra kerülő rendezvényekhez, programokhoz és tárgyi eszköz beszerzéshez kapcsolódó személyi és dologi költségekhez (Képviselői Alap)</t>
  </si>
  <si>
    <t>~ 2018. augusztus 24-én az Aranybulla Műveszeti Napok alkalmából megnyíló Éltes Barna sepsiszentgyörgyi szobrászművész kiállítási anyagának szállítása (2018. augusztus 1. és szeptember 30. között) során felmerülő dologi költségekhez (Határon túli magyar kapcsolatok)</t>
  </si>
  <si>
    <t>~ Játékvezetői díjak ( Székesfehérvári Intézményi Központ)</t>
  </si>
  <si>
    <t>~ Szennyvízelvezető hálózat gerincvezeték cseréje a 333/2018. (V.18.) kgy határozat alapján (Rákóczi Óvoda)</t>
  </si>
  <si>
    <t>~ 2017. évi C. törvény 2. melléklet III.n.) pontja alapján óvodai és iskolai szociális segítő tevékenység támogatása (központi)- Székesfehérvári Család-és Gyermekjóléti Központ</t>
  </si>
  <si>
    <t>~ Kégl György Program - Egészségügyi feladatellátás ( Humán Szolgáltató Intézet)</t>
  </si>
  <si>
    <t>~Határon túli magyar kapcsolatok ( A Szabadművelődés Háza)</t>
  </si>
  <si>
    <t>~ Könyvkiadás ( Városi Levéltár )</t>
  </si>
  <si>
    <t>~ Kulturális célú kiadások év közben jelentkező többletfeladatok (A Szabad Művelődés Háza)</t>
  </si>
  <si>
    <t>~ Nemzetköz Kapcsolatok (Vörösmarty Színház)</t>
  </si>
  <si>
    <t>~ Sporteszközök, játszóeszközök beszerzése ( Felsővárosi, Napsugár, Szárazréti és Ligetsori óvodák)</t>
  </si>
  <si>
    <t>~ Intézményi működéshez kapcsolódó kiadások - kulturális célú kiadások év közben jelentkező többletfeladatok (Székesfehérvári Balett Színház)</t>
  </si>
  <si>
    <t>eredeti köt.</t>
  </si>
  <si>
    <t>eredeti önként</t>
  </si>
  <si>
    <t>eredeti államig.</t>
  </si>
  <si>
    <t>B53</t>
  </si>
  <si>
    <t>B54</t>
  </si>
  <si>
    <t>27/a, Egyéb tárgyi eszközök értékesítése</t>
  </si>
  <si>
    <t>27/b, Részesedések értékesítése</t>
  </si>
  <si>
    <t>28, Felhalmozási bevételek összesen (27+27/a,+27/b,):</t>
  </si>
  <si>
    <t xml:space="preserve">         Vállalkozók és Munkáltatók Országos Szövetsége</t>
  </si>
  <si>
    <t xml:space="preserve">         TIMI-BEA Művészeti Szolgáltató, Kulturális Betéti Társaság</t>
  </si>
  <si>
    <t xml:space="preserve">         Vasútmodell kiállítás üzemeltetésének támogatása (310/2018.(V.18.) kgy.hat.alapján)</t>
  </si>
  <si>
    <t xml:space="preserve">        Prosperis Alba Kutatóközpont Nonprofit Kft. (544/2018. (VIII.17.) kgy.hat.alapján</t>
  </si>
  <si>
    <t xml:space="preserve">         Sóstói Stadion megnyitó rendezvényének kerete </t>
  </si>
  <si>
    <t xml:space="preserve">              Székesfehérvári Szakképzési Centrum - Székesfehérvári SZC Váci Mihály Ipari Szakgimnázium, Szakközépiskola és Kollégium épületenergetikai fejlesztésének támogatása (592/2018.(IX.14.) kgy.hat.alapján)</t>
  </si>
  <si>
    <t xml:space="preserve">           "Aranybulla" Könyvtár Alapítvány működési támogatásaa</t>
  </si>
  <si>
    <t xml:space="preserve">        "Szín-Tér"/Színjátszó-Versmondó/ Egyesület (318/2018.(V.18.) kgy.hat.alapján)</t>
  </si>
  <si>
    <t>Sóstó-Újtelep II. lakóterület úthálózatának rendezésére (361/2018.(V.18.) kgy.hat.alapján)</t>
  </si>
  <si>
    <t>Szemünk Fénye program - eszközök vételára</t>
  </si>
  <si>
    <t>315/2018.(V.18.) kgy.hat.alapján ideiglenes moduláris rendszerű ebédlő telepítése</t>
  </si>
  <si>
    <t>7899/68 hrsz.-ú Juharfa utcában lévő ingatlan megvásárlása (548/2018.(VIII.17.) kgy.hat.alapján)</t>
  </si>
  <si>
    <t>Utótisztító műtárgy üzemeltetése (550/2018.(VIII.17.) kgy.hat.alapján)</t>
  </si>
  <si>
    <t>Széna Téri Sportcsarnok hőközpont létesítése (307/2018.(V.18.) kgy.hat.alapján)</t>
  </si>
  <si>
    <t>Csóri karsztakna védelembe helyezése előkészítő feladatok</t>
  </si>
  <si>
    <t>Udvari játszóeszközeinek felújítása (356/2018.(V.18.) kgy.hat.alapján)</t>
  </si>
  <si>
    <t>Felsővárosi Általános Iskola</t>
  </si>
  <si>
    <t>Kerítés elemek javítása, felújítása, kisajtó készítése (308/2018.(V.18.) kgy.hat. alapján)</t>
  </si>
  <si>
    <t>215/2018. (IV.20.) Kgy határozat alapján, és 404/2018. (VI.15.) Kgy határozat alapján</t>
  </si>
  <si>
    <t>574/2015. (IX.14.) Kgy. határozat alapján</t>
  </si>
  <si>
    <t>520/2018. (VIII.17.) Kgy határozat alapján</t>
  </si>
  <si>
    <t>538/2018. (VIII. 17.) Kgy. határozat alapján</t>
  </si>
  <si>
    <t>2018. szeptember 17.</t>
  </si>
  <si>
    <t>2018. október 1.</t>
  </si>
  <si>
    <t>2018. november 1.</t>
  </si>
  <si>
    <t xml:space="preserve">   314/2018.(V.18.) kgy.hat.alapján</t>
  </si>
  <si>
    <t xml:space="preserve">  Önkormányzati feladatellátást szolgáló támogatási keret - Székesfehérvár Városgondnoksága Kft. - 314/2018.(V.18.) kgy.hat.alapján</t>
  </si>
  <si>
    <t>Halász utcai játszótér bővítése (1717/2017.(X.3.) Korm.határozat alapján, Székesfehérvár Városgondnoksága Kft-vel a Kbt. 9.§ (1) bekezdés h) pontja szerint)</t>
  </si>
  <si>
    <t xml:space="preserve">          Fehérvári Zenei Napok - A Tehetséges Zenészekért Alapítvány - 2019. évi programok előkészítésére</t>
  </si>
  <si>
    <t xml:space="preserve">   Fehérvári Zenei Napok - A Tehetséges Zenészekért Alapítvány - 2019. évi programok előkészítésére</t>
  </si>
  <si>
    <t xml:space="preserve">  Önkormányzati feladatellátást szolgáló támogatási keret -    Fehérvári Zenei Napok - A Tehetséges Zenészekért Alapítvány - 2019. évi programok előkészítésére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</si>
</sst>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67" x14ac:knownFonts="1">
    <font>
      <sz val="12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sz val="12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2"/>
      <name val="Times New Roman"/>
      <family val="1"/>
      <charset val="238"/>
    </font>
    <font>
      <sz val="10"/>
      <name val="Arial"/>
      <family val="2"/>
      <charset val="238"/>
    </font>
    <font>
      <sz val="8"/>
      <name val="Times New Roman CE"/>
      <charset val="238"/>
    </font>
    <font>
      <sz val="12"/>
      <color indexed="8"/>
      <name val="Times New Roman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i/>
      <sz val="12"/>
      <name val="Times New Roman CE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b/>
      <sz val="10"/>
      <name val="Arial CE"/>
      <charset val="238"/>
    </font>
    <font>
      <sz val="11"/>
      <name val="Arial CE"/>
      <charset val="238"/>
    </font>
    <font>
      <b/>
      <sz val="10"/>
      <name val="Times New Roman CE"/>
      <charset val="238"/>
    </font>
    <font>
      <i/>
      <sz val="12"/>
      <name val="Times New Roman CE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name val="Times New Roman CE"/>
    </font>
    <font>
      <b/>
      <sz val="12"/>
      <name val="Times New Roman CE"/>
    </font>
    <font>
      <i/>
      <sz val="12"/>
      <name val="Times New Roman CE"/>
    </font>
    <font>
      <b/>
      <sz val="10"/>
      <name val="Times New Roman CE"/>
      <family val="1"/>
      <charset val="238"/>
    </font>
    <font>
      <b/>
      <sz val="10"/>
      <name val="Times New Roman CE"/>
    </font>
    <font>
      <b/>
      <sz val="11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1"/>
      <name val="Times New Roman CE"/>
      <charset val="238"/>
    </font>
    <font>
      <sz val="10"/>
      <color indexed="8"/>
      <name val="Calibri"/>
      <family val="2"/>
      <charset val="238"/>
    </font>
    <font>
      <b/>
      <sz val="8"/>
      <name val="Times New Roman CE"/>
    </font>
    <font>
      <sz val="10"/>
      <name val="Times New Roman CE"/>
      <family val="1"/>
      <charset val="238"/>
    </font>
    <font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1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252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24" fillId="3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26" fillId="20" borderId="1" applyNumberFormat="0" applyAlignment="0" applyProtection="0"/>
    <xf numFmtId="0" fontId="17" fillId="21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22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2" fillId="7" borderId="1" applyNumberFormat="0" applyAlignment="0" applyProtection="0"/>
    <xf numFmtId="0" fontId="6" fillId="22" borderId="7" applyNumberFormat="0" applyFont="0" applyAlignment="0" applyProtection="0"/>
    <xf numFmtId="0" fontId="28" fillId="22" borderId="7" applyNumberFormat="0" applyFont="0" applyAlignment="0" applyProtection="0"/>
    <xf numFmtId="0" fontId="28" fillId="22" borderId="7" applyNumberFormat="0" applyFont="0" applyAlignment="0" applyProtection="0"/>
    <xf numFmtId="0" fontId="9" fillId="22" borderId="7" applyNumberFormat="0" applyFont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1" fillId="20" borderId="8" applyNumberFormat="0" applyAlignment="0" applyProtection="0"/>
    <xf numFmtId="0" fontId="21" fillId="20" borderId="8" applyNumberFormat="0" applyAlignment="0" applyProtection="0"/>
    <xf numFmtId="0" fontId="21" fillId="20" borderId="8" applyNumberFormat="0" applyAlignment="0" applyProtection="0"/>
    <xf numFmtId="0" fontId="19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47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6" fillId="0" borderId="0"/>
    <xf numFmtId="0" fontId="28" fillId="0" borderId="0"/>
    <xf numFmtId="0" fontId="46" fillId="0" borderId="0"/>
    <xf numFmtId="0" fontId="10" fillId="0" borderId="0"/>
    <xf numFmtId="0" fontId="28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30" fillId="0" borderId="0"/>
    <xf numFmtId="0" fontId="9" fillId="0" borderId="0"/>
    <xf numFmtId="0" fontId="47" fillId="0" borderId="0"/>
    <xf numFmtId="0" fontId="47" fillId="0" borderId="0"/>
    <xf numFmtId="0" fontId="43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0" fillId="22" borderId="7" applyNumberFormat="0" applyFont="0" applyAlignment="0" applyProtection="0"/>
    <xf numFmtId="0" fontId="21" fillId="20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1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50" fillId="0" borderId="0"/>
    <xf numFmtId="0" fontId="50" fillId="0" borderId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0" fontId="28" fillId="0" borderId="0"/>
    <xf numFmtId="0" fontId="3" fillId="0" borderId="0"/>
    <xf numFmtId="0" fontId="28" fillId="0" borderId="0"/>
    <xf numFmtId="0" fontId="6" fillId="0" borderId="0"/>
    <xf numFmtId="0" fontId="28" fillId="0" borderId="0"/>
    <xf numFmtId="0" fontId="2" fillId="0" borderId="0"/>
    <xf numFmtId="0" fontId="2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7" borderId="1" applyNumberFormat="0" applyAlignment="0" applyProtection="0"/>
    <xf numFmtId="0" fontId="13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21" borderId="2" applyNumberFormat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6" fillId="22" borderId="7" applyNumberFormat="0" applyFont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20" fillId="4" borderId="0" applyNumberFormat="0" applyBorder="0" applyAlignment="0" applyProtection="0"/>
    <xf numFmtId="0" fontId="21" fillId="2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3" borderId="0" applyNumberFormat="0" applyBorder="0" applyAlignment="0" applyProtection="0"/>
    <xf numFmtId="0" fontId="25" fillId="23" borderId="0" applyNumberFormat="0" applyBorder="0" applyAlignment="0" applyProtection="0"/>
    <xf numFmtId="0" fontId="26" fillId="20" borderId="1" applyNumberFormat="0" applyAlignment="0" applyProtection="0"/>
  </cellStyleXfs>
  <cellXfs count="1018">
    <xf numFmtId="0" fontId="0" fillId="0" borderId="0" xfId="0"/>
    <xf numFmtId="0" fontId="36" fillId="0" borderId="10" xfId="174" applyFont="1" applyBorder="1" applyAlignment="1">
      <alignment horizontal="center" wrapText="1"/>
    </xf>
    <xf numFmtId="3" fontId="7" fillId="0" borderId="35" xfId="174" applyNumberFormat="1" applyFont="1" applyBorder="1" applyAlignment="1">
      <alignment horizontal="center" wrapText="1"/>
    </xf>
    <xf numFmtId="0" fontId="31" fillId="0" borderId="0" xfId="172"/>
    <xf numFmtId="3" fontId="7" fillId="0" borderId="10" xfId="174" applyNumberFormat="1" applyFont="1" applyBorder="1" applyAlignment="1">
      <alignment horizontal="center" wrapText="1"/>
    </xf>
    <xf numFmtId="3" fontId="6" fillId="0" borderId="21" xfId="174" applyNumberFormat="1" applyFont="1" applyFill="1" applyBorder="1"/>
    <xf numFmtId="3" fontId="6" fillId="0" borderId="11" xfId="174" applyNumberFormat="1" applyFont="1" applyFill="1" applyBorder="1"/>
    <xf numFmtId="3" fontId="7" fillId="0" borderId="11" xfId="174" applyNumberFormat="1" applyFont="1" applyFill="1" applyBorder="1"/>
    <xf numFmtId="0" fontId="36" fillId="0" borderId="11" xfId="174" applyFont="1" applyBorder="1" applyAlignment="1">
      <alignment wrapText="1"/>
    </xf>
    <xf numFmtId="3" fontId="36" fillId="0" borderId="11" xfId="174" applyNumberFormat="1" applyFont="1" applyFill="1" applyBorder="1"/>
    <xf numFmtId="0" fontId="31" fillId="0" borderId="0" xfId="172" applyFont="1"/>
    <xf numFmtId="0" fontId="37" fillId="0" borderId="11" xfId="174" applyFont="1" applyBorder="1" applyAlignment="1">
      <alignment wrapText="1"/>
    </xf>
    <xf numFmtId="3" fontId="37" fillId="0" borderId="20" xfId="174" applyNumberFormat="1" applyFont="1" applyFill="1" applyBorder="1"/>
    <xf numFmtId="3" fontId="37" fillId="0" borderId="11" xfId="174" applyNumberFormat="1" applyFont="1" applyFill="1" applyBorder="1"/>
    <xf numFmtId="3" fontId="37" fillId="0" borderId="21" xfId="174" applyNumberFormat="1" applyFont="1" applyFill="1" applyBorder="1"/>
    <xf numFmtId="3" fontId="6" fillId="0" borderId="20" xfId="174" applyNumberFormat="1" applyFill="1" applyBorder="1"/>
    <xf numFmtId="3" fontId="6" fillId="0" borderId="11" xfId="174" applyNumberFormat="1" applyFill="1" applyBorder="1"/>
    <xf numFmtId="0" fontId="38" fillId="0" borderId="11" xfId="174" applyFont="1" applyBorder="1" applyAlignment="1">
      <alignment wrapText="1"/>
    </xf>
    <xf numFmtId="3" fontId="39" fillId="0" borderId="11" xfId="174" applyNumberFormat="1" applyFont="1" applyFill="1" applyBorder="1"/>
    <xf numFmtId="3" fontId="39" fillId="0" borderId="20" xfId="174" applyNumberFormat="1" applyFont="1" applyFill="1" applyBorder="1"/>
    <xf numFmtId="0" fontId="40" fillId="0" borderId="0" xfId="172" applyFont="1"/>
    <xf numFmtId="3" fontId="8" fillId="0" borderId="20" xfId="174" applyNumberFormat="1" applyFont="1" applyFill="1" applyBorder="1"/>
    <xf numFmtId="3" fontId="8" fillId="0" borderId="11" xfId="174" applyNumberFormat="1" applyFont="1" applyFill="1" applyBorder="1"/>
    <xf numFmtId="3" fontId="8" fillId="0" borderId="21" xfId="174" applyNumberFormat="1" applyFont="1" applyFill="1" applyBorder="1"/>
    <xf numFmtId="3" fontId="39" fillId="0" borderId="21" xfId="174" applyNumberFormat="1" applyFont="1" applyFill="1" applyBorder="1"/>
    <xf numFmtId="3" fontId="38" fillId="0" borderId="11" xfId="174" applyNumberFormat="1" applyFont="1" applyFill="1" applyBorder="1"/>
    <xf numFmtId="0" fontId="37" fillId="0" borderId="11" xfId="174" applyFont="1" applyFill="1" applyBorder="1" applyAlignment="1">
      <alignment wrapText="1"/>
    </xf>
    <xf numFmtId="0" fontId="31" fillId="0" borderId="0" xfId="172" applyFill="1"/>
    <xf numFmtId="0" fontId="31" fillId="0" borderId="0" xfId="172" applyFont="1" applyFill="1"/>
    <xf numFmtId="0" fontId="36" fillId="0" borderId="36" xfId="174" applyFont="1" applyBorder="1" applyAlignment="1">
      <alignment wrapText="1"/>
    </xf>
    <xf numFmtId="3" fontId="7" fillId="0" borderId="19" xfId="174" applyNumberFormat="1" applyFont="1" applyFill="1" applyBorder="1"/>
    <xf numFmtId="3" fontId="7" fillId="0" borderId="36" xfId="174" applyNumberFormat="1" applyFont="1" applyFill="1" applyBorder="1"/>
    <xf numFmtId="3" fontId="7" fillId="0" borderId="37" xfId="174" applyNumberFormat="1" applyFont="1" applyFill="1" applyBorder="1"/>
    <xf numFmtId="3" fontId="7" fillId="0" borderId="10" xfId="174" applyNumberFormat="1" applyFont="1" applyFill="1" applyBorder="1"/>
    <xf numFmtId="0" fontId="37" fillId="0" borderId="36" xfId="174" applyFont="1" applyBorder="1" applyAlignment="1">
      <alignment wrapText="1"/>
    </xf>
    <xf numFmtId="3" fontId="6" fillId="0" borderId="36" xfId="174" applyNumberFormat="1" applyFill="1" applyBorder="1"/>
    <xf numFmtId="3" fontId="6" fillId="0" borderId="37" xfId="174" applyNumberFormat="1" applyFill="1" applyBorder="1"/>
    <xf numFmtId="0" fontId="41" fillId="0" borderId="0" xfId="172" applyFont="1"/>
    <xf numFmtId="3" fontId="6" fillId="0" borderId="38" xfId="174" applyNumberFormat="1" applyFont="1" applyFill="1" applyBorder="1"/>
    <xf numFmtId="3" fontId="6" fillId="0" borderId="39" xfId="174" applyNumberFormat="1" applyFont="1" applyFill="1" applyBorder="1"/>
    <xf numFmtId="0" fontId="42" fillId="0" borderId="0" xfId="172" applyFont="1"/>
    <xf numFmtId="3" fontId="7" fillId="0" borderId="38" xfId="174" applyNumberFormat="1" applyFont="1" applyFill="1" applyBorder="1"/>
    <xf numFmtId="0" fontId="36" fillId="0" borderId="38" xfId="174" applyFont="1" applyBorder="1" applyAlignment="1">
      <alignment wrapText="1"/>
    </xf>
    <xf numFmtId="0" fontId="36" fillId="0" borderId="10" xfId="174" applyFont="1" applyBorder="1" applyAlignment="1">
      <alignment wrapText="1"/>
    </xf>
    <xf numFmtId="3" fontId="36" fillId="0" borderId="40" xfId="174" applyNumberFormat="1" applyFont="1" applyFill="1" applyBorder="1"/>
    <xf numFmtId="3" fontId="36" fillId="0" borderId="41" xfId="174" applyNumberFormat="1" applyFont="1" applyFill="1" applyBorder="1"/>
    <xf numFmtId="3" fontId="36" fillId="0" borderId="10" xfId="174" applyNumberFormat="1" applyFont="1" applyFill="1" applyBorder="1"/>
    <xf numFmtId="3" fontId="39" fillId="0" borderId="10" xfId="174" applyNumberFormat="1" applyFont="1" applyFill="1" applyBorder="1"/>
    <xf numFmtId="0" fontId="36" fillId="0" borderId="42" xfId="174" applyFont="1" applyBorder="1" applyAlignment="1">
      <alignment wrapText="1"/>
    </xf>
    <xf numFmtId="3" fontId="36" fillId="0" borderId="0" xfId="174" applyNumberFormat="1" applyFont="1" applyFill="1" applyBorder="1"/>
    <xf numFmtId="3" fontId="32" fillId="0" borderId="0" xfId="172" applyNumberFormat="1" applyFont="1" applyFill="1" applyBorder="1"/>
    <xf numFmtId="0" fontId="32" fillId="0" borderId="43" xfId="172" applyFont="1" applyBorder="1" applyAlignment="1">
      <alignment wrapText="1"/>
    </xf>
    <xf numFmtId="3" fontId="33" fillId="0" borderId="11" xfId="172" applyNumberFormat="1" applyFont="1" applyBorder="1" applyAlignment="1">
      <alignment wrapText="1"/>
    </xf>
    <xf numFmtId="3" fontId="33" fillId="0" borderId="24" xfId="172" applyNumberFormat="1" applyFont="1" applyFill="1" applyBorder="1" applyAlignment="1">
      <alignment wrapText="1"/>
    </xf>
    <xf numFmtId="3" fontId="33" fillId="0" borderId="22" xfId="172" applyNumberFormat="1" applyFont="1" applyFill="1" applyBorder="1"/>
    <xf numFmtId="0" fontId="32" fillId="0" borderId="11" xfId="172" applyFont="1" applyBorder="1" applyAlignment="1">
      <alignment wrapText="1"/>
    </xf>
    <xf numFmtId="3" fontId="33" fillId="0" borderId="11" xfId="172" applyNumberFormat="1" applyFont="1" applyFill="1" applyBorder="1" applyAlignment="1">
      <alignment wrapText="1"/>
    </xf>
    <xf numFmtId="3" fontId="33" fillId="0" borderId="0" xfId="172" applyNumberFormat="1" applyFont="1"/>
    <xf numFmtId="3" fontId="32" fillId="0" borderId="15" xfId="172" applyNumberFormat="1" applyFont="1" applyBorder="1"/>
    <xf numFmtId="3" fontId="33" fillId="0" borderId="0" xfId="172" applyNumberFormat="1" applyFont="1" applyAlignment="1"/>
    <xf numFmtId="3" fontId="33" fillId="0" borderId="0" xfId="172" applyNumberFormat="1" applyFont="1" applyBorder="1"/>
    <xf numFmtId="3" fontId="32" fillId="0" borderId="0" xfId="172" applyNumberFormat="1" applyFont="1" applyBorder="1"/>
    <xf numFmtId="0" fontId="33" fillId="0" borderId="0" xfId="172" applyFont="1"/>
    <xf numFmtId="3" fontId="33" fillId="0" borderId="0" xfId="174" applyNumberFormat="1" applyFont="1" applyBorder="1" applyAlignment="1">
      <alignment wrapText="1"/>
    </xf>
    <xf numFmtId="0" fontId="27" fillId="0" borderId="0" xfId="172" applyFont="1" applyBorder="1"/>
    <xf numFmtId="0" fontId="33" fillId="0" borderId="0" xfId="172" applyFont="1" applyBorder="1"/>
    <xf numFmtId="0" fontId="34" fillId="0" borderId="0" xfId="172" applyFont="1" applyBorder="1"/>
    <xf numFmtId="0" fontId="37" fillId="0" borderId="0" xfId="172" applyFont="1" applyBorder="1"/>
    <xf numFmtId="0" fontId="37" fillId="0" borderId="0" xfId="172" applyFont="1"/>
    <xf numFmtId="0" fontId="36" fillId="0" borderId="10" xfId="171" applyFont="1" applyBorder="1" applyAlignment="1">
      <alignment horizontal="centerContinuous"/>
    </xf>
    <xf numFmtId="3" fontId="36" fillId="0" borderId="10" xfId="171" applyNumberFormat="1" applyFont="1" applyBorder="1" applyAlignment="1">
      <alignment horizontal="centerContinuous" wrapText="1"/>
    </xf>
    <xf numFmtId="0" fontId="37" fillId="0" borderId="0" xfId="171" applyFont="1" applyAlignment="1">
      <alignment horizontal="centerContinuous"/>
    </xf>
    <xf numFmtId="3" fontId="36" fillId="0" borderId="44" xfId="171" applyNumberFormat="1" applyFont="1" applyBorder="1" applyAlignment="1">
      <alignment horizontal="centerContinuous" wrapText="1"/>
    </xf>
    <xf numFmtId="0" fontId="37" fillId="0" borderId="0" xfId="171" applyFont="1" applyAlignment="1">
      <alignment horizontal="centerContinuous" wrapText="1"/>
    </xf>
    <xf numFmtId="0" fontId="36" fillId="0" borderId="46" xfId="171" applyFont="1" applyBorder="1" applyAlignment="1">
      <alignment horizontal="centerContinuous" wrapText="1"/>
    </xf>
    <xf numFmtId="3" fontId="36" fillId="0" borderId="47" xfId="171" applyNumberFormat="1" applyFont="1" applyBorder="1" applyAlignment="1">
      <alignment horizontal="centerContinuous" wrapText="1"/>
    </xf>
    <xf numFmtId="3" fontId="36" fillId="0" borderId="48" xfId="171" applyNumberFormat="1" applyFont="1" applyBorder="1" applyAlignment="1">
      <alignment horizontal="centerContinuous" wrapText="1"/>
    </xf>
    <xf numFmtId="0" fontId="37" fillId="0" borderId="49" xfId="171" applyFont="1" applyBorder="1"/>
    <xf numFmtId="3" fontId="37" fillId="0" borderId="49" xfId="171" applyNumberFormat="1" applyFont="1" applyBorder="1"/>
    <xf numFmtId="3" fontId="37" fillId="0" borderId="50" xfId="171" applyNumberFormat="1" applyFont="1" applyBorder="1"/>
    <xf numFmtId="3" fontId="37" fillId="0" borderId="51" xfId="171" applyNumberFormat="1" applyFont="1" applyBorder="1"/>
    <xf numFmtId="3" fontId="37" fillId="0" borderId="52" xfId="171" applyNumberFormat="1" applyFont="1" applyBorder="1"/>
    <xf numFmtId="3" fontId="7" fillId="0" borderId="53" xfId="171" applyNumberFormat="1" applyFont="1" applyBorder="1"/>
    <xf numFmtId="3" fontId="7" fillId="0" borderId="54" xfId="171" applyNumberFormat="1" applyFont="1" applyBorder="1"/>
    <xf numFmtId="3" fontId="7" fillId="0" borderId="55" xfId="171" applyNumberFormat="1" applyFont="1" applyBorder="1"/>
    <xf numFmtId="3" fontId="7" fillId="0" borderId="45" xfId="171" applyNumberFormat="1" applyFont="1" applyBorder="1"/>
    <xf numFmtId="0" fontId="37" fillId="0" borderId="0" xfId="171" applyFont="1"/>
    <xf numFmtId="0" fontId="37" fillId="0" borderId="11" xfId="171" applyFont="1" applyBorder="1" applyAlignment="1">
      <alignment wrapText="1"/>
    </xf>
    <xf numFmtId="3" fontId="37" fillId="0" borderId="11" xfId="171" applyNumberFormat="1" applyFont="1" applyBorder="1"/>
    <xf numFmtId="3" fontId="37" fillId="0" borderId="12" xfId="171" applyNumberFormat="1" applyFont="1" applyBorder="1"/>
    <xf numFmtId="3" fontId="7" fillId="0" borderId="12" xfId="171" applyNumberFormat="1" applyFont="1" applyBorder="1"/>
    <xf numFmtId="3" fontId="7" fillId="0" borderId="56" xfId="171" applyNumberFormat="1" applyFont="1" applyBorder="1"/>
    <xf numFmtId="3" fontId="7" fillId="0" borderId="57" xfId="171" applyNumberFormat="1" applyFont="1" applyBorder="1"/>
    <xf numFmtId="3" fontId="7" fillId="0" borderId="11" xfId="171" applyNumberFormat="1" applyFont="1" applyBorder="1"/>
    <xf numFmtId="0" fontId="37" fillId="0" borderId="11" xfId="171" applyFont="1" applyBorder="1"/>
    <xf numFmtId="3" fontId="37" fillId="0" borderId="58" xfId="171" applyNumberFormat="1" applyFont="1" applyBorder="1"/>
    <xf numFmtId="3" fontId="7" fillId="0" borderId="58" xfId="171" applyNumberFormat="1" applyFont="1" applyBorder="1"/>
    <xf numFmtId="3" fontId="7" fillId="0" borderId="59" xfId="171" applyNumberFormat="1" applyFont="1" applyBorder="1"/>
    <xf numFmtId="3" fontId="7" fillId="0" borderId="48" xfId="171" applyNumberFormat="1" applyFont="1" applyBorder="1"/>
    <xf numFmtId="0" fontId="7" fillId="0" borderId="11" xfId="171" applyFont="1" applyBorder="1"/>
    <xf numFmtId="3" fontId="38" fillId="0" borderId="11" xfId="171" applyNumberFormat="1" applyFont="1" applyBorder="1"/>
    <xf numFmtId="3" fontId="38" fillId="0" borderId="12" xfId="171" applyNumberFormat="1" applyFont="1" applyBorder="1"/>
    <xf numFmtId="3" fontId="38" fillId="0" borderId="56" xfId="171" applyNumberFormat="1" applyFont="1" applyBorder="1"/>
    <xf numFmtId="3" fontId="38" fillId="0" borderId="21" xfId="171" applyNumberFormat="1" applyFont="1" applyBorder="1"/>
    <xf numFmtId="0" fontId="36" fillId="0" borderId="13" xfId="171" applyFont="1" applyBorder="1"/>
    <xf numFmtId="3" fontId="39" fillId="0" borderId="10" xfId="171" applyNumberFormat="1" applyFont="1" applyBorder="1"/>
    <xf numFmtId="0" fontId="7" fillId="0" borderId="13" xfId="171" applyFont="1" applyBorder="1"/>
    <xf numFmtId="0" fontId="7" fillId="0" borderId="0" xfId="171" applyFont="1"/>
    <xf numFmtId="3" fontId="37" fillId="0" borderId="0" xfId="171" applyNumberFormat="1" applyFont="1"/>
    <xf numFmtId="3" fontId="0" fillId="0" borderId="0" xfId="0" applyNumberFormat="1"/>
    <xf numFmtId="3" fontId="6" fillId="0" borderId="33" xfId="0" applyNumberFormat="1" applyFont="1" applyBorder="1" applyAlignment="1">
      <alignment wrapText="1"/>
    </xf>
    <xf numFmtId="3" fontId="44" fillId="0" borderId="33" xfId="0" applyNumberFormat="1" applyFont="1" applyFill="1" applyBorder="1" applyAlignment="1">
      <alignment horizontal="center" vertical="center" wrapText="1"/>
    </xf>
    <xf numFmtId="3" fontId="44" fillId="0" borderId="33" xfId="0" applyNumberFormat="1" applyFont="1" applyBorder="1" applyAlignment="1">
      <alignment horizontal="center" vertical="center" wrapText="1"/>
    </xf>
    <xf numFmtId="3" fontId="44" fillId="0" borderId="60" xfId="0" applyNumberFormat="1" applyFont="1" applyBorder="1" applyAlignment="1">
      <alignment horizontal="center" vertical="center" wrapText="1"/>
    </xf>
    <xf numFmtId="3" fontId="44" fillId="0" borderId="6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wrapText="1"/>
    </xf>
    <xf numFmtId="3" fontId="7" fillId="0" borderId="33" xfId="0" applyNumberFormat="1" applyFont="1" applyBorder="1" applyAlignment="1">
      <alignment horizontal="center" vertical="center"/>
    </xf>
    <xf numFmtId="3" fontId="7" fillId="0" borderId="60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0" borderId="62" xfId="0" applyNumberFormat="1" applyFont="1" applyBorder="1"/>
    <xf numFmtId="3" fontId="7" fillId="0" borderId="30" xfId="0" applyNumberFormat="1" applyFont="1" applyBorder="1" applyAlignment="1">
      <alignment wrapText="1"/>
    </xf>
    <xf numFmtId="3" fontId="7" fillId="0" borderId="63" xfId="0" applyNumberFormat="1" applyFont="1" applyBorder="1"/>
    <xf numFmtId="3" fontId="7" fillId="0" borderId="0" xfId="0" applyNumberFormat="1" applyFont="1"/>
    <xf numFmtId="3" fontId="7" fillId="0" borderId="31" xfId="0" applyNumberFormat="1" applyFont="1" applyBorder="1" applyAlignment="1">
      <alignment wrapText="1"/>
    </xf>
    <xf numFmtId="3" fontId="7" fillId="0" borderId="59" xfId="0" applyNumberFormat="1" applyFont="1" applyBorder="1"/>
    <xf numFmtId="3" fontId="7" fillId="0" borderId="19" xfId="0" applyNumberFormat="1" applyFont="1" applyBorder="1"/>
    <xf numFmtId="3" fontId="0" fillId="0" borderId="63" xfId="0" applyNumberFormat="1" applyBorder="1"/>
    <xf numFmtId="3" fontId="0" fillId="0" borderId="23" xfId="0" applyNumberFormat="1" applyBorder="1"/>
    <xf numFmtId="3" fontId="0" fillId="0" borderId="64" xfId="0" applyNumberFormat="1" applyBorder="1"/>
    <xf numFmtId="3" fontId="7" fillId="0" borderId="56" xfId="0" applyNumberFormat="1" applyFont="1" applyBorder="1"/>
    <xf numFmtId="3" fontId="0" fillId="0" borderId="32" xfId="0" applyNumberFormat="1" applyBorder="1"/>
    <xf numFmtId="3" fontId="0" fillId="0" borderId="34" xfId="0" applyNumberFormat="1" applyBorder="1"/>
    <xf numFmtId="3" fontId="0" fillId="0" borderId="24" xfId="0" applyNumberFormat="1" applyBorder="1"/>
    <xf numFmtId="3" fontId="0" fillId="0" borderId="65" xfId="0" applyNumberFormat="1" applyBorder="1"/>
    <xf numFmtId="3" fontId="7" fillId="0" borderId="32" xfId="0" applyNumberFormat="1" applyFont="1" applyBorder="1"/>
    <xf numFmtId="3" fontId="7" fillId="0" borderId="34" xfId="0" applyNumberFormat="1" applyFont="1" applyBorder="1"/>
    <xf numFmtId="3" fontId="7" fillId="0" borderId="65" xfId="0" applyNumberFormat="1" applyFont="1" applyBorder="1"/>
    <xf numFmtId="3" fontId="7" fillId="0" borderId="20" xfId="0" applyNumberFormat="1" applyFont="1" applyBorder="1"/>
    <xf numFmtId="0" fontId="7" fillId="0" borderId="31" xfId="0" applyFont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31" xfId="0" applyFont="1" applyBorder="1" applyAlignment="1">
      <alignment wrapText="1"/>
    </xf>
    <xf numFmtId="3" fontId="0" fillId="0" borderId="24" xfId="0" applyNumberFormat="1" applyFill="1" applyBorder="1"/>
    <xf numFmtId="3" fontId="0" fillId="0" borderId="20" xfId="0" applyNumberFormat="1" applyBorder="1"/>
    <xf numFmtId="3" fontId="7" fillId="0" borderId="66" xfId="0" applyNumberFormat="1" applyFont="1" applyBorder="1"/>
    <xf numFmtId="3" fontId="7" fillId="0" borderId="67" xfId="0" applyNumberFormat="1" applyFont="1" applyBorder="1" applyAlignment="1">
      <alignment wrapText="1"/>
    </xf>
    <xf numFmtId="3" fontId="7" fillId="0" borderId="33" xfId="0" applyNumberFormat="1" applyFont="1" applyBorder="1"/>
    <xf numFmtId="3" fontId="0" fillId="0" borderId="62" xfId="0" applyNumberFormat="1" applyBorder="1"/>
    <xf numFmtId="3" fontId="7" fillId="0" borderId="69" xfId="0" applyNumberFormat="1" applyFont="1" applyBorder="1" applyAlignment="1">
      <alignment wrapText="1"/>
    </xf>
    <xf numFmtId="3" fontId="7" fillId="0" borderId="70" xfId="0" applyNumberFormat="1" applyFont="1" applyBorder="1"/>
    <xf numFmtId="3" fontId="7" fillId="0" borderId="71" xfId="0" applyNumberFormat="1" applyFont="1" applyBorder="1" applyAlignment="1">
      <alignment wrapText="1"/>
    </xf>
    <xf numFmtId="3" fontId="0" fillId="0" borderId="72" xfId="0" applyNumberFormat="1" applyBorder="1"/>
    <xf numFmtId="3" fontId="0" fillId="0" borderId="73" xfId="0" applyNumberFormat="1" applyBorder="1"/>
    <xf numFmtId="3" fontId="0" fillId="0" borderId="74" xfId="0" applyNumberFormat="1" applyBorder="1"/>
    <xf numFmtId="3" fontId="7" fillId="0" borderId="75" xfId="0" applyNumberFormat="1" applyFont="1" applyBorder="1"/>
    <xf numFmtId="3" fontId="7" fillId="0" borderId="72" xfId="0" applyNumberFormat="1" applyFont="1" applyBorder="1"/>
    <xf numFmtId="3" fontId="7" fillId="0" borderId="76" xfId="0" applyNumberFormat="1" applyFont="1" applyBorder="1"/>
    <xf numFmtId="3" fontId="0" fillId="0" borderId="0" xfId="0" applyNumberFormat="1" applyAlignment="1">
      <alignment wrapText="1"/>
    </xf>
    <xf numFmtId="0" fontId="36" fillId="0" borderId="10" xfId="173" applyFont="1" applyFill="1" applyBorder="1" applyAlignment="1">
      <alignment horizontal="center"/>
    </xf>
    <xf numFmtId="3" fontId="36" fillId="0" borderId="10" xfId="173" applyNumberFormat="1" applyFont="1" applyFill="1" applyBorder="1" applyAlignment="1">
      <alignment horizontal="center" wrapText="1"/>
    </xf>
    <xf numFmtId="0" fontId="6" fillId="0" borderId="0" xfId="173" applyFill="1"/>
    <xf numFmtId="3" fontId="36" fillId="0" borderId="22" xfId="173" applyNumberFormat="1" applyFont="1" applyFill="1" applyBorder="1" applyAlignment="1">
      <alignment wrapText="1"/>
    </xf>
    <xf numFmtId="0" fontId="36" fillId="0" borderId="0" xfId="173" applyFont="1" applyFill="1"/>
    <xf numFmtId="3" fontId="36" fillId="0" borderId="16" xfId="173" applyNumberFormat="1" applyFont="1" applyFill="1" applyBorder="1" applyAlignment="1">
      <alignment wrapText="1"/>
    </xf>
    <xf numFmtId="3" fontId="36" fillId="0" borderId="18" xfId="173" applyNumberFormat="1" applyFont="1" applyFill="1" applyBorder="1"/>
    <xf numFmtId="3" fontId="45" fillId="0" borderId="22" xfId="173" applyNumberFormat="1" applyFont="1" applyFill="1" applyBorder="1" applyAlignment="1">
      <alignment wrapText="1"/>
    </xf>
    <xf numFmtId="3" fontId="45" fillId="0" borderId="25" xfId="173" applyNumberFormat="1" applyFont="1" applyFill="1" applyBorder="1"/>
    <xf numFmtId="0" fontId="45" fillId="0" borderId="0" xfId="173" applyFont="1" applyFill="1"/>
    <xf numFmtId="3" fontId="37" fillId="0" borderId="25" xfId="173" applyNumberFormat="1" applyFont="1" applyFill="1" applyBorder="1"/>
    <xf numFmtId="3" fontId="45" fillId="0" borderId="77" xfId="173" applyNumberFormat="1" applyFont="1" applyFill="1" applyBorder="1" applyAlignment="1">
      <alignment wrapText="1"/>
    </xf>
    <xf numFmtId="0" fontId="6" fillId="0" borderId="77" xfId="173" applyFont="1" applyFill="1" applyBorder="1"/>
    <xf numFmtId="3" fontId="6" fillId="0" borderId="26" xfId="173" applyNumberFormat="1" applyFont="1" applyFill="1" applyBorder="1"/>
    <xf numFmtId="3" fontId="8" fillId="0" borderId="22" xfId="173" applyNumberFormat="1" applyFont="1" applyFill="1" applyBorder="1" applyAlignment="1">
      <alignment wrapText="1"/>
    </xf>
    <xf numFmtId="0" fontId="8" fillId="0" borderId="22" xfId="175" applyFont="1" applyFill="1" applyBorder="1" applyAlignment="1">
      <alignment wrapText="1"/>
    </xf>
    <xf numFmtId="3" fontId="8" fillId="0" borderId="25" xfId="173" applyNumberFormat="1" applyFont="1" applyFill="1" applyBorder="1"/>
    <xf numFmtId="3" fontId="38" fillId="0" borderId="10" xfId="173" applyNumberFormat="1" applyFont="1" applyFill="1" applyBorder="1" applyAlignment="1">
      <alignment wrapText="1"/>
    </xf>
    <xf numFmtId="3" fontId="38" fillId="0" borderId="10" xfId="173" applyNumberFormat="1" applyFont="1" applyFill="1" applyBorder="1"/>
    <xf numFmtId="0" fontId="38" fillId="0" borderId="0" xfId="173" applyFont="1" applyFill="1"/>
    <xf numFmtId="3" fontId="6" fillId="0" borderId="0" xfId="173" applyNumberFormat="1" applyFill="1" applyAlignment="1">
      <alignment wrapText="1"/>
    </xf>
    <xf numFmtId="3" fontId="6" fillId="0" borderId="0" xfId="173" applyNumberFormat="1" applyFill="1"/>
    <xf numFmtId="3" fontId="6" fillId="0" borderId="18" xfId="173" applyNumberFormat="1" applyFill="1" applyBorder="1"/>
    <xf numFmtId="0" fontId="6" fillId="0" borderId="0" xfId="173" applyFont="1" applyFill="1"/>
    <xf numFmtId="0" fontId="7" fillId="0" borderId="10" xfId="173" applyFont="1" applyFill="1" applyBorder="1" applyAlignment="1">
      <alignment horizontal="center" wrapText="1"/>
    </xf>
    <xf numFmtId="3" fontId="36" fillId="0" borderId="10" xfId="173" applyNumberFormat="1" applyFont="1" applyFill="1" applyBorder="1" applyAlignment="1">
      <alignment wrapText="1"/>
    </xf>
    <xf numFmtId="3" fontId="7" fillId="0" borderId="35" xfId="173" applyNumberFormat="1" applyFont="1" applyFill="1" applyBorder="1"/>
    <xf numFmtId="3" fontId="7" fillId="0" borderId="10" xfId="173" applyNumberFormat="1" applyFont="1" applyFill="1" applyBorder="1"/>
    <xf numFmtId="3" fontId="6" fillId="0" borderId="0" xfId="173" applyNumberFormat="1" applyFont="1" applyFill="1" applyAlignment="1">
      <alignment wrapText="1"/>
    </xf>
    <xf numFmtId="3" fontId="6" fillId="0" borderId="0" xfId="173" applyNumberFormat="1" applyFont="1" applyFill="1"/>
    <xf numFmtId="3" fontId="7" fillId="0" borderId="0" xfId="173" applyNumberFormat="1" applyFont="1" applyFill="1"/>
    <xf numFmtId="3" fontId="7" fillId="0" borderId="35" xfId="174" applyNumberFormat="1" applyFont="1" applyBorder="1" applyAlignment="1">
      <alignment horizontal="center"/>
    </xf>
    <xf numFmtId="0" fontId="36" fillId="0" borderId="35" xfId="171" applyFont="1" applyBorder="1" applyAlignment="1">
      <alignment horizontal="centerContinuous"/>
    </xf>
    <xf numFmtId="0" fontId="36" fillId="0" borderId="44" xfId="171" applyFont="1" applyBorder="1" applyAlignment="1">
      <alignment horizontal="centerContinuous" wrapText="1"/>
    </xf>
    <xf numFmtId="0" fontId="36" fillId="0" borderId="35" xfId="174" applyFont="1" applyBorder="1" applyAlignment="1">
      <alignment horizontal="center" wrapText="1"/>
    </xf>
    <xf numFmtId="0" fontId="36" fillId="0" borderId="47" xfId="171" applyFont="1" applyBorder="1" applyAlignment="1">
      <alignment horizontal="centerContinuous" wrapText="1"/>
    </xf>
    <xf numFmtId="0" fontId="7" fillId="0" borderId="12" xfId="171" applyFont="1" applyBorder="1"/>
    <xf numFmtId="0" fontId="7" fillId="0" borderId="40" xfId="171" applyFont="1" applyBorder="1"/>
    <xf numFmtId="0" fontId="36" fillId="0" borderId="79" xfId="171" applyFont="1" applyBorder="1" applyAlignment="1">
      <alignment horizontal="center" wrapText="1"/>
    </xf>
    <xf numFmtId="0" fontId="36" fillId="0" borderId="10" xfId="171" applyFont="1" applyBorder="1"/>
    <xf numFmtId="0" fontId="36" fillId="0" borderId="0" xfId="174" applyFont="1" applyBorder="1" applyAlignment="1">
      <alignment wrapText="1"/>
    </xf>
    <xf numFmtId="3" fontId="37" fillId="0" borderId="36" xfId="174" applyNumberFormat="1" applyFont="1" applyFill="1" applyBorder="1"/>
    <xf numFmtId="0" fontId="0" fillId="0" borderId="11" xfId="174" applyFont="1" applyBorder="1" applyAlignment="1">
      <alignment wrapText="1"/>
    </xf>
    <xf numFmtId="3" fontId="9" fillId="0" borderId="11" xfId="174" applyNumberFormat="1" applyFont="1" applyFill="1" applyBorder="1"/>
    <xf numFmtId="0" fontId="0" fillId="0" borderId="11" xfId="174" applyFont="1" applyFill="1" applyBorder="1" applyAlignment="1">
      <alignment wrapText="1"/>
    </xf>
    <xf numFmtId="3" fontId="6" fillId="0" borderId="19" xfId="174" applyNumberFormat="1" applyFill="1" applyBorder="1"/>
    <xf numFmtId="0" fontId="36" fillId="0" borderId="11" xfId="174" applyFont="1" applyBorder="1" applyAlignment="1">
      <alignment horizontal="left" wrapText="1"/>
    </xf>
    <xf numFmtId="0" fontId="36" fillId="0" borderId="10" xfId="171" applyFont="1" applyBorder="1" applyAlignment="1">
      <alignment horizontal="centerContinuous" wrapText="1"/>
    </xf>
    <xf numFmtId="3" fontId="7" fillId="0" borderId="10" xfId="174" applyNumberFormat="1" applyFont="1" applyBorder="1" applyAlignment="1">
      <alignment horizontal="center"/>
    </xf>
    <xf numFmtId="0" fontId="36" fillId="0" borderId="80" xfId="171" applyFont="1" applyBorder="1" applyAlignment="1">
      <alignment horizontal="centerContinuous" wrapText="1"/>
    </xf>
    <xf numFmtId="3" fontId="6" fillId="0" borderId="81" xfId="174" applyNumberFormat="1" applyFont="1" applyFill="1" applyBorder="1"/>
    <xf numFmtId="3" fontId="36" fillId="0" borderId="82" xfId="174" applyNumberFormat="1" applyFont="1" applyFill="1" applyBorder="1"/>
    <xf numFmtId="0" fontId="37" fillId="0" borderId="43" xfId="174" applyFont="1" applyFill="1" applyBorder="1" applyAlignment="1">
      <alignment wrapText="1"/>
    </xf>
    <xf numFmtId="3" fontId="37" fillId="0" borderId="43" xfId="174" applyNumberFormat="1" applyFont="1" applyFill="1" applyBorder="1"/>
    <xf numFmtId="0" fontId="37" fillId="0" borderId="38" xfId="174" applyFont="1" applyBorder="1" applyAlignment="1">
      <alignment wrapText="1"/>
    </xf>
    <xf numFmtId="0" fontId="36" fillId="0" borderId="40" xfId="174" applyFont="1" applyBorder="1" applyAlignment="1">
      <alignment wrapText="1"/>
    </xf>
    <xf numFmtId="3" fontId="32" fillId="0" borderId="22" xfId="172" applyNumberFormat="1" applyFont="1" applyFill="1" applyBorder="1"/>
    <xf numFmtId="0" fontId="37" fillId="0" borderId="11" xfId="171" applyFont="1" applyFill="1" applyBorder="1"/>
    <xf numFmtId="3" fontId="37" fillId="0" borderId="12" xfId="171" applyNumberFormat="1" applyFont="1" applyFill="1" applyBorder="1"/>
    <xf numFmtId="0" fontId="7" fillId="0" borderId="11" xfId="171" applyNumberFormat="1" applyFont="1" applyFill="1" applyBorder="1"/>
    <xf numFmtId="0" fontId="37" fillId="0" borderId="0" xfId="171" applyFont="1" applyFill="1"/>
    <xf numFmtId="0" fontId="0" fillId="0" borderId="0" xfId="0" applyFill="1"/>
    <xf numFmtId="0" fontId="8" fillId="0" borderId="83" xfId="171" applyFont="1" applyFill="1" applyBorder="1"/>
    <xf numFmtId="3" fontId="8" fillId="0" borderId="52" xfId="171" applyNumberFormat="1" applyFont="1" applyFill="1" applyBorder="1"/>
    <xf numFmtId="0" fontId="8" fillId="0" borderId="0" xfId="171" applyFont="1" applyFill="1"/>
    <xf numFmtId="0" fontId="8" fillId="0" borderId="0" xfId="0" applyFont="1" applyFill="1"/>
    <xf numFmtId="0" fontId="37" fillId="0" borderId="11" xfId="171" applyNumberFormat="1" applyFont="1" applyFill="1" applyBorder="1"/>
    <xf numFmtId="0" fontId="8" fillId="0" borderId="15" xfId="171" applyNumberFormat="1" applyFont="1" applyFill="1" applyBorder="1"/>
    <xf numFmtId="0" fontId="8" fillId="0" borderId="0" xfId="171" applyFont="1"/>
    <xf numFmtId="0" fontId="8" fillId="0" borderId="15" xfId="171" applyFont="1" applyBorder="1"/>
    <xf numFmtId="3" fontId="8" fillId="0" borderId="15" xfId="171" applyNumberFormat="1" applyFont="1" applyBorder="1"/>
    <xf numFmtId="3" fontId="36" fillId="0" borderId="38" xfId="174" applyNumberFormat="1" applyFont="1" applyFill="1" applyBorder="1"/>
    <xf numFmtId="3" fontId="36" fillId="0" borderId="81" xfId="174" applyNumberFormat="1" applyFont="1" applyFill="1" applyBorder="1"/>
    <xf numFmtId="3" fontId="36" fillId="0" borderId="39" xfId="174" applyNumberFormat="1" applyFont="1" applyFill="1" applyBorder="1"/>
    <xf numFmtId="3" fontId="32" fillId="0" borderId="24" xfId="172" applyNumberFormat="1" applyFont="1" applyFill="1" applyBorder="1"/>
    <xf numFmtId="3" fontId="33" fillId="0" borderId="20" xfId="172" applyNumberFormat="1" applyFont="1" applyFill="1" applyBorder="1" applyAlignment="1">
      <alignment wrapText="1"/>
    </xf>
    <xf numFmtId="3" fontId="32" fillId="0" borderId="20" xfId="172" applyNumberFormat="1" applyFont="1" applyFill="1" applyBorder="1"/>
    <xf numFmtId="3" fontId="32" fillId="0" borderId="16" xfId="172" applyNumberFormat="1" applyFont="1" applyBorder="1"/>
    <xf numFmtId="3" fontId="32" fillId="0" borderId="17" xfId="172" applyNumberFormat="1" applyFont="1" applyBorder="1"/>
    <xf numFmtId="3" fontId="33" fillId="0" borderId="22" xfId="172" applyNumberFormat="1" applyFont="1" applyBorder="1"/>
    <xf numFmtId="3" fontId="33" fillId="0" borderId="24" xfId="172" applyNumberFormat="1" applyFont="1" applyBorder="1"/>
    <xf numFmtId="3" fontId="33" fillId="0" borderId="24" xfId="172" applyNumberFormat="1" applyFont="1" applyFill="1" applyBorder="1"/>
    <xf numFmtId="3" fontId="33" fillId="0" borderId="22" xfId="172" applyNumberFormat="1" applyFont="1" applyFill="1" applyBorder="1" applyAlignment="1">
      <alignment wrapText="1"/>
    </xf>
    <xf numFmtId="3" fontId="32" fillId="0" borderId="27" xfId="172" applyNumberFormat="1" applyFont="1" applyBorder="1"/>
    <xf numFmtId="3" fontId="32" fillId="0" borderId="28" xfId="172" applyNumberFormat="1" applyFont="1" applyBorder="1"/>
    <xf numFmtId="3" fontId="33" fillId="0" borderId="20" xfId="172" applyNumberFormat="1" applyFont="1" applyFill="1" applyBorder="1"/>
    <xf numFmtId="0" fontId="7" fillId="0" borderId="0" xfId="0" applyFont="1"/>
    <xf numFmtId="3" fontId="7" fillId="0" borderId="15" xfId="171" applyNumberFormat="1" applyFont="1" applyBorder="1"/>
    <xf numFmtId="0" fontId="7" fillId="0" borderId="11" xfId="171" applyFont="1" applyBorder="1" applyAlignment="1">
      <alignment horizontal="left"/>
    </xf>
    <xf numFmtId="0" fontId="7" fillId="0" borderId="11" xfId="171" applyFont="1" applyBorder="1" applyAlignment="1">
      <alignment horizontal="left" wrapText="1"/>
    </xf>
    <xf numFmtId="0" fontId="7" fillId="0" borderId="38" xfId="171" applyNumberFormat="1" applyFont="1" applyFill="1" applyBorder="1"/>
    <xf numFmtId="3" fontId="7" fillId="0" borderId="38" xfId="171" applyNumberFormat="1" applyFont="1" applyBorder="1"/>
    <xf numFmtId="0" fontId="7" fillId="0" borderId="15" xfId="171" applyFont="1" applyBorder="1"/>
    <xf numFmtId="0" fontId="37" fillId="0" borderId="36" xfId="171" applyFont="1" applyBorder="1"/>
    <xf numFmtId="0" fontId="7" fillId="0" borderId="36" xfId="171" applyFont="1" applyBorder="1" applyAlignment="1">
      <alignment horizontal="left"/>
    </xf>
    <xf numFmtId="0" fontId="7" fillId="0" borderId="43" xfId="171" applyFont="1" applyBorder="1" applyAlignment="1">
      <alignment horizontal="left" wrapText="1"/>
    </xf>
    <xf numFmtId="0" fontId="7" fillId="0" borderId="86" xfId="171" applyFont="1" applyBorder="1" applyAlignment="1">
      <alignment horizontal="left" wrapText="1"/>
    </xf>
    <xf numFmtId="3" fontId="36" fillId="0" borderId="10" xfId="171" applyNumberFormat="1" applyFont="1" applyBorder="1" applyAlignment="1">
      <alignment horizontal="center"/>
    </xf>
    <xf numFmtId="3" fontId="7" fillId="0" borderId="36" xfId="171" applyNumberFormat="1" applyFont="1" applyBorder="1"/>
    <xf numFmtId="3" fontId="7" fillId="0" borderId="11" xfId="171" applyNumberFormat="1" applyFont="1" applyFill="1" applyBorder="1"/>
    <xf numFmtId="0" fontId="36" fillId="0" borderId="87" xfId="171" applyFont="1" applyBorder="1" applyAlignment="1">
      <alignment wrapText="1"/>
    </xf>
    <xf numFmtId="0" fontId="7" fillId="0" borderId="87" xfId="171" applyFont="1" applyBorder="1" applyAlignment="1">
      <alignment horizontal="center"/>
    </xf>
    <xf numFmtId="3" fontId="39" fillId="0" borderId="38" xfId="174" applyNumberFormat="1" applyFont="1" applyFill="1" applyBorder="1"/>
    <xf numFmtId="3" fontId="39" fillId="0" borderId="83" xfId="171" applyNumberFormat="1" applyFont="1" applyFill="1" applyBorder="1"/>
    <xf numFmtId="3" fontId="7" fillId="0" borderId="10" xfId="171" applyNumberFormat="1" applyFont="1" applyBorder="1"/>
    <xf numFmtId="3" fontId="44" fillId="0" borderId="68" xfId="0" applyNumberFormat="1" applyFont="1" applyBorder="1" applyAlignment="1">
      <alignment horizontal="center" vertical="center" wrapText="1"/>
    </xf>
    <xf numFmtId="3" fontId="7" fillId="0" borderId="91" xfId="0" applyNumberFormat="1" applyFont="1" applyBorder="1"/>
    <xf numFmtId="3" fontId="0" fillId="0" borderId="59" xfId="0" applyNumberFormat="1" applyBorder="1"/>
    <xf numFmtId="3" fontId="0" fillId="0" borderId="56" xfId="0" applyNumberFormat="1" applyBorder="1"/>
    <xf numFmtId="3" fontId="0" fillId="0" borderId="20" xfId="0" applyNumberFormat="1" applyFill="1" applyBorder="1"/>
    <xf numFmtId="3" fontId="6" fillId="0" borderId="20" xfId="0" applyNumberFormat="1" applyFont="1" applyBorder="1"/>
    <xf numFmtId="3" fontId="7" fillId="0" borderId="6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38" fillId="0" borderId="0" xfId="173" applyNumberFormat="1" applyFont="1" applyFill="1" applyBorder="1" applyAlignment="1">
      <alignment wrapText="1"/>
    </xf>
    <xf numFmtId="3" fontId="38" fillId="0" borderId="0" xfId="173" applyNumberFormat="1" applyFont="1" applyFill="1" applyBorder="1"/>
    <xf numFmtId="3" fontId="36" fillId="0" borderId="0" xfId="173" applyNumberFormat="1" applyFont="1" applyFill="1" applyBorder="1" applyAlignment="1">
      <alignment wrapText="1"/>
    </xf>
    <xf numFmtId="3" fontId="8" fillId="0" borderId="27" xfId="173" applyNumberFormat="1" applyFont="1" applyFill="1" applyBorder="1" applyAlignment="1">
      <alignment wrapText="1"/>
    </xf>
    <xf numFmtId="3" fontId="7" fillId="0" borderId="0" xfId="173" applyNumberFormat="1" applyFont="1" applyFill="1" applyBorder="1"/>
    <xf numFmtId="3" fontId="7" fillId="24" borderId="10" xfId="173" applyNumberFormat="1" applyFont="1" applyFill="1" applyBorder="1"/>
    <xf numFmtId="3" fontId="38" fillId="24" borderId="10" xfId="173" applyNumberFormat="1" applyFont="1" applyFill="1" applyBorder="1"/>
    <xf numFmtId="3" fontId="32" fillId="0" borderId="97" xfId="172" applyNumberFormat="1" applyFont="1" applyBorder="1"/>
    <xf numFmtId="3" fontId="33" fillId="0" borderId="65" xfId="172" applyNumberFormat="1" applyFont="1" applyBorder="1"/>
    <xf numFmtId="3" fontId="33" fillId="0" borderId="65" xfId="172" applyNumberFormat="1" applyFont="1" applyFill="1" applyBorder="1"/>
    <xf numFmtId="3" fontId="32" fillId="0" borderId="65" xfId="172" applyNumberFormat="1" applyFont="1" applyFill="1" applyBorder="1"/>
    <xf numFmtId="3" fontId="32" fillId="0" borderId="18" xfId="172" applyNumberFormat="1" applyFont="1" applyBorder="1"/>
    <xf numFmtId="3" fontId="33" fillId="0" borderId="25" xfId="172" applyNumberFormat="1" applyFont="1" applyBorder="1"/>
    <xf numFmtId="3" fontId="33" fillId="0" borderId="25" xfId="172" applyNumberFormat="1" applyFont="1" applyFill="1" applyBorder="1"/>
    <xf numFmtId="3" fontId="32" fillId="0" borderId="25" xfId="172" applyNumberFormat="1" applyFont="1" applyFill="1" applyBorder="1"/>
    <xf numFmtId="3" fontId="32" fillId="0" borderId="29" xfId="172" applyNumberFormat="1" applyFont="1" applyBorder="1"/>
    <xf numFmtId="3" fontId="32" fillId="0" borderId="86" xfId="172" applyNumberFormat="1" applyFont="1" applyBorder="1"/>
    <xf numFmtId="3" fontId="27" fillId="0" borderId="11" xfId="172" applyNumberFormat="1" applyFont="1" applyBorder="1" applyAlignment="1">
      <alignment wrapText="1"/>
    </xf>
    <xf numFmtId="3" fontId="33" fillId="0" borderId="20" xfId="172" applyNumberFormat="1" applyFont="1" applyBorder="1"/>
    <xf numFmtId="3" fontId="33" fillId="0" borderId="21" xfId="172" applyNumberFormat="1" applyFont="1" applyFill="1" applyBorder="1"/>
    <xf numFmtId="3" fontId="33" fillId="0" borderId="25" xfId="172" applyNumberFormat="1" applyFont="1" applyFill="1" applyBorder="1" applyAlignment="1">
      <alignment wrapText="1"/>
    </xf>
    <xf numFmtId="3" fontId="33" fillId="0" borderId="21" xfId="172" applyNumberFormat="1" applyFont="1" applyFill="1" applyBorder="1" applyAlignment="1">
      <alignment wrapText="1"/>
    </xf>
    <xf numFmtId="3" fontId="33" fillId="0" borderId="38" xfId="172" applyNumberFormat="1" applyFont="1" applyBorder="1" applyAlignment="1">
      <alignment wrapText="1"/>
    </xf>
    <xf numFmtId="3" fontId="33" fillId="0" borderId="77" xfId="172" applyNumberFormat="1" applyFont="1" applyFill="1" applyBorder="1"/>
    <xf numFmtId="3" fontId="33" fillId="0" borderId="73" xfId="172" applyNumberFormat="1" applyFont="1" applyFill="1" applyBorder="1"/>
    <xf numFmtId="3" fontId="33" fillId="0" borderId="39" xfId="172" applyNumberFormat="1" applyFont="1" applyFill="1" applyBorder="1"/>
    <xf numFmtId="3" fontId="33" fillId="0" borderId="81" xfId="172" applyNumberFormat="1" applyFont="1" applyFill="1" applyBorder="1"/>
    <xf numFmtId="3" fontId="33" fillId="0" borderId="78" xfId="172" applyNumberFormat="1" applyFont="1" applyFill="1" applyBorder="1"/>
    <xf numFmtId="3" fontId="27" fillId="0" borderId="38" xfId="172" applyNumberFormat="1" applyFont="1" applyBorder="1" applyAlignment="1">
      <alignment wrapText="1"/>
    </xf>
    <xf numFmtId="3" fontId="27" fillId="0" borderId="77" xfId="172" applyNumberFormat="1" applyFont="1" applyFill="1" applyBorder="1"/>
    <xf numFmtId="3" fontId="27" fillId="0" borderId="73" xfId="172" applyNumberFormat="1" applyFont="1" applyFill="1" applyBorder="1"/>
    <xf numFmtId="3" fontId="27" fillId="0" borderId="39" xfId="172" applyNumberFormat="1" applyFont="1" applyFill="1" applyBorder="1"/>
    <xf numFmtId="3" fontId="27" fillId="0" borderId="81" xfId="172" applyNumberFormat="1" applyFont="1" applyFill="1" applyBorder="1"/>
    <xf numFmtId="3" fontId="27" fillId="0" borderId="78" xfId="172" applyNumberFormat="1" applyFont="1" applyFill="1" applyBorder="1"/>
    <xf numFmtId="3" fontId="32" fillId="0" borderId="98" xfId="172" applyNumberFormat="1" applyFont="1" applyBorder="1"/>
    <xf numFmtId="3" fontId="32" fillId="0" borderId="99" xfId="172" applyNumberFormat="1" applyFont="1" applyBorder="1"/>
    <xf numFmtId="0" fontId="37" fillId="0" borderId="11" xfId="176" applyFont="1" applyFill="1" applyBorder="1" applyAlignment="1">
      <alignment wrapText="1"/>
    </xf>
    <xf numFmtId="0" fontId="0" fillId="0" borderId="83" xfId="171" applyFont="1" applyBorder="1" applyAlignment="1">
      <alignment wrapText="1"/>
    </xf>
    <xf numFmtId="0" fontId="0" fillId="0" borderId="83" xfId="171" applyFont="1" applyBorder="1"/>
    <xf numFmtId="3" fontId="9" fillId="0" borderId="36" xfId="171" applyNumberFormat="1" applyFont="1" applyBorder="1"/>
    <xf numFmtId="3" fontId="9" fillId="0" borderId="15" xfId="171" applyNumberFormat="1" applyFont="1" applyBorder="1"/>
    <xf numFmtId="3" fontId="9" fillId="0" borderId="11" xfId="171" applyNumberFormat="1" applyFont="1" applyBorder="1"/>
    <xf numFmtId="3" fontId="32" fillId="0" borderId="86" xfId="172" applyNumberFormat="1" applyFont="1" applyFill="1" applyBorder="1" applyAlignment="1">
      <alignment wrapText="1"/>
    </xf>
    <xf numFmtId="3" fontId="32" fillId="0" borderId="17" xfId="172" applyNumberFormat="1" applyFont="1" applyFill="1" applyBorder="1" applyAlignment="1">
      <alignment wrapText="1"/>
    </xf>
    <xf numFmtId="3" fontId="27" fillId="0" borderId="20" xfId="172" applyNumberFormat="1" applyFont="1" applyFill="1" applyBorder="1" applyAlignment="1">
      <alignment wrapText="1"/>
    </xf>
    <xf numFmtId="3" fontId="27" fillId="0" borderId="24" xfId="172" applyNumberFormat="1" applyFont="1" applyFill="1" applyBorder="1" applyAlignment="1">
      <alignment wrapText="1"/>
    </xf>
    <xf numFmtId="3" fontId="27" fillId="0" borderId="12" xfId="172" applyNumberFormat="1" applyFont="1" applyFill="1" applyBorder="1"/>
    <xf numFmtId="3" fontId="27" fillId="0" borderId="24" xfId="172" applyNumberFormat="1" applyFont="1" applyFill="1" applyBorder="1"/>
    <xf numFmtId="3" fontId="32" fillId="0" borderId="24" xfId="172" applyNumberFormat="1" applyFont="1" applyFill="1" applyBorder="1" applyAlignment="1">
      <alignment wrapText="1"/>
    </xf>
    <xf numFmtId="3" fontId="33" fillId="0" borderId="81" xfId="172" applyNumberFormat="1" applyFont="1" applyFill="1" applyBorder="1" applyAlignment="1">
      <alignment wrapText="1"/>
    </xf>
    <xf numFmtId="3" fontId="33" fillId="0" borderId="73" xfId="172" applyNumberFormat="1" applyFont="1" applyFill="1" applyBorder="1" applyAlignment="1">
      <alignment wrapText="1"/>
    </xf>
    <xf numFmtId="3" fontId="27" fillId="0" borderId="81" xfId="172" applyNumberFormat="1" applyFont="1" applyFill="1" applyBorder="1" applyAlignment="1">
      <alignment wrapText="1"/>
    </xf>
    <xf numFmtId="3" fontId="27" fillId="0" borderId="73" xfId="172" applyNumberFormat="1" applyFont="1" applyFill="1" applyBorder="1" applyAlignment="1">
      <alignment wrapText="1"/>
    </xf>
    <xf numFmtId="3" fontId="32" fillId="0" borderId="18" xfId="172" applyNumberFormat="1" applyFont="1" applyFill="1" applyBorder="1" applyAlignment="1">
      <alignment wrapText="1"/>
    </xf>
    <xf numFmtId="3" fontId="27" fillId="0" borderId="25" xfId="172" applyNumberFormat="1" applyFont="1" applyFill="1" applyBorder="1" applyAlignment="1">
      <alignment wrapText="1"/>
    </xf>
    <xf numFmtId="3" fontId="27" fillId="0" borderId="25" xfId="172" applyNumberFormat="1" applyFont="1" applyFill="1" applyBorder="1"/>
    <xf numFmtId="3" fontId="32" fillId="0" borderId="25" xfId="172" applyNumberFormat="1" applyFont="1" applyFill="1" applyBorder="1" applyAlignment="1">
      <alignment wrapText="1"/>
    </xf>
    <xf numFmtId="3" fontId="33" fillId="0" borderId="78" xfId="172" applyNumberFormat="1" applyFont="1" applyFill="1" applyBorder="1" applyAlignment="1">
      <alignment wrapText="1"/>
    </xf>
    <xf numFmtId="3" fontId="27" fillId="0" borderId="78" xfId="172" applyNumberFormat="1" applyFont="1" applyFill="1" applyBorder="1" applyAlignment="1">
      <alignment wrapText="1"/>
    </xf>
    <xf numFmtId="0" fontId="0" fillId="0" borderId="11" xfId="171" applyFont="1" applyBorder="1" applyAlignment="1">
      <alignment wrapText="1"/>
    </xf>
    <xf numFmtId="0" fontId="0" fillId="0" borderId="11" xfId="171" applyFont="1" applyBorder="1"/>
    <xf numFmtId="0" fontId="9" fillId="0" borderId="0" xfId="171" applyFont="1"/>
    <xf numFmtId="0" fontId="0" fillId="0" borderId="0" xfId="0" applyFont="1"/>
    <xf numFmtId="3" fontId="7" fillId="0" borderId="43" xfId="176" applyNumberFormat="1" applyFont="1" applyBorder="1" applyAlignment="1">
      <alignment horizontal="right" wrapText="1"/>
    </xf>
    <xf numFmtId="0" fontId="37" fillId="0" borderId="38" xfId="171" applyFont="1" applyBorder="1" applyAlignment="1">
      <alignment wrapText="1"/>
    </xf>
    <xf numFmtId="0" fontId="0" fillId="0" borderId="15" xfId="171" applyFont="1" applyBorder="1" applyAlignment="1">
      <alignment wrapText="1"/>
    </xf>
    <xf numFmtId="3" fontId="8" fillId="0" borderId="52" xfId="173" applyNumberFormat="1" applyFont="1" applyFill="1" applyBorder="1" applyAlignment="1">
      <alignment wrapText="1"/>
    </xf>
    <xf numFmtId="3" fontId="8" fillId="0" borderId="12" xfId="173" applyNumberFormat="1" applyFont="1" applyFill="1" applyBorder="1" applyAlignment="1">
      <alignment wrapText="1"/>
    </xf>
    <xf numFmtId="3" fontId="45" fillId="0" borderId="52" xfId="173" applyNumberFormat="1" applyFont="1" applyFill="1" applyBorder="1" applyAlignment="1">
      <alignment wrapText="1"/>
    </xf>
    <xf numFmtId="3" fontId="45" fillId="0" borderId="48" xfId="173" applyNumberFormat="1" applyFont="1" applyFill="1" applyBorder="1"/>
    <xf numFmtId="0" fontId="39" fillId="0" borderId="100" xfId="173" applyFont="1" applyFill="1" applyBorder="1" applyAlignment="1">
      <alignment wrapText="1"/>
    </xf>
    <xf numFmtId="3" fontId="33" fillId="0" borderId="11" xfId="157" applyNumberFormat="1" applyFont="1" applyFill="1" applyBorder="1"/>
    <xf numFmtId="0" fontId="7" fillId="0" borderId="11" xfId="171" applyFont="1" applyBorder="1" applyAlignment="1">
      <alignment wrapText="1"/>
    </xf>
    <xf numFmtId="3" fontId="7" fillId="0" borderId="35" xfId="174" applyNumberFormat="1" applyFont="1" applyBorder="1" applyAlignment="1">
      <alignment horizontal="center" wrapText="1"/>
    </xf>
    <xf numFmtId="3" fontId="7" fillId="0" borderId="35" xfId="174" applyNumberFormat="1" applyFont="1" applyBorder="1" applyAlignment="1">
      <alignment horizontal="center"/>
    </xf>
    <xf numFmtId="3" fontId="36" fillId="0" borderId="35" xfId="171" applyNumberFormat="1" applyFont="1" applyBorder="1" applyAlignment="1">
      <alignment horizontal="center" wrapText="1"/>
    </xf>
    <xf numFmtId="3" fontId="36" fillId="0" borderId="14" xfId="171" applyNumberFormat="1" applyFont="1" applyBorder="1" applyAlignment="1">
      <alignment horizontal="center" wrapText="1"/>
    </xf>
    <xf numFmtId="3" fontId="39" fillId="0" borderId="62" xfId="0" applyNumberFormat="1" applyFont="1" applyBorder="1"/>
    <xf numFmtId="3" fontId="39" fillId="0" borderId="31" xfId="0" applyNumberFormat="1" applyFont="1" applyBorder="1" applyAlignment="1">
      <alignment wrapText="1"/>
    </xf>
    <xf numFmtId="3" fontId="39" fillId="0" borderId="63" xfId="0" applyNumberFormat="1" applyFont="1" applyBorder="1"/>
    <xf numFmtId="3" fontId="39" fillId="0" borderId="24" xfId="0" applyNumberFormat="1" applyFont="1" applyBorder="1"/>
    <xf numFmtId="3" fontId="39" fillId="0" borderId="19" xfId="0" applyNumberFormat="1" applyFont="1" applyBorder="1"/>
    <xf numFmtId="3" fontId="39" fillId="0" borderId="59" xfId="0" applyNumberFormat="1" applyFont="1" applyBorder="1"/>
    <xf numFmtId="3" fontId="39" fillId="0" borderId="0" xfId="0" applyNumberFormat="1" applyFont="1"/>
    <xf numFmtId="3" fontId="6" fillId="0" borderId="69" xfId="0" applyNumberFormat="1" applyFont="1" applyBorder="1" applyAlignment="1">
      <alignment wrapText="1"/>
    </xf>
    <xf numFmtId="3" fontId="0" fillId="0" borderId="19" xfId="0" applyNumberFormat="1" applyBorder="1"/>
    <xf numFmtId="3" fontId="0" fillId="0" borderId="63" xfId="0" applyNumberFormat="1" applyFont="1" applyBorder="1"/>
    <xf numFmtId="3" fontId="0" fillId="0" borderId="34" xfId="0" applyNumberFormat="1" applyFont="1" applyBorder="1"/>
    <xf numFmtId="3" fontId="0" fillId="0" borderId="56" xfId="0" applyNumberFormat="1" applyFont="1" applyBorder="1"/>
    <xf numFmtId="3" fontId="0" fillId="0" borderId="0" xfId="0" applyNumberFormat="1" applyFont="1"/>
    <xf numFmtId="0" fontId="8" fillId="0" borderId="31" xfId="0" applyFont="1" applyFill="1" applyBorder="1" applyAlignment="1">
      <alignment wrapText="1"/>
    </xf>
    <xf numFmtId="3" fontId="0" fillId="0" borderId="65" xfId="0" applyNumberFormat="1" applyFont="1" applyBorder="1"/>
    <xf numFmtId="0" fontId="0" fillId="0" borderId="31" xfId="194" applyFont="1" applyBorder="1" applyAlignment="1">
      <alignment wrapText="1"/>
    </xf>
    <xf numFmtId="0" fontId="8" fillId="0" borderId="31" xfId="0" applyFont="1" applyBorder="1" applyAlignment="1">
      <alignment wrapText="1"/>
    </xf>
    <xf numFmtId="3" fontId="0" fillId="0" borderId="62" xfId="0" applyNumberFormat="1" applyFont="1" applyBorder="1"/>
    <xf numFmtId="3" fontId="0" fillId="0" borderId="23" xfId="0" applyNumberFormat="1" applyFont="1" applyBorder="1"/>
    <xf numFmtId="3" fontId="0" fillId="0" borderId="64" xfId="0" applyNumberFormat="1" applyFont="1" applyBorder="1"/>
    <xf numFmtId="3" fontId="0" fillId="0" borderId="59" xfId="0" applyNumberFormat="1" applyFont="1" applyBorder="1"/>
    <xf numFmtId="0" fontId="8" fillId="0" borderId="31" xfId="194" applyFont="1" applyBorder="1" applyAlignment="1">
      <alignment wrapText="1"/>
    </xf>
    <xf numFmtId="3" fontId="7" fillId="0" borderId="102" xfId="0" applyNumberFormat="1" applyFont="1" applyBorder="1"/>
    <xf numFmtId="3" fontId="7" fillId="0" borderId="76" xfId="0" applyNumberFormat="1" applyFont="1" applyBorder="1" applyAlignment="1">
      <alignment wrapText="1"/>
    </xf>
    <xf numFmtId="3" fontId="7" fillId="0" borderId="0" xfId="0" applyNumberFormat="1" applyFont="1" applyAlignment="1">
      <alignment horizontal="center"/>
    </xf>
    <xf numFmtId="3" fontId="7" fillId="0" borderId="35" xfId="174" applyNumberFormat="1" applyFont="1" applyBorder="1" applyAlignment="1">
      <alignment horizontal="center" wrapText="1"/>
    </xf>
    <xf numFmtId="3" fontId="36" fillId="0" borderId="10" xfId="171" applyNumberFormat="1" applyFont="1" applyBorder="1" applyAlignment="1">
      <alignment horizontal="center" wrapText="1"/>
    </xf>
    <xf numFmtId="3" fontId="27" fillId="0" borderId="20" xfId="172" applyNumberFormat="1" applyFont="1" applyFill="1" applyBorder="1"/>
    <xf numFmtId="3" fontId="9" fillId="0" borderId="21" xfId="174" applyNumberFormat="1" applyFont="1" applyFill="1" applyBorder="1"/>
    <xf numFmtId="3" fontId="32" fillId="0" borderId="65" xfId="172" applyNumberFormat="1" applyFont="1" applyFill="1" applyBorder="1" applyAlignment="1">
      <alignment wrapText="1"/>
    </xf>
    <xf numFmtId="3" fontId="33" fillId="0" borderId="65" xfId="172" applyNumberFormat="1" applyFont="1" applyFill="1" applyBorder="1" applyAlignment="1">
      <alignment wrapText="1"/>
    </xf>
    <xf numFmtId="3" fontId="33" fillId="0" borderId="74" xfId="172" applyNumberFormat="1" applyFont="1" applyFill="1" applyBorder="1" applyAlignment="1">
      <alignment wrapText="1"/>
    </xf>
    <xf numFmtId="3" fontId="27" fillId="0" borderId="74" xfId="172" applyNumberFormat="1" applyFont="1" applyFill="1" applyBorder="1" applyAlignment="1">
      <alignment wrapText="1"/>
    </xf>
    <xf numFmtId="3" fontId="27" fillId="0" borderId="34" xfId="172" applyNumberFormat="1" applyFont="1" applyFill="1" applyBorder="1" applyAlignment="1">
      <alignment wrapText="1"/>
    </xf>
    <xf numFmtId="3" fontId="33" fillId="0" borderId="34" xfId="172" applyNumberFormat="1" applyFont="1" applyFill="1" applyBorder="1" applyAlignment="1">
      <alignment wrapText="1"/>
    </xf>
    <xf numFmtId="3" fontId="33" fillId="0" borderId="72" xfId="172" applyNumberFormat="1" applyFont="1" applyFill="1" applyBorder="1" applyAlignment="1">
      <alignment wrapText="1"/>
    </xf>
    <xf numFmtId="3" fontId="32" fillId="0" borderId="104" xfId="172" applyNumberFormat="1" applyFont="1" applyFill="1" applyBorder="1" applyAlignment="1">
      <alignment wrapText="1"/>
    </xf>
    <xf numFmtId="3" fontId="27" fillId="0" borderId="21" xfId="172" applyNumberFormat="1" applyFont="1" applyFill="1" applyBorder="1" applyAlignment="1">
      <alignment wrapText="1"/>
    </xf>
    <xf numFmtId="3" fontId="27" fillId="0" borderId="21" xfId="172" applyNumberFormat="1" applyFont="1" applyFill="1" applyBorder="1"/>
    <xf numFmtId="3" fontId="32" fillId="0" borderId="21" xfId="172" applyNumberFormat="1" applyFont="1" applyFill="1" applyBorder="1" applyAlignment="1">
      <alignment wrapText="1"/>
    </xf>
    <xf numFmtId="3" fontId="33" fillId="0" borderId="39" xfId="172" applyNumberFormat="1" applyFont="1" applyFill="1" applyBorder="1" applyAlignment="1">
      <alignment wrapText="1"/>
    </xf>
    <xf numFmtId="3" fontId="27" fillId="0" borderId="39" xfId="172" applyNumberFormat="1" applyFont="1" applyFill="1" applyBorder="1" applyAlignment="1">
      <alignment wrapText="1"/>
    </xf>
    <xf numFmtId="3" fontId="32" fillId="0" borderId="16" xfId="172" applyNumberFormat="1" applyFont="1" applyFill="1" applyBorder="1" applyAlignment="1">
      <alignment wrapText="1"/>
    </xf>
    <xf numFmtId="3" fontId="37" fillId="0" borderId="11" xfId="174" applyNumberFormat="1" applyFont="1" applyFill="1" applyBorder="1" applyAlignment="1">
      <alignment horizontal="right"/>
    </xf>
    <xf numFmtId="3" fontId="37" fillId="0" borderId="21" xfId="174" applyNumberFormat="1" applyFont="1" applyFill="1" applyBorder="1" applyAlignment="1">
      <alignment horizontal="right"/>
    </xf>
    <xf numFmtId="3" fontId="9" fillId="0" borderId="38" xfId="171" applyNumberFormat="1" applyFont="1" applyBorder="1"/>
    <xf numFmtId="3" fontId="36" fillId="0" borderId="105" xfId="171" applyNumberFormat="1" applyFont="1" applyBorder="1" applyAlignment="1">
      <alignment horizontal="centerContinuous" wrapText="1"/>
    </xf>
    <xf numFmtId="3" fontId="36" fillId="0" borderId="106" xfId="171" applyNumberFormat="1" applyFont="1" applyBorder="1" applyAlignment="1">
      <alignment horizontal="centerContinuous" wrapText="1"/>
    </xf>
    <xf numFmtId="3" fontId="7" fillId="0" borderId="35" xfId="174" applyNumberFormat="1" applyFont="1" applyBorder="1" applyAlignment="1">
      <alignment horizontal="center" wrapText="1"/>
    </xf>
    <xf numFmtId="3" fontId="37" fillId="0" borderId="87" xfId="171" applyNumberFormat="1" applyFont="1" applyBorder="1"/>
    <xf numFmtId="3" fontId="37" fillId="0" borderId="107" xfId="171" applyNumberFormat="1" applyFont="1" applyBorder="1"/>
    <xf numFmtId="3" fontId="36" fillId="0" borderId="79" xfId="171" applyNumberFormat="1" applyFont="1" applyBorder="1" applyAlignment="1">
      <alignment horizontal="centerContinuous" wrapText="1"/>
    </xf>
    <xf numFmtId="3" fontId="36" fillId="0" borderId="87" xfId="171" applyNumberFormat="1" applyFont="1" applyBorder="1" applyAlignment="1">
      <alignment horizontal="centerContinuous" wrapText="1"/>
    </xf>
    <xf numFmtId="0" fontId="7" fillId="0" borderId="0" xfId="171" applyFont="1" applyAlignment="1"/>
    <xf numFmtId="3" fontId="7" fillId="0" borderId="10" xfId="174" applyNumberFormat="1" applyFont="1" applyBorder="1" applyAlignment="1">
      <alignment horizontal="center" wrapText="1"/>
    </xf>
    <xf numFmtId="0" fontId="7" fillId="0" borderId="69" xfId="0" applyFont="1" applyBorder="1" applyAlignment="1">
      <alignment wrapText="1"/>
    </xf>
    <xf numFmtId="0" fontId="32" fillId="0" borderId="56" xfId="196" applyFont="1" applyFill="1" applyBorder="1" applyAlignment="1">
      <alignment wrapText="1"/>
    </xf>
    <xf numFmtId="0" fontId="33" fillId="0" borderId="56" xfId="196" applyFont="1" applyFill="1" applyBorder="1" applyAlignment="1">
      <alignment wrapText="1"/>
    </xf>
    <xf numFmtId="3" fontId="33" fillId="0" borderId="56" xfId="197" applyNumberFormat="1" applyFont="1" applyFill="1" applyBorder="1"/>
    <xf numFmtId="3" fontId="32" fillId="0" borderId="56" xfId="196" applyNumberFormat="1" applyFont="1" applyFill="1" applyBorder="1" applyAlignment="1">
      <alignment wrapText="1"/>
    </xf>
    <xf numFmtId="3" fontId="32" fillId="0" borderId="56" xfId="197" applyNumberFormat="1" applyFont="1" applyFill="1" applyBorder="1"/>
    <xf numFmtId="3" fontId="32" fillId="0" borderId="56" xfId="196" applyNumberFormat="1" applyFont="1" applyFill="1" applyBorder="1"/>
    <xf numFmtId="3" fontId="32" fillId="0" borderId="33" xfId="196" applyNumberFormat="1" applyFont="1" applyFill="1" applyBorder="1" applyAlignment="1">
      <alignment wrapText="1"/>
    </xf>
    <xf numFmtId="3" fontId="33" fillId="0" borderId="109" xfId="172" applyNumberFormat="1" applyFont="1" applyFill="1" applyBorder="1"/>
    <xf numFmtId="3" fontId="7" fillId="0" borderId="83" xfId="174" applyNumberFormat="1" applyFont="1" applyFill="1" applyBorder="1"/>
    <xf numFmtId="3" fontId="32" fillId="0" borderId="110" xfId="172" applyNumberFormat="1" applyFont="1" applyBorder="1"/>
    <xf numFmtId="3" fontId="33" fillId="0" borderId="34" xfId="172" applyNumberFormat="1" applyFont="1" applyBorder="1"/>
    <xf numFmtId="3" fontId="33" fillId="0" borderId="34" xfId="172" applyNumberFormat="1" applyFont="1" applyFill="1" applyBorder="1"/>
    <xf numFmtId="3" fontId="32" fillId="0" borderId="34" xfId="172" applyNumberFormat="1" applyFont="1" applyFill="1" applyBorder="1"/>
    <xf numFmtId="3" fontId="27" fillId="0" borderId="72" xfId="172" applyNumberFormat="1" applyFont="1" applyFill="1" applyBorder="1"/>
    <xf numFmtId="3" fontId="32" fillId="0" borderId="111" xfId="172" applyNumberFormat="1" applyFont="1" applyBorder="1"/>
    <xf numFmtId="3" fontId="32" fillId="0" borderId="112" xfId="172" applyNumberFormat="1" applyFont="1" applyBorder="1"/>
    <xf numFmtId="3" fontId="33" fillId="0" borderId="12" xfId="172" applyNumberFormat="1" applyFont="1" applyBorder="1"/>
    <xf numFmtId="3" fontId="33" fillId="0" borderId="12" xfId="172" applyNumberFormat="1" applyFont="1" applyFill="1" applyBorder="1"/>
    <xf numFmtId="3" fontId="32" fillId="0" borderId="12" xfId="172" applyNumberFormat="1" applyFont="1" applyFill="1" applyBorder="1"/>
    <xf numFmtId="3" fontId="33" fillId="0" borderId="12" xfId="172" applyNumberFormat="1" applyFont="1" applyFill="1" applyBorder="1" applyAlignment="1">
      <alignment wrapText="1"/>
    </xf>
    <xf numFmtId="3" fontId="27" fillId="0" borderId="109" xfId="172" applyNumberFormat="1" applyFont="1" applyFill="1" applyBorder="1"/>
    <xf numFmtId="3" fontId="32" fillId="0" borderId="113" xfId="172" applyNumberFormat="1" applyFont="1" applyBorder="1"/>
    <xf numFmtId="3" fontId="27" fillId="0" borderId="74" xfId="172" applyNumberFormat="1" applyFont="1" applyFill="1" applyBorder="1"/>
    <xf numFmtId="3" fontId="32" fillId="0" borderId="104" xfId="172" applyNumberFormat="1" applyFont="1" applyBorder="1"/>
    <xf numFmtId="3" fontId="33" fillId="0" borderId="21" xfId="172" applyNumberFormat="1" applyFont="1" applyBorder="1"/>
    <xf numFmtId="3" fontId="32" fillId="0" borderId="21" xfId="172" applyNumberFormat="1" applyFont="1" applyFill="1" applyBorder="1"/>
    <xf numFmtId="3" fontId="5" fillId="0" borderId="0" xfId="198" applyNumberFormat="1"/>
    <xf numFmtId="3" fontId="6" fillId="0" borderId="0" xfId="196" applyNumberFormat="1"/>
    <xf numFmtId="3" fontId="5" fillId="0" borderId="0" xfId="198" applyNumberFormat="1" applyAlignment="1">
      <alignment horizontal="right"/>
    </xf>
    <xf numFmtId="3" fontId="51" fillId="0" borderId="14" xfId="199" applyNumberFormat="1" applyFont="1" applyBorder="1" applyAlignment="1">
      <alignment wrapText="1"/>
    </xf>
    <xf numFmtId="3" fontId="37" fillId="0" borderId="10" xfId="200" applyNumberFormat="1" applyFont="1" applyBorder="1" applyAlignment="1">
      <alignment horizontal="right"/>
    </xf>
    <xf numFmtId="3" fontId="5" fillId="0" borderId="0" xfId="198" applyNumberFormat="1" applyFill="1"/>
    <xf numFmtId="3" fontId="7" fillId="0" borderId="39" xfId="199" applyNumberFormat="1" applyFont="1" applyBorder="1" applyAlignment="1">
      <alignment wrapText="1"/>
    </xf>
    <xf numFmtId="3" fontId="36" fillId="0" borderId="36" xfId="200" applyNumberFormat="1" applyFont="1" applyBorder="1" applyAlignment="1">
      <alignment horizontal="right"/>
    </xf>
    <xf numFmtId="3" fontId="36" fillId="0" borderId="11" xfId="200" applyNumberFormat="1" applyFont="1" applyBorder="1" applyAlignment="1">
      <alignment horizontal="right"/>
    </xf>
    <xf numFmtId="3" fontId="39" fillId="0" borderId="39" xfId="199" applyNumberFormat="1" applyFont="1" applyBorder="1" applyAlignment="1">
      <alignment wrapText="1"/>
    </xf>
    <xf numFmtId="3" fontId="39" fillId="0" borderId="104" xfId="199" applyNumberFormat="1" applyFont="1" applyBorder="1" applyAlignment="1">
      <alignment wrapText="1"/>
    </xf>
    <xf numFmtId="3" fontId="37" fillId="0" borderId="43" xfId="200" applyNumberFormat="1" applyFont="1" applyBorder="1" applyAlignment="1">
      <alignment horizontal="right"/>
    </xf>
    <xf numFmtId="3" fontId="50" fillId="0" borderId="39" xfId="199" applyNumberFormat="1" applyFont="1" applyBorder="1" applyAlignment="1">
      <alignment wrapText="1"/>
    </xf>
    <xf numFmtId="3" fontId="8" fillId="0" borderId="39" xfId="199" applyNumberFormat="1" applyFont="1" applyBorder="1" applyAlignment="1">
      <alignment wrapText="1"/>
    </xf>
    <xf numFmtId="3" fontId="37" fillId="0" borderId="36" xfId="200" applyNumberFormat="1" applyFont="1" applyBorder="1" applyAlignment="1">
      <alignment horizontal="right"/>
    </xf>
    <xf numFmtId="0" fontId="50" fillId="0" borderId="39" xfId="199" applyFont="1" applyBorder="1" applyAlignment="1">
      <alignment wrapText="1"/>
    </xf>
    <xf numFmtId="3" fontId="50" fillId="0" borderId="21" xfId="199" applyNumberFormat="1" applyFont="1" applyBorder="1" applyAlignment="1">
      <alignment wrapText="1"/>
    </xf>
    <xf numFmtId="3" fontId="8" fillId="0" borderId="21" xfId="199" applyNumberFormat="1" applyFont="1" applyBorder="1" applyAlignment="1">
      <alignment wrapText="1"/>
    </xf>
    <xf numFmtId="3" fontId="37" fillId="0" borderId="11" xfId="200" applyNumberFormat="1" applyFont="1" applyBorder="1" applyAlignment="1">
      <alignment horizontal="right"/>
    </xf>
    <xf numFmtId="3" fontId="48" fillId="0" borderId="0" xfId="198" applyNumberFormat="1" applyFont="1"/>
    <xf numFmtId="3" fontId="52" fillId="0" borderId="39" xfId="199" applyNumberFormat="1" applyFont="1" applyBorder="1" applyAlignment="1">
      <alignment wrapText="1"/>
    </xf>
    <xf numFmtId="3" fontId="45" fillId="0" borderId="11" xfId="200" applyNumberFormat="1" applyFont="1" applyBorder="1" applyAlignment="1">
      <alignment horizontal="right"/>
    </xf>
    <xf numFmtId="3" fontId="45" fillId="0" borderId="36" xfId="200" applyNumberFormat="1" applyFont="1" applyBorder="1" applyAlignment="1">
      <alignment horizontal="right"/>
    </xf>
    <xf numFmtId="3" fontId="50" fillId="0" borderId="37" xfId="199" applyNumberFormat="1" applyFont="1" applyBorder="1" applyAlignment="1">
      <alignment wrapText="1"/>
    </xf>
    <xf numFmtId="0" fontId="50" fillId="0" borderId="21" xfId="199" applyFont="1" applyBorder="1" applyAlignment="1">
      <alignment wrapText="1"/>
    </xf>
    <xf numFmtId="0" fontId="6" fillId="0" borderId="39" xfId="199" applyFont="1" applyBorder="1" applyAlignment="1">
      <alignment wrapText="1"/>
    </xf>
    <xf numFmtId="3" fontId="45" fillId="0" borderId="83" xfId="200" applyNumberFormat="1" applyFont="1" applyBorder="1" applyAlignment="1">
      <alignment horizontal="right"/>
    </xf>
    <xf numFmtId="3" fontId="37" fillId="0" borderId="83" xfId="200" applyNumberFormat="1" applyFont="1" applyBorder="1" applyAlignment="1">
      <alignment horizontal="right"/>
    </xf>
    <xf numFmtId="3" fontId="50" fillId="0" borderId="48" xfId="199" applyNumberFormat="1" applyFont="1" applyBorder="1" applyAlignment="1">
      <alignment wrapText="1"/>
    </xf>
    <xf numFmtId="3" fontId="51" fillId="0" borderId="104" xfId="199" applyNumberFormat="1" applyFont="1" applyBorder="1" applyAlignment="1">
      <alignment wrapText="1"/>
    </xf>
    <xf numFmtId="3" fontId="50" fillId="0" borderId="38" xfId="199" applyNumberFormat="1" applyFont="1" applyBorder="1" applyAlignment="1">
      <alignment wrapText="1"/>
    </xf>
    <xf numFmtId="3" fontId="8" fillId="0" borderId="38" xfId="199" applyNumberFormat="1" applyFont="1" applyBorder="1" applyAlignment="1">
      <alignment wrapText="1"/>
    </xf>
    <xf numFmtId="3" fontId="52" fillId="0" borderId="38" xfId="199" applyNumberFormat="1" applyFont="1" applyBorder="1" applyAlignment="1">
      <alignment wrapText="1"/>
    </xf>
    <xf numFmtId="3" fontId="8" fillId="0" borderId="11" xfId="199" applyNumberFormat="1" applyFont="1" applyBorder="1" applyAlignment="1">
      <alignment wrapText="1"/>
    </xf>
    <xf numFmtId="3" fontId="52" fillId="0" borderId="21" xfId="199" applyNumberFormat="1" applyFont="1" applyBorder="1" applyAlignment="1">
      <alignment wrapText="1"/>
    </xf>
    <xf numFmtId="3" fontId="52" fillId="0" borderId="11" xfId="199" applyNumberFormat="1" applyFont="1" applyBorder="1" applyAlignment="1">
      <alignment wrapText="1"/>
    </xf>
    <xf numFmtId="3" fontId="50" fillId="0" borderId="104" xfId="199" applyNumberFormat="1" applyFont="1" applyBorder="1" applyAlignment="1">
      <alignment wrapText="1"/>
    </xf>
    <xf numFmtId="3" fontId="50" fillId="0" borderId="43" xfId="199" applyNumberFormat="1" applyFont="1" applyBorder="1" applyAlignment="1">
      <alignment wrapText="1"/>
    </xf>
    <xf numFmtId="3" fontId="53" fillId="0" borderId="10" xfId="200" applyNumberFormat="1" applyFont="1" applyBorder="1" applyAlignment="1">
      <alignment horizontal="center"/>
    </xf>
    <xf numFmtId="3" fontId="53" fillId="0" borderId="41" xfId="200" applyNumberFormat="1" applyFont="1" applyBorder="1" applyAlignment="1">
      <alignment horizontal="center"/>
    </xf>
    <xf numFmtId="3" fontId="54" fillId="0" borderId="14" xfId="199" applyNumberFormat="1" applyFont="1" applyBorder="1" applyAlignment="1">
      <alignment horizontal="center" wrapText="1"/>
    </xf>
    <xf numFmtId="3" fontId="55" fillId="0" borderId="40" xfId="200" applyNumberFormat="1" applyFont="1" applyBorder="1" applyAlignment="1">
      <alignment horizontal="center" vertical="center" wrapText="1"/>
    </xf>
    <xf numFmtId="3" fontId="56" fillId="0" borderId="41" xfId="200" applyNumberFormat="1" applyFont="1" applyBorder="1" applyAlignment="1">
      <alignment horizontal="center" vertical="center" wrapText="1"/>
    </xf>
    <xf numFmtId="3" fontId="53" fillId="0" borderId="41" xfId="200" applyNumberFormat="1" applyFont="1" applyBorder="1" applyAlignment="1">
      <alignment horizontal="center" vertical="center" wrapText="1"/>
    </xf>
    <xf numFmtId="3" fontId="55" fillId="0" borderId="114" xfId="200" applyNumberFormat="1" applyFont="1" applyBorder="1" applyAlignment="1">
      <alignment horizontal="center" vertical="center" wrapText="1"/>
    </xf>
    <xf numFmtId="3" fontId="55" fillId="0" borderId="60" xfId="200" applyNumberFormat="1" applyFont="1" applyBorder="1" applyAlignment="1">
      <alignment horizontal="center" vertical="center" wrapText="1"/>
    </xf>
    <xf numFmtId="0" fontId="6" fillId="0" borderId="0" xfId="196"/>
    <xf numFmtId="3" fontId="51" fillId="0" borderId="10" xfId="200" applyNumberFormat="1" applyFont="1" applyBorder="1"/>
    <xf numFmtId="0" fontId="51" fillId="0" borderId="14" xfId="199" applyFont="1" applyBorder="1" applyAlignment="1">
      <alignment wrapText="1"/>
    </xf>
    <xf numFmtId="0" fontId="37" fillId="0" borderId="10" xfId="200" applyFont="1" applyBorder="1"/>
    <xf numFmtId="3" fontId="51" fillId="0" borderId="14" xfId="200" applyNumberFormat="1" applyFont="1" applyBorder="1"/>
    <xf numFmtId="3" fontId="39" fillId="0" borderId="21" xfId="199" applyNumberFormat="1" applyFont="1" applyBorder="1" applyAlignment="1">
      <alignment wrapText="1"/>
    </xf>
    <xf numFmtId="3" fontId="50" fillId="0" borderId="43" xfId="200" applyNumberFormat="1" applyFont="1" applyBorder="1"/>
    <xf numFmtId="3" fontId="50" fillId="0" borderId="97" xfId="200" applyNumberFormat="1" applyFont="1" applyBorder="1"/>
    <xf numFmtId="3" fontId="50" fillId="0" borderId="86" xfId="200" applyNumberFormat="1" applyFont="1" applyBorder="1"/>
    <xf numFmtId="3" fontId="50" fillId="0" borderId="17" xfId="200" applyNumberFormat="1" applyFont="1" applyBorder="1"/>
    <xf numFmtId="3" fontId="50" fillId="0" borderId="110" xfId="200" applyNumberFormat="1" applyFont="1" applyBorder="1"/>
    <xf numFmtId="0" fontId="39" fillId="0" borderId="104" xfId="199" applyFont="1" applyBorder="1" applyAlignment="1">
      <alignment wrapText="1"/>
    </xf>
    <xf numFmtId="0" fontId="37" fillId="0" borderId="43" xfId="200" applyFont="1" applyBorder="1"/>
    <xf numFmtId="0" fontId="23" fillId="0" borderId="0" xfId="196" applyFont="1"/>
    <xf numFmtId="3" fontId="23" fillId="0" borderId="0" xfId="196" applyNumberFormat="1" applyFont="1"/>
    <xf numFmtId="3" fontId="50" fillId="0" borderId="38" xfId="200" applyNumberFormat="1" applyFont="1" applyBorder="1"/>
    <xf numFmtId="3" fontId="50" fillId="0" borderId="11" xfId="200" applyNumberFormat="1" applyFont="1" applyBorder="1"/>
    <xf numFmtId="3" fontId="50" fillId="0" borderId="65" xfId="200" applyNumberFormat="1" applyFont="1" applyBorder="1"/>
    <xf numFmtId="3" fontId="50" fillId="0" borderId="20" xfId="200" applyNumberFormat="1" applyFont="1" applyBorder="1"/>
    <xf numFmtId="3" fontId="50" fillId="0" borderId="24" xfId="200" applyNumberFormat="1" applyFont="1" applyBorder="1"/>
    <xf numFmtId="3" fontId="50" fillId="0" borderId="73" xfId="200" applyNumberFormat="1" applyFont="1" applyBorder="1"/>
    <xf numFmtId="3" fontId="50" fillId="0" borderId="63" xfId="200" applyNumberFormat="1" applyFont="1" applyBorder="1"/>
    <xf numFmtId="0" fontId="37" fillId="0" borderId="36" xfId="200" applyFont="1" applyBorder="1"/>
    <xf numFmtId="0" fontId="8" fillId="0" borderId="39" xfId="199" applyFont="1" applyBorder="1" applyAlignment="1">
      <alignment wrapText="1"/>
    </xf>
    <xf numFmtId="3" fontId="50" fillId="0" borderId="34" xfId="200" applyNumberFormat="1" applyFont="1" applyBorder="1"/>
    <xf numFmtId="3" fontId="50" fillId="0" borderId="74" xfId="200" applyNumberFormat="1" applyFont="1" applyBorder="1"/>
    <xf numFmtId="3" fontId="50" fillId="0" borderId="72" xfId="200" applyNumberFormat="1" applyFont="1" applyBorder="1"/>
    <xf numFmtId="0" fontId="8" fillId="0" borderId="21" xfId="199" applyFont="1" applyBorder="1" applyAlignment="1">
      <alignment wrapText="1"/>
    </xf>
    <xf numFmtId="0" fontId="37" fillId="0" borderId="11" xfId="200" applyFont="1" applyBorder="1"/>
    <xf numFmtId="0" fontId="8" fillId="0" borderId="0" xfId="196" applyFont="1"/>
    <xf numFmtId="3" fontId="8" fillId="0" borderId="38" xfId="200" applyNumberFormat="1" applyFont="1" applyBorder="1"/>
    <xf numFmtId="3" fontId="8" fillId="0" borderId="11" xfId="200" applyNumberFormat="1" applyFont="1" applyBorder="1"/>
    <xf numFmtId="3" fontId="8" fillId="0" borderId="65" xfId="200" applyNumberFormat="1" applyFont="1" applyBorder="1"/>
    <xf numFmtId="3" fontId="8" fillId="0" borderId="20" xfId="200" applyNumberFormat="1" applyFont="1" applyBorder="1"/>
    <xf numFmtId="3" fontId="8" fillId="0" borderId="23" xfId="200" applyNumberFormat="1" applyFont="1" applyBorder="1"/>
    <xf numFmtId="3" fontId="8" fillId="0" borderId="64" xfId="200" applyNumberFormat="1" applyFont="1" applyBorder="1"/>
    <xf numFmtId="3" fontId="8" fillId="0" borderId="24" xfId="200" applyNumberFormat="1" applyFont="1" applyBorder="1"/>
    <xf numFmtId="3" fontId="8" fillId="0" borderId="63" xfId="200" applyNumberFormat="1" applyFont="1" applyBorder="1"/>
    <xf numFmtId="0" fontId="8" fillId="0" borderId="36" xfId="200" applyFont="1" applyBorder="1"/>
    <xf numFmtId="3" fontId="50" fillId="0" borderId="23" xfId="200" applyNumberFormat="1" applyFont="1" applyBorder="1"/>
    <xf numFmtId="3" fontId="50" fillId="0" borderId="64" xfId="200" applyNumberFormat="1" applyFont="1" applyBorder="1"/>
    <xf numFmtId="3" fontId="50" fillId="0" borderId="36" xfId="200" applyNumberFormat="1" applyFont="1" applyBorder="1"/>
    <xf numFmtId="3" fontId="50" fillId="0" borderId="19" xfId="200" applyNumberFormat="1" applyFont="1" applyBorder="1"/>
    <xf numFmtId="3" fontId="50" fillId="25" borderId="63" xfId="200" applyNumberFormat="1" applyFont="1" applyFill="1" applyBorder="1"/>
    <xf numFmtId="0" fontId="50" fillId="0" borderId="37" xfId="199" applyFont="1" applyBorder="1" applyAlignment="1">
      <alignment wrapText="1"/>
    </xf>
    <xf numFmtId="3" fontId="8" fillId="25" borderId="63" xfId="200" applyNumberFormat="1" applyFont="1" applyFill="1" applyBorder="1"/>
    <xf numFmtId="3" fontId="8" fillId="0" borderId="73" xfId="200" applyNumberFormat="1" applyFont="1" applyBorder="1"/>
    <xf numFmtId="3" fontId="8" fillId="0" borderId="74" xfId="200" applyNumberFormat="1" applyFont="1" applyBorder="1"/>
    <xf numFmtId="0" fontId="8" fillId="0" borderId="83" xfId="200" applyFont="1" applyBorder="1"/>
    <xf numFmtId="3" fontId="8" fillId="0" borderId="115" xfId="200" applyNumberFormat="1" applyFont="1" applyBorder="1"/>
    <xf numFmtId="3" fontId="8" fillId="0" borderId="116" xfId="200" applyNumberFormat="1" applyFont="1" applyBorder="1"/>
    <xf numFmtId="3" fontId="8" fillId="0" borderId="117" xfId="200" applyNumberFormat="1" applyFont="1" applyBorder="1"/>
    <xf numFmtId="3" fontId="50" fillId="0" borderId="25" xfId="200" applyNumberFormat="1" applyFont="1" applyBorder="1"/>
    <xf numFmtId="3" fontId="50" fillId="0" borderId="81" xfId="200" applyNumberFormat="1" applyFont="1" applyBorder="1"/>
    <xf numFmtId="3" fontId="8" fillId="0" borderId="25" xfId="200" applyNumberFormat="1" applyFont="1" applyBorder="1"/>
    <xf numFmtId="3" fontId="8" fillId="0" borderId="34" xfId="200" applyNumberFormat="1" applyFont="1" applyBorder="1"/>
    <xf numFmtId="0" fontId="8" fillId="0" borderId="11" xfId="200" applyFont="1" applyBorder="1"/>
    <xf numFmtId="3" fontId="8" fillId="0" borderId="21" xfId="200" applyNumberFormat="1" applyFont="1" applyBorder="1"/>
    <xf numFmtId="3" fontId="8" fillId="0" borderId="26" xfId="200" applyNumberFormat="1" applyFont="1" applyBorder="1"/>
    <xf numFmtId="0" fontId="51" fillId="0" borderId="10" xfId="199" applyFont="1" applyBorder="1" applyAlignment="1">
      <alignment wrapText="1"/>
    </xf>
    <xf numFmtId="0" fontId="50" fillId="0" borderId="48" xfId="199" applyFont="1" applyBorder="1" applyAlignment="1">
      <alignment wrapText="1"/>
    </xf>
    <xf numFmtId="3" fontId="51" fillId="0" borderId="43" xfId="200" applyNumberFormat="1" applyFont="1" applyBorder="1"/>
    <xf numFmtId="3" fontId="51" fillId="0" borderId="97" xfId="200" applyNumberFormat="1" applyFont="1" applyBorder="1"/>
    <xf numFmtId="3" fontId="51" fillId="0" borderId="17" xfId="200" applyNumberFormat="1" applyFont="1" applyBorder="1"/>
    <xf numFmtId="3" fontId="51" fillId="0" borderId="110" xfId="200" applyNumberFormat="1" applyFont="1" applyBorder="1"/>
    <xf numFmtId="3" fontId="51" fillId="0" borderId="86" xfId="200" applyNumberFormat="1" applyFont="1" applyBorder="1"/>
    <xf numFmtId="0" fontId="51" fillId="0" borderId="104" xfId="199" applyFont="1" applyBorder="1" applyAlignment="1">
      <alignment wrapText="1"/>
    </xf>
    <xf numFmtId="0" fontId="50" fillId="0" borderId="104" xfId="199" applyFont="1" applyBorder="1" applyAlignment="1">
      <alignment wrapText="1"/>
    </xf>
    <xf numFmtId="0" fontId="6" fillId="0" borderId="0" xfId="196" applyFont="1"/>
    <xf numFmtId="3" fontId="6" fillId="0" borderId="38" xfId="200" applyNumberFormat="1" applyFont="1" applyBorder="1"/>
    <xf numFmtId="3" fontId="6" fillId="0" borderId="11" xfId="200" applyNumberFormat="1" applyFont="1" applyBorder="1"/>
    <xf numFmtId="3" fontId="6" fillId="0" borderId="74" xfId="200" applyNumberFormat="1" applyFont="1" applyBorder="1"/>
    <xf numFmtId="3" fontId="6" fillId="0" borderId="81" xfId="200" applyNumberFormat="1" applyFont="1" applyBorder="1"/>
    <xf numFmtId="3" fontId="6" fillId="0" borderId="24" xfId="200" applyNumberFormat="1" applyFont="1" applyBorder="1"/>
    <xf numFmtId="3" fontId="6" fillId="0" borderId="65" xfId="200" applyNumberFormat="1" applyFont="1" applyBorder="1"/>
    <xf numFmtId="3" fontId="6" fillId="0" borderId="34" xfId="200" applyNumberFormat="1" applyFont="1" applyBorder="1"/>
    <xf numFmtId="0" fontId="6" fillId="0" borderId="36" xfId="200" applyFont="1" applyBorder="1"/>
    <xf numFmtId="3" fontId="8" fillId="0" borderId="81" xfId="200" applyNumberFormat="1" applyFont="1" applyBorder="1"/>
    <xf numFmtId="0" fontId="58" fillId="0" borderId="0" xfId="196" applyFont="1" applyAlignment="1">
      <alignment horizontal="center"/>
    </xf>
    <xf numFmtId="3" fontId="54" fillId="0" borderId="10" xfId="200" applyNumberFormat="1" applyFont="1" applyBorder="1" applyAlignment="1">
      <alignment horizontal="center"/>
    </xf>
    <xf numFmtId="3" fontId="54" fillId="0" borderId="35" xfId="200" applyNumberFormat="1" applyFont="1" applyBorder="1" applyAlignment="1">
      <alignment horizontal="center"/>
    </xf>
    <xf numFmtId="3" fontId="54" fillId="0" borderId="14" xfId="200" applyNumberFormat="1" applyFont="1" applyBorder="1" applyAlignment="1">
      <alignment horizontal="center"/>
    </xf>
    <xf numFmtId="3" fontId="59" fillId="0" borderId="10" xfId="200" applyNumberFormat="1" applyFont="1" applyBorder="1" applyAlignment="1">
      <alignment horizontal="center"/>
    </xf>
    <xf numFmtId="0" fontId="54" fillId="0" borderId="14" xfId="199" applyFont="1" applyBorder="1" applyAlignment="1">
      <alignment horizontal="center" wrapText="1"/>
    </xf>
    <xf numFmtId="0" fontId="60" fillId="0" borderId="10" xfId="200" applyFont="1" applyBorder="1" applyAlignment="1">
      <alignment horizontal="center"/>
    </xf>
    <xf numFmtId="3" fontId="55" fillId="0" borderId="10" xfId="200" applyNumberFormat="1" applyFont="1" applyBorder="1" applyAlignment="1">
      <alignment horizontal="center" vertical="center" wrapText="1"/>
    </xf>
    <xf numFmtId="3" fontId="55" fillId="0" borderId="35" xfId="200" applyNumberFormat="1" applyFont="1" applyBorder="1" applyAlignment="1">
      <alignment horizontal="center" vertical="center" wrapText="1"/>
    </xf>
    <xf numFmtId="0" fontId="55" fillId="0" borderId="10" xfId="200" applyFont="1" applyBorder="1" applyAlignment="1">
      <alignment horizontal="center" vertical="center" wrapText="1"/>
    </xf>
    <xf numFmtId="3" fontId="55" fillId="0" borderId="80" xfId="200" applyNumberFormat="1" applyFont="1" applyBorder="1" applyAlignment="1">
      <alignment horizontal="center" vertical="center" wrapText="1"/>
    </xf>
    <xf numFmtId="3" fontId="55" fillId="0" borderId="14" xfId="200" applyNumberFormat="1" applyFont="1" applyBorder="1" applyAlignment="1">
      <alignment horizontal="center" vertical="center" wrapText="1"/>
    </xf>
    <xf numFmtId="0" fontId="55" fillId="0" borderId="14" xfId="199" applyFont="1" applyBorder="1" applyAlignment="1">
      <alignment horizontal="center" vertical="center" wrapText="1"/>
    </xf>
    <xf numFmtId="0" fontId="29" fillId="0" borderId="10" xfId="200" applyFont="1" applyBorder="1" applyAlignment="1">
      <alignment horizontal="center"/>
    </xf>
    <xf numFmtId="3" fontId="7" fillId="0" borderId="32" xfId="0" applyNumberFormat="1" applyFont="1" applyFill="1" applyBorder="1"/>
    <xf numFmtId="0" fontId="0" fillId="0" borderId="31" xfId="0" applyFont="1" applyFill="1" applyBorder="1" applyAlignment="1">
      <alignment wrapText="1"/>
    </xf>
    <xf numFmtId="3" fontId="0" fillId="0" borderId="34" xfId="0" applyNumberFormat="1" applyFill="1" applyBorder="1"/>
    <xf numFmtId="3" fontId="7" fillId="0" borderId="59" xfId="0" applyNumberFormat="1" applyFont="1" applyFill="1" applyBorder="1"/>
    <xf numFmtId="3" fontId="0" fillId="0" borderId="65" xfId="0" applyNumberFormat="1" applyFill="1" applyBorder="1"/>
    <xf numFmtId="3" fontId="7" fillId="0" borderId="56" xfId="0" applyNumberFormat="1" applyFont="1" applyFill="1" applyBorder="1"/>
    <xf numFmtId="3" fontId="0" fillId="0" borderId="56" xfId="0" applyNumberFormat="1" applyFill="1" applyBorder="1"/>
    <xf numFmtId="3" fontId="0" fillId="0" borderId="0" xfId="0" applyNumberFormat="1" applyFill="1"/>
    <xf numFmtId="0" fontId="7" fillId="0" borderId="31" xfId="194" applyFont="1" applyBorder="1" applyAlignment="1">
      <alignment wrapText="1"/>
    </xf>
    <xf numFmtId="3" fontId="39" fillId="0" borderId="69" xfId="0" applyNumberFormat="1" applyFont="1" applyBorder="1" applyAlignment="1">
      <alignment wrapText="1"/>
    </xf>
    <xf numFmtId="0" fontId="6" fillId="0" borderId="11" xfId="200" applyFont="1" applyBorder="1"/>
    <xf numFmtId="3" fontId="6" fillId="0" borderId="20" xfId="200" applyNumberFormat="1" applyFont="1" applyBorder="1"/>
    <xf numFmtId="3" fontId="0" fillId="0" borderId="70" xfId="0" applyNumberFormat="1" applyBorder="1"/>
    <xf numFmtId="3" fontId="0" fillId="0" borderId="118" xfId="0" applyNumberFormat="1" applyFont="1" applyFill="1" applyBorder="1" applyAlignment="1">
      <alignment wrapText="1"/>
    </xf>
    <xf numFmtId="3" fontId="8" fillId="0" borderId="118" xfId="0" applyNumberFormat="1" applyFont="1" applyFill="1" applyBorder="1" applyAlignment="1">
      <alignment wrapText="1"/>
    </xf>
    <xf numFmtId="3" fontId="0" fillId="0" borderId="34" xfId="0" applyNumberFormat="1" applyFont="1" applyFill="1" applyBorder="1"/>
    <xf numFmtId="3" fontId="0" fillId="0" borderId="65" xfId="0" applyNumberFormat="1" applyFont="1" applyFill="1" applyBorder="1"/>
    <xf numFmtId="3" fontId="0" fillId="0" borderId="56" xfId="0" applyNumberFormat="1" applyFont="1" applyFill="1" applyBorder="1"/>
    <xf numFmtId="3" fontId="0" fillId="0" borderId="31" xfId="0" applyNumberFormat="1" applyFont="1" applyFill="1" applyBorder="1" applyAlignment="1">
      <alignment wrapText="1"/>
    </xf>
    <xf numFmtId="3" fontId="0" fillId="0" borderId="31" xfId="0" applyNumberFormat="1" applyFont="1" applyBorder="1" applyAlignment="1">
      <alignment wrapText="1"/>
    </xf>
    <xf numFmtId="3" fontId="8" fillId="0" borderId="31" xfId="0" applyNumberFormat="1" applyFont="1" applyBorder="1" applyAlignment="1">
      <alignment wrapText="1"/>
    </xf>
    <xf numFmtId="0" fontId="0" fillId="0" borderId="15" xfId="171" applyFont="1" applyBorder="1"/>
    <xf numFmtId="0" fontId="0" fillId="0" borderId="38" xfId="171" applyFont="1" applyBorder="1" applyAlignment="1">
      <alignment wrapText="1"/>
    </xf>
    <xf numFmtId="0" fontId="0" fillId="0" borderId="38" xfId="171" applyFont="1" applyBorder="1"/>
    <xf numFmtId="3" fontId="8" fillId="0" borderId="77" xfId="173" applyNumberFormat="1" applyFont="1" applyFill="1" applyBorder="1" applyAlignment="1">
      <alignment wrapText="1"/>
    </xf>
    <xf numFmtId="3" fontId="0" fillId="0" borderId="32" xfId="0" applyNumberFormat="1" applyFont="1" applyBorder="1"/>
    <xf numFmtId="3" fontId="0" fillId="0" borderId="24" xfId="0" applyNumberFormat="1" applyFont="1" applyBorder="1"/>
    <xf numFmtId="3" fontId="27" fillId="0" borderId="65" xfId="172" applyNumberFormat="1" applyFont="1" applyFill="1" applyBorder="1"/>
    <xf numFmtId="3" fontId="27" fillId="0" borderId="12" xfId="172" applyNumberFormat="1" applyFont="1" applyFill="1" applyBorder="1" applyAlignment="1">
      <alignment wrapText="1"/>
    </xf>
    <xf numFmtId="0" fontId="33" fillId="0" borderId="0" xfId="196" applyFont="1" applyFill="1"/>
    <xf numFmtId="3" fontId="33" fillId="0" borderId="0" xfId="196" applyNumberFormat="1" applyFont="1" applyFill="1"/>
    <xf numFmtId="0" fontId="32" fillId="0" borderId="10" xfId="196" applyFont="1" applyFill="1" applyBorder="1" applyAlignment="1">
      <alignment horizontal="center" vertical="center" wrapText="1"/>
    </xf>
    <xf numFmtId="0" fontId="33" fillId="0" borderId="0" xfId="196" applyFont="1" applyFill="1" applyAlignment="1">
      <alignment horizontal="center" vertical="center"/>
    </xf>
    <xf numFmtId="0" fontId="32" fillId="0" borderId="11" xfId="195" applyFont="1" applyFill="1" applyBorder="1" applyAlignment="1">
      <alignment wrapText="1"/>
    </xf>
    <xf numFmtId="0" fontId="33" fillId="0" borderId="0" xfId="157" applyFont="1" applyFill="1" applyBorder="1"/>
    <xf numFmtId="0" fontId="33" fillId="0" borderId="36" xfId="196" applyFont="1" applyFill="1" applyBorder="1" applyAlignment="1">
      <alignment wrapText="1"/>
    </xf>
    <xf numFmtId="3" fontId="33" fillId="0" borderId="11" xfId="196" applyNumberFormat="1" applyFont="1" applyFill="1" applyBorder="1"/>
    <xf numFmtId="0" fontId="32" fillId="0" borderId="36" xfId="196" applyFont="1" applyFill="1" applyBorder="1" applyAlignment="1">
      <alignment wrapText="1"/>
    </xf>
    <xf numFmtId="3" fontId="32" fillId="0" borderId="11" xfId="196" applyNumberFormat="1" applyFont="1" applyFill="1" applyBorder="1"/>
    <xf numFmtId="0" fontId="32" fillId="0" borderId="11" xfId="196" applyFont="1" applyFill="1" applyBorder="1" applyAlignment="1"/>
    <xf numFmtId="0" fontId="32" fillId="0" borderId="11" xfId="196" applyFont="1" applyFill="1" applyBorder="1" applyAlignment="1">
      <alignment wrapText="1"/>
    </xf>
    <xf numFmtId="3" fontId="32" fillId="0" borderId="11" xfId="196" applyNumberFormat="1" applyFont="1" applyFill="1" applyBorder="1" applyAlignment="1">
      <alignment wrapText="1"/>
    </xf>
    <xf numFmtId="0" fontId="33" fillId="0" borderId="11" xfId="196" applyFont="1" applyFill="1" applyBorder="1" applyAlignment="1"/>
    <xf numFmtId="0" fontId="33" fillId="0" borderId="11" xfId="196" applyFont="1" applyFill="1" applyBorder="1" applyAlignment="1">
      <alignment wrapText="1"/>
    </xf>
    <xf numFmtId="0" fontId="27" fillId="0" borderId="11" xfId="196" applyFont="1" applyFill="1" applyBorder="1" applyAlignment="1">
      <alignment wrapText="1"/>
    </xf>
    <xf numFmtId="0" fontId="34" fillId="0" borderId="11" xfId="196" applyFont="1" applyFill="1" applyBorder="1" applyAlignment="1"/>
    <xf numFmtId="3" fontId="34" fillId="0" borderId="11" xfId="196" applyNumberFormat="1" applyFont="1" applyFill="1" applyBorder="1"/>
    <xf numFmtId="3" fontId="32" fillId="0" borderId="38" xfId="196" applyNumberFormat="1" applyFont="1" applyFill="1" applyBorder="1"/>
    <xf numFmtId="0" fontId="33" fillId="0" borderId="38" xfId="196" applyFont="1" applyFill="1" applyBorder="1" applyAlignment="1">
      <alignment wrapText="1"/>
    </xf>
    <xf numFmtId="0" fontId="32" fillId="0" borderId="15" xfId="196" applyFont="1" applyFill="1" applyBorder="1" applyAlignment="1">
      <alignment wrapText="1"/>
    </xf>
    <xf numFmtId="3" fontId="32" fillId="0" borderId="15" xfId="196" applyNumberFormat="1" applyFont="1" applyFill="1" applyBorder="1"/>
    <xf numFmtId="0" fontId="32" fillId="0" borderId="0" xfId="196" applyFont="1" applyFill="1"/>
    <xf numFmtId="0" fontId="32" fillId="0" borderId="119" xfId="196" applyFont="1" applyFill="1" applyBorder="1" applyAlignment="1"/>
    <xf numFmtId="0" fontId="32" fillId="0" borderId="120" xfId="196" applyFont="1" applyFill="1" applyBorder="1" applyAlignment="1"/>
    <xf numFmtId="3" fontId="32" fillId="0" borderId="75" xfId="197" applyNumberFormat="1" applyFont="1" applyFill="1" applyBorder="1"/>
    <xf numFmtId="0" fontId="33" fillId="0" borderId="0" xfId="196" applyFont="1" applyFill="1" applyAlignment="1">
      <alignment wrapText="1"/>
    </xf>
    <xf numFmtId="3" fontId="37" fillId="0" borderId="103" xfId="173" applyNumberFormat="1" applyFont="1" applyFill="1" applyBorder="1"/>
    <xf numFmtId="3" fontId="32" fillId="0" borderId="90" xfId="196" applyNumberFormat="1" applyFont="1" applyFill="1" applyBorder="1"/>
    <xf numFmtId="3" fontId="0" fillId="0" borderId="69" xfId="0" applyNumberFormat="1" applyBorder="1" applyAlignment="1">
      <alignment wrapText="1"/>
    </xf>
    <xf numFmtId="0" fontId="0" fillId="0" borderId="31" xfId="0" applyFill="1" applyBorder="1" applyAlignment="1">
      <alignment wrapText="1"/>
    </xf>
    <xf numFmtId="3" fontId="0" fillId="0" borderId="31" xfId="0" applyNumberFormat="1" applyFill="1" applyBorder="1"/>
    <xf numFmtId="3" fontId="0" fillId="0" borderId="20" xfId="0" applyNumberFormat="1" applyFont="1" applyBorder="1"/>
    <xf numFmtId="3" fontId="0" fillId="0" borderId="31" xfId="0" applyNumberFormat="1" applyBorder="1"/>
    <xf numFmtId="0" fontId="62" fillId="0" borderId="0" xfId="204" applyFont="1"/>
    <xf numFmtId="0" fontId="62" fillId="0" borderId="0" xfId="204" applyFont="1" applyAlignment="1">
      <alignment wrapText="1"/>
    </xf>
    <xf numFmtId="0" fontId="62" fillId="0" borderId="0" xfId="204" applyFont="1" applyFill="1" applyAlignment="1">
      <alignment wrapText="1"/>
    </xf>
    <xf numFmtId="0" fontId="63" fillId="0" borderId="0" xfId="204" applyFont="1"/>
    <xf numFmtId="0" fontId="63" fillId="0" borderId="61" xfId="204" applyFont="1" applyBorder="1" applyAlignment="1">
      <alignment horizontal="center" wrapText="1"/>
    </xf>
    <xf numFmtId="0" fontId="63" fillId="0" borderId="33" xfId="204" applyFont="1" applyBorder="1" applyAlignment="1">
      <alignment horizontal="center" wrapText="1"/>
    </xf>
    <xf numFmtId="0" fontId="63" fillId="0" borderId="0" xfId="204" applyFont="1" applyAlignment="1">
      <alignment wrapText="1"/>
    </xf>
    <xf numFmtId="0" fontId="62" fillId="0" borderId="32" xfId="204" applyFont="1" applyBorder="1"/>
    <xf numFmtId="0" fontId="62" fillId="0" borderId="24" xfId="204" applyFont="1" applyFill="1" applyBorder="1" applyAlignment="1">
      <alignment wrapText="1"/>
    </xf>
    <xf numFmtId="0" fontId="62" fillId="0" borderId="94" xfId="204" applyFont="1" applyFill="1" applyBorder="1" applyAlignment="1">
      <alignment wrapText="1"/>
    </xf>
    <xf numFmtId="3" fontId="62" fillId="0" borderId="34" xfId="204" applyNumberFormat="1" applyFont="1" applyBorder="1"/>
    <xf numFmtId="3" fontId="62" fillId="0" borderId="24" xfId="204" applyNumberFormat="1" applyFont="1" applyBorder="1"/>
    <xf numFmtId="3" fontId="62" fillId="0" borderId="31" xfId="204" applyNumberFormat="1" applyFont="1" applyBorder="1"/>
    <xf numFmtId="3" fontId="62" fillId="0" borderId="0" xfId="204" applyNumberFormat="1" applyFont="1"/>
    <xf numFmtId="0" fontId="62" fillId="0" borderId="70" xfId="204" applyFont="1" applyBorder="1"/>
    <xf numFmtId="0" fontId="62" fillId="0" borderId="73" xfId="204" applyFont="1" applyFill="1" applyBorder="1" applyAlignment="1">
      <alignment wrapText="1"/>
    </xf>
    <xf numFmtId="3" fontId="62" fillId="0" borderId="72" xfId="204" applyNumberFormat="1" applyFont="1" applyBorder="1"/>
    <xf numFmtId="3" fontId="62" fillId="0" borderId="0" xfId="204" applyNumberFormat="1" applyFont="1" applyFill="1"/>
    <xf numFmtId="0" fontId="62" fillId="0" borderId="121" xfId="204" applyFont="1" applyFill="1" applyBorder="1" applyAlignment="1">
      <alignment wrapText="1"/>
    </xf>
    <xf numFmtId="3" fontId="62" fillId="0" borderId="72" xfId="204" applyNumberFormat="1" applyFont="1" applyFill="1" applyBorder="1"/>
    <xf numFmtId="3" fontId="62" fillId="0" borderId="34" xfId="204" applyNumberFormat="1" applyFont="1" applyFill="1" applyBorder="1"/>
    <xf numFmtId="0" fontId="63" fillId="0" borderId="33" xfId="204" applyFont="1" applyBorder="1"/>
    <xf numFmtId="0" fontId="63" fillId="0" borderId="33" xfId="204" applyFont="1" applyBorder="1" applyAlignment="1">
      <alignment wrapText="1"/>
    </xf>
    <xf numFmtId="0" fontId="63" fillId="0" borderId="33" xfId="204" applyFont="1" applyFill="1" applyBorder="1" applyAlignment="1">
      <alignment wrapText="1"/>
    </xf>
    <xf numFmtId="3" fontId="63" fillId="0" borderId="61" xfId="204" applyNumberFormat="1" applyFont="1" applyBorder="1"/>
    <xf numFmtId="0" fontId="64" fillId="0" borderId="0" xfId="204" applyFont="1" applyAlignment="1">
      <alignment wrapText="1"/>
    </xf>
    <xf numFmtId="0" fontId="64" fillId="0" borderId="0" xfId="204" applyFont="1" applyFill="1" applyAlignment="1">
      <alignment wrapText="1"/>
    </xf>
    <xf numFmtId="0" fontId="62" fillId="0" borderId="0" xfId="204" applyFont="1" applyFill="1" applyAlignment="1"/>
    <xf numFmtId="3" fontId="8" fillId="0" borderId="36" xfId="200" applyNumberFormat="1" applyFont="1" applyBorder="1"/>
    <xf numFmtId="3" fontId="6" fillId="0" borderId="36" xfId="200" applyNumberFormat="1" applyFont="1" applyBorder="1"/>
    <xf numFmtId="3" fontId="6" fillId="0" borderId="63" xfId="200" applyNumberFormat="1" applyFont="1" applyBorder="1"/>
    <xf numFmtId="3" fontId="6" fillId="0" borderId="23" xfId="200" applyNumberFormat="1" applyFont="1" applyBorder="1"/>
    <xf numFmtId="3" fontId="6" fillId="0" borderId="64" xfId="200" applyNumberFormat="1" applyFont="1" applyBorder="1"/>
    <xf numFmtId="3" fontId="6" fillId="0" borderId="26" xfId="200" applyNumberFormat="1" applyFont="1" applyBorder="1"/>
    <xf numFmtId="3" fontId="6" fillId="0" borderId="21" xfId="200" applyNumberFormat="1" applyFont="1" applyBorder="1"/>
    <xf numFmtId="3" fontId="6" fillId="0" borderId="25" xfId="200" applyNumberFormat="1" applyFont="1" applyBorder="1"/>
    <xf numFmtId="3" fontId="6" fillId="25" borderId="63" xfId="200" applyNumberFormat="1" applyFont="1" applyFill="1" applyBorder="1"/>
    <xf numFmtId="0" fontId="7" fillId="0" borderId="11" xfId="200" applyFont="1" applyBorder="1"/>
    <xf numFmtId="0" fontId="7" fillId="0" borderId="39" xfId="199" applyFont="1" applyBorder="1" applyAlignment="1">
      <alignment wrapText="1"/>
    </xf>
    <xf numFmtId="3" fontId="7" fillId="25" borderId="34" xfId="200" applyNumberFormat="1" applyFont="1" applyFill="1" applyBorder="1"/>
    <xf numFmtId="3" fontId="7" fillId="25" borderId="65" xfId="200" applyNumberFormat="1" applyFont="1" applyFill="1" applyBorder="1"/>
    <xf numFmtId="3" fontId="7" fillId="25" borderId="11" xfId="200" applyNumberFormat="1" applyFont="1" applyFill="1" applyBorder="1"/>
    <xf numFmtId="3" fontId="7" fillId="25" borderId="20" xfId="200" applyNumberFormat="1" applyFont="1" applyFill="1" applyBorder="1"/>
    <xf numFmtId="0" fontId="7" fillId="0" borderId="0" xfId="196" applyFont="1"/>
    <xf numFmtId="3" fontId="6" fillId="0" borderId="39" xfId="199" applyNumberFormat="1" applyFont="1" applyBorder="1" applyAlignment="1">
      <alignment wrapText="1"/>
    </xf>
    <xf numFmtId="3" fontId="6" fillId="0" borderId="21" xfId="199" applyNumberFormat="1" applyFont="1" applyBorder="1" applyAlignment="1">
      <alignment wrapText="1"/>
    </xf>
    <xf numFmtId="3" fontId="6" fillId="0" borderId="38" xfId="199" applyNumberFormat="1" applyFont="1" applyBorder="1" applyAlignment="1">
      <alignment wrapText="1"/>
    </xf>
    <xf numFmtId="3" fontId="6" fillId="0" borderId="11" xfId="199" applyNumberFormat="1" applyFont="1" applyBorder="1" applyAlignment="1">
      <alignment wrapText="1"/>
    </xf>
    <xf numFmtId="3" fontId="51" fillId="0" borderId="39" xfId="199" applyNumberFormat="1" applyFont="1" applyBorder="1" applyAlignment="1">
      <alignment wrapText="1"/>
    </xf>
    <xf numFmtId="3" fontId="65" fillId="0" borderId="0" xfId="198" applyNumberFormat="1" applyFont="1"/>
    <xf numFmtId="3" fontId="0" fillId="0" borderId="19" xfId="0" applyNumberFormat="1" applyFill="1" applyBorder="1"/>
    <xf numFmtId="3" fontId="6" fillId="0" borderId="25" xfId="173" applyNumberFormat="1" applyFill="1" applyBorder="1"/>
    <xf numFmtId="3" fontId="45" fillId="0" borderId="78" xfId="173" applyNumberFormat="1" applyFont="1" applyFill="1" applyBorder="1"/>
    <xf numFmtId="3" fontId="45" fillId="0" borderId="29" xfId="173" applyNumberFormat="1" applyFont="1" applyFill="1" applyBorder="1"/>
    <xf numFmtId="3" fontId="36" fillId="0" borderId="10" xfId="173" applyNumberFormat="1" applyFont="1" applyFill="1" applyBorder="1"/>
    <xf numFmtId="3" fontId="36" fillId="0" borderId="0" xfId="173" applyNumberFormat="1" applyFont="1" applyFill="1" applyBorder="1"/>
    <xf numFmtId="3" fontId="0" fillId="0" borderId="118" xfId="0" applyNumberFormat="1" applyFill="1" applyBorder="1" applyAlignment="1">
      <alignment wrapText="1"/>
    </xf>
    <xf numFmtId="3" fontId="31" fillId="0" borderId="0" xfId="172" applyNumberFormat="1"/>
    <xf numFmtId="0" fontId="32" fillId="0" borderId="0" xfId="206" applyFont="1" applyFill="1" applyBorder="1" applyAlignment="1">
      <alignment wrapText="1"/>
    </xf>
    <xf numFmtId="3" fontId="33" fillId="0" borderId="0" xfId="206" applyNumberFormat="1" applyFont="1" applyFill="1" applyBorder="1"/>
    <xf numFmtId="0" fontId="33" fillId="0" borderId="0" xfId="206" applyFont="1" applyFill="1"/>
    <xf numFmtId="0" fontId="32" fillId="0" borderId="122" xfId="206" applyFont="1" applyFill="1" applyBorder="1" applyAlignment="1">
      <alignment horizontal="center"/>
    </xf>
    <xf numFmtId="3" fontId="32" fillId="0" borderId="123" xfId="206" applyNumberFormat="1" applyFont="1" applyFill="1" applyBorder="1" applyAlignment="1">
      <alignment horizontal="center"/>
    </xf>
    <xf numFmtId="3" fontId="32" fillId="0" borderId="30" xfId="206" applyNumberFormat="1" applyFont="1" applyFill="1" applyBorder="1" applyAlignment="1">
      <alignment horizontal="center"/>
    </xf>
    <xf numFmtId="0" fontId="33" fillId="0" borderId="32" xfId="206" applyFont="1" applyFill="1" applyBorder="1" applyAlignment="1">
      <alignment wrapText="1"/>
    </xf>
    <xf numFmtId="3" fontId="33" fillId="0" borderId="24" xfId="206" applyNumberFormat="1" applyFont="1" applyFill="1" applyBorder="1"/>
    <xf numFmtId="3" fontId="33" fillId="0" borderId="31" xfId="206" applyNumberFormat="1" applyFont="1" applyFill="1" applyBorder="1"/>
    <xf numFmtId="0" fontId="32" fillId="0" borderId="124" xfId="206" applyFont="1" applyFill="1" applyBorder="1" applyAlignment="1">
      <alignment wrapText="1"/>
    </xf>
    <xf numFmtId="3" fontId="32" fillId="0" borderId="125" xfId="206" applyNumberFormat="1" applyFont="1" applyFill="1" applyBorder="1"/>
    <xf numFmtId="3" fontId="32" fillId="0" borderId="126" xfId="206" applyNumberFormat="1" applyFont="1" applyFill="1" applyBorder="1"/>
    <xf numFmtId="0" fontId="32" fillId="0" borderId="0" xfId="206" applyFont="1" applyFill="1"/>
    <xf numFmtId="3" fontId="32" fillId="0" borderId="0" xfId="206" applyNumberFormat="1" applyFont="1" applyFill="1" applyBorder="1"/>
    <xf numFmtId="0" fontId="32" fillId="0" borderId="0" xfId="206" applyFont="1" applyFill="1" applyBorder="1" applyAlignment="1">
      <alignment horizontal="left" wrapText="1"/>
    </xf>
    <xf numFmtId="3" fontId="33" fillId="0" borderId="0" xfId="206" applyNumberFormat="1" applyFont="1" applyFill="1"/>
    <xf numFmtId="0" fontId="33" fillId="0" borderId="122" xfId="206" applyFont="1" applyFill="1" applyBorder="1" applyAlignment="1">
      <alignment horizontal="left" wrapText="1"/>
    </xf>
    <xf numFmtId="3" fontId="33" fillId="0" borderId="123" xfId="206" applyNumberFormat="1" applyFont="1" applyFill="1" applyBorder="1"/>
    <xf numFmtId="3" fontId="33" fillId="0" borderId="30" xfId="206" applyNumberFormat="1" applyFont="1" applyFill="1" applyBorder="1"/>
    <xf numFmtId="0" fontId="33" fillId="0" borderId="70" xfId="206" applyFont="1" applyFill="1" applyBorder="1" applyAlignment="1">
      <alignment wrapText="1"/>
    </xf>
    <xf numFmtId="3" fontId="33" fillId="0" borderId="73" xfId="206" applyNumberFormat="1" applyFont="1" applyFill="1" applyBorder="1"/>
    <xf numFmtId="0" fontId="32" fillId="0" borderId="24" xfId="206" applyFont="1" applyFill="1" applyBorder="1" applyAlignment="1">
      <alignment wrapText="1"/>
    </xf>
    <xf numFmtId="3" fontId="32" fillId="0" borderId="24" xfId="206" applyNumberFormat="1" applyFont="1" applyFill="1" applyBorder="1"/>
    <xf numFmtId="3" fontId="32" fillId="0" borderId="24" xfId="206" applyNumberFormat="1" applyFont="1" applyFill="1" applyBorder="1" applyAlignment="1"/>
    <xf numFmtId="3" fontId="32" fillId="0" borderId="0" xfId="206" applyNumberFormat="1" applyFont="1" applyFill="1"/>
    <xf numFmtId="0" fontId="34" fillId="0" borderId="0" xfId="206" applyFont="1" applyFill="1"/>
    <xf numFmtId="3" fontId="34" fillId="0" borderId="0" xfId="206" applyNumberFormat="1" applyFont="1" applyFill="1"/>
    <xf numFmtId="3" fontId="0" fillId="0" borderId="31" xfId="0" applyNumberFormat="1" applyBorder="1" applyAlignment="1">
      <alignment wrapText="1"/>
    </xf>
    <xf numFmtId="3" fontId="8" fillId="0" borderId="31" xfId="0" applyNumberFormat="1" applyFont="1" applyFill="1" applyBorder="1" applyAlignment="1">
      <alignment wrapText="1"/>
    </xf>
    <xf numFmtId="3" fontId="37" fillId="0" borderId="29" xfId="173" applyNumberFormat="1" applyFont="1" applyFill="1" applyBorder="1"/>
    <xf numFmtId="0" fontId="32" fillId="0" borderId="0" xfId="206" applyFont="1" applyFill="1" applyAlignment="1">
      <alignment horizontal="center"/>
    </xf>
    <xf numFmtId="0" fontId="33" fillId="0" borderId="58" xfId="207" applyFont="1" applyFill="1" applyBorder="1" applyAlignment="1">
      <alignment wrapText="1"/>
    </xf>
    <xf numFmtId="0" fontId="33" fillId="0" borderId="58" xfId="196" applyFont="1" applyFill="1" applyBorder="1" applyAlignment="1">
      <alignment wrapText="1"/>
    </xf>
    <xf numFmtId="0" fontId="33" fillId="0" borderId="22" xfId="207" applyFont="1" applyFill="1" applyBorder="1" applyAlignment="1">
      <alignment wrapText="1"/>
    </xf>
    <xf numFmtId="0" fontId="33" fillId="0" borderId="36" xfId="196" applyFont="1" applyFill="1" applyBorder="1"/>
    <xf numFmtId="0" fontId="61" fillId="0" borderId="0" xfId="207" applyFont="1"/>
    <xf numFmtId="0" fontId="61" fillId="0" borderId="0" xfId="207" applyFont="1" applyAlignment="1">
      <alignment wrapText="1"/>
    </xf>
    <xf numFmtId="3" fontId="61" fillId="0" borderId="0" xfId="207" applyNumberFormat="1" applyFont="1" applyFill="1"/>
    <xf numFmtId="0" fontId="49" fillId="0" borderId="33" xfId="207" applyFont="1" applyBorder="1" applyAlignment="1">
      <alignment horizontal="center" vertical="center" wrapText="1"/>
    </xf>
    <xf numFmtId="0" fontId="49" fillId="0" borderId="33" xfId="207" applyFont="1" applyBorder="1" applyAlignment="1">
      <alignment horizontal="center" vertical="center"/>
    </xf>
    <xf numFmtId="3" fontId="32" fillId="0" borderId="33" xfId="195" applyNumberFormat="1" applyFont="1" applyFill="1" applyBorder="1" applyAlignment="1">
      <alignment horizontal="center" vertical="center" wrapText="1"/>
    </xf>
    <xf numFmtId="0" fontId="61" fillId="0" borderId="0" xfId="207" applyFont="1" applyAlignment="1">
      <alignment horizontal="center"/>
    </xf>
    <xf numFmtId="0" fontId="63" fillId="0" borderId="61" xfId="204" applyFont="1" applyFill="1" applyBorder="1" applyAlignment="1">
      <alignment horizontal="center" wrapText="1"/>
    </xf>
    <xf numFmtId="0" fontId="63" fillId="0" borderId="33" xfId="204" applyFont="1" applyFill="1" applyBorder="1" applyAlignment="1">
      <alignment horizontal="center" wrapText="1"/>
    </xf>
    <xf numFmtId="0" fontId="62" fillId="0" borderId="70" xfId="204" applyFont="1" applyFill="1" applyBorder="1"/>
    <xf numFmtId="3" fontId="62" fillId="0" borderId="31" xfId="204" applyNumberFormat="1" applyFont="1" applyFill="1" applyBorder="1"/>
    <xf numFmtId="0" fontId="62" fillId="0" borderId="0" xfId="204" applyFont="1" applyFill="1"/>
    <xf numFmtId="0" fontId="62" fillId="0" borderId="125" xfId="204" applyFont="1" applyFill="1" applyBorder="1" applyAlignment="1">
      <alignment wrapText="1"/>
    </xf>
    <xf numFmtId="0" fontId="62" fillId="0" borderId="120" xfId="204" applyFont="1" applyFill="1" applyBorder="1" applyAlignment="1">
      <alignment wrapText="1"/>
    </xf>
    <xf numFmtId="3" fontId="62" fillId="0" borderId="127" xfId="204" applyNumberFormat="1" applyFont="1" applyBorder="1"/>
    <xf numFmtId="3" fontId="62" fillId="0" borderId="126" xfId="204" applyNumberFormat="1" applyFont="1" applyBorder="1"/>
    <xf numFmtId="0" fontId="0" fillId="0" borderId="31" xfId="194" applyFont="1" applyFill="1" applyBorder="1" applyAlignment="1">
      <alignment wrapText="1"/>
    </xf>
    <xf numFmtId="3" fontId="0" fillId="0" borderId="31" xfId="0" applyNumberFormat="1" applyFill="1" applyBorder="1" applyAlignment="1">
      <alignment wrapText="1"/>
    </xf>
    <xf numFmtId="0" fontId="55" fillId="0" borderId="10" xfId="199" applyFont="1" applyBorder="1" applyAlignment="1">
      <alignment horizontal="center" vertical="center" wrapText="1"/>
    </xf>
    <xf numFmtId="0" fontId="53" fillId="0" borderId="10" xfId="199" applyFont="1" applyBorder="1" applyAlignment="1">
      <alignment horizontal="center" vertical="center" wrapText="1"/>
    </xf>
    <xf numFmtId="0" fontId="2" fillId="0" borderId="0" xfId="209"/>
    <xf numFmtId="3" fontId="32" fillId="0" borderId="10" xfId="208" applyNumberFormat="1" applyFont="1" applyBorder="1" applyAlignment="1">
      <alignment horizontal="left"/>
    </xf>
    <xf numFmtId="2" fontId="63" fillId="0" borderId="10" xfId="208" applyNumberFormat="1" applyFont="1" applyBorder="1" applyAlignment="1">
      <alignment horizontal="center"/>
    </xf>
    <xf numFmtId="2" fontId="63" fillId="0" borderId="40" xfId="208" applyNumberFormat="1" applyFont="1" applyBorder="1" applyAlignment="1">
      <alignment horizontal="center"/>
    </xf>
    <xf numFmtId="3" fontId="33" fillId="0" borderId="36" xfId="208" applyNumberFormat="1" applyFont="1" applyBorder="1" applyAlignment="1">
      <alignment horizontal="left"/>
    </xf>
    <xf numFmtId="3" fontId="33" fillId="0" borderId="11" xfId="208" applyNumberFormat="1" applyFont="1" applyBorder="1" applyAlignment="1">
      <alignment horizontal="left" wrapText="1"/>
    </xf>
    <xf numFmtId="4" fontId="32" fillId="0" borderId="10" xfId="208" applyNumberFormat="1" applyFont="1" applyBorder="1" applyAlignment="1">
      <alignment horizontal="center"/>
    </xf>
    <xf numFmtId="3" fontId="33" fillId="0" borderId="11" xfId="208" applyNumberFormat="1" applyFont="1" applyBorder="1" applyAlignment="1">
      <alignment horizontal="left"/>
    </xf>
    <xf numFmtId="3" fontId="33" fillId="0" borderId="11" xfId="208" applyNumberFormat="1" applyFont="1" applyFill="1" applyBorder="1" applyAlignment="1">
      <alignment horizontal="left" wrapText="1"/>
    </xf>
    <xf numFmtId="3" fontId="33" fillId="0" borderId="11" xfId="208" applyNumberFormat="1" applyFont="1" applyBorder="1" applyAlignment="1"/>
    <xf numFmtId="4" fontId="32" fillId="0" borderId="10" xfId="208" applyNumberFormat="1" applyFont="1" applyBorder="1" applyAlignment="1">
      <alignment horizontal="left"/>
    </xf>
    <xf numFmtId="3" fontId="33" fillId="0" borderId="22" xfId="208" applyNumberFormat="1" applyFont="1" applyFill="1" applyBorder="1" applyAlignment="1">
      <alignment horizontal="left"/>
    </xf>
    <xf numFmtId="2" fontId="33" fillId="0" borderId="11" xfId="208" applyNumberFormat="1" applyFont="1" applyFill="1" applyBorder="1" applyAlignment="1">
      <alignment horizontal="center"/>
    </xf>
    <xf numFmtId="3" fontId="33" fillId="0" borderId="0" xfId="208" applyNumberFormat="1" applyFont="1" applyBorder="1" applyAlignment="1">
      <alignment horizontal="left"/>
    </xf>
    <xf numFmtId="0" fontId="6" fillId="0" borderId="0" xfId="207"/>
    <xf numFmtId="2" fontId="63" fillId="0" borderId="10" xfId="208" applyNumberFormat="1" applyFont="1" applyBorder="1" applyAlignment="1">
      <alignment horizontal="center" wrapText="1"/>
    </xf>
    <xf numFmtId="2" fontId="32" fillId="0" borderId="10" xfId="208" applyNumberFormat="1" applyFont="1" applyBorder="1" applyAlignment="1">
      <alignment horizontal="center" wrapText="1"/>
    </xf>
    <xf numFmtId="0" fontId="36" fillId="0" borderId="13" xfId="171" applyFont="1" applyFill="1" applyBorder="1"/>
    <xf numFmtId="0" fontId="36" fillId="0" borderId="40" xfId="171" applyFont="1" applyFill="1" applyBorder="1"/>
    <xf numFmtId="3" fontId="39" fillId="0" borderId="10" xfId="171" applyNumberFormat="1" applyFont="1" applyFill="1" applyBorder="1"/>
    <xf numFmtId="4" fontId="39" fillId="0" borderId="10" xfId="171" applyNumberFormat="1" applyFont="1" applyFill="1" applyBorder="1"/>
    <xf numFmtId="0" fontId="7" fillId="0" borderId="0" xfId="171" applyFont="1" applyFill="1"/>
    <xf numFmtId="0" fontId="49" fillId="0" borderId="0" xfId="209" applyFont="1" applyAlignment="1">
      <alignment horizontal="center"/>
    </xf>
    <xf numFmtId="3" fontId="39" fillId="0" borderId="23" xfId="0" applyNumberFormat="1" applyFont="1" applyBorder="1"/>
    <xf numFmtId="0" fontId="6" fillId="0" borderId="31" xfId="157" applyFont="1" applyBorder="1" applyAlignment="1">
      <alignment wrapText="1"/>
    </xf>
    <xf numFmtId="3" fontId="0" fillId="0" borderId="32" xfId="0" applyNumberFormat="1" applyFill="1" applyBorder="1"/>
    <xf numFmtId="0" fontId="8" fillId="0" borderId="31" xfId="194" applyFont="1" applyFill="1" applyBorder="1" applyAlignment="1">
      <alignment wrapText="1"/>
    </xf>
    <xf numFmtId="0" fontId="7" fillId="0" borderId="31" xfId="0" applyFont="1" applyFill="1" applyBorder="1" applyAlignment="1">
      <alignment wrapText="1"/>
    </xf>
    <xf numFmtId="3" fontId="8" fillId="0" borderId="69" xfId="0" applyNumberFormat="1" applyFont="1" applyBorder="1" applyAlignment="1">
      <alignment wrapText="1"/>
    </xf>
    <xf numFmtId="0" fontId="0" fillId="0" borderId="118" xfId="194" applyFont="1" applyFill="1" applyBorder="1" applyAlignment="1">
      <alignment wrapText="1"/>
    </xf>
    <xf numFmtId="3" fontId="6" fillId="0" borderId="20" xfId="0" applyNumberFormat="1" applyFont="1" applyFill="1" applyBorder="1"/>
    <xf numFmtId="3" fontId="55" fillId="0" borderId="88" xfId="200" applyNumberFormat="1" applyFont="1" applyBorder="1" applyAlignment="1">
      <alignment horizontal="center" vertical="center" wrapText="1"/>
    </xf>
    <xf numFmtId="3" fontId="55" fillId="0" borderId="41" xfId="200" applyNumberFormat="1" applyFont="1" applyBorder="1" applyAlignment="1">
      <alignment horizontal="center" vertical="center" wrapText="1"/>
    </xf>
    <xf numFmtId="3" fontId="1" fillId="0" borderId="0" xfId="198" applyNumberFormat="1" applyFont="1"/>
    <xf numFmtId="0" fontId="39" fillId="0" borderId="39" xfId="199" applyFont="1" applyBorder="1" applyAlignment="1">
      <alignment wrapText="1"/>
    </xf>
    <xf numFmtId="0" fontId="33" fillId="0" borderId="0" xfId="157" applyFont="1"/>
    <xf numFmtId="3" fontId="33" fillId="0" borderId="0" xfId="157" applyNumberFormat="1" applyFont="1"/>
    <xf numFmtId="3" fontId="33" fillId="0" borderId="0" xfId="157" applyNumberFormat="1" applyFont="1" applyAlignment="1">
      <alignment horizontal="right"/>
    </xf>
    <xf numFmtId="0" fontId="33" fillId="0" borderId="0" xfId="195" applyFont="1" applyFill="1"/>
    <xf numFmtId="0" fontId="33" fillId="0" borderId="0" xfId="195" applyFont="1"/>
    <xf numFmtId="0" fontId="33" fillId="0" borderId="0" xfId="195" applyFont="1" applyAlignment="1">
      <alignment horizontal="center"/>
    </xf>
    <xf numFmtId="0" fontId="32" fillId="0" borderId="88" xfId="195" applyFont="1" applyBorder="1" applyAlignment="1">
      <alignment horizontal="center"/>
    </xf>
    <xf numFmtId="0" fontId="32" fillId="0" borderId="88" xfId="195" applyFont="1" applyFill="1" applyBorder="1" applyAlignment="1">
      <alignment horizontal="center" wrapText="1"/>
    </xf>
    <xf numFmtId="3" fontId="32" fillId="0" borderId="92" xfId="195" applyNumberFormat="1" applyFont="1" applyFill="1" applyBorder="1" applyAlignment="1">
      <alignment horizontal="center" wrapText="1"/>
    </xf>
    <xf numFmtId="0" fontId="32" fillId="0" borderId="92" xfId="195" applyFont="1" applyFill="1" applyBorder="1" applyAlignment="1">
      <alignment horizontal="center" wrapText="1"/>
    </xf>
    <xf numFmtId="3" fontId="32" fillId="0" borderId="89" xfId="195" applyNumberFormat="1" applyFont="1" applyBorder="1" applyAlignment="1">
      <alignment horizontal="center" wrapText="1"/>
    </xf>
    <xf numFmtId="0" fontId="32" fillId="0" borderId="84" xfId="195" applyFont="1" applyBorder="1" applyAlignment="1">
      <alignment horizontal="right"/>
    </xf>
    <xf numFmtId="3" fontId="32" fillId="0" borderId="91" xfId="195" applyNumberFormat="1" applyFont="1" applyBorder="1" applyAlignment="1">
      <alignment wrapText="1"/>
    </xf>
    <xf numFmtId="3" fontId="32" fillId="0" borderId="93" xfId="195" applyNumberFormat="1" applyFont="1" applyBorder="1" applyAlignment="1">
      <alignment wrapText="1"/>
    </xf>
    <xf numFmtId="3" fontId="32" fillId="0" borderId="93" xfId="195" applyNumberFormat="1" applyFont="1" applyFill="1" applyBorder="1" applyAlignment="1">
      <alignment horizontal="right"/>
    </xf>
    <xf numFmtId="3" fontId="32" fillId="0" borderId="93" xfId="195" applyNumberFormat="1" applyFont="1" applyFill="1" applyBorder="1" applyAlignment="1"/>
    <xf numFmtId="3" fontId="32" fillId="0" borderId="93" xfId="195" applyNumberFormat="1" applyFont="1" applyBorder="1" applyAlignment="1"/>
    <xf numFmtId="3" fontId="32" fillId="0" borderId="93" xfId="195" applyNumberFormat="1" applyFont="1" applyBorder="1" applyAlignment="1">
      <alignment horizontal="center"/>
    </xf>
    <xf numFmtId="0" fontId="32" fillId="0" borderId="85" xfId="195" applyFont="1" applyBorder="1" applyAlignment="1">
      <alignment horizontal="right"/>
    </xf>
    <xf numFmtId="3" fontId="32" fillId="0" borderId="56" xfId="195" applyNumberFormat="1" applyFont="1" applyBorder="1" applyAlignment="1">
      <alignment wrapText="1"/>
    </xf>
    <xf numFmtId="3" fontId="32" fillId="0" borderId="94" xfId="195" applyNumberFormat="1" applyFont="1" applyBorder="1" applyAlignment="1">
      <alignment wrapText="1"/>
    </xf>
    <xf numFmtId="3" fontId="32" fillId="0" borderId="31" xfId="195" applyNumberFormat="1" applyFont="1" applyFill="1" applyBorder="1" applyAlignment="1">
      <alignment horizontal="right"/>
    </xf>
    <xf numFmtId="3" fontId="32" fillId="0" borderId="31" xfId="195" applyNumberFormat="1" applyFont="1" applyFill="1" applyBorder="1" applyAlignment="1"/>
    <xf numFmtId="3" fontId="32" fillId="0" borderId="31" xfId="195" applyNumberFormat="1" applyFont="1" applyFill="1" applyBorder="1" applyAlignment="1">
      <alignment horizontal="center"/>
    </xf>
    <xf numFmtId="0" fontId="33" fillId="0" borderId="56" xfId="195" applyFont="1" applyFill="1" applyBorder="1" applyAlignment="1">
      <alignment wrapText="1"/>
    </xf>
    <xf numFmtId="3" fontId="33" fillId="0" borderId="94" xfId="195" applyNumberFormat="1" applyFont="1" applyFill="1" applyBorder="1" applyAlignment="1">
      <alignment wrapText="1"/>
    </xf>
    <xf numFmtId="3" fontId="33" fillId="0" borderId="94" xfId="195" applyNumberFormat="1" applyFont="1" applyFill="1" applyBorder="1" applyAlignment="1">
      <alignment horizontal="right" wrapText="1"/>
    </xf>
    <xf numFmtId="3" fontId="33" fillId="0" borderId="31" xfId="195" applyNumberFormat="1" applyFont="1" applyFill="1" applyBorder="1" applyAlignment="1"/>
    <xf numFmtId="3" fontId="61" fillId="0" borderId="31" xfId="195" applyNumberFormat="1" applyFont="1" applyBorder="1" applyAlignment="1">
      <alignment horizontal="center"/>
    </xf>
    <xf numFmtId="3" fontId="33" fillId="0" borderId="31" xfId="195" applyNumberFormat="1" applyFont="1" applyBorder="1" applyAlignment="1"/>
    <xf numFmtId="3" fontId="33" fillId="0" borderId="31" xfId="195" applyNumberFormat="1" applyFont="1" applyBorder="1" applyAlignment="1">
      <alignment horizontal="center"/>
    </xf>
    <xf numFmtId="0" fontId="61" fillId="0" borderId="56" xfId="195" applyFont="1" applyFill="1" applyBorder="1" applyAlignment="1">
      <alignment wrapText="1"/>
    </xf>
    <xf numFmtId="3" fontId="61" fillId="0" borderId="94" xfId="195" applyNumberFormat="1" applyFont="1" applyFill="1" applyBorder="1" applyAlignment="1">
      <alignment wrapText="1"/>
    </xf>
    <xf numFmtId="3" fontId="61" fillId="0" borderId="94" xfId="195" applyNumberFormat="1" applyFont="1" applyFill="1" applyBorder="1" applyAlignment="1">
      <alignment horizontal="right" wrapText="1"/>
    </xf>
    <xf numFmtId="0" fontId="32" fillId="0" borderId="56" xfId="195" applyFont="1" applyBorder="1" applyAlignment="1">
      <alignment wrapText="1"/>
    </xf>
    <xf numFmtId="3" fontId="32" fillId="0" borderId="94" xfId="195" applyNumberFormat="1" applyFont="1" applyFill="1" applyBorder="1" applyAlignment="1">
      <alignment horizontal="right" wrapText="1"/>
    </xf>
    <xf numFmtId="3" fontId="32" fillId="0" borderId="31" xfId="195" applyNumberFormat="1" applyFont="1" applyFill="1" applyBorder="1"/>
    <xf numFmtId="3" fontId="61" fillId="0" borderId="31" xfId="195" applyNumberFormat="1" applyFont="1" applyFill="1" applyBorder="1" applyAlignment="1">
      <alignment horizontal="center"/>
    </xf>
    <xf numFmtId="3" fontId="33" fillId="0" borderId="31" xfId="195" applyNumberFormat="1" applyFont="1" applyFill="1" applyBorder="1" applyAlignment="1">
      <alignment horizontal="center"/>
    </xf>
    <xf numFmtId="0" fontId="34" fillId="0" borderId="85" xfId="195" applyFont="1" applyFill="1" applyBorder="1" applyAlignment="1">
      <alignment horizontal="right"/>
    </xf>
    <xf numFmtId="0" fontId="27" fillId="0" borderId="56" xfId="195" applyFont="1" applyFill="1" applyBorder="1" applyAlignment="1">
      <alignment wrapText="1"/>
    </xf>
    <xf numFmtId="3" fontId="27" fillId="0" borderId="94" xfId="195" applyNumberFormat="1" applyFont="1" applyFill="1" applyBorder="1" applyAlignment="1">
      <alignment wrapText="1"/>
    </xf>
    <xf numFmtId="3" fontId="27" fillId="0" borderId="94" xfId="195" applyNumberFormat="1" applyFont="1" applyFill="1" applyBorder="1" applyAlignment="1">
      <alignment horizontal="right" wrapText="1"/>
    </xf>
    <xf numFmtId="3" fontId="27" fillId="0" borderId="31" xfId="195" applyNumberFormat="1" applyFont="1" applyFill="1" applyBorder="1" applyAlignment="1"/>
    <xf numFmtId="3" fontId="27" fillId="0" borderId="31" xfId="195" applyNumberFormat="1" applyFont="1" applyFill="1" applyBorder="1" applyAlignment="1">
      <alignment horizontal="center"/>
    </xf>
    <xf numFmtId="0" fontId="27" fillId="0" borderId="0" xfId="157" applyFont="1" applyFill="1"/>
    <xf numFmtId="3" fontId="27" fillId="0" borderId="94" xfId="195" applyNumberFormat="1" applyFont="1" applyFill="1" applyBorder="1" applyAlignment="1"/>
    <xf numFmtId="3" fontId="27" fillId="0" borderId="94" xfId="195" applyNumberFormat="1" applyFont="1" applyFill="1" applyBorder="1" applyAlignment="1">
      <alignment horizontal="center"/>
    </xf>
    <xf numFmtId="0" fontId="32" fillId="0" borderId="85" xfId="195" applyFont="1" applyFill="1" applyBorder="1" applyAlignment="1">
      <alignment horizontal="right"/>
    </xf>
    <xf numFmtId="0" fontId="27" fillId="0" borderId="56" xfId="157" applyFont="1" applyFill="1" applyBorder="1" applyAlignment="1">
      <alignment wrapText="1"/>
    </xf>
    <xf numFmtId="3" fontId="27" fillId="0" borderId="94" xfId="157" applyNumberFormat="1" applyFont="1" applyFill="1" applyBorder="1" applyAlignment="1">
      <alignment wrapText="1"/>
    </xf>
    <xf numFmtId="3" fontId="27" fillId="0" borderId="94" xfId="157" applyNumberFormat="1" applyFont="1" applyFill="1" applyBorder="1" applyAlignment="1">
      <alignment horizontal="right" wrapText="1"/>
    </xf>
    <xf numFmtId="3" fontId="27" fillId="0" borderId="94" xfId="157" applyNumberFormat="1" applyFont="1" applyBorder="1" applyAlignment="1">
      <alignment wrapText="1"/>
    </xf>
    <xf numFmtId="3" fontId="27" fillId="0" borderId="56" xfId="195" applyNumberFormat="1" applyFont="1" applyFill="1" applyBorder="1" applyAlignment="1">
      <alignment horizontal="center"/>
    </xf>
    <xf numFmtId="0" fontId="33" fillId="0" borderId="0" xfId="157" applyFont="1" applyFill="1"/>
    <xf numFmtId="0" fontId="33" fillId="0" borderId="56" xfId="195" applyFont="1" applyBorder="1" applyAlignment="1">
      <alignment wrapText="1"/>
    </xf>
    <xf numFmtId="3" fontId="33" fillId="0" borderId="94" xfId="195" applyNumberFormat="1" applyFont="1" applyBorder="1" applyAlignment="1">
      <alignment wrapText="1"/>
    </xf>
    <xf numFmtId="3" fontId="33" fillId="0" borderId="31" xfId="195" applyNumberFormat="1" applyFont="1" applyFill="1" applyBorder="1" applyAlignment="1">
      <alignment horizontal="right"/>
    </xf>
    <xf numFmtId="0" fontId="27" fillId="0" borderId="56" xfId="195" applyFont="1" applyBorder="1" applyAlignment="1">
      <alignment wrapText="1"/>
    </xf>
    <xf numFmtId="3" fontId="27" fillId="0" borderId="94" xfId="195" applyNumberFormat="1" applyFont="1" applyBorder="1" applyAlignment="1">
      <alignment wrapText="1"/>
    </xf>
    <xf numFmtId="3" fontId="27" fillId="0" borderId="94" xfId="195" applyNumberFormat="1" applyFont="1" applyBorder="1" applyAlignment="1">
      <alignment horizontal="right" wrapText="1"/>
    </xf>
    <xf numFmtId="3" fontId="27" fillId="0" borderId="94" xfId="195" applyNumberFormat="1" applyFont="1" applyBorder="1" applyAlignment="1"/>
    <xf numFmtId="3" fontId="27" fillId="0" borderId="94" xfId="195" applyNumberFormat="1" applyFont="1" applyBorder="1" applyAlignment="1">
      <alignment horizontal="center"/>
    </xf>
    <xf numFmtId="3" fontId="33" fillId="0" borderId="94" xfId="195" applyNumberFormat="1" applyFont="1" applyBorder="1" applyAlignment="1">
      <alignment horizontal="right" wrapText="1"/>
    </xf>
    <xf numFmtId="3" fontId="32" fillId="0" borderId="94" xfId="195" applyNumberFormat="1" applyFont="1" applyBorder="1" applyAlignment="1">
      <alignment horizontal="right" wrapText="1"/>
    </xf>
    <xf numFmtId="0" fontId="27" fillId="0" borderId="56" xfId="157" applyFont="1" applyBorder="1" applyAlignment="1">
      <alignment wrapText="1"/>
    </xf>
    <xf numFmtId="3" fontId="27" fillId="0" borderId="94" xfId="157" applyNumberFormat="1" applyFont="1" applyBorder="1" applyAlignment="1">
      <alignment horizontal="right" wrapText="1"/>
    </xf>
    <xf numFmtId="3" fontId="32" fillId="0" borderId="31" xfId="195" applyNumberFormat="1" applyFont="1" applyFill="1" applyBorder="1" applyAlignment="1">
      <alignment horizontal="right" wrapText="1"/>
    </xf>
    <xf numFmtId="3" fontId="32" fillId="0" borderId="31" xfId="195" applyNumberFormat="1" applyFont="1" applyFill="1" applyBorder="1" applyAlignment="1">
      <alignment wrapText="1"/>
    </xf>
    <xf numFmtId="3" fontId="32" fillId="0" borderId="31" xfId="195" applyNumberFormat="1" applyFont="1" applyBorder="1" applyAlignment="1">
      <alignment wrapText="1"/>
    </xf>
    <xf numFmtId="3" fontId="32" fillId="0" borderId="31" xfId="195" applyNumberFormat="1" applyFont="1" applyBorder="1" applyAlignment="1">
      <alignment horizontal="center" wrapText="1"/>
    </xf>
    <xf numFmtId="0" fontId="61" fillId="0" borderId="56" xfId="157" applyFont="1" applyFill="1" applyBorder="1" applyAlignment="1">
      <alignment wrapText="1"/>
    </xf>
    <xf numFmtId="3" fontId="61" fillId="0" borderId="94" xfId="157" applyNumberFormat="1" applyFont="1" applyFill="1" applyBorder="1" applyAlignment="1">
      <alignment wrapText="1"/>
    </xf>
    <xf numFmtId="3" fontId="61" fillId="0" borderId="94" xfId="157" applyNumberFormat="1" applyFont="1" applyFill="1" applyBorder="1" applyAlignment="1">
      <alignment horizontal="right" wrapText="1"/>
    </xf>
    <xf numFmtId="0" fontId="33" fillId="0" borderId="56" xfId="157" applyFont="1" applyBorder="1" applyAlignment="1">
      <alignment wrapText="1"/>
    </xf>
    <xf numFmtId="3" fontId="33" fillId="0" borderId="94" xfId="157" applyNumberFormat="1" applyFont="1" applyBorder="1" applyAlignment="1">
      <alignment wrapText="1"/>
    </xf>
    <xf numFmtId="3" fontId="33" fillId="0" borderId="94" xfId="157" applyNumberFormat="1" applyFont="1" applyFill="1" applyBorder="1" applyAlignment="1">
      <alignment horizontal="right" wrapText="1"/>
    </xf>
    <xf numFmtId="3" fontId="32" fillId="0" borderId="31" xfId="195" applyNumberFormat="1" applyFont="1" applyBorder="1" applyAlignment="1">
      <alignment horizontal="center"/>
    </xf>
    <xf numFmtId="3" fontId="32" fillId="0" borderId="31" xfId="195" applyNumberFormat="1" applyFont="1" applyBorder="1" applyAlignment="1"/>
    <xf numFmtId="3" fontId="33" fillId="0" borderId="94" xfId="157" applyNumberFormat="1" applyFont="1" applyFill="1" applyBorder="1" applyAlignment="1">
      <alignment wrapText="1"/>
    </xf>
    <xf numFmtId="3" fontId="27" fillId="0" borderId="31" xfId="195" applyNumberFormat="1" applyFont="1" applyBorder="1" applyAlignment="1">
      <alignment horizontal="center"/>
    </xf>
    <xf numFmtId="3" fontId="27" fillId="0" borderId="31" xfId="195" applyNumberFormat="1" applyFont="1" applyBorder="1" applyAlignment="1"/>
    <xf numFmtId="3" fontId="33" fillId="0" borderId="94" xfId="157" applyNumberFormat="1" applyFont="1" applyBorder="1" applyAlignment="1">
      <alignment horizontal="right" wrapText="1"/>
    </xf>
    <xf numFmtId="3" fontId="32" fillId="0" borderId="31" xfId="195" applyNumberFormat="1" applyFont="1" applyFill="1" applyBorder="1" applyAlignment="1">
      <alignment horizontal="center" wrapText="1"/>
    </xf>
    <xf numFmtId="3" fontId="61" fillId="0" borderId="31" xfId="195" applyNumberFormat="1" applyFont="1" applyBorder="1" applyAlignment="1"/>
    <xf numFmtId="0" fontId="33" fillId="0" borderId="101" xfId="157" applyFont="1" applyFill="1" applyBorder="1"/>
    <xf numFmtId="0" fontId="32" fillId="0" borderId="56" xfId="195" applyFont="1" applyFill="1" applyBorder="1" applyAlignment="1">
      <alignment wrapText="1"/>
    </xf>
    <xf numFmtId="3" fontId="32" fillId="0" borderId="94" xfId="195" applyNumberFormat="1" applyFont="1" applyFill="1" applyBorder="1" applyAlignment="1">
      <alignment wrapText="1"/>
    </xf>
    <xf numFmtId="0" fontId="32" fillId="0" borderId="94" xfId="195" applyFont="1" applyFill="1" applyBorder="1" applyAlignment="1">
      <alignment wrapText="1"/>
    </xf>
    <xf numFmtId="0" fontId="27" fillId="0" borderId="56" xfId="157" applyFont="1" applyFill="1" applyBorder="1" applyAlignment="1">
      <alignment horizontal="left" wrapText="1"/>
    </xf>
    <xf numFmtId="3" fontId="33" fillId="0" borderId="56" xfId="195" applyNumberFormat="1" applyFont="1" applyBorder="1" applyAlignment="1">
      <alignment horizontal="center"/>
    </xf>
    <xf numFmtId="3" fontId="33" fillId="0" borderId="94" xfId="195" applyNumberFormat="1" applyFont="1" applyFill="1" applyBorder="1" applyAlignment="1"/>
    <xf numFmtId="3" fontId="61" fillId="0" borderId="94" xfId="195" applyNumberFormat="1" applyFont="1" applyFill="1" applyBorder="1" applyAlignment="1">
      <alignment horizontal="center"/>
    </xf>
    <xf numFmtId="3" fontId="33" fillId="0" borderId="56" xfId="195" applyNumberFormat="1" applyFont="1" applyFill="1" applyBorder="1" applyAlignment="1">
      <alignment horizontal="center"/>
    </xf>
    <xf numFmtId="3" fontId="33" fillId="0" borderId="94" xfId="195" applyNumberFormat="1" applyFont="1" applyFill="1" applyBorder="1" applyAlignment="1">
      <alignment horizontal="center"/>
    </xf>
    <xf numFmtId="3" fontId="27" fillId="0" borderId="56" xfId="195" applyNumberFormat="1" applyFont="1" applyBorder="1" applyAlignment="1">
      <alignment horizontal="center"/>
    </xf>
    <xf numFmtId="3" fontId="32" fillId="0" borderId="56" xfId="195" applyNumberFormat="1" applyFont="1" applyBorder="1" applyAlignment="1">
      <alignment horizontal="center"/>
    </xf>
    <xf numFmtId="3" fontId="32" fillId="0" borderId="56" xfId="195" applyNumberFormat="1" applyFont="1" applyFill="1" applyBorder="1" applyAlignment="1">
      <alignment horizontal="center"/>
    </xf>
    <xf numFmtId="0" fontId="32" fillId="0" borderId="56" xfId="195" applyFont="1" applyBorder="1" applyAlignment="1">
      <alignment horizontal="right"/>
    </xf>
    <xf numFmtId="0" fontId="32" fillId="0" borderId="33" xfId="195" applyFont="1" applyBorder="1" applyAlignment="1">
      <alignment wrapText="1"/>
    </xf>
    <xf numFmtId="3" fontId="32" fillId="0" borderId="67" xfId="195" applyNumberFormat="1" applyFont="1" applyFill="1" applyBorder="1" applyAlignment="1">
      <alignment horizontal="right"/>
    </xf>
    <xf numFmtId="3" fontId="32" fillId="0" borderId="67" xfId="195" applyNumberFormat="1" applyFont="1" applyFill="1" applyBorder="1"/>
    <xf numFmtId="3" fontId="32" fillId="0" borderId="67" xfId="195" applyNumberFormat="1" applyFont="1" applyFill="1" applyBorder="1" applyAlignment="1">
      <alignment horizontal="center"/>
    </xf>
    <xf numFmtId="3" fontId="32" fillId="0" borderId="33" xfId="195" applyNumberFormat="1" applyFont="1" applyFill="1" applyBorder="1" applyAlignment="1">
      <alignment horizontal="center"/>
    </xf>
    <xf numFmtId="0" fontId="33" fillId="0" borderId="59" xfId="195" applyFont="1" applyBorder="1" applyAlignment="1">
      <alignment wrapText="1"/>
    </xf>
    <xf numFmtId="3" fontId="33" fillId="0" borderId="95" xfId="195" applyNumberFormat="1" applyFont="1" applyBorder="1" applyAlignment="1">
      <alignment wrapText="1"/>
    </xf>
    <xf numFmtId="3" fontId="33" fillId="0" borderId="95" xfId="195" applyNumberFormat="1" applyFont="1" applyFill="1" applyBorder="1" applyAlignment="1">
      <alignment horizontal="right" wrapText="1"/>
    </xf>
    <xf numFmtId="3" fontId="33" fillId="0" borderId="95" xfId="195" applyNumberFormat="1" applyFont="1" applyFill="1" applyBorder="1" applyAlignment="1">
      <alignment wrapText="1"/>
    </xf>
    <xf numFmtId="3" fontId="33" fillId="0" borderId="69" xfId="195" applyNumberFormat="1" applyFont="1" applyFill="1" applyBorder="1" applyAlignment="1"/>
    <xf numFmtId="3" fontId="33" fillId="0" borderId="69" xfId="195" applyNumberFormat="1" applyFont="1" applyBorder="1" applyAlignment="1">
      <alignment horizontal="center"/>
    </xf>
    <xf numFmtId="3" fontId="61" fillId="0" borderId="69" xfId="195" applyNumberFormat="1" applyFont="1" applyBorder="1" applyAlignment="1">
      <alignment horizontal="center"/>
    </xf>
    <xf numFmtId="3" fontId="33" fillId="0" borderId="69" xfId="195" applyNumberFormat="1" applyFont="1" applyBorder="1" applyAlignment="1"/>
    <xf numFmtId="3" fontId="33" fillId="0" borderId="59" xfId="195" applyNumberFormat="1" applyFont="1" applyBorder="1" applyAlignment="1">
      <alignment horizontal="center"/>
    </xf>
    <xf numFmtId="0" fontId="33" fillId="0" borderId="75" xfId="195" applyFont="1" applyBorder="1" applyAlignment="1">
      <alignment wrapText="1"/>
    </xf>
    <xf numFmtId="3" fontId="33" fillId="0" borderId="56" xfId="195" applyNumberFormat="1" applyFont="1" applyFill="1" applyBorder="1" applyAlignment="1">
      <alignment horizontal="right"/>
    </xf>
    <xf numFmtId="3" fontId="33" fillId="0" borderId="94" xfId="195" applyNumberFormat="1" applyFont="1" applyFill="1" applyBorder="1"/>
    <xf numFmtId="3" fontId="33" fillId="0" borderId="31" xfId="195" applyNumberFormat="1" applyFont="1" applyFill="1" applyBorder="1"/>
    <xf numFmtId="0" fontId="32" fillId="0" borderId="75" xfId="195" applyFont="1" applyBorder="1" applyAlignment="1">
      <alignment horizontal="right"/>
    </xf>
    <xf numFmtId="3" fontId="27" fillId="0" borderId="56" xfId="157" applyNumberFormat="1" applyFont="1" applyBorder="1" applyAlignment="1">
      <alignment wrapText="1"/>
    </xf>
    <xf numFmtId="3" fontId="27" fillId="0" borderId="95" xfId="157" applyNumberFormat="1" applyFont="1" applyFill="1" applyBorder="1" applyAlignment="1">
      <alignment horizontal="right" wrapText="1"/>
    </xf>
    <xf numFmtId="3" fontId="27" fillId="0" borderId="95" xfId="157" applyNumberFormat="1" applyFont="1" applyFill="1" applyBorder="1" applyAlignment="1">
      <alignment wrapText="1"/>
    </xf>
    <xf numFmtId="3" fontId="27" fillId="0" borderId="95" xfId="195" applyNumberFormat="1" applyFont="1" applyFill="1" applyBorder="1" applyAlignment="1"/>
    <xf numFmtId="3" fontId="27" fillId="0" borderId="69" xfId="195" applyNumberFormat="1" applyFont="1" applyFill="1" applyBorder="1" applyAlignment="1">
      <alignment horizontal="center"/>
    </xf>
    <xf numFmtId="3" fontId="27" fillId="0" borderId="69" xfId="195" applyNumberFormat="1" applyFont="1" applyFill="1" applyBorder="1" applyAlignment="1"/>
    <xf numFmtId="3" fontId="27" fillId="0" borderId="95" xfId="195" applyNumberFormat="1" applyFont="1" applyFill="1" applyBorder="1" applyAlignment="1">
      <alignment horizontal="center"/>
    </xf>
    <xf numFmtId="3" fontId="27" fillId="0" borderId="59" xfId="195" applyNumberFormat="1" applyFont="1" applyFill="1" applyBorder="1" applyAlignment="1">
      <alignment horizontal="center"/>
    </xf>
    <xf numFmtId="3" fontId="27" fillId="0" borderId="95" xfId="157" applyNumberFormat="1" applyFont="1" applyBorder="1" applyAlignment="1">
      <alignment wrapText="1"/>
    </xf>
    <xf numFmtId="3" fontId="27" fillId="0" borderId="95" xfId="195" applyNumberFormat="1" applyFont="1" applyBorder="1" applyAlignment="1">
      <alignment horizontal="center"/>
    </xf>
    <xf numFmtId="3" fontId="27" fillId="0" borderId="59" xfId="195" applyNumberFormat="1" applyFont="1" applyBorder="1" applyAlignment="1">
      <alignment horizontal="center"/>
    </xf>
    <xf numFmtId="3" fontId="27" fillId="0" borderId="95" xfId="195" applyNumberFormat="1" applyFont="1" applyBorder="1" applyAlignment="1"/>
    <xf numFmtId="3" fontId="27" fillId="0" borderId="69" xfId="195" applyNumberFormat="1" applyFont="1" applyBorder="1" applyAlignment="1">
      <alignment horizontal="center"/>
    </xf>
    <xf numFmtId="3" fontId="27" fillId="0" borderId="69" xfId="195" applyNumberFormat="1" applyFont="1" applyBorder="1" applyAlignment="1"/>
    <xf numFmtId="0" fontId="32" fillId="0" borderId="90" xfId="195" applyFont="1" applyBorder="1" applyAlignment="1">
      <alignment horizontal="right"/>
    </xf>
    <xf numFmtId="3" fontId="32" fillId="0" borderId="33" xfId="195" applyNumberFormat="1" applyFont="1" applyFill="1" applyBorder="1" applyAlignment="1">
      <alignment horizontal="right"/>
    </xf>
    <xf numFmtId="3" fontId="32" fillId="0" borderId="33" xfId="195" applyNumberFormat="1" applyFont="1" applyFill="1" applyBorder="1"/>
    <xf numFmtId="3" fontId="33" fillId="0" borderId="0" xfId="195" applyNumberFormat="1" applyFont="1"/>
    <xf numFmtId="3" fontId="33" fillId="0" borderId="0" xfId="195" applyNumberFormat="1" applyFont="1" applyAlignment="1">
      <alignment horizontal="center"/>
    </xf>
    <xf numFmtId="0" fontId="61" fillId="0" borderId="0" xfId="207" applyFont="1" applyFill="1"/>
    <xf numFmtId="3" fontId="62" fillId="0" borderId="127" xfId="204" applyNumberFormat="1" applyFont="1" applyFill="1" applyBorder="1"/>
    <xf numFmtId="3" fontId="63" fillId="0" borderId="61" xfId="204" applyNumberFormat="1" applyFont="1" applyFill="1" applyBorder="1"/>
    <xf numFmtId="2" fontId="32" fillId="0" borderId="80" xfId="208" applyNumberFormat="1" applyFont="1" applyBorder="1" applyAlignment="1">
      <alignment horizontal="center" wrapText="1"/>
    </xf>
    <xf numFmtId="0" fontId="37" fillId="0" borderId="36" xfId="174" applyFont="1" applyFill="1" applyBorder="1" applyAlignment="1">
      <alignment wrapText="1"/>
    </xf>
    <xf numFmtId="0" fontId="36" fillId="0" borderId="11" xfId="174" applyFont="1" applyFill="1" applyBorder="1" applyAlignment="1">
      <alignment horizontal="left" wrapText="1"/>
    </xf>
    <xf numFmtId="3" fontId="7" fillId="0" borderId="62" xfId="0" applyNumberFormat="1" applyFont="1" applyFill="1" applyBorder="1"/>
    <xf numFmtId="3" fontId="0" fillId="0" borderId="63" xfId="0" applyNumberFormat="1" applyFill="1" applyBorder="1"/>
    <xf numFmtId="3" fontId="0" fillId="0" borderId="59" xfId="0" applyNumberFormat="1" applyFill="1" applyBorder="1"/>
    <xf numFmtId="3" fontId="6" fillId="0" borderId="31" xfId="0" applyNumberFormat="1" applyFont="1" applyFill="1" applyBorder="1"/>
    <xf numFmtId="0" fontId="7" fillId="0" borderId="31" xfId="194" applyFont="1" applyFill="1" applyBorder="1" applyAlignment="1">
      <alignment wrapText="1"/>
    </xf>
    <xf numFmtId="4" fontId="33" fillId="0" borderId="22" xfId="158" applyNumberFormat="1" applyFont="1" applyBorder="1" applyAlignment="1">
      <alignment horizontal="center"/>
    </xf>
    <xf numFmtId="4" fontId="33" fillId="0" borderId="21" xfId="158" applyNumberFormat="1" applyFont="1" applyBorder="1" applyAlignment="1">
      <alignment horizontal="center"/>
    </xf>
    <xf numFmtId="4" fontId="33" fillId="0" borderId="22" xfId="158" applyNumberFormat="1" applyFont="1" applyFill="1" applyBorder="1" applyAlignment="1">
      <alignment horizontal="center"/>
    </xf>
    <xf numFmtId="4" fontId="33" fillId="0" borderId="21" xfId="158" applyNumberFormat="1" applyFont="1" applyFill="1" applyBorder="1" applyAlignment="1">
      <alignment horizontal="center"/>
    </xf>
    <xf numFmtId="3" fontId="7" fillId="0" borderId="21" xfId="199" applyNumberFormat="1" applyFont="1" applyBorder="1" applyAlignment="1">
      <alignment wrapText="1"/>
    </xf>
    <xf numFmtId="3" fontId="51" fillId="0" borderId="21" xfId="199" applyNumberFormat="1" applyFont="1" applyBorder="1" applyAlignment="1">
      <alignment wrapText="1"/>
    </xf>
    <xf numFmtId="3" fontId="45" fillId="0" borderId="38" xfId="200" applyNumberFormat="1" applyFont="1" applyBorder="1" applyAlignment="1">
      <alignment horizontal="right"/>
    </xf>
    <xf numFmtId="3" fontId="45" fillId="0" borderId="15" xfId="200" applyNumberFormat="1" applyFont="1" applyBorder="1" applyAlignment="1">
      <alignment horizontal="right"/>
    </xf>
    <xf numFmtId="3" fontId="6" fillId="0" borderId="98" xfId="199" applyNumberFormat="1" applyFont="1" applyBorder="1" applyAlignment="1">
      <alignment wrapText="1"/>
    </xf>
    <xf numFmtId="0" fontId="7" fillId="0" borderId="21" xfId="199" applyFont="1" applyBorder="1" applyAlignment="1">
      <alignment wrapText="1"/>
    </xf>
    <xf numFmtId="0" fontId="6" fillId="0" borderId="21" xfId="199" applyFont="1" applyBorder="1" applyAlignment="1">
      <alignment wrapText="1"/>
    </xf>
    <xf numFmtId="0" fontId="8" fillId="0" borderId="15" xfId="200" applyFont="1" applyBorder="1"/>
    <xf numFmtId="0" fontId="6" fillId="0" borderId="98" xfId="199" applyFont="1" applyBorder="1" applyAlignment="1">
      <alignment wrapText="1"/>
    </xf>
    <xf numFmtId="3" fontId="6" fillId="0" borderId="111" xfId="200" applyNumberFormat="1" applyFont="1" applyBorder="1"/>
    <xf numFmtId="3" fontId="6" fillId="0" borderId="28" xfId="200" applyNumberFormat="1" applyFont="1" applyBorder="1"/>
    <xf numFmtId="3" fontId="6" fillId="0" borderId="128" xfId="200" applyNumberFormat="1" applyFont="1" applyBorder="1"/>
    <xf numFmtId="3" fontId="6" fillId="0" borderId="15" xfId="200" applyNumberFormat="1" applyFont="1" applyBorder="1"/>
    <xf numFmtId="3" fontId="6" fillId="0" borderId="99" xfId="200" applyNumberFormat="1" applyFont="1" applyBorder="1"/>
    <xf numFmtId="3" fontId="6" fillId="25" borderId="34" xfId="200" applyNumberFormat="1" applyFont="1" applyFill="1" applyBorder="1"/>
    <xf numFmtId="0" fontId="6" fillId="0" borderId="15" xfId="200" applyFont="1" applyBorder="1"/>
    <xf numFmtId="0" fontId="50" fillId="0" borderId="98" xfId="199" applyFont="1" applyBorder="1" applyAlignment="1">
      <alignment wrapText="1"/>
    </xf>
    <xf numFmtId="3" fontId="7" fillId="0" borderId="35" xfId="174" applyNumberFormat="1" applyFont="1" applyBorder="1" applyAlignment="1">
      <alignment horizontal="center"/>
    </xf>
    <xf numFmtId="3" fontId="7" fillId="0" borderId="80" xfId="174" applyNumberFormat="1" applyFont="1" applyBorder="1" applyAlignment="1">
      <alignment horizontal="center"/>
    </xf>
    <xf numFmtId="3" fontId="7" fillId="0" borderId="14" xfId="174" applyNumberFormat="1" applyFont="1" applyBorder="1" applyAlignment="1">
      <alignment horizontal="center"/>
    </xf>
    <xf numFmtId="3" fontId="7" fillId="0" borderId="35" xfId="174" applyNumberFormat="1" applyFont="1" applyBorder="1" applyAlignment="1">
      <alignment horizontal="center" wrapText="1"/>
    </xf>
    <xf numFmtId="3" fontId="7" fillId="0" borderId="80" xfId="174" applyNumberFormat="1" applyFont="1" applyBorder="1" applyAlignment="1">
      <alignment horizontal="center" wrapText="1"/>
    </xf>
    <xf numFmtId="3" fontId="7" fillId="0" borderId="14" xfId="174" applyNumberFormat="1" applyFont="1" applyBorder="1" applyAlignment="1">
      <alignment horizontal="center" wrapText="1"/>
    </xf>
    <xf numFmtId="3" fontId="7" fillId="0" borderId="10" xfId="174" applyNumberFormat="1" applyFont="1" applyBorder="1" applyAlignment="1">
      <alignment horizontal="center" wrapText="1"/>
    </xf>
    <xf numFmtId="3" fontId="7" fillId="0" borderId="35" xfId="174" applyNumberFormat="1" applyFont="1" applyFill="1" applyBorder="1" applyAlignment="1">
      <alignment horizontal="center" wrapText="1"/>
    </xf>
    <xf numFmtId="3" fontId="7" fillId="0" borderId="80" xfId="174" applyNumberFormat="1" applyFont="1" applyFill="1" applyBorder="1" applyAlignment="1">
      <alignment horizontal="center" wrapText="1"/>
    </xf>
    <xf numFmtId="3" fontId="7" fillId="0" borderId="14" xfId="174" applyNumberFormat="1" applyFont="1" applyFill="1" applyBorder="1" applyAlignment="1">
      <alignment horizontal="center" wrapText="1"/>
    </xf>
    <xf numFmtId="3" fontId="7" fillId="0" borderId="10" xfId="174" applyNumberFormat="1" applyFont="1" applyBorder="1" applyAlignment="1">
      <alignment horizontal="center"/>
    </xf>
    <xf numFmtId="0" fontId="32" fillId="0" borderId="0" xfId="172" applyFont="1" applyAlignment="1">
      <alignment horizontal="center"/>
    </xf>
    <xf numFmtId="0" fontId="7" fillId="0" borderId="0" xfId="171" applyFont="1" applyAlignment="1">
      <alignment horizontal="center"/>
    </xf>
    <xf numFmtId="3" fontId="36" fillId="0" borderId="35" xfId="171" applyNumberFormat="1" applyFont="1" applyBorder="1" applyAlignment="1">
      <alignment horizontal="center" wrapText="1"/>
    </xf>
    <xf numFmtId="3" fontId="36" fillId="0" borderId="80" xfId="171" applyNumberFormat="1" applyFont="1" applyBorder="1" applyAlignment="1">
      <alignment horizontal="center" wrapText="1"/>
    </xf>
    <xf numFmtId="3" fontId="36" fillId="0" borderId="14" xfId="171" applyNumberFormat="1" applyFont="1" applyBorder="1" applyAlignment="1">
      <alignment horizontal="center" wrapText="1"/>
    </xf>
    <xf numFmtId="3" fontId="36" fillId="0" borderId="10" xfId="171" applyNumberFormat="1" applyFont="1" applyBorder="1" applyAlignment="1">
      <alignment horizontal="center"/>
    </xf>
    <xf numFmtId="3" fontId="36" fillId="0" borderId="10" xfId="171" applyNumberFormat="1" applyFont="1" applyBorder="1" applyAlignment="1">
      <alignment horizontal="center" wrapText="1"/>
    </xf>
    <xf numFmtId="0" fontId="36" fillId="0" borderId="87" xfId="174" applyFont="1" applyBorder="1" applyAlignment="1">
      <alignment horizontal="center" wrapText="1"/>
    </xf>
    <xf numFmtId="0" fontId="36" fillId="0" borderId="40" xfId="174" applyFont="1" applyBorder="1" applyAlignment="1">
      <alignment horizontal="center" wrapText="1"/>
    </xf>
    <xf numFmtId="0" fontId="36" fillId="0" borderId="87" xfId="171" applyFont="1" applyBorder="1" applyAlignment="1">
      <alignment horizontal="center" wrapText="1"/>
    </xf>
    <xf numFmtId="0" fontId="36" fillId="0" borderId="40" xfId="171" applyFont="1" applyBorder="1" applyAlignment="1">
      <alignment horizontal="center" wrapText="1"/>
    </xf>
    <xf numFmtId="3" fontId="36" fillId="0" borderId="35" xfId="171" applyNumberFormat="1" applyFont="1" applyBorder="1" applyAlignment="1">
      <alignment horizontal="center"/>
    </xf>
    <xf numFmtId="3" fontId="36" fillId="0" borderId="80" xfId="171" applyNumberFormat="1" applyFont="1" applyBorder="1" applyAlignment="1">
      <alignment horizontal="center"/>
    </xf>
    <xf numFmtId="3" fontId="36" fillId="0" borderId="14" xfId="171" applyNumberFormat="1" applyFont="1" applyBorder="1" applyAlignment="1">
      <alignment horizontal="center"/>
    </xf>
    <xf numFmtId="3" fontId="5" fillId="0" borderId="88" xfId="198" applyNumberFormat="1" applyBorder="1" applyAlignment="1">
      <alignment horizontal="right"/>
    </xf>
    <xf numFmtId="3" fontId="5" fillId="0" borderId="101" xfId="198" applyNumberFormat="1" applyBorder="1" applyAlignment="1">
      <alignment horizontal="right"/>
    </xf>
    <xf numFmtId="3" fontId="5" fillId="0" borderId="96" xfId="198" applyNumberFormat="1" applyBorder="1" applyAlignment="1">
      <alignment horizontal="right"/>
    </xf>
    <xf numFmtId="3" fontId="55" fillId="0" borderId="88" xfId="200" applyNumberFormat="1" applyFont="1" applyBorder="1" applyAlignment="1">
      <alignment horizontal="center" vertical="center" wrapText="1"/>
    </xf>
    <xf numFmtId="3" fontId="55" fillId="0" borderId="96" xfId="200" applyNumberFormat="1" applyFont="1" applyBorder="1" applyAlignment="1">
      <alignment horizontal="center" vertical="center" wrapText="1"/>
    </xf>
    <xf numFmtId="3" fontId="57" fillId="0" borderId="60" xfId="200" applyNumberFormat="1" applyFont="1" applyBorder="1" applyAlignment="1">
      <alignment horizontal="center"/>
    </xf>
    <xf numFmtId="3" fontId="57" fillId="0" borderId="61" xfId="200" applyNumberFormat="1" applyFont="1" applyBorder="1" applyAlignment="1">
      <alignment horizontal="center"/>
    </xf>
    <xf numFmtId="3" fontId="55" fillId="0" borderId="100" xfId="200" applyNumberFormat="1" applyFont="1" applyBorder="1" applyAlignment="1">
      <alignment horizontal="center" vertical="center" wrapText="1"/>
    </xf>
    <xf numFmtId="3" fontId="55" fillId="0" borderId="41" xfId="200" applyNumberFormat="1" applyFont="1" applyBorder="1" applyAlignment="1">
      <alignment horizontal="center" vertical="center" wrapText="1"/>
    </xf>
    <xf numFmtId="3" fontId="53" fillId="0" borderId="35" xfId="200" applyNumberFormat="1" applyFont="1" applyBorder="1" applyAlignment="1">
      <alignment horizontal="center"/>
    </xf>
    <xf numFmtId="3" fontId="53" fillId="0" borderId="14" xfId="200" applyNumberFormat="1" applyFont="1" applyBorder="1" applyAlignment="1">
      <alignment horizontal="center"/>
    </xf>
    <xf numFmtId="0" fontId="7" fillId="0" borderId="0" xfId="196" applyFont="1" applyAlignment="1">
      <alignment horizontal="center"/>
    </xf>
    <xf numFmtId="2" fontId="32" fillId="0" borderId="35" xfId="208" applyNumberFormat="1" applyFont="1" applyBorder="1" applyAlignment="1">
      <alignment horizontal="center" wrapText="1"/>
    </xf>
    <xf numFmtId="2" fontId="32" fillId="0" borderId="80" xfId="208" applyNumberFormat="1" applyFont="1" applyBorder="1" applyAlignment="1">
      <alignment horizontal="center" wrapText="1"/>
    </xf>
    <xf numFmtId="0" fontId="49" fillId="0" borderId="0" xfId="209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66" fillId="0" borderId="0" xfId="157" applyFont="1" applyAlignment="1">
      <alignment horizontal="center" wrapText="1"/>
    </xf>
    <xf numFmtId="0" fontId="32" fillId="0" borderId="0" xfId="196" applyFont="1" applyFill="1" applyAlignment="1">
      <alignment horizontal="center" wrapText="1"/>
    </xf>
    <xf numFmtId="0" fontId="49" fillId="0" borderId="0" xfId="207" applyFont="1" applyAlignment="1">
      <alignment horizontal="center" wrapText="1"/>
    </xf>
    <xf numFmtId="0" fontId="32" fillId="0" borderId="84" xfId="195" applyFont="1" applyFill="1" applyBorder="1" applyAlignment="1">
      <alignment horizontal="center" wrapText="1"/>
    </xf>
    <xf numFmtId="0" fontId="32" fillId="0" borderId="108" xfId="195" applyFont="1" applyFill="1" applyBorder="1" applyAlignment="1">
      <alignment horizontal="center" wrapText="1"/>
    </xf>
    <xf numFmtId="0" fontId="32" fillId="0" borderId="93" xfId="195" applyFont="1" applyFill="1" applyBorder="1" applyAlignment="1">
      <alignment horizontal="center" wrapText="1"/>
    </xf>
    <xf numFmtId="0" fontId="32" fillId="0" borderId="85" xfId="196" applyFont="1" applyFill="1" applyBorder="1" applyAlignment="1">
      <alignment horizontal="center" wrapText="1"/>
    </xf>
    <xf numFmtId="0" fontId="32" fillId="0" borderId="20" xfId="196" applyFont="1" applyFill="1" applyBorder="1" applyAlignment="1">
      <alignment horizontal="center" wrapText="1"/>
    </xf>
    <xf numFmtId="0" fontId="32" fillId="0" borderId="94" xfId="196" applyFont="1" applyFill="1" applyBorder="1" applyAlignment="1">
      <alignment horizontal="center" wrapText="1"/>
    </xf>
    <xf numFmtId="0" fontId="32" fillId="0" borderId="33" xfId="196" applyFont="1" applyFill="1" applyBorder="1" applyAlignment="1">
      <alignment horizontal="center" wrapText="1"/>
    </xf>
    <xf numFmtId="3" fontId="7" fillId="24" borderId="10" xfId="173" applyNumberFormat="1" applyFont="1" applyFill="1" applyBorder="1" applyAlignment="1">
      <alignment horizontal="center" wrapText="1"/>
    </xf>
    <xf numFmtId="3" fontId="38" fillId="24" borderId="10" xfId="173" applyNumberFormat="1" applyFont="1" applyFill="1" applyBorder="1" applyAlignment="1">
      <alignment horizontal="center" wrapText="1"/>
    </xf>
    <xf numFmtId="3" fontId="7" fillId="0" borderId="0" xfId="173" applyNumberFormat="1" applyFont="1" applyFill="1" applyAlignment="1">
      <alignment horizontal="center" wrapText="1"/>
    </xf>
    <xf numFmtId="0" fontId="38" fillId="0" borderId="87" xfId="173" applyFont="1" applyFill="1" applyBorder="1" applyAlignment="1">
      <alignment horizontal="center" wrapText="1"/>
    </xf>
    <xf numFmtId="0" fontId="38" fillId="0" borderId="83" xfId="173" applyFont="1" applyFill="1" applyBorder="1" applyAlignment="1">
      <alignment horizontal="center" wrapText="1"/>
    </xf>
    <xf numFmtId="0" fontId="38" fillId="0" borderId="40" xfId="173" applyFont="1" applyFill="1" applyBorder="1" applyAlignment="1">
      <alignment horizontal="center" wrapText="1"/>
    </xf>
    <xf numFmtId="0" fontId="39" fillId="0" borderId="87" xfId="173" applyFont="1" applyFill="1" applyBorder="1" applyAlignment="1">
      <alignment horizontal="center" wrapText="1"/>
    </xf>
    <xf numFmtId="0" fontId="39" fillId="0" borderId="83" xfId="173" applyFont="1" applyFill="1" applyBorder="1" applyAlignment="1">
      <alignment horizontal="center" wrapText="1"/>
    </xf>
    <xf numFmtId="0" fontId="39" fillId="0" borderId="40" xfId="173" applyFont="1" applyFill="1" applyBorder="1" applyAlignment="1">
      <alignment horizontal="center" wrapText="1"/>
    </xf>
    <xf numFmtId="3" fontId="32" fillId="0" borderId="0" xfId="206" applyNumberFormat="1" applyFont="1" applyFill="1" applyAlignment="1">
      <alignment horizontal="center"/>
    </xf>
    <xf numFmtId="0" fontId="63" fillId="0" borderId="60" xfId="204" applyFont="1" applyBorder="1" applyAlignment="1">
      <alignment horizontal="center"/>
    </xf>
    <xf numFmtId="0" fontId="63" fillId="0" borderId="68" xfId="204" applyFont="1" applyBorder="1" applyAlignment="1">
      <alignment horizontal="center"/>
    </xf>
    <xf numFmtId="0" fontId="63" fillId="0" borderId="61" xfId="204" applyFont="1" applyBorder="1" applyAlignment="1">
      <alignment horizontal="center"/>
    </xf>
    <xf numFmtId="0" fontId="63" fillId="0" borderId="0" xfId="204" applyFont="1" applyAlignment="1">
      <alignment horizontal="center"/>
    </xf>
    <xf numFmtId="0" fontId="63" fillId="0" borderId="88" xfId="204" applyFont="1" applyBorder="1" applyAlignment="1">
      <alignment horizontal="center" vertical="center"/>
    </xf>
    <xf numFmtId="0" fontId="62" fillId="0" borderId="96" xfId="204" applyFont="1" applyBorder="1" applyAlignment="1">
      <alignment vertical="center"/>
    </xf>
    <xf numFmtId="0" fontId="63" fillId="0" borderId="88" xfId="204" applyFont="1" applyBorder="1" applyAlignment="1">
      <alignment horizontal="center" vertical="center" wrapText="1"/>
    </xf>
    <xf numFmtId="0" fontId="62" fillId="0" borderId="96" xfId="204" applyFont="1" applyBorder="1" applyAlignment="1">
      <alignment vertical="center" wrapText="1"/>
    </xf>
    <xf numFmtId="0" fontId="63" fillId="0" borderId="88" xfId="204" applyFont="1" applyFill="1" applyBorder="1" applyAlignment="1">
      <alignment horizontal="center" vertical="center" wrapText="1"/>
    </xf>
    <xf numFmtId="0" fontId="63" fillId="0" borderId="96" xfId="204" applyFont="1" applyFill="1" applyBorder="1" applyAlignment="1">
      <alignment horizontal="center" vertical="center" wrapText="1"/>
    </xf>
  </cellXfs>
  <cellStyles count="252">
    <cellStyle name="20% - 1. jelölőszín" xfId="1" builtinId="30" customBuiltin="1"/>
    <cellStyle name="20% - 1. jelölőszín 2" xfId="2"/>
    <cellStyle name="20% - 1. jelölőszín 3" xfId="3"/>
    <cellStyle name="20% - 1. jelölőszín 4" xfId="211"/>
    <cellStyle name="20% - 2. jelölőszín" xfId="4" builtinId="34" customBuiltin="1"/>
    <cellStyle name="20% - 2. jelölőszín 2" xfId="5"/>
    <cellStyle name="20% - 2. jelölőszín 3" xfId="6"/>
    <cellStyle name="20% - 2. jelölőszín 4" xfId="212"/>
    <cellStyle name="20% - 3. jelölőszín" xfId="7" builtinId="38" customBuiltin="1"/>
    <cellStyle name="20% - 3. jelölőszín 2" xfId="8"/>
    <cellStyle name="20% - 3. jelölőszín 3" xfId="9"/>
    <cellStyle name="20% - 3. jelölőszín 4" xfId="213"/>
    <cellStyle name="20% - 4. jelölőszín" xfId="10" builtinId="42" customBuiltin="1"/>
    <cellStyle name="20% - 4. jelölőszín 2" xfId="11"/>
    <cellStyle name="20% - 4. jelölőszín 3" xfId="12"/>
    <cellStyle name="20% - 4. jelölőszín 4" xfId="214"/>
    <cellStyle name="20% - 5. jelölőszín" xfId="13" builtinId="46" customBuiltin="1"/>
    <cellStyle name="20% - 5. jelölőszín 2" xfId="14"/>
    <cellStyle name="20% - 5. jelölőszín 3" xfId="15"/>
    <cellStyle name="20% - 5. jelölőszín 4" xfId="215"/>
    <cellStyle name="20% - 6. jelölőszín" xfId="16" builtinId="50" customBuiltin="1"/>
    <cellStyle name="20% - 6. jelölőszín 2" xfId="17"/>
    <cellStyle name="20% - 6. jelölőszín 3" xfId="18"/>
    <cellStyle name="20% - 6. jelölőszín 4" xfId="216"/>
    <cellStyle name="20% - Accent1" xfId="19"/>
    <cellStyle name="20% - Accent2" xfId="20"/>
    <cellStyle name="20% - Accent3" xfId="21"/>
    <cellStyle name="20% - Accent4" xfId="22"/>
    <cellStyle name="20% - Accent5" xfId="23"/>
    <cellStyle name="20% - Accent6" xfId="24"/>
    <cellStyle name="40% - 1. jelölőszín" xfId="25" builtinId="31" customBuiltin="1"/>
    <cellStyle name="40% - 1. jelölőszín 2" xfId="26"/>
    <cellStyle name="40% - 1. jelölőszín 3" xfId="27"/>
    <cellStyle name="40% - 1. jelölőszín 4" xfId="217"/>
    <cellStyle name="40% - 2. jelölőszín" xfId="28" builtinId="35" customBuiltin="1"/>
    <cellStyle name="40% - 2. jelölőszín 2" xfId="29"/>
    <cellStyle name="40% - 2. jelölőszín 3" xfId="30"/>
    <cellStyle name="40% - 2. jelölőszín 4" xfId="218"/>
    <cellStyle name="40% - 3. jelölőszín" xfId="31" builtinId="39" customBuiltin="1"/>
    <cellStyle name="40% - 3. jelölőszín 2" xfId="32"/>
    <cellStyle name="40% - 3. jelölőszín 3" xfId="33"/>
    <cellStyle name="40% - 3. jelölőszín 4" xfId="219"/>
    <cellStyle name="40% - 4. jelölőszín" xfId="34" builtinId="43" customBuiltin="1"/>
    <cellStyle name="40% - 4. jelölőszín 2" xfId="35"/>
    <cellStyle name="40% - 4. jelölőszín 3" xfId="36"/>
    <cellStyle name="40% - 4. jelölőszín 4" xfId="220"/>
    <cellStyle name="40% - 5. jelölőszín" xfId="37" builtinId="47" customBuiltin="1"/>
    <cellStyle name="40% - 5. jelölőszín 2" xfId="38"/>
    <cellStyle name="40% - 5. jelölőszín 3" xfId="39"/>
    <cellStyle name="40% - 5. jelölőszín 4" xfId="221"/>
    <cellStyle name="40% - 6. jelölőszín" xfId="40" builtinId="51" customBuiltin="1"/>
    <cellStyle name="40% - 6. jelölőszín 2" xfId="41"/>
    <cellStyle name="40% - 6. jelölőszín 3" xfId="42"/>
    <cellStyle name="40% - 6. jelölőszín 4" xfId="222"/>
    <cellStyle name="40% - Accent1" xfId="43"/>
    <cellStyle name="40% - Accent2" xfId="44"/>
    <cellStyle name="40% - Accent3" xfId="45"/>
    <cellStyle name="40% - Accent4" xfId="46"/>
    <cellStyle name="40% - Accent5" xfId="47"/>
    <cellStyle name="40% - Accent6" xfId="48"/>
    <cellStyle name="60% - 1. jelölőszín" xfId="49" builtinId="32" customBuiltin="1"/>
    <cellStyle name="60% - 1. jelölőszín 2" xfId="50"/>
    <cellStyle name="60% - 1. jelölőszín 3" xfId="51"/>
    <cellStyle name="60% - 1. jelölőszín 4" xfId="223"/>
    <cellStyle name="60% - 2. jelölőszín" xfId="52" builtinId="36" customBuiltin="1"/>
    <cellStyle name="60% - 2. jelölőszín 2" xfId="53"/>
    <cellStyle name="60% - 2. jelölőszín 3" xfId="54"/>
    <cellStyle name="60% - 2. jelölőszín 4" xfId="224"/>
    <cellStyle name="60% - 3. jelölőszín" xfId="55" builtinId="40" customBuiltin="1"/>
    <cellStyle name="60% - 3. jelölőszín 2" xfId="56"/>
    <cellStyle name="60% - 3. jelölőszín 3" xfId="57"/>
    <cellStyle name="60% - 3. jelölőszín 4" xfId="225"/>
    <cellStyle name="60% - 4. jelölőszín" xfId="58" builtinId="44" customBuiltin="1"/>
    <cellStyle name="60% - 4. jelölőszín 2" xfId="59"/>
    <cellStyle name="60% - 4. jelölőszín 3" xfId="60"/>
    <cellStyle name="60% - 4. jelölőszín 4" xfId="226"/>
    <cellStyle name="60% - 5. jelölőszín" xfId="61" builtinId="48" customBuiltin="1"/>
    <cellStyle name="60% - 5. jelölőszín 2" xfId="62"/>
    <cellStyle name="60% - 5. jelölőszín 3" xfId="63"/>
    <cellStyle name="60% - 5. jelölőszín 4" xfId="227"/>
    <cellStyle name="60% - 6. jelölőszín" xfId="64" builtinId="52" customBuiltin="1"/>
    <cellStyle name="60% - 6. jelölőszín 2" xfId="65"/>
    <cellStyle name="60% - 6. jelölőszín 3" xfId="66"/>
    <cellStyle name="60% - 6. jelölőszín 4" xfId="228"/>
    <cellStyle name="60% - Accent1" xfId="67"/>
    <cellStyle name="60% - Accent2" xfId="68"/>
    <cellStyle name="60% - Accent3" xfId="69"/>
    <cellStyle name="60% - Accent4" xfId="70"/>
    <cellStyle name="60% - Accent5" xfId="71"/>
    <cellStyle name="60% - Accent6" xfId="72"/>
    <cellStyle name="Accent1" xfId="73"/>
    <cellStyle name="Accent2" xfId="74"/>
    <cellStyle name="Accent3" xfId="75"/>
    <cellStyle name="Accent4" xfId="76"/>
    <cellStyle name="Accent5" xfId="77"/>
    <cellStyle name="Accent6" xfId="78"/>
    <cellStyle name="Bad" xfId="79"/>
    <cellStyle name="Bevitel" xfId="80" builtinId="20" customBuiltin="1"/>
    <cellStyle name="Bevitel 2" xfId="81"/>
    <cellStyle name="Bevitel 3" xfId="82"/>
    <cellStyle name="Bevitel 4" xfId="229"/>
    <cellStyle name="Calculation" xfId="83"/>
    <cellStyle name="Check Cell" xfId="84"/>
    <cellStyle name="Cím" xfId="85" builtinId="15" customBuiltin="1"/>
    <cellStyle name="Cím 2" xfId="86"/>
    <cellStyle name="Cím 3" xfId="87"/>
    <cellStyle name="Cím 4" xfId="230"/>
    <cellStyle name="Címsor 1" xfId="88" builtinId="16" customBuiltin="1"/>
    <cellStyle name="Címsor 1 2" xfId="89"/>
    <cellStyle name="Címsor 1 3" xfId="90"/>
    <cellStyle name="Címsor 1 4" xfId="231"/>
    <cellStyle name="Címsor 2" xfId="91" builtinId="17" customBuiltin="1"/>
    <cellStyle name="Címsor 2 2" xfId="92"/>
    <cellStyle name="Címsor 2 3" xfId="93"/>
    <cellStyle name="Címsor 2 4" xfId="232"/>
    <cellStyle name="Címsor 3" xfId="94" builtinId="18" customBuiltin="1"/>
    <cellStyle name="Címsor 3 2" xfId="95"/>
    <cellStyle name="Címsor 3 3" xfId="96"/>
    <cellStyle name="Címsor 3 4" xfId="233"/>
    <cellStyle name="Címsor 4" xfId="97" builtinId="19" customBuiltin="1"/>
    <cellStyle name="Címsor 4 2" xfId="98"/>
    <cellStyle name="Címsor 4 3" xfId="99"/>
    <cellStyle name="Címsor 4 4" xfId="234"/>
    <cellStyle name="Ellenőrzőcella" xfId="100" builtinId="23" customBuiltin="1"/>
    <cellStyle name="Ellenőrzőcella 2" xfId="101"/>
    <cellStyle name="Ellenőrzőcella 3" xfId="102"/>
    <cellStyle name="Ellenőrzőcella 4" xfId="235"/>
    <cellStyle name="Explanatory Text" xfId="103"/>
    <cellStyle name="Ezres 2" xfId="104"/>
    <cellStyle name="Ezres 2 2" xfId="197"/>
    <cellStyle name="Ezres 3" xfId="105"/>
    <cellStyle name="Ezres 3 2" xfId="201"/>
    <cellStyle name="Figyelmeztetés" xfId="106" builtinId="11" customBuiltin="1"/>
    <cellStyle name="Figyelmeztetés 2" xfId="107"/>
    <cellStyle name="Figyelmeztetés 3" xfId="108"/>
    <cellStyle name="Figyelmeztetés 4" xfId="236"/>
    <cellStyle name="Good" xfId="109"/>
    <cellStyle name="Heading 1" xfId="110"/>
    <cellStyle name="Heading 2" xfId="111"/>
    <cellStyle name="Heading 3" xfId="112"/>
    <cellStyle name="Heading 4" xfId="113"/>
    <cellStyle name="Hivatkozott cella" xfId="114" builtinId="24" customBuiltin="1"/>
    <cellStyle name="Hivatkozott cella 2" xfId="115"/>
    <cellStyle name="Hivatkozott cella 3" xfId="116"/>
    <cellStyle name="Hivatkozott cella 4" xfId="237"/>
    <cellStyle name="Input" xfId="117"/>
    <cellStyle name="Jegyzet" xfId="118" builtinId="10" customBuiltin="1"/>
    <cellStyle name="Jegyzet 2" xfId="119"/>
    <cellStyle name="Jegyzet 3" xfId="120"/>
    <cellStyle name="Jegyzet 4" xfId="121"/>
    <cellStyle name="Jegyzet 5" xfId="238"/>
    <cellStyle name="Jelölőszín (1)" xfId="122" builtinId="29" customBuiltin="1"/>
    <cellStyle name="Jelölőszín (1) 2" xfId="123"/>
    <cellStyle name="Jelölőszín (1) 3" xfId="124"/>
    <cellStyle name="Jelölőszín (1) 4" xfId="239"/>
    <cellStyle name="Jelölőszín (2)" xfId="125" builtinId="33" customBuiltin="1"/>
    <cellStyle name="Jelölőszín (2) 2" xfId="126"/>
    <cellStyle name="Jelölőszín (2) 3" xfId="127"/>
    <cellStyle name="Jelölőszín (2) 4" xfId="240"/>
    <cellStyle name="Jelölőszín (3)" xfId="128" builtinId="37" customBuiltin="1"/>
    <cellStyle name="Jelölőszín (3) 2" xfId="129"/>
    <cellStyle name="Jelölőszín (3) 3" xfId="130"/>
    <cellStyle name="Jelölőszín (3) 4" xfId="241"/>
    <cellStyle name="Jelölőszín (4)" xfId="131" builtinId="41" customBuiltin="1"/>
    <cellStyle name="Jelölőszín (4) 2" xfId="132"/>
    <cellStyle name="Jelölőszín (4) 3" xfId="133"/>
    <cellStyle name="Jelölőszín (4) 4" xfId="242"/>
    <cellStyle name="Jelölőszín (5)" xfId="134" builtinId="45" customBuiltin="1"/>
    <cellStyle name="Jelölőszín (5) 2" xfId="135"/>
    <cellStyle name="Jelölőszín (5) 3" xfId="136"/>
    <cellStyle name="Jelölőszín (5) 4" xfId="243"/>
    <cellStyle name="Jelölőszín (6)" xfId="137" builtinId="49" customBuiltin="1"/>
    <cellStyle name="Jelölőszín (6) 2" xfId="138"/>
    <cellStyle name="Jelölőszín (6) 3" xfId="139"/>
    <cellStyle name="Jelölőszín (6) 4" xfId="244"/>
    <cellStyle name="Jó" xfId="140" builtinId="26" customBuiltin="1"/>
    <cellStyle name="Jó 2" xfId="141"/>
    <cellStyle name="Jó 3" xfId="142"/>
    <cellStyle name="Jó 4" xfId="245"/>
    <cellStyle name="Kimenet" xfId="143" builtinId="21" customBuiltin="1"/>
    <cellStyle name="Kimenet 2" xfId="144"/>
    <cellStyle name="Kimenet 3" xfId="145"/>
    <cellStyle name="Kimenet 4" xfId="246"/>
    <cellStyle name="Linked Cell" xfId="146"/>
    <cellStyle name="Magyarázó szöveg" xfId="147" builtinId="53" customBuiltin="1"/>
    <cellStyle name="Magyarázó szöveg 2" xfId="148"/>
    <cellStyle name="Magyarázó szöveg 3" xfId="149"/>
    <cellStyle name="Magyarázó szöveg 4" xfId="247"/>
    <cellStyle name="Neutral" xfId="150"/>
    <cellStyle name="Normál" xfId="0" builtinId="0"/>
    <cellStyle name="Normál 10" xfId="151"/>
    <cellStyle name="Normál 11" xfId="198"/>
    <cellStyle name="Normál 11 2" xfId="202"/>
    <cellStyle name="Normál 12" xfId="207"/>
    <cellStyle name="Normál 13" xfId="209"/>
    <cellStyle name="Normál 2" xfId="152"/>
    <cellStyle name="Normál 2 2" xfId="153"/>
    <cellStyle name="Normál 2 3" xfId="154"/>
    <cellStyle name="Normál 2 4" xfId="155"/>
    <cellStyle name="Normál 2 5" xfId="196"/>
    <cellStyle name="Normál 2_11.sz.melléklet_többéves" xfId="156"/>
    <cellStyle name="Normál 3" xfId="157"/>
    <cellStyle name="Normál 3 2" xfId="158"/>
    <cellStyle name="Normál 3 2 2" xfId="159"/>
    <cellStyle name="Normál 3 2 2 2" xfId="205"/>
    <cellStyle name="Normál 3 2 3" xfId="210"/>
    <cellStyle name="Normál 4" xfId="160"/>
    <cellStyle name="Normál 5" xfId="161"/>
    <cellStyle name="Normál 5 2" xfId="162"/>
    <cellStyle name="Normál 5 2 2" xfId="163"/>
    <cellStyle name="Normál 5 3" xfId="164"/>
    <cellStyle name="Normál 5 4" xfId="203"/>
    <cellStyle name="Normál 5_11.sz.melléklet_többéves" xfId="165"/>
    <cellStyle name="Normál 6" xfId="166"/>
    <cellStyle name="Normál 6 2" xfId="167"/>
    <cellStyle name="Normál 7" xfId="168"/>
    <cellStyle name="Normál 8" xfId="169"/>
    <cellStyle name="Normál 9" xfId="170"/>
    <cellStyle name="Normál_2001bev jó" xfId="208"/>
    <cellStyle name="Normál_2003év kiadás" xfId="171"/>
    <cellStyle name="Normál_2003költségvet" xfId="172"/>
    <cellStyle name="Normál_2006 költségv 2" xfId="204"/>
    <cellStyle name="Normál_2009éviköltségvetés-Móricz Károly 2" xfId="173"/>
    <cellStyle name="Normál_37-2010. évi III.rendmód 2 2" xfId="195"/>
    <cellStyle name="Normál_37-2010. évi III.rendmód_4. sz. melléklet 2" xfId="194"/>
    <cellStyle name="Normál_bevétel_bevétel_1" xfId="174"/>
    <cellStyle name="Normál_bevétel_bevétel_1 2" xfId="175"/>
    <cellStyle name="Normál_bevétel_bevétel_1 2 2" xfId="176"/>
    <cellStyle name="Normál_finansz.2004" xfId="206"/>
    <cellStyle name="Normál_kiadás_1_2005aprilisrendmod" xfId="199"/>
    <cellStyle name="Normál_Munka2 (2)_1_2005aprilisrendmod" xfId="200"/>
    <cellStyle name="Note" xfId="177"/>
    <cellStyle name="Output" xfId="178"/>
    <cellStyle name="Összesen" xfId="179" builtinId="25" customBuiltin="1"/>
    <cellStyle name="Összesen 2" xfId="180"/>
    <cellStyle name="Összesen 3" xfId="181"/>
    <cellStyle name="Összesen 4" xfId="248"/>
    <cellStyle name="Rossz" xfId="182" builtinId="27" customBuiltin="1"/>
    <cellStyle name="Rossz 2" xfId="183"/>
    <cellStyle name="Rossz 3" xfId="184"/>
    <cellStyle name="Rossz 4" xfId="249"/>
    <cellStyle name="Semleges" xfId="185" builtinId="28" customBuiltin="1"/>
    <cellStyle name="Semleges 2" xfId="186"/>
    <cellStyle name="Semleges 3" xfId="187"/>
    <cellStyle name="Semleges 4" xfId="250"/>
    <cellStyle name="Számítás" xfId="188" builtinId="22" customBuiltin="1"/>
    <cellStyle name="Számítás 2" xfId="189"/>
    <cellStyle name="Számítás 3" xfId="190"/>
    <cellStyle name="Számítás 4" xfId="251"/>
    <cellStyle name="Title" xfId="191"/>
    <cellStyle name="Total" xfId="192"/>
    <cellStyle name="Warning Text" xfId="19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/KISARINE/USER/KAISER/5MELLEK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\KISARINE\USER\KAISER\5MELLEK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K&#246;lts&#233;gvet&#233;s/2012/Rendeletm&#243;dos&#237;t&#225;s/Decemberi%20rendeletm&#243;dos&#237;t&#225;s/Test&#252;leti/USER/KISARINE/USER/KAISER/5MELLEK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  <sheetName val="Munka1 (2)"/>
      <sheetName val="Munka3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  <sheetName val="Munka1 (2)"/>
      <sheetName val="Munka3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  <sheetName val="Munka1 (2)"/>
      <sheetName val="Munka3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L4948"/>
  <sheetViews>
    <sheetView zoomScaleNormal="100" workbookViewId="0">
      <pane xSplit="2" ySplit="8" topLeftCell="AF9" activePane="bottomRight" state="frozen"/>
      <selection activeCell="F25" sqref="F25"/>
      <selection pane="topRight" activeCell="F25" sqref="F25"/>
      <selection pane="bottomLeft" activeCell="F25" sqref="F25"/>
      <selection pane="bottomRight" activeCell="AJ66" sqref="AJ66"/>
    </sheetView>
  </sheetViews>
  <sheetFormatPr defaultColWidth="9.25" defaultRowHeight="15.75" x14ac:dyDescent="0.25"/>
  <cols>
    <col min="1" max="1" width="37.5" style="68" customWidth="1"/>
    <col min="2" max="2" width="10.375" style="68" customWidth="1"/>
    <col min="3" max="3" width="12.625" style="3" customWidth="1"/>
    <col min="4" max="4" width="13.5" style="3" customWidth="1"/>
    <col min="5" max="5" width="14.5" style="3" customWidth="1"/>
    <col min="6" max="8" width="13.875" style="3" customWidth="1"/>
    <col min="9" max="9" width="15.25" style="3" customWidth="1"/>
    <col min="10" max="12" width="13.875" style="3" customWidth="1"/>
    <col min="13" max="13" width="15" style="3" customWidth="1"/>
    <col min="14" max="14" width="13.875" style="3" customWidth="1"/>
    <col min="15" max="15" width="12.875" style="3" customWidth="1"/>
    <col min="16" max="16" width="13.25" style="3" customWidth="1"/>
    <col min="17" max="17" width="16" style="3" customWidth="1"/>
    <col min="18" max="18" width="14.75" style="3" customWidth="1"/>
    <col min="19" max="20" width="12.625" style="3" customWidth="1"/>
    <col min="21" max="21" width="15.875" style="3" customWidth="1"/>
    <col min="22" max="22" width="14" style="3" customWidth="1"/>
    <col min="23" max="24" width="12.625" style="3" customWidth="1"/>
    <col min="25" max="25" width="15.625" style="3" customWidth="1"/>
    <col min="26" max="26" width="14.25" style="3" customWidth="1"/>
    <col min="27" max="27" width="13.125" style="3" customWidth="1"/>
    <col min="28" max="28" width="13.75" style="3" customWidth="1"/>
    <col min="29" max="29" width="15.25" style="3" customWidth="1"/>
    <col min="30" max="30" width="13.875" style="3" customWidth="1"/>
    <col min="31" max="31" width="13.125" style="3" customWidth="1"/>
    <col min="32" max="32" width="13.75" style="3" customWidth="1"/>
    <col min="33" max="33" width="15.25" style="3" customWidth="1"/>
    <col min="34" max="34" width="13.875" style="3" customWidth="1"/>
    <col min="35" max="35" width="13.125" style="3" customWidth="1"/>
    <col min="36" max="36" width="13.75" style="3" customWidth="1"/>
    <col min="37" max="37" width="15.25" style="3" customWidth="1"/>
    <col min="38" max="38" width="14.25" style="3" customWidth="1"/>
    <col min="39" max="16384" width="9.25" style="3"/>
  </cols>
  <sheetData>
    <row r="1" spans="1:38" x14ac:dyDescent="0.25">
      <c r="C1" s="958" t="s">
        <v>409</v>
      </c>
      <c r="D1" s="958"/>
      <c r="E1" s="958"/>
      <c r="F1" s="958"/>
      <c r="G1" s="958"/>
      <c r="H1" s="958"/>
      <c r="I1" s="958"/>
      <c r="J1" s="958"/>
      <c r="K1" s="958"/>
      <c r="L1" s="958"/>
      <c r="M1" s="958"/>
      <c r="N1" s="958"/>
      <c r="O1" s="958" t="s">
        <v>409</v>
      </c>
      <c r="P1" s="958"/>
      <c r="Q1" s="958"/>
      <c r="R1" s="958"/>
      <c r="S1" s="958"/>
      <c r="T1" s="958"/>
      <c r="U1" s="958"/>
      <c r="V1" s="958"/>
      <c r="W1" s="958"/>
      <c r="X1" s="958"/>
      <c r="Y1" s="958"/>
      <c r="Z1" s="958"/>
      <c r="AA1" s="958" t="s">
        <v>409</v>
      </c>
      <c r="AB1" s="958"/>
      <c r="AC1" s="958"/>
      <c r="AD1" s="958"/>
      <c r="AE1" s="958"/>
      <c r="AF1" s="958"/>
      <c r="AG1" s="958"/>
      <c r="AH1" s="958"/>
      <c r="AI1" s="958"/>
      <c r="AJ1" s="958"/>
      <c r="AK1" s="958"/>
      <c r="AL1" s="958"/>
    </row>
    <row r="2" spans="1:38" x14ac:dyDescent="0.25">
      <c r="C2" s="958" t="s">
        <v>663</v>
      </c>
      <c r="D2" s="958"/>
      <c r="E2" s="958"/>
      <c r="F2" s="958"/>
      <c r="G2" s="958"/>
      <c r="H2" s="958"/>
      <c r="I2" s="958"/>
      <c r="J2" s="958"/>
      <c r="K2" s="958"/>
      <c r="L2" s="958"/>
      <c r="M2" s="958"/>
      <c r="N2" s="958"/>
      <c r="O2" s="958" t="s">
        <v>663</v>
      </c>
      <c r="P2" s="958"/>
      <c r="Q2" s="958"/>
      <c r="R2" s="958"/>
      <c r="S2" s="958"/>
      <c r="T2" s="958"/>
      <c r="U2" s="958"/>
      <c r="V2" s="958"/>
      <c r="W2" s="958"/>
      <c r="X2" s="958"/>
      <c r="Y2" s="958"/>
      <c r="Z2" s="958"/>
      <c r="AA2" s="958" t="s">
        <v>663</v>
      </c>
      <c r="AB2" s="958"/>
      <c r="AC2" s="958"/>
      <c r="AD2" s="958"/>
      <c r="AE2" s="958"/>
      <c r="AF2" s="958"/>
      <c r="AG2" s="958"/>
      <c r="AH2" s="958"/>
      <c r="AI2" s="958"/>
      <c r="AJ2" s="958"/>
      <c r="AK2" s="958"/>
      <c r="AL2" s="958"/>
    </row>
    <row r="3" spans="1:38" x14ac:dyDescent="0.25">
      <c r="C3" s="958" t="s">
        <v>979</v>
      </c>
      <c r="D3" s="958"/>
      <c r="E3" s="958"/>
      <c r="F3" s="958"/>
      <c r="G3" s="958"/>
      <c r="H3" s="958"/>
      <c r="I3" s="958"/>
      <c r="J3" s="958"/>
      <c r="K3" s="958"/>
      <c r="L3" s="958"/>
      <c r="M3" s="958"/>
      <c r="N3" s="958"/>
      <c r="O3" s="958" t="s">
        <v>979</v>
      </c>
      <c r="P3" s="958"/>
      <c r="Q3" s="958"/>
      <c r="R3" s="958"/>
      <c r="S3" s="958"/>
      <c r="T3" s="958"/>
      <c r="U3" s="958"/>
      <c r="V3" s="958"/>
      <c r="W3" s="958"/>
      <c r="X3" s="958"/>
      <c r="Y3" s="958"/>
      <c r="Z3" s="958"/>
      <c r="AA3" s="958" t="s">
        <v>979</v>
      </c>
      <c r="AB3" s="958"/>
      <c r="AC3" s="958"/>
      <c r="AD3" s="958"/>
      <c r="AE3" s="958"/>
      <c r="AF3" s="958"/>
      <c r="AG3" s="958"/>
      <c r="AH3" s="958"/>
      <c r="AI3" s="958"/>
      <c r="AJ3" s="958"/>
      <c r="AK3" s="958"/>
      <c r="AL3" s="958"/>
    </row>
    <row r="4" spans="1:38" ht="16.5" thickBot="1" x14ac:dyDescent="0.3"/>
    <row r="5" spans="1:38" ht="87" customHeight="1" thickTop="1" thickBot="1" x14ac:dyDescent="0.3">
      <c r="A5" s="1"/>
      <c r="B5" s="191"/>
      <c r="C5" s="950" t="s">
        <v>22</v>
      </c>
      <c r="D5" s="951"/>
      <c r="E5" s="951"/>
      <c r="F5" s="951"/>
      <c r="G5" s="951"/>
      <c r="H5" s="951"/>
      <c r="I5" s="951"/>
      <c r="J5" s="951"/>
      <c r="K5" s="951"/>
      <c r="L5" s="951"/>
      <c r="M5" s="951"/>
      <c r="N5" s="952"/>
      <c r="O5" s="954" t="s">
        <v>23</v>
      </c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47" t="s">
        <v>153</v>
      </c>
      <c r="AB5" s="948"/>
      <c r="AC5" s="948"/>
      <c r="AD5" s="948"/>
      <c r="AE5" s="948"/>
      <c r="AF5" s="948"/>
      <c r="AG5" s="948"/>
      <c r="AH5" s="948"/>
      <c r="AI5" s="948"/>
      <c r="AJ5" s="948"/>
      <c r="AK5" s="948"/>
      <c r="AL5" s="949"/>
    </row>
    <row r="6" spans="1:38" ht="33" customHeight="1" thickTop="1" thickBot="1" x14ac:dyDescent="0.3">
      <c r="A6" s="1" t="s">
        <v>146</v>
      </c>
      <c r="B6" s="191" t="s">
        <v>163</v>
      </c>
      <c r="C6" s="950" t="s">
        <v>389</v>
      </c>
      <c r="D6" s="951"/>
      <c r="E6" s="951"/>
      <c r="F6" s="952"/>
      <c r="G6" s="950" t="s">
        <v>390</v>
      </c>
      <c r="H6" s="951"/>
      <c r="I6" s="951"/>
      <c r="J6" s="952"/>
      <c r="K6" s="950" t="s">
        <v>975</v>
      </c>
      <c r="L6" s="951"/>
      <c r="M6" s="951"/>
      <c r="N6" s="952"/>
      <c r="O6" s="950" t="s">
        <v>389</v>
      </c>
      <c r="P6" s="951"/>
      <c r="Q6" s="951"/>
      <c r="R6" s="952"/>
      <c r="S6" s="953" t="s">
        <v>390</v>
      </c>
      <c r="T6" s="953"/>
      <c r="U6" s="953"/>
      <c r="V6" s="953"/>
      <c r="W6" s="953" t="s">
        <v>975</v>
      </c>
      <c r="X6" s="953"/>
      <c r="Y6" s="953"/>
      <c r="Z6" s="953"/>
      <c r="AA6" s="950" t="s">
        <v>389</v>
      </c>
      <c r="AB6" s="951"/>
      <c r="AC6" s="951"/>
      <c r="AD6" s="952"/>
      <c r="AE6" s="950" t="s">
        <v>390</v>
      </c>
      <c r="AF6" s="951"/>
      <c r="AG6" s="951"/>
      <c r="AH6" s="952"/>
      <c r="AI6" s="950" t="s">
        <v>975</v>
      </c>
      <c r="AJ6" s="951"/>
      <c r="AK6" s="951"/>
      <c r="AL6" s="952"/>
    </row>
    <row r="7" spans="1:38" ht="33" thickTop="1" thickBot="1" x14ac:dyDescent="0.3">
      <c r="A7" s="1"/>
      <c r="B7" s="191"/>
      <c r="C7" s="395" t="s">
        <v>140</v>
      </c>
      <c r="D7" s="401" t="s">
        <v>141</v>
      </c>
      <c r="E7" s="401" t="s">
        <v>368</v>
      </c>
      <c r="F7" s="401" t="s">
        <v>153</v>
      </c>
      <c r="G7" s="395" t="s">
        <v>140</v>
      </c>
      <c r="H7" s="395" t="s">
        <v>141</v>
      </c>
      <c r="I7" s="395" t="s">
        <v>368</v>
      </c>
      <c r="J7" s="395" t="s">
        <v>153</v>
      </c>
      <c r="K7" s="395" t="s">
        <v>140</v>
      </c>
      <c r="L7" s="395" t="s">
        <v>141</v>
      </c>
      <c r="M7" s="395" t="s">
        <v>368</v>
      </c>
      <c r="N7" s="401" t="s">
        <v>153</v>
      </c>
      <c r="O7" s="395" t="s">
        <v>140</v>
      </c>
      <c r="P7" s="401" t="s">
        <v>141</v>
      </c>
      <c r="Q7" s="401" t="s">
        <v>368</v>
      </c>
      <c r="R7" s="401" t="s">
        <v>153</v>
      </c>
      <c r="S7" s="395" t="s">
        <v>140</v>
      </c>
      <c r="T7" s="395" t="s">
        <v>141</v>
      </c>
      <c r="U7" s="395" t="s">
        <v>368</v>
      </c>
      <c r="V7" s="395" t="s">
        <v>153</v>
      </c>
      <c r="W7" s="395" t="s">
        <v>140</v>
      </c>
      <c r="X7" s="395" t="s">
        <v>141</v>
      </c>
      <c r="Y7" s="395" t="s">
        <v>368</v>
      </c>
      <c r="Z7" s="401" t="s">
        <v>153</v>
      </c>
      <c r="AA7" s="2" t="s">
        <v>140</v>
      </c>
      <c r="AB7" s="4" t="s">
        <v>141</v>
      </c>
      <c r="AC7" s="4" t="s">
        <v>368</v>
      </c>
      <c r="AD7" s="4" t="s">
        <v>153</v>
      </c>
      <c r="AE7" s="395" t="s">
        <v>140</v>
      </c>
      <c r="AF7" s="401" t="s">
        <v>141</v>
      </c>
      <c r="AG7" s="401" t="s">
        <v>368</v>
      </c>
      <c r="AH7" s="401" t="s">
        <v>153</v>
      </c>
      <c r="AI7" s="395" t="s">
        <v>140</v>
      </c>
      <c r="AJ7" s="401" t="s">
        <v>141</v>
      </c>
      <c r="AK7" s="401" t="s">
        <v>368</v>
      </c>
      <c r="AL7" s="401" t="s">
        <v>153</v>
      </c>
    </row>
    <row r="8" spans="1:38" ht="17.25" thickTop="1" thickBot="1" x14ac:dyDescent="0.3">
      <c r="A8" s="1" t="s">
        <v>147</v>
      </c>
      <c r="B8" s="191"/>
      <c r="C8" s="950" t="s">
        <v>400</v>
      </c>
      <c r="D8" s="951"/>
      <c r="E8" s="951"/>
      <c r="F8" s="952"/>
      <c r="G8" s="953" t="s">
        <v>401</v>
      </c>
      <c r="H8" s="953"/>
      <c r="I8" s="953"/>
      <c r="J8" s="953"/>
      <c r="K8" s="953" t="s">
        <v>402</v>
      </c>
      <c r="L8" s="953"/>
      <c r="M8" s="953"/>
      <c r="N8" s="953"/>
      <c r="O8" s="947" t="s">
        <v>403</v>
      </c>
      <c r="P8" s="948"/>
      <c r="Q8" s="948"/>
      <c r="R8" s="949"/>
      <c r="S8" s="957" t="s">
        <v>404</v>
      </c>
      <c r="T8" s="957"/>
      <c r="U8" s="957"/>
      <c r="V8" s="957"/>
      <c r="W8" s="957" t="s">
        <v>405</v>
      </c>
      <c r="X8" s="957"/>
      <c r="Y8" s="957"/>
      <c r="Z8" s="957"/>
      <c r="AA8" s="947" t="s">
        <v>406</v>
      </c>
      <c r="AB8" s="948"/>
      <c r="AC8" s="948"/>
      <c r="AD8" s="949"/>
      <c r="AE8" s="947" t="s">
        <v>407</v>
      </c>
      <c r="AF8" s="948"/>
      <c r="AG8" s="948"/>
      <c r="AH8" s="949"/>
      <c r="AI8" s="947" t="s">
        <v>408</v>
      </c>
      <c r="AJ8" s="948"/>
      <c r="AK8" s="948"/>
      <c r="AL8" s="949"/>
    </row>
    <row r="9" spans="1:38" s="27" customFormat="1" ht="32.25" thickTop="1" x14ac:dyDescent="0.25">
      <c r="A9" s="26" t="s">
        <v>198</v>
      </c>
      <c r="B9" s="209" t="s">
        <v>202</v>
      </c>
      <c r="C9" s="210">
        <v>3967</v>
      </c>
      <c r="D9" s="12"/>
      <c r="E9" s="13"/>
      <c r="F9" s="14">
        <f t="shared" ref="F9:F16" si="0">SUM(C9:E9)</f>
        <v>3967</v>
      </c>
      <c r="G9" s="14"/>
      <c r="H9" s="14"/>
      <c r="I9" s="14"/>
      <c r="J9" s="14">
        <f>SUM(G9:I9)</f>
        <v>0</v>
      </c>
      <c r="K9" s="14">
        <f>SUM(G9+C9)</f>
        <v>3967</v>
      </c>
      <c r="L9" s="14">
        <f t="shared" ref="L9:M9" si="1">SUM(H9+D9)</f>
        <v>0</v>
      </c>
      <c r="M9" s="14">
        <f t="shared" si="1"/>
        <v>0</v>
      </c>
      <c r="N9" s="14">
        <f>SUM(K9:M9)</f>
        <v>3967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7">
        <f t="shared" ref="AA9:AC11" si="2">SUM(O9+C9)</f>
        <v>3967</v>
      </c>
      <c r="AB9" s="7">
        <f t="shared" si="2"/>
        <v>0</v>
      </c>
      <c r="AC9" s="7">
        <f t="shared" si="2"/>
        <v>0</v>
      </c>
      <c r="AD9" s="7">
        <f>SUM(AA9:AC9)</f>
        <v>3967</v>
      </c>
      <c r="AE9" s="7">
        <f>SUM(S9+G9)</f>
        <v>0</v>
      </c>
      <c r="AF9" s="7">
        <f t="shared" ref="AE9:AG11" si="3">SUM(T9+H9)</f>
        <v>0</v>
      </c>
      <c r="AG9" s="7">
        <f t="shared" si="3"/>
        <v>0</v>
      </c>
      <c r="AH9" s="7">
        <f t="shared" ref="AH9:AH11" si="4">SUM(AE9:AG9)</f>
        <v>0</v>
      </c>
      <c r="AI9" s="7">
        <f>SUM(W9+K9)</f>
        <v>3967</v>
      </c>
      <c r="AJ9" s="7">
        <f t="shared" ref="AI9:AK11" si="5">SUM(X9+L9)</f>
        <v>0</v>
      </c>
      <c r="AK9" s="7">
        <f t="shared" si="5"/>
        <v>0</v>
      </c>
      <c r="AL9" s="7">
        <f t="shared" ref="AL9:AL11" si="6">SUM(AI9:AK9)</f>
        <v>3967</v>
      </c>
    </row>
    <row r="10" spans="1:38" s="27" customFormat="1" ht="31.5" x14ac:dyDescent="0.25">
      <c r="A10" s="26" t="s">
        <v>333</v>
      </c>
      <c r="B10" s="26" t="s">
        <v>203</v>
      </c>
      <c r="C10" s="13">
        <v>1867433</v>
      </c>
      <c r="D10" s="12"/>
      <c r="E10" s="13"/>
      <c r="F10" s="14">
        <f t="shared" si="0"/>
        <v>1867433</v>
      </c>
      <c r="G10" s="14"/>
      <c r="H10" s="14"/>
      <c r="I10" s="14"/>
      <c r="J10" s="14">
        <f>SUM(G10:I10)</f>
        <v>0</v>
      </c>
      <c r="K10" s="14">
        <f t="shared" ref="K10:K11" si="7">SUM(G10+C10)</f>
        <v>1867433</v>
      </c>
      <c r="L10" s="14">
        <f t="shared" ref="L10:L11" si="8">SUM(H10+D10)</f>
        <v>0</v>
      </c>
      <c r="M10" s="14">
        <f t="shared" ref="M10:M11" si="9">SUM(I10+E10)</f>
        <v>0</v>
      </c>
      <c r="N10" s="14">
        <f t="shared" ref="N10:N11" si="10">SUM(K10:M10)</f>
        <v>1867433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7">
        <f t="shared" si="2"/>
        <v>1867433</v>
      </c>
      <c r="AB10" s="7">
        <f t="shared" si="2"/>
        <v>0</v>
      </c>
      <c r="AC10" s="7">
        <f t="shared" si="2"/>
        <v>0</v>
      </c>
      <c r="AD10" s="7">
        <f>SUM(AA10:AC10)</f>
        <v>1867433</v>
      </c>
      <c r="AE10" s="7">
        <f t="shared" si="3"/>
        <v>0</v>
      </c>
      <c r="AF10" s="7">
        <f t="shared" si="3"/>
        <v>0</v>
      </c>
      <c r="AG10" s="7">
        <f t="shared" si="3"/>
        <v>0</v>
      </c>
      <c r="AH10" s="7">
        <f t="shared" si="4"/>
        <v>0</v>
      </c>
      <c r="AI10" s="7">
        <f t="shared" si="5"/>
        <v>1867433</v>
      </c>
      <c r="AJ10" s="7">
        <f t="shared" si="5"/>
        <v>0</v>
      </c>
      <c r="AK10" s="7">
        <f t="shared" si="5"/>
        <v>0</v>
      </c>
      <c r="AL10" s="7">
        <f t="shared" si="6"/>
        <v>1867433</v>
      </c>
    </row>
    <row r="11" spans="1:38" s="27" customFormat="1" ht="47.25" x14ac:dyDescent="0.25">
      <c r="A11" s="306" t="s">
        <v>328</v>
      </c>
      <c r="B11" s="26" t="s">
        <v>204</v>
      </c>
      <c r="C11" s="13">
        <v>1552555</v>
      </c>
      <c r="D11" s="12"/>
      <c r="E11" s="13"/>
      <c r="F11" s="14">
        <f t="shared" si="0"/>
        <v>1552555</v>
      </c>
      <c r="G11" s="14">
        <v>120069</v>
      </c>
      <c r="H11" s="14"/>
      <c r="I11" s="14"/>
      <c r="J11" s="14">
        <f t="shared" ref="J11:J16" si="11">SUM(G11:I11)</f>
        <v>120069</v>
      </c>
      <c r="K11" s="13">
        <f t="shared" si="7"/>
        <v>1672624</v>
      </c>
      <c r="L11" s="14">
        <f t="shared" si="8"/>
        <v>0</v>
      </c>
      <c r="M11" s="14">
        <f t="shared" si="9"/>
        <v>0</v>
      </c>
      <c r="N11" s="14">
        <f t="shared" si="10"/>
        <v>1672624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7">
        <f t="shared" si="2"/>
        <v>1552555</v>
      </c>
      <c r="AB11" s="7">
        <f t="shared" si="2"/>
        <v>0</v>
      </c>
      <c r="AC11" s="7">
        <f t="shared" si="2"/>
        <v>0</v>
      </c>
      <c r="AD11" s="7">
        <f>SUM(AA11:AC11)</f>
        <v>1552555</v>
      </c>
      <c r="AE11" s="7">
        <f t="shared" si="3"/>
        <v>120069</v>
      </c>
      <c r="AF11" s="7">
        <f t="shared" si="3"/>
        <v>0</v>
      </c>
      <c r="AG11" s="7">
        <f t="shared" si="3"/>
        <v>0</v>
      </c>
      <c r="AH11" s="7">
        <f t="shared" si="4"/>
        <v>120069</v>
      </c>
      <c r="AI11" s="7">
        <f t="shared" si="5"/>
        <v>1672624</v>
      </c>
      <c r="AJ11" s="7">
        <f t="shared" si="5"/>
        <v>0</v>
      </c>
      <c r="AK11" s="7">
        <f t="shared" si="5"/>
        <v>0</v>
      </c>
      <c r="AL11" s="7">
        <f t="shared" si="6"/>
        <v>1672624</v>
      </c>
    </row>
    <row r="12" spans="1:38" s="27" customFormat="1" ht="31.5" x14ac:dyDescent="0.25">
      <c r="A12" s="26" t="s">
        <v>199</v>
      </c>
      <c r="B12" s="26" t="s">
        <v>205</v>
      </c>
      <c r="C12" s="13">
        <v>549237</v>
      </c>
      <c r="D12" s="12">
        <v>301800</v>
      </c>
      <c r="E12" s="13"/>
      <c r="F12" s="14">
        <f t="shared" si="0"/>
        <v>851037</v>
      </c>
      <c r="G12" s="14">
        <v>29983</v>
      </c>
      <c r="H12" s="14"/>
      <c r="I12" s="14"/>
      <c r="J12" s="14">
        <f t="shared" si="11"/>
        <v>29983</v>
      </c>
      <c r="K12" s="13">
        <f t="shared" ref="K12:K16" si="12">SUM(G12+C12)</f>
        <v>579220</v>
      </c>
      <c r="L12" s="14">
        <f t="shared" ref="L12:L16" si="13">SUM(H12+D12)</f>
        <v>301800</v>
      </c>
      <c r="M12" s="14">
        <f t="shared" ref="M12:M16" si="14">SUM(I12+E12)</f>
        <v>0</v>
      </c>
      <c r="N12" s="14">
        <f t="shared" ref="N12:N16" si="15">SUM(K12:M12)</f>
        <v>881020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7">
        <f t="shared" ref="AA12:AD16" si="16">SUM(C12+O12)</f>
        <v>549237</v>
      </c>
      <c r="AB12" s="7">
        <f t="shared" si="16"/>
        <v>301800</v>
      </c>
      <c r="AC12" s="7">
        <f t="shared" si="16"/>
        <v>0</v>
      </c>
      <c r="AD12" s="7">
        <f t="shared" si="16"/>
        <v>851037</v>
      </c>
      <c r="AE12" s="7">
        <f t="shared" ref="AE12:AL16" si="17">SUM(G12+S12)</f>
        <v>29983</v>
      </c>
      <c r="AF12" s="7">
        <f t="shared" si="17"/>
        <v>0</v>
      </c>
      <c r="AG12" s="7">
        <f t="shared" si="17"/>
        <v>0</v>
      </c>
      <c r="AH12" s="7">
        <f t="shared" si="17"/>
        <v>29983</v>
      </c>
      <c r="AI12" s="7">
        <f t="shared" si="17"/>
        <v>579220</v>
      </c>
      <c r="AJ12" s="7">
        <f t="shared" si="17"/>
        <v>301800</v>
      </c>
      <c r="AK12" s="7">
        <f t="shared" si="17"/>
        <v>0</v>
      </c>
      <c r="AL12" s="7">
        <f t="shared" si="17"/>
        <v>881020</v>
      </c>
    </row>
    <row r="13" spans="1:38" s="28" customFormat="1" ht="31.5" x14ac:dyDescent="0.25">
      <c r="A13" s="26" t="s">
        <v>25</v>
      </c>
      <c r="B13" s="26"/>
      <c r="C13" s="13">
        <v>233300</v>
      </c>
      <c r="D13" s="12"/>
      <c r="E13" s="13"/>
      <c r="F13" s="14">
        <f t="shared" si="0"/>
        <v>233300</v>
      </c>
      <c r="G13" s="14"/>
      <c r="H13" s="14"/>
      <c r="I13" s="14"/>
      <c r="J13" s="14">
        <f t="shared" si="11"/>
        <v>0</v>
      </c>
      <c r="K13" s="13">
        <f t="shared" si="12"/>
        <v>233300</v>
      </c>
      <c r="L13" s="14">
        <f t="shared" si="13"/>
        <v>0</v>
      </c>
      <c r="M13" s="14">
        <f t="shared" si="14"/>
        <v>0</v>
      </c>
      <c r="N13" s="14">
        <f t="shared" si="15"/>
        <v>233300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7">
        <f t="shared" si="16"/>
        <v>233300</v>
      </c>
      <c r="AB13" s="7">
        <f t="shared" si="16"/>
        <v>0</v>
      </c>
      <c r="AC13" s="7">
        <f t="shared" si="16"/>
        <v>0</v>
      </c>
      <c r="AD13" s="7">
        <f t="shared" si="16"/>
        <v>233300</v>
      </c>
      <c r="AE13" s="7">
        <f t="shared" si="17"/>
        <v>0</v>
      </c>
      <c r="AF13" s="7">
        <f t="shared" si="17"/>
        <v>0</v>
      </c>
      <c r="AG13" s="7">
        <f t="shared" si="17"/>
        <v>0</v>
      </c>
      <c r="AH13" s="7">
        <f t="shared" si="17"/>
        <v>0</v>
      </c>
      <c r="AI13" s="7">
        <f t="shared" si="17"/>
        <v>233300</v>
      </c>
      <c r="AJ13" s="7">
        <f t="shared" si="17"/>
        <v>0</v>
      </c>
      <c r="AK13" s="7">
        <f t="shared" si="17"/>
        <v>0</v>
      </c>
      <c r="AL13" s="7">
        <f t="shared" si="17"/>
        <v>233300</v>
      </c>
    </row>
    <row r="14" spans="1:38" s="28" customFormat="1" ht="31.5" x14ac:dyDescent="0.25">
      <c r="A14" s="26" t="s">
        <v>26</v>
      </c>
      <c r="B14" s="26"/>
      <c r="C14" s="13">
        <v>176100</v>
      </c>
      <c r="D14" s="12"/>
      <c r="E14" s="13"/>
      <c r="F14" s="14">
        <f t="shared" si="0"/>
        <v>176100</v>
      </c>
      <c r="G14" s="14"/>
      <c r="H14" s="14"/>
      <c r="I14" s="14"/>
      <c r="J14" s="14">
        <f t="shared" si="11"/>
        <v>0</v>
      </c>
      <c r="K14" s="13">
        <f t="shared" si="12"/>
        <v>176100</v>
      </c>
      <c r="L14" s="14">
        <f t="shared" si="13"/>
        <v>0</v>
      </c>
      <c r="M14" s="14">
        <f t="shared" si="14"/>
        <v>0</v>
      </c>
      <c r="N14" s="14">
        <f t="shared" si="15"/>
        <v>176100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7">
        <f t="shared" si="16"/>
        <v>176100</v>
      </c>
      <c r="AB14" s="7">
        <f t="shared" si="16"/>
        <v>0</v>
      </c>
      <c r="AC14" s="7">
        <f t="shared" si="16"/>
        <v>0</v>
      </c>
      <c r="AD14" s="7">
        <f t="shared" si="16"/>
        <v>176100</v>
      </c>
      <c r="AE14" s="7">
        <f t="shared" si="17"/>
        <v>0</v>
      </c>
      <c r="AF14" s="7">
        <f t="shared" si="17"/>
        <v>0</v>
      </c>
      <c r="AG14" s="7">
        <f t="shared" si="17"/>
        <v>0</v>
      </c>
      <c r="AH14" s="7">
        <f t="shared" si="17"/>
        <v>0</v>
      </c>
      <c r="AI14" s="7">
        <f t="shared" si="17"/>
        <v>176100</v>
      </c>
      <c r="AJ14" s="7">
        <f t="shared" si="17"/>
        <v>0</v>
      </c>
      <c r="AK14" s="7">
        <f t="shared" si="17"/>
        <v>0</v>
      </c>
      <c r="AL14" s="7">
        <f t="shared" si="17"/>
        <v>176100</v>
      </c>
    </row>
    <row r="15" spans="1:38" s="28" customFormat="1" x14ac:dyDescent="0.25">
      <c r="A15" s="26" t="s">
        <v>27</v>
      </c>
      <c r="B15" s="26"/>
      <c r="C15" s="13"/>
      <c r="D15" s="12">
        <v>301800</v>
      </c>
      <c r="E15" s="13"/>
      <c r="F15" s="14">
        <f t="shared" si="0"/>
        <v>301800</v>
      </c>
      <c r="G15" s="14"/>
      <c r="H15" s="14"/>
      <c r="I15" s="14"/>
      <c r="J15" s="14">
        <f t="shared" si="11"/>
        <v>0</v>
      </c>
      <c r="K15" s="13">
        <f t="shared" si="12"/>
        <v>0</v>
      </c>
      <c r="L15" s="14">
        <f t="shared" si="13"/>
        <v>301800</v>
      </c>
      <c r="M15" s="14">
        <f t="shared" si="14"/>
        <v>0</v>
      </c>
      <c r="N15" s="14">
        <f t="shared" si="15"/>
        <v>301800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7">
        <f t="shared" si="16"/>
        <v>0</v>
      </c>
      <c r="AB15" s="7">
        <f t="shared" si="16"/>
        <v>301800</v>
      </c>
      <c r="AC15" s="7">
        <f t="shared" si="16"/>
        <v>0</v>
      </c>
      <c r="AD15" s="7">
        <f t="shared" si="16"/>
        <v>301800</v>
      </c>
      <c r="AE15" s="7">
        <f t="shared" si="17"/>
        <v>0</v>
      </c>
      <c r="AF15" s="7">
        <f t="shared" si="17"/>
        <v>0</v>
      </c>
      <c r="AG15" s="7">
        <f t="shared" si="17"/>
        <v>0</v>
      </c>
      <c r="AH15" s="7">
        <f t="shared" si="17"/>
        <v>0</v>
      </c>
      <c r="AI15" s="7">
        <f t="shared" si="17"/>
        <v>0</v>
      </c>
      <c r="AJ15" s="7">
        <f t="shared" si="17"/>
        <v>301800</v>
      </c>
      <c r="AK15" s="7">
        <f t="shared" si="17"/>
        <v>0</v>
      </c>
      <c r="AL15" s="7">
        <f t="shared" si="17"/>
        <v>301800</v>
      </c>
    </row>
    <row r="16" spans="1:38" s="28" customFormat="1" ht="36.75" customHeight="1" x14ac:dyDescent="0.25">
      <c r="A16" s="26" t="s">
        <v>200</v>
      </c>
      <c r="B16" s="26" t="s">
        <v>206</v>
      </c>
      <c r="C16" s="13">
        <v>218854</v>
      </c>
      <c r="D16" s="12"/>
      <c r="E16" s="13"/>
      <c r="F16" s="14">
        <f t="shared" si="0"/>
        <v>218854</v>
      </c>
      <c r="G16" s="14">
        <v>13114</v>
      </c>
      <c r="H16" s="14"/>
      <c r="I16" s="14"/>
      <c r="J16" s="14">
        <f t="shared" si="11"/>
        <v>13114</v>
      </c>
      <c r="K16" s="13">
        <f t="shared" si="12"/>
        <v>231968</v>
      </c>
      <c r="L16" s="14">
        <f t="shared" si="13"/>
        <v>0</v>
      </c>
      <c r="M16" s="14">
        <f t="shared" si="14"/>
        <v>0</v>
      </c>
      <c r="N16" s="14">
        <f t="shared" si="15"/>
        <v>231968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7">
        <f t="shared" si="16"/>
        <v>218854</v>
      </c>
      <c r="AB16" s="7">
        <f t="shared" si="16"/>
        <v>0</v>
      </c>
      <c r="AC16" s="7">
        <f t="shared" si="16"/>
        <v>0</v>
      </c>
      <c r="AD16" s="7">
        <f t="shared" si="16"/>
        <v>218854</v>
      </c>
      <c r="AE16" s="7">
        <f t="shared" si="17"/>
        <v>13114</v>
      </c>
      <c r="AF16" s="7">
        <f t="shared" si="17"/>
        <v>0</v>
      </c>
      <c r="AG16" s="7">
        <f t="shared" si="17"/>
        <v>0</v>
      </c>
      <c r="AH16" s="7">
        <f t="shared" si="17"/>
        <v>13114</v>
      </c>
      <c r="AI16" s="7">
        <f t="shared" si="17"/>
        <v>231968</v>
      </c>
      <c r="AJ16" s="7">
        <f t="shared" si="17"/>
        <v>0</v>
      </c>
      <c r="AK16" s="7">
        <f t="shared" si="17"/>
        <v>0</v>
      </c>
      <c r="AL16" s="7">
        <f t="shared" si="17"/>
        <v>231968</v>
      </c>
    </row>
    <row r="17" spans="1:38" s="20" customFormat="1" ht="31.5" x14ac:dyDescent="0.25">
      <c r="A17" s="17" t="s">
        <v>201</v>
      </c>
      <c r="B17" s="17" t="s">
        <v>207</v>
      </c>
      <c r="C17" s="18">
        <f t="shared" ref="C17:AD17" si="18">SUM(C9:C11,C12,C16)</f>
        <v>4192046</v>
      </c>
      <c r="D17" s="18">
        <f t="shared" si="18"/>
        <v>301800</v>
      </c>
      <c r="E17" s="18">
        <f t="shared" si="18"/>
        <v>0</v>
      </c>
      <c r="F17" s="18">
        <f t="shared" si="18"/>
        <v>4493846</v>
      </c>
      <c r="G17" s="18">
        <f t="shared" si="18"/>
        <v>163166</v>
      </c>
      <c r="H17" s="18">
        <f t="shared" si="18"/>
        <v>0</v>
      </c>
      <c r="I17" s="18">
        <f t="shared" si="18"/>
        <v>0</v>
      </c>
      <c r="J17" s="18">
        <f t="shared" si="18"/>
        <v>163166</v>
      </c>
      <c r="K17" s="18">
        <f t="shared" si="18"/>
        <v>4355212</v>
      </c>
      <c r="L17" s="18">
        <f t="shared" si="18"/>
        <v>301800</v>
      </c>
      <c r="M17" s="18">
        <f t="shared" si="18"/>
        <v>0</v>
      </c>
      <c r="N17" s="18">
        <f t="shared" si="18"/>
        <v>4657012</v>
      </c>
      <c r="O17" s="18">
        <f t="shared" si="18"/>
        <v>0</v>
      </c>
      <c r="P17" s="18">
        <f t="shared" si="18"/>
        <v>0</v>
      </c>
      <c r="Q17" s="18">
        <f t="shared" si="18"/>
        <v>0</v>
      </c>
      <c r="R17" s="18">
        <f t="shared" si="18"/>
        <v>0</v>
      </c>
      <c r="S17" s="18">
        <f t="shared" si="18"/>
        <v>0</v>
      </c>
      <c r="T17" s="18">
        <f t="shared" si="18"/>
        <v>0</v>
      </c>
      <c r="U17" s="18">
        <f t="shared" si="18"/>
        <v>0</v>
      </c>
      <c r="V17" s="18">
        <f t="shared" si="18"/>
        <v>0</v>
      </c>
      <c r="W17" s="18">
        <f t="shared" si="18"/>
        <v>0</v>
      </c>
      <c r="X17" s="18">
        <f t="shared" si="18"/>
        <v>0</v>
      </c>
      <c r="Y17" s="18">
        <f t="shared" si="18"/>
        <v>0</v>
      </c>
      <c r="Z17" s="18">
        <f t="shared" si="18"/>
        <v>0</v>
      </c>
      <c r="AA17" s="18">
        <f t="shared" si="18"/>
        <v>4192046</v>
      </c>
      <c r="AB17" s="18">
        <f t="shared" si="18"/>
        <v>301800</v>
      </c>
      <c r="AC17" s="18">
        <f t="shared" si="18"/>
        <v>0</v>
      </c>
      <c r="AD17" s="18">
        <f t="shared" si="18"/>
        <v>4493846</v>
      </c>
      <c r="AE17" s="18">
        <f t="shared" ref="AE17:AL17" si="19">SUM(AE9:AE11,AE12,AE16)</f>
        <v>163166</v>
      </c>
      <c r="AF17" s="18">
        <f t="shared" si="19"/>
        <v>0</v>
      </c>
      <c r="AG17" s="18">
        <f t="shared" si="19"/>
        <v>0</v>
      </c>
      <c r="AH17" s="18">
        <f t="shared" si="19"/>
        <v>163166</v>
      </c>
      <c r="AI17" s="18">
        <f t="shared" si="19"/>
        <v>4355212</v>
      </c>
      <c r="AJ17" s="18">
        <f t="shared" si="19"/>
        <v>301800</v>
      </c>
      <c r="AK17" s="18">
        <f t="shared" si="19"/>
        <v>0</v>
      </c>
      <c r="AL17" s="18">
        <f t="shared" si="19"/>
        <v>4657012</v>
      </c>
    </row>
    <row r="18" spans="1:38" s="20" customFormat="1" ht="31.5" x14ac:dyDescent="0.25">
      <c r="A18" s="17" t="s">
        <v>239</v>
      </c>
      <c r="B18" s="17" t="s">
        <v>240</v>
      </c>
      <c r="C18" s="18">
        <v>21326</v>
      </c>
      <c r="D18" s="18">
        <v>35772</v>
      </c>
      <c r="E18" s="18"/>
      <c r="F18" s="18">
        <f>SUM(C18:E18)</f>
        <v>57098</v>
      </c>
      <c r="G18" s="18"/>
      <c r="H18" s="18">
        <v>22500</v>
      </c>
      <c r="I18" s="18"/>
      <c r="J18" s="18">
        <f>SUM(G18:I18)</f>
        <v>22500</v>
      </c>
      <c r="K18" s="18">
        <f t="shared" ref="K18" si="20">SUM(G18+C18)</f>
        <v>21326</v>
      </c>
      <c r="L18" s="18">
        <f t="shared" ref="L18" si="21">SUM(H18+D18)</f>
        <v>58272</v>
      </c>
      <c r="M18" s="18">
        <f t="shared" ref="M18" si="22">SUM(I18+E18)</f>
        <v>0</v>
      </c>
      <c r="N18" s="18">
        <f t="shared" ref="N18" si="23">SUM(K18:M18)</f>
        <v>79598</v>
      </c>
      <c r="O18" s="18">
        <v>737644</v>
      </c>
      <c r="P18" s="18">
        <v>285563</v>
      </c>
      <c r="Q18" s="18">
        <v>83427</v>
      </c>
      <c r="R18" s="18">
        <f>SUM(O18:Q18)</f>
        <v>1106634</v>
      </c>
      <c r="S18" s="18">
        <v>213247</v>
      </c>
      <c r="T18" s="18">
        <v>67825</v>
      </c>
      <c r="U18" s="18">
        <v>0</v>
      </c>
      <c r="V18" s="18">
        <f>SUM(S18:U18)</f>
        <v>281072</v>
      </c>
      <c r="W18" s="18">
        <f>SUM(S18+O18)</f>
        <v>950891</v>
      </c>
      <c r="X18" s="18">
        <f>SUM(T18+P18)</f>
        <v>353388</v>
      </c>
      <c r="Y18" s="18">
        <f>SUM(Q18+U18)</f>
        <v>83427</v>
      </c>
      <c r="Z18" s="18">
        <f>SUM(W18:Y18)</f>
        <v>1387706</v>
      </c>
      <c r="AA18" s="7">
        <f>SUM(C18+O18)</f>
        <v>758970</v>
      </c>
      <c r="AB18" s="7">
        <f>SUM(D18+P18)</f>
        <v>321335</v>
      </c>
      <c r="AC18" s="7">
        <f>SUM(E18+Q18)</f>
        <v>83427</v>
      </c>
      <c r="AD18" s="7">
        <f>SUM(F18+R18)</f>
        <v>1163732</v>
      </c>
      <c r="AE18" s="7">
        <f t="shared" ref="AE18:AL18" si="24">SUM(G18+S18)</f>
        <v>213247</v>
      </c>
      <c r="AF18" s="7">
        <f t="shared" si="24"/>
        <v>90325</v>
      </c>
      <c r="AG18" s="7">
        <f t="shared" si="24"/>
        <v>0</v>
      </c>
      <c r="AH18" s="7">
        <f t="shared" si="24"/>
        <v>303572</v>
      </c>
      <c r="AI18" s="7">
        <f t="shared" si="24"/>
        <v>972217</v>
      </c>
      <c r="AJ18" s="7">
        <f t="shared" si="24"/>
        <v>411660</v>
      </c>
      <c r="AK18" s="7">
        <f t="shared" si="24"/>
        <v>83427</v>
      </c>
      <c r="AL18" s="7">
        <f t="shared" si="24"/>
        <v>1467304</v>
      </c>
    </row>
    <row r="19" spans="1:38" s="10" customFormat="1" ht="31.5" x14ac:dyDescent="0.25">
      <c r="A19" s="8" t="s">
        <v>241</v>
      </c>
      <c r="B19" s="8" t="s">
        <v>174</v>
      </c>
      <c r="C19" s="7">
        <f>SUM(C17+C18)</f>
        <v>4213372</v>
      </c>
      <c r="D19" s="7">
        <f t="shared" ref="D19:AD19" si="25">SUM(D17+D18)</f>
        <v>337572</v>
      </c>
      <c r="E19" s="7">
        <f t="shared" si="25"/>
        <v>0</v>
      </c>
      <c r="F19" s="7">
        <f t="shared" si="25"/>
        <v>4550944</v>
      </c>
      <c r="G19" s="7">
        <f t="shared" si="25"/>
        <v>163166</v>
      </c>
      <c r="H19" s="7">
        <f t="shared" si="25"/>
        <v>22500</v>
      </c>
      <c r="I19" s="7">
        <f t="shared" si="25"/>
        <v>0</v>
      </c>
      <c r="J19" s="7">
        <f t="shared" si="25"/>
        <v>185666</v>
      </c>
      <c r="K19" s="7">
        <f t="shared" si="25"/>
        <v>4376538</v>
      </c>
      <c r="L19" s="7">
        <f t="shared" si="25"/>
        <v>360072</v>
      </c>
      <c r="M19" s="7">
        <f t="shared" si="25"/>
        <v>0</v>
      </c>
      <c r="N19" s="7">
        <f t="shared" si="25"/>
        <v>4736610</v>
      </c>
      <c r="O19" s="7">
        <f t="shared" si="25"/>
        <v>737644</v>
      </c>
      <c r="P19" s="7">
        <f t="shared" si="25"/>
        <v>285563</v>
      </c>
      <c r="Q19" s="7">
        <f t="shared" si="25"/>
        <v>83427</v>
      </c>
      <c r="R19" s="7">
        <f t="shared" si="25"/>
        <v>1106634</v>
      </c>
      <c r="S19" s="7">
        <f t="shared" si="25"/>
        <v>213247</v>
      </c>
      <c r="T19" s="7">
        <f t="shared" si="25"/>
        <v>67825</v>
      </c>
      <c r="U19" s="7">
        <f t="shared" si="25"/>
        <v>0</v>
      </c>
      <c r="V19" s="7">
        <f t="shared" si="25"/>
        <v>281072</v>
      </c>
      <c r="W19" s="7">
        <f t="shared" si="25"/>
        <v>950891</v>
      </c>
      <c r="X19" s="7">
        <f t="shared" si="25"/>
        <v>353388</v>
      </c>
      <c r="Y19" s="7">
        <f t="shared" si="25"/>
        <v>83427</v>
      </c>
      <c r="Z19" s="7">
        <f t="shared" si="25"/>
        <v>1387706</v>
      </c>
      <c r="AA19" s="7">
        <f t="shared" si="25"/>
        <v>4951016</v>
      </c>
      <c r="AB19" s="7">
        <f t="shared" si="25"/>
        <v>623135</v>
      </c>
      <c r="AC19" s="7">
        <f t="shared" si="25"/>
        <v>83427</v>
      </c>
      <c r="AD19" s="7">
        <f t="shared" si="25"/>
        <v>5657578</v>
      </c>
      <c r="AE19" s="7">
        <f t="shared" ref="AE19:AL19" si="26">SUM(AE17+AE18)</f>
        <v>376413</v>
      </c>
      <c r="AF19" s="7">
        <f t="shared" si="26"/>
        <v>90325</v>
      </c>
      <c r="AG19" s="7">
        <f t="shared" si="26"/>
        <v>0</v>
      </c>
      <c r="AH19" s="7">
        <f t="shared" si="26"/>
        <v>466738</v>
      </c>
      <c r="AI19" s="7">
        <f t="shared" si="26"/>
        <v>5327429</v>
      </c>
      <c r="AJ19" s="7">
        <f t="shared" si="26"/>
        <v>713460</v>
      </c>
      <c r="AK19" s="7">
        <f t="shared" si="26"/>
        <v>83427</v>
      </c>
      <c r="AL19" s="7">
        <f t="shared" si="26"/>
        <v>6124316</v>
      </c>
    </row>
    <row r="20" spans="1:38" s="37" customFormat="1" ht="31.5" x14ac:dyDescent="0.25">
      <c r="A20" s="17" t="s">
        <v>242</v>
      </c>
      <c r="B20" s="211" t="s">
        <v>208</v>
      </c>
      <c r="C20" s="38">
        <v>0</v>
      </c>
      <c r="D20" s="207">
        <v>0</v>
      </c>
      <c r="E20" s="38">
        <v>0</v>
      </c>
      <c r="F20" s="39">
        <f>SUM(C20:E20)</f>
        <v>0</v>
      </c>
      <c r="G20" s="39">
        <v>488480</v>
      </c>
      <c r="H20" s="39"/>
      <c r="I20" s="39"/>
      <c r="J20" s="39">
        <f>SUM(G20:I20)</f>
        <v>488480</v>
      </c>
      <c r="K20" s="38">
        <f t="shared" ref="K20:K21" si="27">SUM(G20+C20)</f>
        <v>488480</v>
      </c>
      <c r="L20" s="39">
        <f t="shared" ref="L20:L21" si="28">SUM(H20+D20)</f>
        <v>0</v>
      </c>
      <c r="M20" s="39">
        <f t="shared" ref="M20:M21" si="29">SUM(I20+E20)</f>
        <v>0</v>
      </c>
      <c r="N20" s="39">
        <f t="shared" ref="N20:N21" si="30">SUM(K20:M20)</f>
        <v>488480</v>
      </c>
      <c r="O20" s="38"/>
      <c r="P20" s="38"/>
      <c r="Q20" s="38"/>
      <c r="R20" s="38">
        <f>SUM(O20:Q20)</f>
        <v>0</v>
      </c>
      <c r="S20" s="38"/>
      <c r="T20" s="38"/>
      <c r="U20" s="38"/>
      <c r="V20" s="38">
        <f>SUM(S20:U20)</f>
        <v>0</v>
      </c>
      <c r="W20" s="38">
        <f>SUM(S20+O20)</f>
        <v>0</v>
      </c>
      <c r="X20" s="38">
        <f>SUM(T20+P20)</f>
        <v>0</v>
      </c>
      <c r="Y20" s="38">
        <f>SUM(Q20+U20)</f>
        <v>0</v>
      </c>
      <c r="Z20" s="38">
        <f>SUM(W20:Y20)</f>
        <v>0</v>
      </c>
      <c r="AA20" s="7">
        <f t="shared" ref="AA20:AD21" si="31">SUM(C20+O20)</f>
        <v>0</v>
      </c>
      <c r="AB20" s="7">
        <f t="shared" si="31"/>
        <v>0</v>
      </c>
      <c r="AC20" s="7">
        <f t="shared" si="31"/>
        <v>0</v>
      </c>
      <c r="AD20" s="7">
        <f t="shared" si="31"/>
        <v>0</v>
      </c>
      <c r="AE20" s="7">
        <f t="shared" ref="AE20:AL21" si="32">SUM(G20+S20)</f>
        <v>488480</v>
      </c>
      <c r="AF20" s="7">
        <f t="shared" si="32"/>
        <v>0</v>
      </c>
      <c r="AG20" s="7">
        <f t="shared" si="32"/>
        <v>0</v>
      </c>
      <c r="AH20" s="7">
        <f t="shared" si="32"/>
        <v>488480</v>
      </c>
      <c r="AI20" s="7">
        <f t="shared" si="32"/>
        <v>488480</v>
      </c>
      <c r="AJ20" s="7">
        <f t="shared" si="32"/>
        <v>0</v>
      </c>
      <c r="AK20" s="7">
        <f t="shared" si="32"/>
        <v>0</v>
      </c>
      <c r="AL20" s="7">
        <f t="shared" si="32"/>
        <v>488480</v>
      </c>
    </row>
    <row r="21" spans="1:38" s="37" customFormat="1" ht="31.5" x14ac:dyDescent="0.25">
      <c r="A21" s="17" t="s">
        <v>244</v>
      </c>
      <c r="B21" s="211" t="s">
        <v>243</v>
      </c>
      <c r="C21" s="38">
        <v>3498336</v>
      </c>
      <c r="D21" s="207">
        <v>11289214</v>
      </c>
      <c r="E21" s="38">
        <v>0</v>
      </c>
      <c r="F21" s="39">
        <f>SUM(C21:E21)</f>
        <v>14787550</v>
      </c>
      <c r="G21" s="39">
        <v>-71750</v>
      </c>
      <c r="H21" s="39">
        <v>199750</v>
      </c>
      <c r="I21" s="39"/>
      <c r="J21" s="39">
        <f>SUM(G21:I21)</f>
        <v>128000</v>
      </c>
      <c r="K21" s="38">
        <f t="shared" si="27"/>
        <v>3426586</v>
      </c>
      <c r="L21" s="39">
        <f t="shared" si="28"/>
        <v>11488964</v>
      </c>
      <c r="M21" s="39">
        <f t="shared" si="29"/>
        <v>0</v>
      </c>
      <c r="N21" s="39">
        <f t="shared" si="30"/>
        <v>14915550</v>
      </c>
      <c r="O21" s="38"/>
      <c r="P21" s="38"/>
      <c r="Q21" s="38"/>
      <c r="R21" s="38">
        <f>SUM(O21:Q21)</f>
        <v>0</v>
      </c>
      <c r="S21" s="38"/>
      <c r="T21" s="38"/>
      <c r="U21" s="38"/>
      <c r="V21" s="38">
        <f>SUM(S21:U21)</f>
        <v>0</v>
      </c>
      <c r="W21" s="38">
        <f>SUM(S21+O21)</f>
        <v>0</v>
      </c>
      <c r="X21" s="38">
        <f>SUM(T21+P21)</f>
        <v>0</v>
      </c>
      <c r="Y21" s="38">
        <f>SUM(Q21+U21)</f>
        <v>0</v>
      </c>
      <c r="Z21" s="38">
        <f>SUM(W21:Y21)</f>
        <v>0</v>
      </c>
      <c r="AA21" s="7">
        <f t="shared" si="31"/>
        <v>3498336</v>
      </c>
      <c r="AB21" s="7">
        <f t="shared" si="31"/>
        <v>11289214</v>
      </c>
      <c r="AC21" s="7">
        <f t="shared" si="31"/>
        <v>0</v>
      </c>
      <c r="AD21" s="7">
        <f t="shared" si="31"/>
        <v>14787550</v>
      </c>
      <c r="AE21" s="7">
        <f t="shared" si="32"/>
        <v>-71750</v>
      </c>
      <c r="AF21" s="7">
        <f t="shared" si="32"/>
        <v>199750</v>
      </c>
      <c r="AG21" s="7">
        <f t="shared" si="32"/>
        <v>0</v>
      </c>
      <c r="AH21" s="7">
        <f t="shared" si="32"/>
        <v>128000</v>
      </c>
      <c r="AI21" s="7">
        <f t="shared" si="32"/>
        <v>3426586</v>
      </c>
      <c r="AJ21" s="7">
        <f t="shared" si="32"/>
        <v>11488964</v>
      </c>
      <c r="AK21" s="7">
        <f t="shared" si="32"/>
        <v>0</v>
      </c>
      <c r="AL21" s="7">
        <f t="shared" si="32"/>
        <v>14915550</v>
      </c>
    </row>
    <row r="22" spans="1:38" s="40" customFormat="1" ht="31.5" x14ac:dyDescent="0.25">
      <c r="A22" s="8" t="s">
        <v>245</v>
      </c>
      <c r="B22" s="42" t="s">
        <v>175</v>
      </c>
      <c r="C22" s="41">
        <f>SUM(C20+C21)</f>
        <v>3498336</v>
      </c>
      <c r="D22" s="41">
        <f t="shared" ref="D22:AD22" si="33">SUM(D20+D21)</f>
        <v>11289214</v>
      </c>
      <c r="E22" s="41">
        <f t="shared" si="33"/>
        <v>0</v>
      </c>
      <c r="F22" s="41">
        <f t="shared" si="33"/>
        <v>14787550</v>
      </c>
      <c r="G22" s="41">
        <f t="shared" si="33"/>
        <v>416730</v>
      </c>
      <c r="H22" s="41">
        <f t="shared" si="33"/>
        <v>199750</v>
      </c>
      <c r="I22" s="41">
        <f t="shared" si="33"/>
        <v>0</v>
      </c>
      <c r="J22" s="41">
        <f t="shared" si="33"/>
        <v>616480</v>
      </c>
      <c r="K22" s="41">
        <f t="shared" si="33"/>
        <v>3915066</v>
      </c>
      <c r="L22" s="41">
        <f t="shared" si="33"/>
        <v>11488964</v>
      </c>
      <c r="M22" s="41">
        <f t="shared" si="33"/>
        <v>0</v>
      </c>
      <c r="N22" s="41">
        <f t="shared" si="33"/>
        <v>15404030</v>
      </c>
      <c r="O22" s="41">
        <f t="shared" si="33"/>
        <v>0</v>
      </c>
      <c r="P22" s="41">
        <f t="shared" si="33"/>
        <v>0</v>
      </c>
      <c r="Q22" s="41">
        <f t="shared" si="33"/>
        <v>0</v>
      </c>
      <c r="R22" s="41">
        <f t="shared" si="33"/>
        <v>0</v>
      </c>
      <c r="S22" s="41">
        <f t="shared" si="33"/>
        <v>0</v>
      </c>
      <c r="T22" s="41">
        <f t="shared" si="33"/>
        <v>0</v>
      </c>
      <c r="U22" s="41">
        <f t="shared" si="33"/>
        <v>0</v>
      </c>
      <c r="V22" s="41">
        <f t="shared" si="33"/>
        <v>0</v>
      </c>
      <c r="W22" s="41">
        <f t="shared" si="33"/>
        <v>0</v>
      </c>
      <c r="X22" s="41">
        <f t="shared" si="33"/>
        <v>0</v>
      </c>
      <c r="Y22" s="41">
        <f t="shared" si="33"/>
        <v>0</v>
      </c>
      <c r="Z22" s="41">
        <f t="shared" si="33"/>
        <v>0</v>
      </c>
      <c r="AA22" s="41">
        <f t="shared" si="33"/>
        <v>3498336</v>
      </c>
      <c r="AB22" s="41">
        <f t="shared" si="33"/>
        <v>11289214</v>
      </c>
      <c r="AC22" s="41">
        <f t="shared" si="33"/>
        <v>0</v>
      </c>
      <c r="AD22" s="41">
        <f t="shared" si="33"/>
        <v>14787550</v>
      </c>
      <c r="AE22" s="41">
        <f t="shared" ref="AE22:AL22" si="34">SUM(AE20+AE21)</f>
        <v>416730</v>
      </c>
      <c r="AF22" s="41">
        <f t="shared" si="34"/>
        <v>199750</v>
      </c>
      <c r="AG22" s="41">
        <f t="shared" si="34"/>
        <v>0</v>
      </c>
      <c r="AH22" s="41">
        <f t="shared" si="34"/>
        <v>616480</v>
      </c>
      <c r="AI22" s="41">
        <f t="shared" si="34"/>
        <v>3915066</v>
      </c>
      <c r="AJ22" s="41">
        <f t="shared" si="34"/>
        <v>11488964</v>
      </c>
      <c r="AK22" s="41">
        <f t="shared" si="34"/>
        <v>0</v>
      </c>
      <c r="AL22" s="41">
        <f t="shared" si="34"/>
        <v>15404030</v>
      </c>
    </row>
    <row r="23" spans="1:38" x14ac:dyDescent="0.25">
      <c r="A23" s="11" t="s">
        <v>664</v>
      </c>
      <c r="B23" s="11" t="s">
        <v>209</v>
      </c>
      <c r="C23" s="16">
        <v>1875000</v>
      </c>
      <c r="D23" s="15"/>
      <c r="E23" s="16"/>
      <c r="F23" s="14">
        <f>SUM(C23:E23)</f>
        <v>1875000</v>
      </c>
      <c r="G23" s="14"/>
      <c r="H23" s="14"/>
      <c r="I23" s="14"/>
      <c r="J23" s="14">
        <f>SUM(G23:I23)</f>
        <v>0</v>
      </c>
      <c r="K23" s="13">
        <f t="shared" ref="K23" si="35">SUM(G23+C23)</f>
        <v>1875000</v>
      </c>
      <c r="L23" s="14">
        <f t="shared" ref="L23" si="36">SUM(H23+D23)</f>
        <v>0</v>
      </c>
      <c r="M23" s="14">
        <f t="shared" ref="M23" si="37">SUM(I23+E23)</f>
        <v>0</v>
      </c>
      <c r="N23" s="14">
        <f t="shared" ref="N23" si="38">SUM(K23:M23)</f>
        <v>1875000</v>
      </c>
      <c r="O23" s="16"/>
      <c r="P23" s="16"/>
      <c r="Q23" s="16"/>
      <c r="R23" s="16">
        <f>SUM(O23:Q23)</f>
        <v>0</v>
      </c>
      <c r="S23" s="16"/>
      <c r="T23" s="16"/>
      <c r="U23" s="16"/>
      <c r="V23" s="16">
        <f>SUM(S23:U23)</f>
        <v>0</v>
      </c>
      <c r="W23" s="16">
        <f>SUM(S23+O23)</f>
        <v>0</v>
      </c>
      <c r="X23" s="16">
        <f>SUM(T23+P23)</f>
        <v>0</v>
      </c>
      <c r="Y23" s="16">
        <f>SUM(Q23+U23)</f>
        <v>0</v>
      </c>
      <c r="Z23" s="16">
        <f>SUM(W23:Y23)</f>
        <v>0</v>
      </c>
      <c r="AA23" s="7">
        <f>SUM(O23+C23)</f>
        <v>1875000</v>
      </c>
      <c r="AB23" s="16">
        <f>SUM(P23+D23)</f>
        <v>0</v>
      </c>
      <c r="AC23" s="16">
        <f>SUM(Q23+E23)</f>
        <v>0</v>
      </c>
      <c r="AD23" s="16">
        <f>SUM(AA23:AC23)</f>
        <v>1875000</v>
      </c>
      <c r="AE23" s="7">
        <f t="shared" ref="AE23:AG23" si="39">SUM(S23+G23)</f>
        <v>0</v>
      </c>
      <c r="AF23" s="16">
        <f t="shared" si="39"/>
        <v>0</v>
      </c>
      <c r="AG23" s="16">
        <f t="shared" si="39"/>
        <v>0</v>
      </c>
      <c r="AH23" s="16">
        <f t="shared" ref="AH23" si="40">SUM(AE23:AG23)</f>
        <v>0</v>
      </c>
      <c r="AI23" s="7">
        <f t="shared" ref="AI23:AK23" si="41">SUM(W23+K23)</f>
        <v>1875000</v>
      </c>
      <c r="AJ23" s="16">
        <f t="shared" si="41"/>
        <v>0</v>
      </c>
      <c r="AK23" s="16">
        <f t="shared" si="41"/>
        <v>0</v>
      </c>
      <c r="AL23" s="16">
        <f t="shared" ref="AL23" si="42">SUM(AI23:AK23)</f>
        <v>1875000</v>
      </c>
    </row>
    <row r="24" spans="1:38" s="20" customFormat="1" x14ac:dyDescent="0.25">
      <c r="A24" s="17" t="s">
        <v>665</v>
      </c>
      <c r="B24" s="17" t="s">
        <v>209</v>
      </c>
      <c r="C24" s="18">
        <f t="shared" ref="C24:AD24" si="43">SUM(C23:C23)</f>
        <v>1875000</v>
      </c>
      <c r="D24" s="18">
        <f t="shared" si="43"/>
        <v>0</v>
      </c>
      <c r="E24" s="18">
        <f t="shared" si="43"/>
        <v>0</v>
      </c>
      <c r="F24" s="18">
        <f t="shared" si="43"/>
        <v>1875000</v>
      </c>
      <c r="G24" s="18">
        <f t="shared" si="43"/>
        <v>0</v>
      </c>
      <c r="H24" s="18">
        <f t="shared" si="43"/>
        <v>0</v>
      </c>
      <c r="I24" s="18">
        <f t="shared" si="43"/>
        <v>0</v>
      </c>
      <c r="J24" s="18">
        <f t="shared" si="43"/>
        <v>0</v>
      </c>
      <c r="K24" s="18">
        <f t="shared" si="43"/>
        <v>1875000</v>
      </c>
      <c r="L24" s="18">
        <f t="shared" si="43"/>
        <v>0</v>
      </c>
      <c r="M24" s="18">
        <f t="shared" si="43"/>
        <v>0</v>
      </c>
      <c r="N24" s="18">
        <f t="shared" si="43"/>
        <v>1875000</v>
      </c>
      <c r="O24" s="18">
        <f t="shared" si="43"/>
        <v>0</v>
      </c>
      <c r="P24" s="18">
        <f t="shared" si="43"/>
        <v>0</v>
      </c>
      <c r="Q24" s="18">
        <f t="shared" si="43"/>
        <v>0</v>
      </c>
      <c r="R24" s="18">
        <f t="shared" si="43"/>
        <v>0</v>
      </c>
      <c r="S24" s="18">
        <f t="shared" si="43"/>
        <v>0</v>
      </c>
      <c r="T24" s="18">
        <f t="shared" si="43"/>
        <v>0</v>
      </c>
      <c r="U24" s="18">
        <f t="shared" si="43"/>
        <v>0</v>
      </c>
      <c r="V24" s="18">
        <f t="shared" si="43"/>
        <v>0</v>
      </c>
      <c r="W24" s="18">
        <f t="shared" si="43"/>
        <v>0</v>
      </c>
      <c r="X24" s="18">
        <f t="shared" si="43"/>
        <v>0</v>
      </c>
      <c r="Y24" s="18">
        <f t="shared" si="43"/>
        <v>0</v>
      </c>
      <c r="Z24" s="18">
        <f t="shared" si="43"/>
        <v>0</v>
      </c>
      <c r="AA24" s="18">
        <f t="shared" si="43"/>
        <v>1875000</v>
      </c>
      <c r="AB24" s="18">
        <f t="shared" si="43"/>
        <v>0</v>
      </c>
      <c r="AC24" s="18">
        <f t="shared" si="43"/>
        <v>0</v>
      </c>
      <c r="AD24" s="18">
        <f t="shared" si="43"/>
        <v>1875000</v>
      </c>
      <c r="AE24" s="18">
        <f t="shared" ref="AE24:AL24" si="44">SUM(AE23:AE23)</f>
        <v>0</v>
      </c>
      <c r="AF24" s="18">
        <f t="shared" si="44"/>
        <v>0</v>
      </c>
      <c r="AG24" s="18">
        <f t="shared" si="44"/>
        <v>0</v>
      </c>
      <c r="AH24" s="18">
        <f t="shared" si="44"/>
        <v>0</v>
      </c>
      <c r="AI24" s="18">
        <f t="shared" si="44"/>
        <v>1875000</v>
      </c>
      <c r="AJ24" s="18">
        <f t="shared" si="44"/>
        <v>0</v>
      </c>
      <c r="AK24" s="18">
        <f t="shared" si="44"/>
        <v>0</v>
      </c>
      <c r="AL24" s="18">
        <f t="shared" si="44"/>
        <v>1875000</v>
      </c>
    </row>
    <row r="25" spans="1:38" x14ac:dyDescent="0.25">
      <c r="A25" s="11" t="s">
        <v>666</v>
      </c>
      <c r="B25" s="11" t="s">
        <v>210</v>
      </c>
      <c r="C25" s="16">
        <v>16000000</v>
      </c>
      <c r="D25" s="15"/>
      <c r="E25" s="16"/>
      <c r="F25" s="14">
        <f>SUM(C25:E25)</f>
        <v>16000000</v>
      </c>
      <c r="G25" s="14"/>
      <c r="H25" s="14"/>
      <c r="I25" s="14"/>
      <c r="J25" s="14">
        <f>SUM(G25:I25)</f>
        <v>0</v>
      </c>
      <c r="K25" s="13">
        <f t="shared" ref="K25" si="45">SUM(G25+C25)</f>
        <v>16000000</v>
      </c>
      <c r="L25" s="14">
        <f t="shared" ref="L25" si="46">SUM(H25+D25)</f>
        <v>0</v>
      </c>
      <c r="M25" s="14">
        <f t="shared" ref="M25" si="47">SUM(I25+E25)</f>
        <v>0</v>
      </c>
      <c r="N25" s="14">
        <f t="shared" ref="N25" si="48">SUM(K25:M25)</f>
        <v>16000000</v>
      </c>
      <c r="O25" s="16"/>
      <c r="P25" s="16"/>
      <c r="Q25" s="16"/>
      <c r="R25" s="16">
        <f>SUM(O25:Q25)</f>
        <v>0</v>
      </c>
      <c r="S25" s="16"/>
      <c r="T25" s="16"/>
      <c r="U25" s="16"/>
      <c r="V25" s="16">
        <f>SUM(S25:U25)</f>
        <v>0</v>
      </c>
      <c r="W25" s="16">
        <f>SUM(S25+O25)</f>
        <v>0</v>
      </c>
      <c r="X25" s="16">
        <f>SUM(T25+P25)</f>
        <v>0</v>
      </c>
      <c r="Y25" s="16">
        <f>SUM(Q25+U25)</f>
        <v>0</v>
      </c>
      <c r="Z25" s="16">
        <f>SUM(W25:Y25)</f>
        <v>0</v>
      </c>
      <c r="AA25" s="7">
        <f>SUM(O25+C25)</f>
        <v>16000000</v>
      </c>
      <c r="AB25" s="16">
        <f>SUM(P25+D25)</f>
        <v>0</v>
      </c>
      <c r="AC25" s="16">
        <f>SUM(Q25+E25)</f>
        <v>0</v>
      </c>
      <c r="AD25" s="16">
        <f>SUM(AA25:AC25)</f>
        <v>16000000</v>
      </c>
      <c r="AE25" s="7">
        <f t="shared" ref="AE25:AG25" si="49">SUM(S25+G25)</f>
        <v>0</v>
      </c>
      <c r="AF25" s="16">
        <f t="shared" si="49"/>
        <v>0</v>
      </c>
      <c r="AG25" s="16">
        <f t="shared" si="49"/>
        <v>0</v>
      </c>
      <c r="AH25" s="16">
        <f t="shared" ref="AH25" si="50">SUM(AE25:AG25)</f>
        <v>0</v>
      </c>
      <c r="AI25" s="7">
        <f t="shared" ref="AI25:AK25" si="51">SUM(W25+K25)</f>
        <v>16000000</v>
      </c>
      <c r="AJ25" s="16">
        <f t="shared" si="51"/>
        <v>0</v>
      </c>
      <c r="AK25" s="16">
        <f t="shared" si="51"/>
        <v>0</v>
      </c>
      <c r="AL25" s="16">
        <f t="shared" ref="AL25" si="52">SUM(AI25:AK25)</f>
        <v>16000000</v>
      </c>
    </row>
    <row r="26" spans="1:38" s="37" customFormat="1" x14ac:dyDescent="0.25">
      <c r="A26" s="17" t="s">
        <v>667</v>
      </c>
      <c r="B26" s="17" t="s">
        <v>210</v>
      </c>
      <c r="C26" s="18">
        <f>SUM(C25)</f>
        <v>16000000</v>
      </c>
      <c r="D26" s="18">
        <f t="shared" ref="D26:AD26" si="53">SUM(D25)</f>
        <v>0</v>
      </c>
      <c r="E26" s="18">
        <f t="shared" si="53"/>
        <v>0</v>
      </c>
      <c r="F26" s="18">
        <f t="shared" si="53"/>
        <v>16000000</v>
      </c>
      <c r="G26" s="18">
        <f t="shared" si="53"/>
        <v>0</v>
      </c>
      <c r="H26" s="18">
        <f t="shared" si="53"/>
        <v>0</v>
      </c>
      <c r="I26" s="18">
        <f t="shared" si="53"/>
        <v>0</v>
      </c>
      <c r="J26" s="18">
        <f t="shared" si="53"/>
        <v>0</v>
      </c>
      <c r="K26" s="18">
        <f t="shared" si="53"/>
        <v>16000000</v>
      </c>
      <c r="L26" s="18">
        <f t="shared" si="53"/>
        <v>0</v>
      </c>
      <c r="M26" s="18">
        <f t="shared" si="53"/>
        <v>0</v>
      </c>
      <c r="N26" s="18">
        <f t="shared" si="53"/>
        <v>16000000</v>
      </c>
      <c r="O26" s="18">
        <f t="shared" si="53"/>
        <v>0</v>
      </c>
      <c r="P26" s="18">
        <f t="shared" si="53"/>
        <v>0</v>
      </c>
      <c r="Q26" s="18">
        <f t="shared" si="53"/>
        <v>0</v>
      </c>
      <c r="R26" s="18">
        <f t="shared" si="53"/>
        <v>0</v>
      </c>
      <c r="S26" s="18">
        <f t="shared" si="53"/>
        <v>0</v>
      </c>
      <c r="T26" s="18">
        <f t="shared" si="53"/>
        <v>0</v>
      </c>
      <c r="U26" s="18">
        <f t="shared" si="53"/>
        <v>0</v>
      </c>
      <c r="V26" s="18">
        <f t="shared" si="53"/>
        <v>0</v>
      </c>
      <c r="W26" s="18">
        <f t="shared" si="53"/>
        <v>0</v>
      </c>
      <c r="X26" s="18">
        <f t="shared" si="53"/>
        <v>0</v>
      </c>
      <c r="Y26" s="18">
        <f t="shared" si="53"/>
        <v>0</v>
      </c>
      <c r="Z26" s="18">
        <f t="shared" si="53"/>
        <v>0</v>
      </c>
      <c r="AA26" s="18">
        <f t="shared" si="53"/>
        <v>16000000</v>
      </c>
      <c r="AB26" s="18">
        <f t="shared" si="53"/>
        <v>0</v>
      </c>
      <c r="AC26" s="18">
        <f t="shared" si="53"/>
        <v>0</v>
      </c>
      <c r="AD26" s="18">
        <f t="shared" si="53"/>
        <v>16000000</v>
      </c>
      <c r="AE26" s="18">
        <f t="shared" ref="AE26:AL26" si="54">SUM(AE25)</f>
        <v>0</v>
      </c>
      <c r="AF26" s="18">
        <f t="shared" si="54"/>
        <v>0</v>
      </c>
      <c r="AG26" s="18">
        <f t="shared" si="54"/>
        <v>0</v>
      </c>
      <c r="AH26" s="18">
        <f t="shared" si="54"/>
        <v>0</v>
      </c>
      <c r="AI26" s="18">
        <f t="shared" si="54"/>
        <v>16000000</v>
      </c>
      <c r="AJ26" s="18">
        <f t="shared" si="54"/>
        <v>0</v>
      </c>
      <c r="AK26" s="18">
        <f t="shared" si="54"/>
        <v>0</v>
      </c>
      <c r="AL26" s="18">
        <f t="shared" si="54"/>
        <v>16000000</v>
      </c>
    </row>
    <row r="27" spans="1:38" s="37" customFormat="1" x14ac:dyDescent="0.25">
      <c r="A27" s="17" t="s">
        <v>668</v>
      </c>
      <c r="B27" s="17" t="s">
        <v>211</v>
      </c>
      <c r="C27" s="18">
        <v>360000</v>
      </c>
      <c r="D27" s="19"/>
      <c r="E27" s="18"/>
      <c r="F27" s="24">
        <f>SUM(C27:E27)</f>
        <v>360000</v>
      </c>
      <c r="G27" s="24"/>
      <c r="H27" s="24"/>
      <c r="I27" s="24"/>
      <c r="J27" s="24">
        <f>SUM(G27:I27)</f>
        <v>0</v>
      </c>
      <c r="K27" s="18">
        <f t="shared" ref="K27:K28" si="55">SUM(G27+C27)</f>
        <v>360000</v>
      </c>
      <c r="L27" s="24">
        <f t="shared" ref="L27:L28" si="56">SUM(H27+D27)</f>
        <v>0</v>
      </c>
      <c r="M27" s="24">
        <f t="shared" ref="M27:M28" si="57">SUM(I27+E27)</f>
        <v>0</v>
      </c>
      <c r="N27" s="24">
        <f t="shared" ref="N27:N28" si="58">SUM(K27:M27)</f>
        <v>360000</v>
      </c>
      <c r="O27" s="25"/>
      <c r="P27" s="25"/>
      <c r="Q27" s="25"/>
      <c r="R27" s="25"/>
      <c r="S27" s="25"/>
      <c r="T27" s="25"/>
      <c r="U27" s="25"/>
      <c r="V27" s="25">
        <f>SUM(S27:U27)</f>
        <v>0</v>
      </c>
      <c r="W27" s="25">
        <f t="shared" ref="W27:W28" si="59">SUM(S27+O27)</f>
        <v>0</v>
      </c>
      <c r="X27" s="25">
        <f t="shared" ref="X27:X28" si="60">SUM(T27+P27)</f>
        <v>0</v>
      </c>
      <c r="Y27" s="25">
        <f t="shared" ref="Y27:Y28" si="61">SUM(Q27+U27)</f>
        <v>0</v>
      </c>
      <c r="Z27" s="25">
        <f t="shared" ref="Z27:Z28" si="62">SUM(W27:Y27)</f>
        <v>0</v>
      </c>
      <c r="AA27" s="18">
        <f t="shared" ref="AA27:AC28" si="63">SUM(O27+C27)</f>
        <v>360000</v>
      </c>
      <c r="AB27" s="25">
        <f t="shared" si="63"/>
        <v>0</v>
      </c>
      <c r="AC27" s="25">
        <f t="shared" si="63"/>
        <v>0</v>
      </c>
      <c r="AD27" s="25">
        <f>SUM(AA27:AC27)</f>
        <v>360000</v>
      </c>
      <c r="AE27" s="18">
        <f t="shared" ref="AE27:AG28" si="64">SUM(S27+G27)</f>
        <v>0</v>
      </c>
      <c r="AF27" s="25">
        <f t="shared" si="64"/>
        <v>0</v>
      </c>
      <c r="AG27" s="25">
        <f t="shared" si="64"/>
        <v>0</v>
      </c>
      <c r="AH27" s="25">
        <f t="shared" ref="AH27:AH28" si="65">SUM(AE27:AG27)</f>
        <v>0</v>
      </c>
      <c r="AI27" s="18">
        <f t="shared" ref="AI27:AK28" si="66">SUM(W27+K27)</f>
        <v>360000</v>
      </c>
      <c r="AJ27" s="25">
        <f t="shared" si="66"/>
        <v>0</v>
      </c>
      <c r="AK27" s="25">
        <f t="shared" si="66"/>
        <v>0</v>
      </c>
      <c r="AL27" s="25">
        <f t="shared" ref="AL27:AL28" si="67">SUM(AI27:AK27)</f>
        <v>360000</v>
      </c>
    </row>
    <row r="28" spans="1:38" x14ac:dyDescent="0.25">
      <c r="A28" s="11" t="s">
        <v>669</v>
      </c>
      <c r="B28" s="11" t="s">
        <v>212</v>
      </c>
      <c r="C28" s="16">
        <v>60000</v>
      </c>
      <c r="D28" s="15"/>
      <c r="E28" s="16"/>
      <c r="F28" s="14">
        <f>SUM(C28:E28)</f>
        <v>60000</v>
      </c>
      <c r="G28" s="14"/>
      <c r="H28" s="14"/>
      <c r="I28" s="14"/>
      <c r="J28" s="14">
        <f>SUM(G28:I28)</f>
        <v>0</v>
      </c>
      <c r="K28" s="13">
        <f t="shared" si="55"/>
        <v>60000</v>
      </c>
      <c r="L28" s="14">
        <f t="shared" si="56"/>
        <v>0</v>
      </c>
      <c r="M28" s="14">
        <f t="shared" si="57"/>
        <v>0</v>
      </c>
      <c r="N28" s="14">
        <f t="shared" si="58"/>
        <v>60000</v>
      </c>
      <c r="O28" s="16"/>
      <c r="P28" s="16"/>
      <c r="Q28" s="16"/>
      <c r="R28" s="16">
        <f>SUM(O28:Q28)</f>
        <v>0</v>
      </c>
      <c r="S28" s="16"/>
      <c r="T28" s="16"/>
      <c r="U28" s="16"/>
      <c r="V28" s="6">
        <f>SUM(S28:U28)</f>
        <v>0</v>
      </c>
      <c r="W28" s="16">
        <f t="shared" si="59"/>
        <v>0</v>
      </c>
      <c r="X28" s="16">
        <f t="shared" si="60"/>
        <v>0</v>
      </c>
      <c r="Y28" s="16">
        <f t="shared" si="61"/>
        <v>0</v>
      </c>
      <c r="Z28" s="16">
        <f t="shared" si="62"/>
        <v>0</v>
      </c>
      <c r="AA28" s="7">
        <f t="shared" si="63"/>
        <v>60000</v>
      </c>
      <c r="AB28" s="16">
        <f t="shared" si="63"/>
        <v>0</v>
      </c>
      <c r="AC28" s="16">
        <f t="shared" si="63"/>
        <v>0</v>
      </c>
      <c r="AD28" s="16">
        <f>SUM(AA28:AC28)</f>
        <v>60000</v>
      </c>
      <c r="AE28" s="7">
        <f t="shared" si="64"/>
        <v>0</v>
      </c>
      <c r="AF28" s="16">
        <f t="shared" si="64"/>
        <v>0</v>
      </c>
      <c r="AG28" s="16">
        <f t="shared" si="64"/>
        <v>0</v>
      </c>
      <c r="AH28" s="16">
        <f t="shared" si="65"/>
        <v>0</v>
      </c>
      <c r="AI28" s="7">
        <f t="shared" si="66"/>
        <v>60000</v>
      </c>
      <c r="AJ28" s="16">
        <f t="shared" si="66"/>
        <v>0</v>
      </c>
      <c r="AK28" s="16">
        <f t="shared" si="66"/>
        <v>0</v>
      </c>
      <c r="AL28" s="16">
        <f t="shared" si="67"/>
        <v>60000</v>
      </c>
    </row>
    <row r="29" spans="1:38" s="37" customFormat="1" ht="31.5" x14ac:dyDescent="0.25">
      <c r="A29" s="17" t="s">
        <v>670</v>
      </c>
      <c r="B29" s="17" t="s">
        <v>212</v>
      </c>
      <c r="C29" s="18">
        <f t="shared" ref="C29:AL29" si="68">SUM(C28:C28)</f>
        <v>60000</v>
      </c>
      <c r="D29" s="18">
        <f t="shared" si="68"/>
        <v>0</v>
      </c>
      <c r="E29" s="18">
        <f t="shared" si="68"/>
        <v>0</v>
      </c>
      <c r="F29" s="18">
        <f t="shared" si="68"/>
        <v>60000</v>
      </c>
      <c r="G29" s="18">
        <f t="shared" si="68"/>
        <v>0</v>
      </c>
      <c r="H29" s="18">
        <f t="shared" si="68"/>
        <v>0</v>
      </c>
      <c r="I29" s="18">
        <f t="shared" si="68"/>
        <v>0</v>
      </c>
      <c r="J29" s="18">
        <f t="shared" si="68"/>
        <v>0</v>
      </c>
      <c r="K29" s="18">
        <f t="shared" si="68"/>
        <v>60000</v>
      </c>
      <c r="L29" s="18">
        <f t="shared" si="68"/>
        <v>0</v>
      </c>
      <c r="M29" s="18">
        <f t="shared" si="68"/>
        <v>0</v>
      </c>
      <c r="N29" s="18">
        <f t="shared" si="68"/>
        <v>60000</v>
      </c>
      <c r="O29" s="18">
        <f t="shared" si="68"/>
        <v>0</v>
      </c>
      <c r="P29" s="18">
        <f t="shared" si="68"/>
        <v>0</v>
      </c>
      <c r="Q29" s="18">
        <f t="shared" si="68"/>
        <v>0</v>
      </c>
      <c r="R29" s="18">
        <f t="shared" si="68"/>
        <v>0</v>
      </c>
      <c r="S29" s="18">
        <f t="shared" si="68"/>
        <v>0</v>
      </c>
      <c r="T29" s="18">
        <f t="shared" si="68"/>
        <v>0</v>
      </c>
      <c r="U29" s="18">
        <f t="shared" si="68"/>
        <v>0</v>
      </c>
      <c r="V29" s="18">
        <f t="shared" si="68"/>
        <v>0</v>
      </c>
      <c r="W29" s="18">
        <f t="shared" si="68"/>
        <v>0</v>
      </c>
      <c r="X29" s="18">
        <f t="shared" si="68"/>
        <v>0</v>
      </c>
      <c r="Y29" s="18">
        <f t="shared" si="68"/>
        <v>0</v>
      </c>
      <c r="Z29" s="18">
        <f t="shared" si="68"/>
        <v>0</v>
      </c>
      <c r="AA29" s="18">
        <f t="shared" si="68"/>
        <v>60000</v>
      </c>
      <c r="AB29" s="18">
        <f t="shared" si="68"/>
        <v>0</v>
      </c>
      <c r="AC29" s="18">
        <f t="shared" si="68"/>
        <v>0</v>
      </c>
      <c r="AD29" s="18">
        <f t="shared" si="68"/>
        <v>60000</v>
      </c>
      <c r="AE29" s="18">
        <f t="shared" si="68"/>
        <v>0</v>
      </c>
      <c r="AF29" s="18">
        <f t="shared" si="68"/>
        <v>0</v>
      </c>
      <c r="AG29" s="18">
        <f t="shared" si="68"/>
        <v>0</v>
      </c>
      <c r="AH29" s="18">
        <f t="shared" si="68"/>
        <v>0</v>
      </c>
      <c r="AI29" s="18">
        <f t="shared" si="68"/>
        <v>60000</v>
      </c>
      <c r="AJ29" s="18">
        <f t="shared" si="68"/>
        <v>0</v>
      </c>
      <c r="AK29" s="18">
        <f t="shared" si="68"/>
        <v>0</v>
      </c>
      <c r="AL29" s="18">
        <f t="shared" si="68"/>
        <v>60000</v>
      </c>
    </row>
    <row r="30" spans="1:38" s="37" customFormat="1" ht="31.5" x14ac:dyDescent="0.25">
      <c r="A30" s="17" t="s">
        <v>671</v>
      </c>
      <c r="B30" s="17" t="s">
        <v>213</v>
      </c>
      <c r="C30" s="18">
        <f t="shared" ref="C30:AL30" si="69">SUM(C29+C27+C26)</f>
        <v>16420000</v>
      </c>
      <c r="D30" s="18">
        <f t="shared" si="69"/>
        <v>0</v>
      </c>
      <c r="E30" s="18">
        <f t="shared" si="69"/>
        <v>0</v>
      </c>
      <c r="F30" s="18">
        <f t="shared" si="69"/>
        <v>16420000</v>
      </c>
      <c r="G30" s="18">
        <f t="shared" si="69"/>
        <v>0</v>
      </c>
      <c r="H30" s="18">
        <f t="shared" si="69"/>
        <v>0</v>
      </c>
      <c r="I30" s="18">
        <f t="shared" si="69"/>
        <v>0</v>
      </c>
      <c r="J30" s="18">
        <f t="shared" si="69"/>
        <v>0</v>
      </c>
      <c r="K30" s="18">
        <f t="shared" si="69"/>
        <v>16420000</v>
      </c>
      <c r="L30" s="18">
        <f t="shared" si="69"/>
        <v>0</v>
      </c>
      <c r="M30" s="18">
        <f t="shared" si="69"/>
        <v>0</v>
      </c>
      <c r="N30" s="18">
        <f t="shared" si="69"/>
        <v>16420000</v>
      </c>
      <c r="O30" s="18">
        <f t="shared" si="69"/>
        <v>0</v>
      </c>
      <c r="P30" s="18">
        <f t="shared" si="69"/>
        <v>0</v>
      </c>
      <c r="Q30" s="18">
        <f t="shared" si="69"/>
        <v>0</v>
      </c>
      <c r="R30" s="18">
        <f t="shared" si="69"/>
        <v>0</v>
      </c>
      <c r="S30" s="18">
        <f t="shared" si="69"/>
        <v>0</v>
      </c>
      <c r="T30" s="18">
        <f t="shared" si="69"/>
        <v>0</v>
      </c>
      <c r="U30" s="18">
        <f t="shared" si="69"/>
        <v>0</v>
      </c>
      <c r="V30" s="18">
        <f t="shared" si="69"/>
        <v>0</v>
      </c>
      <c r="W30" s="18">
        <f t="shared" si="69"/>
        <v>0</v>
      </c>
      <c r="X30" s="18">
        <f t="shared" si="69"/>
        <v>0</v>
      </c>
      <c r="Y30" s="18">
        <f t="shared" si="69"/>
        <v>0</v>
      </c>
      <c r="Z30" s="18">
        <f t="shared" si="69"/>
        <v>0</v>
      </c>
      <c r="AA30" s="18">
        <f t="shared" si="69"/>
        <v>16420000</v>
      </c>
      <c r="AB30" s="18">
        <f t="shared" si="69"/>
        <v>0</v>
      </c>
      <c r="AC30" s="18">
        <f t="shared" si="69"/>
        <v>0</v>
      </c>
      <c r="AD30" s="18">
        <f t="shared" si="69"/>
        <v>16420000</v>
      </c>
      <c r="AE30" s="18">
        <f t="shared" si="69"/>
        <v>0</v>
      </c>
      <c r="AF30" s="18">
        <f t="shared" si="69"/>
        <v>0</v>
      </c>
      <c r="AG30" s="18">
        <f t="shared" si="69"/>
        <v>0</v>
      </c>
      <c r="AH30" s="18">
        <f t="shared" si="69"/>
        <v>0</v>
      </c>
      <c r="AI30" s="18">
        <f t="shared" si="69"/>
        <v>16420000</v>
      </c>
      <c r="AJ30" s="18">
        <f t="shared" si="69"/>
        <v>0</v>
      </c>
      <c r="AK30" s="18">
        <f t="shared" si="69"/>
        <v>0</v>
      </c>
      <c r="AL30" s="18">
        <f t="shared" si="69"/>
        <v>16420000</v>
      </c>
    </row>
    <row r="31" spans="1:38" s="10" customFormat="1" x14ac:dyDescent="0.25">
      <c r="A31" s="11" t="s">
        <v>672</v>
      </c>
      <c r="B31" s="11" t="s">
        <v>214</v>
      </c>
      <c r="C31" s="13">
        <v>10000</v>
      </c>
      <c r="D31" s="12"/>
      <c r="E31" s="13"/>
      <c r="F31" s="14">
        <f t="shared" ref="F31:F34" si="70">SUM(C31:E31)</f>
        <v>10000</v>
      </c>
      <c r="G31" s="14"/>
      <c r="H31" s="14"/>
      <c r="I31" s="14"/>
      <c r="J31" s="14">
        <f>SUM(G31:I31)</f>
        <v>0</v>
      </c>
      <c r="K31" s="13">
        <f t="shared" ref="K31:K34" si="71">SUM(G31+C31)</f>
        <v>10000</v>
      </c>
      <c r="L31" s="14">
        <f t="shared" ref="L31:L34" si="72">SUM(H31+D31)</f>
        <v>0</v>
      </c>
      <c r="M31" s="14">
        <f t="shared" ref="M31:M34" si="73">SUM(I31+E31)</f>
        <v>0</v>
      </c>
      <c r="N31" s="14">
        <f t="shared" ref="N31:N34" si="74">SUM(K31:M31)</f>
        <v>10000</v>
      </c>
      <c r="O31" s="13"/>
      <c r="P31" s="13"/>
      <c r="Q31" s="13"/>
      <c r="R31" s="13">
        <f>SUM(O31:Q31)</f>
        <v>0</v>
      </c>
      <c r="S31" s="13"/>
      <c r="T31" s="13"/>
      <c r="U31" s="13"/>
      <c r="V31" s="13">
        <f>SUM(S31:U31)</f>
        <v>0</v>
      </c>
      <c r="W31" s="13">
        <f t="shared" ref="W31:W34" si="75">SUM(S31+O31)</f>
        <v>0</v>
      </c>
      <c r="X31" s="13">
        <f t="shared" ref="X31:X34" si="76">SUM(T31+P31)</f>
        <v>0</v>
      </c>
      <c r="Y31" s="13">
        <f t="shared" ref="Y31:Y34" si="77">SUM(Q31+U31)</f>
        <v>0</v>
      </c>
      <c r="Z31" s="13">
        <f t="shared" ref="Z31:Z34" si="78">SUM(W31:Y31)</f>
        <v>0</v>
      </c>
      <c r="AA31" s="6">
        <f t="shared" ref="AA31:AC34" si="79">SUM(O31+C31)</f>
        <v>10000</v>
      </c>
      <c r="AB31" s="13">
        <f t="shared" si="79"/>
        <v>0</v>
      </c>
      <c r="AC31" s="13">
        <f t="shared" si="79"/>
        <v>0</v>
      </c>
      <c r="AD31" s="13">
        <f t="shared" ref="AD31:AD34" si="80">SUM(AA31:AC31)</f>
        <v>10000</v>
      </c>
      <c r="AE31" s="6">
        <f t="shared" ref="AE31:AG34" si="81">SUM(S31+G31)</f>
        <v>0</v>
      </c>
      <c r="AF31" s="13">
        <f t="shared" si="81"/>
        <v>0</v>
      </c>
      <c r="AG31" s="13">
        <f t="shared" si="81"/>
        <v>0</v>
      </c>
      <c r="AH31" s="13">
        <f t="shared" ref="AH31:AH34" si="82">SUM(AE31:AG31)</f>
        <v>0</v>
      </c>
      <c r="AI31" s="6">
        <f t="shared" ref="AI31:AK34" si="83">SUM(W31+K31)</f>
        <v>10000</v>
      </c>
      <c r="AJ31" s="13">
        <f t="shared" si="83"/>
        <v>0</v>
      </c>
      <c r="AK31" s="13">
        <f t="shared" si="83"/>
        <v>0</v>
      </c>
      <c r="AL31" s="13">
        <f t="shared" ref="AL31:AL34" si="84">SUM(AI31:AK31)</f>
        <v>10000</v>
      </c>
    </row>
    <row r="32" spans="1:38" s="10" customFormat="1" x14ac:dyDescent="0.25">
      <c r="A32" s="11" t="s">
        <v>673</v>
      </c>
      <c r="B32" s="11" t="s">
        <v>214</v>
      </c>
      <c r="C32" s="22">
        <v>50000</v>
      </c>
      <c r="D32" s="21"/>
      <c r="E32" s="22"/>
      <c r="F32" s="23">
        <f t="shared" si="70"/>
        <v>50000</v>
      </c>
      <c r="G32" s="23"/>
      <c r="H32" s="23"/>
      <c r="I32" s="23"/>
      <c r="J32" s="5">
        <f t="shared" ref="J32:J34" si="85">SUM(G32:I32)</f>
        <v>0</v>
      </c>
      <c r="K32" s="22">
        <f t="shared" si="71"/>
        <v>50000</v>
      </c>
      <c r="L32" s="23">
        <f t="shared" si="72"/>
        <v>0</v>
      </c>
      <c r="M32" s="23">
        <f t="shared" si="73"/>
        <v>0</v>
      </c>
      <c r="N32" s="23">
        <f t="shared" si="74"/>
        <v>50000</v>
      </c>
      <c r="O32" s="6"/>
      <c r="P32" s="6"/>
      <c r="Q32" s="6"/>
      <c r="R32" s="13">
        <f t="shared" ref="R32:R34" si="86">SUM(O32:Q32)</f>
        <v>0</v>
      </c>
      <c r="S32" s="6"/>
      <c r="T32" s="6"/>
      <c r="U32" s="6"/>
      <c r="V32" s="13">
        <f t="shared" ref="V32:V34" si="87">SUM(S32:U32)</f>
        <v>0</v>
      </c>
      <c r="W32" s="6">
        <f t="shared" si="75"/>
        <v>0</v>
      </c>
      <c r="X32" s="6">
        <f t="shared" si="76"/>
        <v>0</v>
      </c>
      <c r="Y32" s="6">
        <f t="shared" si="77"/>
        <v>0</v>
      </c>
      <c r="Z32" s="6">
        <f t="shared" si="78"/>
        <v>0</v>
      </c>
      <c r="AA32" s="6">
        <f t="shared" si="79"/>
        <v>50000</v>
      </c>
      <c r="AB32" s="6">
        <f t="shared" si="79"/>
        <v>0</v>
      </c>
      <c r="AC32" s="6">
        <f t="shared" si="79"/>
        <v>0</v>
      </c>
      <c r="AD32" s="6">
        <f t="shared" si="80"/>
        <v>50000</v>
      </c>
      <c r="AE32" s="6">
        <f t="shared" si="81"/>
        <v>0</v>
      </c>
      <c r="AF32" s="6">
        <f t="shared" si="81"/>
        <v>0</v>
      </c>
      <c r="AG32" s="6">
        <f t="shared" si="81"/>
        <v>0</v>
      </c>
      <c r="AH32" s="6">
        <f t="shared" si="82"/>
        <v>0</v>
      </c>
      <c r="AI32" s="6">
        <f t="shared" si="83"/>
        <v>50000</v>
      </c>
      <c r="AJ32" s="6">
        <f t="shared" si="83"/>
        <v>0</v>
      </c>
      <c r="AK32" s="6">
        <f t="shared" si="83"/>
        <v>0</v>
      </c>
      <c r="AL32" s="6">
        <f t="shared" si="84"/>
        <v>50000</v>
      </c>
    </row>
    <row r="33" spans="1:38" s="10" customFormat="1" ht="31.5" x14ac:dyDescent="0.25">
      <c r="A33" s="11" t="s">
        <v>674</v>
      </c>
      <c r="B33" s="11" t="s">
        <v>214</v>
      </c>
      <c r="C33" s="22">
        <v>27500</v>
      </c>
      <c r="D33" s="21"/>
      <c r="E33" s="22"/>
      <c r="F33" s="23">
        <f t="shared" si="70"/>
        <v>27500</v>
      </c>
      <c r="G33" s="23"/>
      <c r="H33" s="23"/>
      <c r="I33" s="23"/>
      <c r="J33" s="5">
        <f t="shared" si="85"/>
        <v>0</v>
      </c>
      <c r="K33" s="22">
        <f t="shared" si="71"/>
        <v>27500</v>
      </c>
      <c r="L33" s="23">
        <f t="shared" si="72"/>
        <v>0</v>
      </c>
      <c r="M33" s="23">
        <f t="shared" si="73"/>
        <v>0</v>
      </c>
      <c r="N33" s="23">
        <f t="shared" si="74"/>
        <v>27500</v>
      </c>
      <c r="O33" s="6"/>
      <c r="P33" s="6"/>
      <c r="Q33" s="6"/>
      <c r="R33" s="13">
        <f t="shared" si="86"/>
        <v>0</v>
      </c>
      <c r="S33" s="6"/>
      <c r="T33" s="6"/>
      <c r="U33" s="6"/>
      <c r="V33" s="13">
        <f t="shared" si="87"/>
        <v>0</v>
      </c>
      <c r="W33" s="6">
        <f t="shared" si="75"/>
        <v>0</v>
      </c>
      <c r="X33" s="6">
        <f t="shared" si="76"/>
        <v>0</v>
      </c>
      <c r="Y33" s="6">
        <f t="shared" si="77"/>
        <v>0</v>
      </c>
      <c r="Z33" s="6">
        <f t="shared" si="78"/>
        <v>0</v>
      </c>
      <c r="AA33" s="6">
        <f t="shared" si="79"/>
        <v>27500</v>
      </c>
      <c r="AB33" s="6">
        <f t="shared" si="79"/>
        <v>0</v>
      </c>
      <c r="AC33" s="6">
        <f t="shared" si="79"/>
        <v>0</v>
      </c>
      <c r="AD33" s="6">
        <f t="shared" si="80"/>
        <v>27500</v>
      </c>
      <c r="AE33" s="6">
        <f t="shared" si="81"/>
        <v>0</v>
      </c>
      <c r="AF33" s="6">
        <f t="shared" si="81"/>
        <v>0</v>
      </c>
      <c r="AG33" s="6">
        <f t="shared" si="81"/>
        <v>0</v>
      </c>
      <c r="AH33" s="6">
        <f t="shared" si="82"/>
        <v>0</v>
      </c>
      <c r="AI33" s="6">
        <f t="shared" si="83"/>
        <v>27500</v>
      </c>
      <c r="AJ33" s="6">
        <f t="shared" si="83"/>
        <v>0</v>
      </c>
      <c r="AK33" s="6">
        <f t="shared" si="83"/>
        <v>0</v>
      </c>
      <c r="AL33" s="6">
        <f t="shared" si="84"/>
        <v>27500</v>
      </c>
    </row>
    <row r="34" spans="1:38" s="10" customFormat="1" x14ac:dyDescent="0.25">
      <c r="A34" s="11" t="s">
        <v>675</v>
      </c>
      <c r="B34" s="11" t="s">
        <v>214</v>
      </c>
      <c r="C34" s="22">
        <v>5000</v>
      </c>
      <c r="D34" s="21"/>
      <c r="E34" s="22"/>
      <c r="F34" s="23">
        <f t="shared" si="70"/>
        <v>5000</v>
      </c>
      <c r="G34" s="23"/>
      <c r="H34" s="23"/>
      <c r="I34" s="23"/>
      <c r="J34" s="5">
        <f t="shared" si="85"/>
        <v>0</v>
      </c>
      <c r="K34" s="22">
        <f t="shared" si="71"/>
        <v>5000</v>
      </c>
      <c r="L34" s="23">
        <f t="shared" si="72"/>
        <v>0</v>
      </c>
      <c r="M34" s="23">
        <f t="shared" si="73"/>
        <v>0</v>
      </c>
      <c r="N34" s="23">
        <f t="shared" si="74"/>
        <v>5000</v>
      </c>
      <c r="O34" s="6"/>
      <c r="P34" s="6"/>
      <c r="Q34" s="6">
        <v>200</v>
      </c>
      <c r="R34" s="13">
        <f t="shared" si="86"/>
        <v>200</v>
      </c>
      <c r="S34" s="6"/>
      <c r="T34" s="6"/>
      <c r="U34" s="6"/>
      <c r="V34" s="13">
        <f t="shared" si="87"/>
        <v>0</v>
      </c>
      <c r="W34" s="6">
        <f t="shared" si="75"/>
        <v>0</v>
      </c>
      <c r="X34" s="6">
        <f t="shared" si="76"/>
        <v>0</v>
      </c>
      <c r="Y34" s="6">
        <f t="shared" si="77"/>
        <v>200</v>
      </c>
      <c r="Z34" s="6">
        <f t="shared" si="78"/>
        <v>200</v>
      </c>
      <c r="AA34" s="6">
        <f t="shared" si="79"/>
        <v>5000</v>
      </c>
      <c r="AB34" s="6">
        <f t="shared" si="79"/>
        <v>0</v>
      </c>
      <c r="AC34" s="6">
        <f t="shared" si="79"/>
        <v>200</v>
      </c>
      <c r="AD34" s="6">
        <f t="shared" si="80"/>
        <v>5200</v>
      </c>
      <c r="AE34" s="6">
        <f t="shared" si="81"/>
        <v>0</v>
      </c>
      <c r="AF34" s="6">
        <f t="shared" si="81"/>
        <v>0</v>
      </c>
      <c r="AG34" s="6">
        <f t="shared" si="81"/>
        <v>0</v>
      </c>
      <c r="AH34" s="6">
        <f t="shared" si="82"/>
        <v>0</v>
      </c>
      <c r="AI34" s="6">
        <f t="shared" si="83"/>
        <v>5000</v>
      </c>
      <c r="AJ34" s="6">
        <f t="shared" si="83"/>
        <v>0</v>
      </c>
      <c r="AK34" s="6">
        <f t="shared" si="83"/>
        <v>200</v>
      </c>
      <c r="AL34" s="6">
        <f t="shared" si="84"/>
        <v>5200</v>
      </c>
    </row>
    <row r="35" spans="1:38" s="37" customFormat="1" ht="31.5" x14ac:dyDescent="0.25">
      <c r="A35" s="17" t="s">
        <v>676</v>
      </c>
      <c r="B35" s="17" t="s">
        <v>214</v>
      </c>
      <c r="C35" s="18">
        <f>SUM(C31:C34)</f>
        <v>92500</v>
      </c>
      <c r="D35" s="18">
        <f t="shared" ref="D35:AD35" si="88">SUM(D31:D34)</f>
        <v>0</v>
      </c>
      <c r="E35" s="18">
        <f t="shared" si="88"/>
        <v>0</v>
      </c>
      <c r="F35" s="18">
        <f t="shared" si="88"/>
        <v>92500</v>
      </c>
      <c r="G35" s="18">
        <f t="shared" ref="G35:N35" si="89">SUM(G31:G34)</f>
        <v>0</v>
      </c>
      <c r="H35" s="18">
        <f t="shared" si="89"/>
        <v>0</v>
      </c>
      <c r="I35" s="18">
        <f t="shared" si="89"/>
        <v>0</v>
      </c>
      <c r="J35" s="18">
        <f t="shared" si="89"/>
        <v>0</v>
      </c>
      <c r="K35" s="18">
        <f t="shared" si="89"/>
        <v>92500</v>
      </c>
      <c r="L35" s="18">
        <f t="shared" si="89"/>
        <v>0</v>
      </c>
      <c r="M35" s="18">
        <f t="shared" si="89"/>
        <v>0</v>
      </c>
      <c r="N35" s="18">
        <f t="shared" si="89"/>
        <v>92500</v>
      </c>
      <c r="O35" s="18">
        <f t="shared" si="88"/>
        <v>0</v>
      </c>
      <c r="P35" s="18">
        <f t="shared" si="88"/>
        <v>0</v>
      </c>
      <c r="Q35" s="18">
        <f t="shared" si="88"/>
        <v>200</v>
      </c>
      <c r="R35" s="18">
        <f t="shared" si="88"/>
        <v>200</v>
      </c>
      <c r="S35" s="18">
        <f t="shared" ref="S35:Z35" si="90">SUM(S31:S34)</f>
        <v>0</v>
      </c>
      <c r="T35" s="18">
        <f t="shared" si="90"/>
        <v>0</v>
      </c>
      <c r="U35" s="18">
        <f t="shared" si="90"/>
        <v>0</v>
      </c>
      <c r="V35" s="18">
        <f t="shared" si="90"/>
        <v>0</v>
      </c>
      <c r="W35" s="18">
        <f t="shared" si="90"/>
        <v>0</v>
      </c>
      <c r="X35" s="18">
        <f t="shared" si="90"/>
        <v>0</v>
      </c>
      <c r="Y35" s="18">
        <f t="shared" si="90"/>
        <v>200</v>
      </c>
      <c r="Z35" s="18">
        <f t="shared" si="90"/>
        <v>200</v>
      </c>
      <c r="AA35" s="18">
        <f t="shared" si="88"/>
        <v>92500</v>
      </c>
      <c r="AB35" s="18">
        <f t="shared" si="88"/>
        <v>0</v>
      </c>
      <c r="AC35" s="18">
        <f t="shared" si="88"/>
        <v>200</v>
      </c>
      <c r="AD35" s="18">
        <f t="shared" si="88"/>
        <v>92700</v>
      </c>
      <c r="AE35" s="18">
        <f t="shared" ref="AE35:AL35" si="91">SUM(AE31:AE34)</f>
        <v>0</v>
      </c>
      <c r="AF35" s="18">
        <f t="shared" si="91"/>
        <v>0</v>
      </c>
      <c r="AG35" s="18">
        <f t="shared" si="91"/>
        <v>0</v>
      </c>
      <c r="AH35" s="18">
        <f t="shared" si="91"/>
        <v>0</v>
      </c>
      <c r="AI35" s="18">
        <f t="shared" si="91"/>
        <v>92500</v>
      </c>
      <c r="AJ35" s="18">
        <f t="shared" si="91"/>
        <v>0</v>
      </c>
      <c r="AK35" s="18">
        <f t="shared" si="91"/>
        <v>200</v>
      </c>
      <c r="AL35" s="18">
        <f t="shared" si="91"/>
        <v>92700</v>
      </c>
    </row>
    <row r="36" spans="1:38" s="10" customFormat="1" ht="31.5" x14ac:dyDescent="0.25">
      <c r="A36" s="8" t="s">
        <v>677</v>
      </c>
      <c r="B36" s="8" t="s">
        <v>176</v>
      </c>
      <c r="C36" s="9">
        <f>SUM(C24+C30+C35)</f>
        <v>18387500</v>
      </c>
      <c r="D36" s="9">
        <f t="shared" ref="D36:AL36" si="92">SUM(D24+D30+D35)</f>
        <v>0</v>
      </c>
      <c r="E36" s="9">
        <f t="shared" si="92"/>
        <v>0</v>
      </c>
      <c r="F36" s="9">
        <f t="shared" si="92"/>
        <v>18387500</v>
      </c>
      <c r="G36" s="9">
        <f t="shared" si="92"/>
        <v>0</v>
      </c>
      <c r="H36" s="9">
        <f t="shared" si="92"/>
        <v>0</v>
      </c>
      <c r="I36" s="9">
        <f t="shared" si="92"/>
        <v>0</v>
      </c>
      <c r="J36" s="9">
        <f t="shared" si="92"/>
        <v>0</v>
      </c>
      <c r="K36" s="9">
        <f t="shared" si="92"/>
        <v>18387500</v>
      </c>
      <c r="L36" s="9">
        <f t="shared" si="92"/>
        <v>0</v>
      </c>
      <c r="M36" s="9">
        <f t="shared" si="92"/>
        <v>0</v>
      </c>
      <c r="N36" s="9">
        <f t="shared" si="92"/>
        <v>18387500</v>
      </c>
      <c r="O36" s="9">
        <f t="shared" si="92"/>
        <v>0</v>
      </c>
      <c r="P36" s="9">
        <f t="shared" si="92"/>
        <v>0</v>
      </c>
      <c r="Q36" s="9">
        <f t="shared" si="92"/>
        <v>200</v>
      </c>
      <c r="R36" s="9">
        <f t="shared" si="92"/>
        <v>200</v>
      </c>
      <c r="S36" s="9">
        <f t="shared" si="92"/>
        <v>0</v>
      </c>
      <c r="T36" s="9">
        <f t="shared" si="92"/>
        <v>0</v>
      </c>
      <c r="U36" s="9">
        <f t="shared" si="92"/>
        <v>0</v>
      </c>
      <c r="V36" s="9">
        <f t="shared" si="92"/>
        <v>0</v>
      </c>
      <c r="W36" s="9">
        <f t="shared" si="92"/>
        <v>0</v>
      </c>
      <c r="X36" s="9">
        <f t="shared" si="92"/>
        <v>0</v>
      </c>
      <c r="Y36" s="9">
        <f t="shared" si="92"/>
        <v>200</v>
      </c>
      <c r="Z36" s="9">
        <f t="shared" si="92"/>
        <v>200</v>
      </c>
      <c r="AA36" s="9">
        <f t="shared" si="92"/>
        <v>18387500</v>
      </c>
      <c r="AB36" s="9">
        <f t="shared" si="92"/>
        <v>0</v>
      </c>
      <c r="AC36" s="9">
        <f t="shared" si="92"/>
        <v>200</v>
      </c>
      <c r="AD36" s="9">
        <f t="shared" si="92"/>
        <v>18387700</v>
      </c>
      <c r="AE36" s="9">
        <f t="shared" si="92"/>
        <v>0</v>
      </c>
      <c r="AF36" s="9">
        <f t="shared" si="92"/>
        <v>0</v>
      </c>
      <c r="AG36" s="9">
        <f t="shared" si="92"/>
        <v>0</v>
      </c>
      <c r="AH36" s="9">
        <f t="shared" si="92"/>
        <v>0</v>
      </c>
      <c r="AI36" s="9">
        <f t="shared" si="92"/>
        <v>18387500</v>
      </c>
      <c r="AJ36" s="9">
        <f t="shared" si="92"/>
        <v>0</v>
      </c>
      <c r="AK36" s="9">
        <f t="shared" si="92"/>
        <v>200</v>
      </c>
      <c r="AL36" s="9">
        <f t="shared" si="92"/>
        <v>18387700</v>
      </c>
    </row>
    <row r="37" spans="1:38" s="10" customFormat="1" x14ac:dyDescent="0.25">
      <c r="A37" s="8" t="s">
        <v>678</v>
      </c>
      <c r="B37" s="8" t="s">
        <v>177</v>
      </c>
      <c r="C37" s="9">
        <v>1036081</v>
      </c>
      <c r="D37" s="9">
        <v>2942746</v>
      </c>
      <c r="E37" s="9"/>
      <c r="F37" s="9">
        <f t="shared" ref="F37:F43" si="93">SUM(C37:E37)</f>
        <v>3978827</v>
      </c>
      <c r="G37" s="9">
        <v>38000</v>
      </c>
      <c r="H37" s="9">
        <v>1254298</v>
      </c>
      <c r="I37" s="9"/>
      <c r="J37" s="9">
        <f>SUM(G37:I37)</f>
        <v>1292298</v>
      </c>
      <c r="K37" s="9">
        <f t="shared" ref="K37:K41" si="94">SUM(G37+C37)</f>
        <v>1074081</v>
      </c>
      <c r="L37" s="9">
        <f t="shared" ref="L37:L41" si="95">SUM(H37+D37)</f>
        <v>4197044</v>
      </c>
      <c r="M37" s="9">
        <f t="shared" ref="M37:M41" si="96">SUM(I37+E37)</f>
        <v>0</v>
      </c>
      <c r="N37" s="9">
        <f t="shared" ref="N37:N41" si="97">SUM(K37:M37)</f>
        <v>5271125</v>
      </c>
      <c r="O37" s="9">
        <v>1036992</v>
      </c>
      <c r="P37" s="9">
        <v>334094</v>
      </c>
      <c r="Q37" s="9"/>
      <c r="R37" s="9">
        <f>SUM(O37:Q37)</f>
        <v>1371086</v>
      </c>
      <c r="S37" s="9">
        <v>29727</v>
      </c>
      <c r="T37" s="9">
        <v>0</v>
      </c>
      <c r="U37" s="9">
        <v>2268</v>
      </c>
      <c r="V37" s="9">
        <f>SUM(S37:U37)</f>
        <v>31995</v>
      </c>
      <c r="W37" s="9">
        <f t="shared" ref="W37:W41" si="98">SUM(S37+O37)</f>
        <v>1066719</v>
      </c>
      <c r="X37" s="9">
        <f t="shared" ref="X37:X41" si="99">SUM(T37+P37)</f>
        <v>334094</v>
      </c>
      <c r="Y37" s="9">
        <f t="shared" ref="Y37:Y41" si="100">SUM(Q37+U37)</f>
        <v>2268</v>
      </c>
      <c r="Z37" s="9">
        <f t="shared" ref="Z37:Z41" si="101">SUM(W37:Y37)</f>
        <v>1403081</v>
      </c>
      <c r="AA37" s="7">
        <f t="shared" ref="AA37:AC40" si="102">SUM(O37+C37)</f>
        <v>2073073</v>
      </c>
      <c r="AB37" s="7">
        <f t="shared" si="102"/>
        <v>3276840</v>
      </c>
      <c r="AC37" s="7">
        <f t="shared" si="102"/>
        <v>0</v>
      </c>
      <c r="AD37" s="7">
        <f>SUM(AA37:AC37)</f>
        <v>5349913</v>
      </c>
      <c r="AE37" s="7">
        <f t="shared" ref="AE37:AG40" si="103">SUM(S37+G37)</f>
        <v>67727</v>
      </c>
      <c r="AF37" s="7">
        <f t="shared" si="103"/>
        <v>1254298</v>
      </c>
      <c r="AG37" s="7">
        <f t="shared" si="103"/>
        <v>2268</v>
      </c>
      <c r="AH37" s="7">
        <f t="shared" ref="AH37:AH40" si="104">SUM(AE37:AG37)</f>
        <v>1324293</v>
      </c>
      <c r="AI37" s="7">
        <f t="shared" ref="AI37:AK40" si="105">SUM(W37+K37)</f>
        <v>2140800</v>
      </c>
      <c r="AJ37" s="7">
        <f t="shared" si="105"/>
        <v>4531138</v>
      </c>
      <c r="AK37" s="7">
        <f t="shared" si="105"/>
        <v>2268</v>
      </c>
      <c r="AL37" s="7">
        <f t="shared" ref="AL37:AL40" si="106">SUM(AI37:AK37)</f>
        <v>6674206</v>
      </c>
    </row>
    <row r="38" spans="1:38" s="10" customFormat="1" x14ac:dyDescent="0.25">
      <c r="A38" s="11" t="s">
        <v>223</v>
      </c>
      <c r="B38" s="11" t="s">
        <v>215</v>
      </c>
      <c r="C38" s="13">
        <v>393785</v>
      </c>
      <c r="D38" s="12"/>
      <c r="E38" s="198"/>
      <c r="F38" s="12">
        <f t="shared" si="93"/>
        <v>393785</v>
      </c>
      <c r="G38" s="13"/>
      <c r="H38" s="13"/>
      <c r="I38" s="13"/>
      <c r="J38" s="13">
        <f>SUM(G38:I38)</f>
        <v>0</v>
      </c>
      <c r="K38" s="13">
        <f t="shared" si="94"/>
        <v>393785</v>
      </c>
      <c r="L38" s="13">
        <f t="shared" si="95"/>
        <v>0</v>
      </c>
      <c r="M38" s="13">
        <f t="shared" si="96"/>
        <v>0</v>
      </c>
      <c r="N38" s="14">
        <f t="shared" si="97"/>
        <v>393785</v>
      </c>
      <c r="O38" s="13"/>
      <c r="P38" s="13"/>
      <c r="Q38" s="13"/>
      <c r="R38" s="13">
        <f>SUM(O38:Q38)</f>
        <v>0</v>
      </c>
      <c r="S38" s="13"/>
      <c r="T38" s="13"/>
      <c r="U38" s="13"/>
      <c r="V38" s="13">
        <f>SUM(S38:U38)</f>
        <v>0</v>
      </c>
      <c r="W38" s="13">
        <f t="shared" si="98"/>
        <v>0</v>
      </c>
      <c r="X38" s="13">
        <f t="shared" si="99"/>
        <v>0</v>
      </c>
      <c r="Y38" s="13">
        <f t="shared" si="100"/>
        <v>0</v>
      </c>
      <c r="Z38" s="13">
        <f t="shared" si="101"/>
        <v>0</v>
      </c>
      <c r="AA38" s="6">
        <f t="shared" si="102"/>
        <v>393785</v>
      </c>
      <c r="AB38" s="6">
        <f t="shared" si="102"/>
        <v>0</v>
      </c>
      <c r="AC38" s="6">
        <f t="shared" si="102"/>
        <v>0</v>
      </c>
      <c r="AD38" s="6">
        <f>SUM(AA38:AC38)</f>
        <v>393785</v>
      </c>
      <c r="AE38" s="6">
        <f t="shared" si="103"/>
        <v>0</v>
      </c>
      <c r="AF38" s="6">
        <f t="shared" si="103"/>
        <v>0</v>
      </c>
      <c r="AG38" s="6">
        <f t="shared" si="103"/>
        <v>0</v>
      </c>
      <c r="AH38" s="6">
        <f t="shared" si="104"/>
        <v>0</v>
      </c>
      <c r="AI38" s="6">
        <f t="shared" si="105"/>
        <v>393785</v>
      </c>
      <c r="AJ38" s="6">
        <f t="shared" si="105"/>
        <v>0</v>
      </c>
      <c r="AK38" s="6">
        <f t="shared" si="105"/>
        <v>0</v>
      </c>
      <c r="AL38" s="6">
        <f t="shared" si="106"/>
        <v>393785</v>
      </c>
    </row>
    <row r="39" spans="1:38" s="28" customFormat="1" ht="31.5" x14ac:dyDescent="0.25">
      <c r="A39" s="201" t="s">
        <v>224</v>
      </c>
      <c r="B39" s="26" t="s">
        <v>225</v>
      </c>
      <c r="C39" s="13">
        <v>141643</v>
      </c>
      <c r="D39" s="12">
        <v>2904852</v>
      </c>
      <c r="E39" s="198"/>
      <c r="F39" s="12">
        <f t="shared" si="93"/>
        <v>3046495</v>
      </c>
      <c r="G39" s="13"/>
      <c r="H39" s="13">
        <v>324</v>
      </c>
      <c r="I39" s="13"/>
      <c r="J39" s="13">
        <f t="shared" ref="J39:J43" si="107">SUM(G39:I39)</f>
        <v>324</v>
      </c>
      <c r="K39" s="13">
        <f t="shared" si="94"/>
        <v>141643</v>
      </c>
      <c r="L39" s="13">
        <f t="shared" si="95"/>
        <v>2905176</v>
      </c>
      <c r="M39" s="13">
        <f t="shared" si="96"/>
        <v>0</v>
      </c>
      <c r="N39" s="14">
        <f t="shared" si="97"/>
        <v>3046819</v>
      </c>
      <c r="O39" s="13">
        <v>264525</v>
      </c>
      <c r="P39" s="13">
        <v>108794</v>
      </c>
      <c r="Q39" s="13"/>
      <c r="R39" s="13">
        <f>SUM(O39:Q39)</f>
        <v>373319</v>
      </c>
      <c r="S39" s="13">
        <v>4136</v>
      </c>
      <c r="T39" s="13"/>
      <c r="U39" s="13">
        <v>0</v>
      </c>
      <c r="V39" s="13">
        <f t="shared" ref="V39:V43" si="108">SUM(S39:U39)</f>
        <v>4136</v>
      </c>
      <c r="W39" s="13">
        <f t="shared" si="98"/>
        <v>268661</v>
      </c>
      <c r="X39" s="13">
        <f t="shared" si="99"/>
        <v>108794</v>
      </c>
      <c r="Y39" s="13">
        <f t="shared" si="100"/>
        <v>0</v>
      </c>
      <c r="Z39" s="13">
        <f t="shared" si="101"/>
        <v>377455</v>
      </c>
      <c r="AA39" s="6">
        <f t="shared" si="102"/>
        <v>406168</v>
      </c>
      <c r="AB39" s="6">
        <f t="shared" si="102"/>
        <v>3013646</v>
      </c>
      <c r="AC39" s="6">
        <f t="shared" si="102"/>
        <v>0</v>
      </c>
      <c r="AD39" s="6">
        <f>SUM(AA39:AC39)</f>
        <v>3419814</v>
      </c>
      <c r="AE39" s="6">
        <f t="shared" si="103"/>
        <v>4136</v>
      </c>
      <c r="AF39" s="6">
        <f t="shared" si="103"/>
        <v>324</v>
      </c>
      <c r="AG39" s="6">
        <f t="shared" si="103"/>
        <v>0</v>
      </c>
      <c r="AH39" s="6">
        <f t="shared" si="104"/>
        <v>4460</v>
      </c>
      <c r="AI39" s="6">
        <f t="shared" si="105"/>
        <v>410304</v>
      </c>
      <c r="AJ39" s="6">
        <f t="shared" si="105"/>
        <v>3013970</v>
      </c>
      <c r="AK39" s="6">
        <f t="shared" si="105"/>
        <v>0</v>
      </c>
      <c r="AL39" s="6">
        <f t="shared" si="106"/>
        <v>3424274</v>
      </c>
    </row>
    <row r="40" spans="1:38" s="28" customFormat="1" x14ac:dyDescent="0.25">
      <c r="A40" s="201" t="s">
        <v>226</v>
      </c>
      <c r="B40" s="26" t="s">
        <v>216</v>
      </c>
      <c r="C40" s="13">
        <v>78000</v>
      </c>
      <c r="D40" s="12"/>
      <c r="E40" s="198"/>
      <c r="F40" s="12">
        <f t="shared" si="93"/>
        <v>78000</v>
      </c>
      <c r="G40" s="13">
        <v>38000</v>
      </c>
      <c r="H40" s="13"/>
      <c r="I40" s="13"/>
      <c r="J40" s="13">
        <f t="shared" si="107"/>
        <v>38000</v>
      </c>
      <c r="K40" s="13">
        <f t="shared" si="94"/>
        <v>116000</v>
      </c>
      <c r="L40" s="13">
        <f t="shared" si="95"/>
        <v>0</v>
      </c>
      <c r="M40" s="13">
        <f t="shared" si="96"/>
        <v>0</v>
      </c>
      <c r="N40" s="14">
        <f t="shared" si="97"/>
        <v>116000</v>
      </c>
      <c r="O40" s="13"/>
      <c r="P40" s="13"/>
      <c r="Q40" s="13"/>
      <c r="R40" s="13">
        <f>SUM(O40:Q40)</f>
        <v>0</v>
      </c>
      <c r="S40" s="13"/>
      <c r="T40" s="13"/>
      <c r="U40" s="13"/>
      <c r="V40" s="13">
        <f t="shared" si="108"/>
        <v>0</v>
      </c>
      <c r="W40" s="13">
        <f t="shared" si="98"/>
        <v>0</v>
      </c>
      <c r="X40" s="13">
        <f t="shared" si="99"/>
        <v>0</v>
      </c>
      <c r="Y40" s="13">
        <f t="shared" si="100"/>
        <v>0</v>
      </c>
      <c r="Z40" s="13">
        <f t="shared" si="101"/>
        <v>0</v>
      </c>
      <c r="AA40" s="6">
        <f t="shared" si="102"/>
        <v>78000</v>
      </c>
      <c r="AB40" s="6">
        <f t="shared" si="102"/>
        <v>0</v>
      </c>
      <c r="AC40" s="6">
        <f t="shared" si="102"/>
        <v>0</v>
      </c>
      <c r="AD40" s="6">
        <f>SUM(AA40:AC40)</f>
        <v>78000</v>
      </c>
      <c r="AE40" s="6">
        <f t="shared" si="103"/>
        <v>38000</v>
      </c>
      <c r="AF40" s="6">
        <f t="shared" si="103"/>
        <v>0</v>
      </c>
      <c r="AG40" s="6">
        <f t="shared" si="103"/>
        <v>0</v>
      </c>
      <c r="AH40" s="6">
        <f t="shared" si="104"/>
        <v>38000</v>
      </c>
      <c r="AI40" s="6">
        <f t="shared" si="105"/>
        <v>116000</v>
      </c>
      <c r="AJ40" s="6">
        <f t="shared" si="105"/>
        <v>0</v>
      </c>
      <c r="AK40" s="6">
        <f t="shared" si="105"/>
        <v>0</v>
      </c>
      <c r="AL40" s="6">
        <f t="shared" si="106"/>
        <v>116000</v>
      </c>
    </row>
    <row r="41" spans="1:38" x14ac:dyDescent="0.25">
      <c r="A41" s="34" t="s">
        <v>679</v>
      </c>
      <c r="B41" s="34" t="s">
        <v>217</v>
      </c>
      <c r="C41" s="35">
        <v>190500</v>
      </c>
      <c r="D41" s="202">
        <v>88300</v>
      </c>
      <c r="E41" s="35"/>
      <c r="F41" s="36">
        <f t="shared" si="93"/>
        <v>278800</v>
      </c>
      <c r="G41" s="36"/>
      <c r="H41" s="36"/>
      <c r="I41" s="36"/>
      <c r="J41" s="13">
        <f t="shared" si="107"/>
        <v>0</v>
      </c>
      <c r="K41" s="35">
        <f t="shared" si="94"/>
        <v>190500</v>
      </c>
      <c r="L41" s="36">
        <f t="shared" si="95"/>
        <v>88300</v>
      </c>
      <c r="M41" s="36">
        <f t="shared" si="96"/>
        <v>0</v>
      </c>
      <c r="N41" s="36">
        <f t="shared" si="97"/>
        <v>278800</v>
      </c>
      <c r="O41" s="35"/>
      <c r="P41" s="35"/>
      <c r="Q41" s="35"/>
      <c r="R41" s="13">
        <f>SUM(O41:Q41)</f>
        <v>0</v>
      </c>
      <c r="S41" s="13"/>
      <c r="T41" s="13"/>
      <c r="U41" s="13"/>
      <c r="V41" s="13">
        <f t="shared" si="108"/>
        <v>0</v>
      </c>
      <c r="W41" s="13">
        <f t="shared" si="98"/>
        <v>0</v>
      </c>
      <c r="X41" s="13">
        <f t="shared" si="99"/>
        <v>0</v>
      </c>
      <c r="Y41" s="13">
        <f t="shared" si="100"/>
        <v>0</v>
      </c>
      <c r="Z41" s="13">
        <f t="shared" si="101"/>
        <v>0</v>
      </c>
      <c r="AA41" s="6">
        <f>SUM(C41+O41)</f>
        <v>190500</v>
      </c>
      <c r="AB41" s="6">
        <f>SUM(D41+P41)</f>
        <v>88300</v>
      </c>
      <c r="AC41" s="6">
        <f>SUM(E41+Q41)</f>
        <v>0</v>
      </c>
      <c r="AD41" s="6">
        <f>SUM(F41+R41)</f>
        <v>278800</v>
      </c>
      <c r="AE41" s="6">
        <f t="shared" ref="AE41:AL41" si="109">SUM(G41+S41)</f>
        <v>0</v>
      </c>
      <c r="AF41" s="6">
        <f t="shared" si="109"/>
        <v>0</v>
      </c>
      <c r="AG41" s="6">
        <f t="shared" si="109"/>
        <v>0</v>
      </c>
      <c r="AH41" s="6">
        <f t="shared" si="109"/>
        <v>0</v>
      </c>
      <c r="AI41" s="6">
        <f t="shared" si="109"/>
        <v>190500</v>
      </c>
      <c r="AJ41" s="6">
        <f t="shared" si="109"/>
        <v>88300</v>
      </c>
      <c r="AK41" s="6">
        <f t="shared" si="109"/>
        <v>0</v>
      </c>
      <c r="AL41" s="6">
        <f t="shared" si="109"/>
        <v>278800</v>
      </c>
    </row>
    <row r="42" spans="1:38" x14ac:dyDescent="0.25">
      <c r="A42" s="34" t="s">
        <v>1269</v>
      </c>
      <c r="B42" s="34" t="s">
        <v>1267</v>
      </c>
      <c r="C42" s="35">
        <v>0</v>
      </c>
      <c r="D42" s="202">
        <v>0</v>
      </c>
      <c r="E42" s="35"/>
      <c r="F42" s="36">
        <f t="shared" si="93"/>
        <v>0</v>
      </c>
      <c r="G42" s="36"/>
      <c r="H42" s="36">
        <v>1200</v>
      </c>
      <c r="I42" s="36"/>
      <c r="J42" s="13">
        <f t="shared" si="107"/>
        <v>1200</v>
      </c>
      <c r="K42" s="35">
        <f t="shared" ref="K42:K43" si="110">SUM(G42+C42)</f>
        <v>0</v>
      </c>
      <c r="L42" s="36">
        <f t="shared" ref="L42:L43" si="111">SUM(H42+D42)</f>
        <v>1200</v>
      </c>
      <c r="M42" s="36">
        <f t="shared" ref="M42:M43" si="112">SUM(I42+E42)</f>
        <v>0</v>
      </c>
      <c r="N42" s="36">
        <f t="shared" ref="N42:N43" si="113">SUM(K42:M42)</f>
        <v>1200</v>
      </c>
      <c r="O42" s="35"/>
      <c r="P42" s="35"/>
      <c r="Q42" s="35"/>
      <c r="R42" s="13">
        <f t="shared" ref="R42:R43" si="114">SUM(O42:Q42)</f>
        <v>0</v>
      </c>
      <c r="S42" s="13"/>
      <c r="T42" s="13"/>
      <c r="U42" s="13"/>
      <c r="V42" s="13">
        <f t="shared" si="108"/>
        <v>0</v>
      </c>
      <c r="W42" s="13">
        <f t="shared" ref="W42:W43" si="115">SUM(S42+O42)</f>
        <v>0</v>
      </c>
      <c r="X42" s="13">
        <f t="shared" ref="X42:X43" si="116">SUM(T42+P42)</f>
        <v>0</v>
      </c>
      <c r="Y42" s="13">
        <f t="shared" ref="Y42:Y43" si="117">SUM(Q42+U42)</f>
        <v>0</v>
      </c>
      <c r="Z42" s="13">
        <f t="shared" ref="Z42:Z43" si="118">SUM(W42:Y42)</f>
        <v>0</v>
      </c>
      <c r="AA42" s="6">
        <f t="shared" ref="AA42:AA43" si="119">SUM(C42+O42)</f>
        <v>0</v>
      </c>
      <c r="AB42" s="6">
        <f t="shared" ref="AB42:AB43" si="120">SUM(D42+P42)</f>
        <v>0</v>
      </c>
      <c r="AC42" s="6">
        <f t="shared" ref="AC42:AC43" si="121">SUM(E42+Q42)</f>
        <v>0</v>
      </c>
      <c r="AD42" s="6">
        <f t="shared" ref="AD42:AD43" si="122">SUM(F42+R42)</f>
        <v>0</v>
      </c>
      <c r="AE42" s="6">
        <f t="shared" ref="AE42:AE43" si="123">SUM(G42+S42)</f>
        <v>0</v>
      </c>
      <c r="AF42" s="6">
        <f t="shared" ref="AF42:AF43" si="124">SUM(H42+T42)</f>
        <v>1200</v>
      </c>
      <c r="AG42" s="6">
        <f t="shared" ref="AG42:AG43" si="125">SUM(I42+U42)</f>
        <v>0</v>
      </c>
      <c r="AH42" s="6">
        <f t="shared" ref="AH42:AH43" si="126">SUM(J42+V42)</f>
        <v>1200</v>
      </c>
      <c r="AI42" s="6">
        <f t="shared" ref="AI42:AI43" si="127">SUM(K42+W42)</f>
        <v>0</v>
      </c>
      <c r="AJ42" s="6">
        <f t="shared" ref="AJ42:AJ43" si="128">SUM(L42+X42)</f>
        <v>1200</v>
      </c>
      <c r="AK42" s="6">
        <f t="shared" ref="AK42:AK43" si="129">SUM(M42+Y42)</f>
        <v>0</v>
      </c>
      <c r="AL42" s="6">
        <f t="shared" ref="AL42:AL43" si="130">SUM(N42+Z42)</f>
        <v>1200</v>
      </c>
    </row>
    <row r="43" spans="1:38" x14ac:dyDescent="0.25">
      <c r="A43" s="34" t="s">
        <v>1270</v>
      </c>
      <c r="B43" s="34" t="s">
        <v>1268</v>
      </c>
      <c r="C43" s="35">
        <v>0</v>
      </c>
      <c r="D43" s="202">
        <v>0</v>
      </c>
      <c r="E43" s="35"/>
      <c r="F43" s="36">
        <f t="shared" si="93"/>
        <v>0</v>
      </c>
      <c r="G43" s="36"/>
      <c r="H43" s="36">
        <v>2860</v>
      </c>
      <c r="I43" s="36"/>
      <c r="J43" s="13">
        <f t="shared" si="107"/>
        <v>2860</v>
      </c>
      <c r="K43" s="35">
        <f t="shared" si="110"/>
        <v>0</v>
      </c>
      <c r="L43" s="36">
        <f t="shared" si="111"/>
        <v>2860</v>
      </c>
      <c r="M43" s="36">
        <f t="shared" si="112"/>
        <v>0</v>
      </c>
      <c r="N43" s="36">
        <f t="shared" si="113"/>
        <v>2860</v>
      </c>
      <c r="O43" s="35"/>
      <c r="P43" s="35"/>
      <c r="Q43" s="35"/>
      <c r="R43" s="13">
        <f t="shared" si="114"/>
        <v>0</v>
      </c>
      <c r="S43" s="13"/>
      <c r="T43" s="13"/>
      <c r="U43" s="13"/>
      <c r="V43" s="13">
        <f t="shared" si="108"/>
        <v>0</v>
      </c>
      <c r="W43" s="13">
        <f t="shared" si="115"/>
        <v>0</v>
      </c>
      <c r="X43" s="13">
        <f t="shared" si="116"/>
        <v>0</v>
      </c>
      <c r="Y43" s="13">
        <f t="shared" si="117"/>
        <v>0</v>
      </c>
      <c r="Z43" s="13">
        <f t="shared" si="118"/>
        <v>0</v>
      </c>
      <c r="AA43" s="6">
        <f t="shared" si="119"/>
        <v>0</v>
      </c>
      <c r="AB43" s="6">
        <f t="shared" si="120"/>
        <v>0</v>
      </c>
      <c r="AC43" s="6">
        <f t="shared" si="121"/>
        <v>0</v>
      </c>
      <c r="AD43" s="6">
        <f t="shared" si="122"/>
        <v>0</v>
      </c>
      <c r="AE43" s="6">
        <f t="shared" si="123"/>
        <v>0</v>
      </c>
      <c r="AF43" s="6">
        <f t="shared" si="124"/>
        <v>2860</v>
      </c>
      <c r="AG43" s="6">
        <f t="shared" si="125"/>
        <v>0</v>
      </c>
      <c r="AH43" s="6">
        <f t="shared" si="126"/>
        <v>2860</v>
      </c>
      <c r="AI43" s="6">
        <f t="shared" si="127"/>
        <v>0</v>
      </c>
      <c r="AJ43" s="6">
        <f t="shared" si="128"/>
        <v>2860</v>
      </c>
      <c r="AK43" s="6">
        <f t="shared" si="129"/>
        <v>0</v>
      </c>
      <c r="AL43" s="6">
        <f t="shared" si="130"/>
        <v>2860</v>
      </c>
    </row>
    <row r="44" spans="1:38" s="10" customFormat="1" ht="31.5" x14ac:dyDescent="0.25">
      <c r="A44" s="203" t="s">
        <v>1271</v>
      </c>
      <c r="B44" s="203" t="s">
        <v>178</v>
      </c>
      <c r="C44" s="7">
        <f>SUM(C41:C43)</f>
        <v>190500</v>
      </c>
      <c r="D44" s="7">
        <f t="shared" ref="D44:AL44" si="131">SUM(D41:D43)</f>
        <v>88300</v>
      </c>
      <c r="E44" s="7">
        <f t="shared" si="131"/>
        <v>0</v>
      </c>
      <c r="F44" s="7">
        <f t="shared" si="131"/>
        <v>278800</v>
      </c>
      <c r="G44" s="7">
        <f t="shared" si="131"/>
        <v>0</v>
      </c>
      <c r="H44" s="7">
        <f t="shared" si="131"/>
        <v>4060</v>
      </c>
      <c r="I44" s="7">
        <f t="shared" si="131"/>
        <v>0</v>
      </c>
      <c r="J44" s="7">
        <f t="shared" si="131"/>
        <v>4060</v>
      </c>
      <c r="K44" s="7">
        <f t="shared" si="131"/>
        <v>190500</v>
      </c>
      <c r="L44" s="7">
        <f t="shared" si="131"/>
        <v>92360</v>
      </c>
      <c r="M44" s="7">
        <f t="shared" si="131"/>
        <v>0</v>
      </c>
      <c r="N44" s="7">
        <f t="shared" si="131"/>
        <v>282860</v>
      </c>
      <c r="O44" s="7">
        <f t="shared" si="131"/>
        <v>0</v>
      </c>
      <c r="P44" s="7">
        <f t="shared" si="131"/>
        <v>0</v>
      </c>
      <c r="Q44" s="7">
        <f t="shared" si="131"/>
        <v>0</v>
      </c>
      <c r="R44" s="7">
        <f t="shared" si="131"/>
        <v>0</v>
      </c>
      <c r="S44" s="7">
        <f t="shared" si="131"/>
        <v>0</v>
      </c>
      <c r="T44" s="7">
        <f t="shared" si="131"/>
        <v>0</v>
      </c>
      <c r="U44" s="7">
        <f t="shared" si="131"/>
        <v>0</v>
      </c>
      <c r="V44" s="7">
        <f t="shared" si="131"/>
        <v>0</v>
      </c>
      <c r="W44" s="7">
        <f t="shared" si="131"/>
        <v>0</v>
      </c>
      <c r="X44" s="7">
        <f t="shared" si="131"/>
        <v>0</v>
      </c>
      <c r="Y44" s="7">
        <f t="shared" si="131"/>
        <v>0</v>
      </c>
      <c r="Z44" s="7">
        <f t="shared" si="131"/>
        <v>0</v>
      </c>
      <c r="AA44" s="7">
        <f t="shared" si="131"/>
        <v>190500</v>
      </c>
      <c r="AB44" s="7">
        <f t="shared" si="131"/>
        <v>88300</v>
      </c>
      <c r="AC44" s="7">
        <f t="shared" si="131"/>
        <v>0</v>
      </c>
      <c r="AD44" s="7">
        <f t="shared" si="131"/>
        <v>278800</v>
      </c>
      <c r="AE44" s="7">
        <f t="shared" si="131"/>
        <v>0</v>
      </c>
      <c r="AF44" s="7">
        <f t="shared" si="131"/>
        <v>4060</v>
      </c>
      <c r="AG44" s="7">
        <f t="shared" si="131"/>
        <v>0</v>
      </c>
      <c r="AH44" s="7">
        <f t="shared" si="131"/>
        <v>4060</v>
      </c>
      <c r="AI44" s="7">
        <f t="shared" si="131"/>
        <v>190500</v>
      </c>
      <c r="AJ44" s="7">
        <f t="shared" si="131"/>
        <v>92360</v>
      </c>
      <c r="AK44" s="7">
        <f t="shared" si="131"/>
        <v>0</v>
      </c>
      <c r="AL44" s="7">
        <f t="shared" si="131"/>
        <v>282860</v>
      </c>
    </row>
    <row r="45" spans="1:38" s="10" customFormat="1" x14ac:dyDescent="0.25">
      <c r="A45" s="29" t="s">
        <v>680</v>
      </c>
      <c r="B45" s="29" t="s">
        <v>179</v>
      </c>
      <c r="C45" s="31">
        <v>29517</v>
      </c>
      <c r="D45" s="30">
        <v>384345</v>
      </c>
      <c r="E45" s="31"/>
      <c r="F45" s="32">
        <f>SUM(C45:E45)</f>
        <v>413862</v>
      </c>
      <c r="G45" s="32"/>
      <c r="H45" s="32">
        <v>7500</v>
      </c>
      <c r="I45" s="32"/>
      <c r="J45" s="32">
        <f>SUM(G45:I45)</f>
        <v>7500</v>
      </c>
      <c r="K45" s="31">
        <f t="shared" ref="K45:K46" si="132">SUM(G45+C45)</f>
        <v>29517</v>
      </c>
      <c r="L45" s="32">
        <f t="shared" ref="L45:L46" si="133">SUM(H45+D45)</f>
        <v>391845</v>
      </c>
      <c r="M45" s="32">
        <f t="shared" ref="M45:M46" si="134">SUM(I45+E45)</f>
        <v>0</v>
      </c>
      <c r="N45" s="32">
        <f t="shared" ref="N45:N46" si="135">SUM(K45:M45)</f>
        <v>421362</v>
      </c>
      <c r="O45" s="31">
        <v>0</v>
      </c>
      <c r="P45" s="31">
        <v>102000</v>
      </c>
      <c r="Q45" s="31">
        <v>0</v>
      </c>
      <c r="R45" s="31">
        <f>SUM(O45:Q45)</f>
        <v>102000</v>
      </c>
      <c r="S45" s="31">
        <v>1233</v>
      </c>
      <c r="T45" s="31">
        <v>35218</v>
      </c>
      <c r="U45" s="31">
        <v>0</v>
      </c>
      <c r="V45" s="31">
        <f>SUM(S45:U45)</f>
        <v>36451</v>
      </c>
      <c r="W45" s="31">
        <f t="shared" ref="W45:W46" si="136">SUM(S45+O45)</f>
        <v>1233</v>
      </c>
      <c r="X45" s="31">
        <f t="shared" ref="X45:X46" si="137">SUM(T45+P45)</f>
        <v>137218</v>
      </c>
      <c r="Y45" s="31">
        <f t="shared" ref="Y45:Y46" si="138">SUM(Q45+U45)</f>
        <v>0</v>
      </c>
      <c r="Z45" s="31">
        <f t="shared" ref="Z45:Z46" si="139">SUM(W45:Y45)</f>
        <v>138451</v>
      </c>
      <c r="AA45" s="7">
        <f t="shared" ref="AA45:AD46" si="140">SUM(C45+O45)</f>
        <v>29517</v>
      </c>
      <c r="AB45" s="7">
        <f t="shared" si="140"/>
        <v>486345</v>
      </c>
      <c r="AC45" s="7">
        <f t="shared" si="140"/>
        <v>0</v>
      </c>
      <c r="AD45" s="7">
        <f t="shared" si="140"/>
        <v>515862</v>
      </c>
      <c r="AE45" s="7">
        <f t="shared" ref="AE45:AL46" si="141">SUM(G45+S45)</f>
        <v>1233</v>
      </c>
      <c r="AF45" s="7">
        <f t="shared" si="141"/>
        <v>42718</v>
      </c>
      <c r="AG45" s="7">
        <f t="shared" si="141"/>
        <v>0</v>
      </c>
      <c r="AH45" s="7">
        <f t="shared" si="141"/>
        <v>43951</v>
      </c>
      <c r="AI45" s="7">
        <f t="shared" si="141"/>
        <v>30750</v>
      </c>
      <c r="AJ45" s="7">
        <f t="shared" si="141"/>
        <v>529063</v>
      </c>
      <c r="AK45" s="7">
        <f t="shared" si="141"/>
        <v>0</v>
      </c>
      <c r="AL45" s="7">
        <f t="shared" si="141"/>
        <v>559813</v>
      </c>
    </row>
    <row r="46" spans="1:38" s="10" customFormat="1" ht="16.5" thickBot="1" x14ac:dyDescent="0.3">
      <c r="A46" s="42" t="s">
        <v>681</v>
      </c>
      <c r="B46" s="42" t="s">
        <v>180</v>
      </c>
      <c r="C46" s="228">
        <v>87912</v>
      </c>
      <c r="D46" s="229">
        <v>28475</v>
      </c>
      <c r="E46" s="228"/>
      <c r="F46" s="230">
        <f>SUM(C46:E46)</f>
        <v>116387</v>
      </c>
      <c r="G46" s="230">
        <v>3988</v>
      </c>
      <c r="H46" s="230"/>
      <c r="I46" s="230"/>
      <c r="J46" s="230">
        <f>SUM(G46:I46)</f>
        <v>3988</v>
      </c>
      <c r="K46" s="228">
        <f t="shared" si="132"/>
        <v>91900</v>
      </c>
      <c r="L46" s="230">
        <f t="shared" si="133"/>
        <v>28475</v>
      </c>
      <c r="M46" s="230">
        <f t="shared" si="134"/>
        <v>0</v>
      </c>
      <c r="N46" s="230">
        <f t="shared" si="135"/>
        <v>120375</v>
      </c>
      <c r="O46" s="228">
        <v>0</v>
      </c>
      <c r="P46" s="228"/>
      <c r="Q46" s="228"/>
      <c r="R46" s="31">
        <f>SUM(O46:Q46)</f>
        <v>0</v>
      </c>
      <c r="S46" s="411"/>
      <c r="T46" s="411"/>
      <c r="U46" s="411"/>
      <c r="V46" s="411">
        <f>SUM(S46:U46)</f>
        <v>0</v>
      </c>
      <c r="W46" s="411">
        <f t="shared" si="136"/>
        <v>0</v>
      </c>
      <c r="X46" s="411">
        <f t="shared" si="137"/>
        <v>0</v>
      </c>
      <c r="Y46" s="411">
        <f t="shared" si="138"/>
        <v>0</v>
      </c>
      <c r="Z46" s="411">
        <f t="shared" si="139"/>
        <v>0</v>
      </c>
      <c r="AA46" s="41">
        <f t="shared" si="140"/>
        <v>87912</v>
      </c>
      <c r="AB46" s="41">
        <f t="shared" si="140"/>
        <v>28475</v>
      </c>
      <c r="AC46" s="41">
        <f t="shared" si="140"/>
        <v>0</v>
      </c>
      <c r="AD46" s="41">
        <f t="shared" si="140"/>
        <v>116387</v>
      </c>
      <c r="AE46" s="41">
        <f t="shared" si="141"/>
        <v>3988</v>
      </c>
      <c r="AF46" s="41">
        <f t="shared" si="141"/>
        <v>0</v>
      </c>
      <c r="AG46" s="41">
        <f t="shared" si="141"/>
        <v>0</v>
      </c>
      <c r="AH46" s="41">
        <f t="shared" si="141"/>
        <v>3988</v>
      </c>
      <c r="AI46" s="41">
        <f t="shared" si="141"/>
        <v>91900</v>
      </c>
      <c r="AJ46" s="41">
        <f t="shared" si="141"/>
        <v>28475</v>
      </c>
      <c r="AK46" s="41">
        <f t="shared" si="141"/>
        <v>0</v>
      </c>
      <c r="AL46" s="41">
        <f t="shared" si="141"/>
        <v>120375</v>
      </c>
    </row>
    <row r="47" spans="1:38" s="10" customFormat="1" ht="33" thickTop="1" thickBot="1" x14ac:dyDescent="0.3">
      <c r="A47" s="43" t="s">
        <v>682</v>
      </c>
      <c r="B47" s="43"/>
      <c r="C47" s="46">
        <f t="shared" ref="C47:AL47" si="142">SUM(C45+C37+C36+C19)</f>
        <v>23666470</v>
      </c>
      <c r="D47" s="46">
        <f t="shared" si="142"/>
        <v>3664663</v>
      </c>
      <c r="E47" s="46">
        <f t="shared" si="142"/>
        <v>0</v>
      </c>
      <c r="F47" s="46">
        <f t="shared" si="142"/>
        <v>27331133</v>
      </c>
      <c r="G47" s="46">
        <f t="shared" si="142"/>
        <v>201166</v>
      </c>
      <c r="H47" s="46">
        <f t="shared" si="142"/>
        <v>1284298</v>
      </c>
      <c r="I47" s="46">
        <f t="shared" si="142"/>
        <v>0</v>
      </c>
      <c r="J47" s="46">
        <f t="shared" si="142"/>
        <v>1485464</v>
      </c>
      <c r="K47" s="46">
        <f t="shared" si="142"/>
        <v>23867636</v>
      </c>
      <c r="L47" s="46">
        <f t="shared" si="142"/>
        <v>4948961</v>
      </c>
      <c r="M47" s="46">
        <f t="shared" si="142"/>
        <v>0</v>
      </c>
      <c r="N47" s="46">
        <f t="shared" si="142"/>
        <v>28816597</v>
      </c>
      <c r="O47" s="46">
        <f t="shared" si="142"/>
        <v>1774636</v>
      </c>
      <c r="P47" s="46">
        <f t="shared" si="142"/>
        <v>721657</v>
      </c>
      <c r="Q47" s="46">
        <f t="shared" si="142"/>
        <v>83627</v>
      </c>
      <c r="R47" s="46">
        <f t="shared" si="142"/>
        <v>2579920</v>
      </c>
      <c r="S47" s="46">
        <f t="shared" si="142"/>
        <v>244207</v>
      </c>
      <c r="T47" s="46">
        <f t="shared" si="142"/>
        <v>103043</v>
      </c>
      <c r="U47" s="46">
        <f t="shared" si="142"/>
        <v>2268</v>
      </c>
      <c r="V47" s="46">
        <f t="shared" si="142"/>
        <v>349518</v>
      </c>
      <c r="W47" s="46">
        <f t="shared" si="142"/>
        <v>2018843</v>
      </c>
      <c r="X47" s="46">
        <f t="shared" si="142"/>
        <v>824700</v>
      </c>
      <c r="Y47" s="46">
        <f t="shared" si="142"/>
        <v>85895</v>
      </c>
      <c r="Z47" s="46">
        <f t="shared" si="142"/>
        <v>2929438</v>
      </c>
      <c r="AA47" s="46">
        <f t="shared" si="142"/>
        <v>25441106</v>
      </c>
      <c r="AB47" s="46">
        <f t="shared" si="142"/>
        <v>4386320</v>
      </c>
      <c r="AC47" s="46">
        <f t="shared" si="142"/>
        <v>83627</v>
      </c>
      <c r="AD47" s="46">
        <f t="shared" si="142"/>
        <v>29911053</v>
      </c>
      <c r="AE47" s="46">
        <f t="shared" si="142"/>
        <v>445373</v>
      </c>
      <c r="AF47" s="46">
        <f t="shared" si="142"/>
        <v>1387341</v>
      </c>
      <c r="AG47" s="46">
        <f t="shared" si="142"/>
        <v>2268</v>
      </c>
      <c r="AH47" s="46">
        <f t="shared" si="142"/>
        <v>1834982</v>
      </c>
      <c r="AI47" s="46">
        <f t="shared" si="142"/>
        <v>25886479</v>
      </c>
      <c r="AJ47" s="46">
        <f t="shared" si="142"/>
        <v>5773661</v>
      </c>
      <c r="AK47" s="46">
        <f t="shared" si="142"/>
        <v>85895</v>
      </c>
      <c r="AL47" s="46">
        <f t="shared" si="142"/>
        <v>31746035</v>
      </c>
    </row>
    <row r="48" spans="1:38" s="10" customFormat="1" ht="33" thickTop="1" thickBot="1" x14ac:dyDescent="0.3">
      <c r="A48" s="43" t="s">
        <v>683</v>
      </c>
      <c r="B48" s="43"/>
      <c r="C48" s="46">
        <f t="shared" ref="C48:AL48" si="143">SUM(C22+C44+C46)</f>
        <v>3776748</v>
      </c>
      <c r="D48" s="46">
        <f t="shared" si="143"/>
        <v>11405989</v>
      </c>
      <c r="E48" s="46">
        <f t="shared" si="143"/>
        <v>0</v>
      </c>
      <c r="F48" s="46">
        <f t="shared" si="143"/>
        <v>15182737</v>
      </c>
      <c r="G48" s="46">
        <f t="shared" si="143"/>
        <v>420718</v>
      </c>
      <c r="H48" s="46">
        <f t="shared" si="143"/>
        <v>203810</v>
      </c>
      <c r="I48" s="46">
        <f t="shared" si="143"/>
        <v>0</v>
      </c>
      <c r="J48" s="46">
        <f t="shared" si="143"/>
        <v>624528</v>
      </c>
      <c r="K48" s="46">
        <f t="shared" si="143"/>
        <v>4197466</v>
      </c>
      <c r="L48" s="46">
        <f t="shared" si="143"/>
        <v>11609799</v>
      </c>
      <c r="M48" s="46">
        <f t="shared" si="143"/>
        <v>0</v>
      </c>
      <c r="N48" s="46">
        <f t="shared" si="143"/>
        <v>15807265</v>
      </c>
      <c r="O48" s="46">
        <f t="shared" si="143"/>
        <v>0</v>
      </c>
      <c r="P48" s="46">
        <f t="shared" si="143"/>
        <v>0</v>
      </c>
      <c r="Q48" s="46">
        <f t="shared" si="143"/>
        <v>0</v>
      </c>
      <c r="R48" s="46">
        <f t="shared" si="143"/>
        <v>0</v>
      </c>
      <c r="S48" s="46">
        <f t="shared" si="143"/>
        <v>0</v>
      </c>
      <c r="T48" s="46">
        <f t="shared" si="143"/>
        <v>0</v>
      </c>
      <c r="U48" s="46">
        <f t="shared" si="143"/>
        <v>0</v>
      </c>
      <c r="V48" s="46">
        <f t="shared" si="143"/>
        <v>0</v>
      </c>
      <c r="W48" s="46">
        <f t="shared" si="143"/>
        <v>0</v>
      </c>
      <c r="X48" s="46">
        <f t="shared" si="143"/>
        <v>0</v>
      </c>
      <c r="Y48" s="46">
        <f t="shared" si="143"/>
        <v>0</v>
      </c>
      <c r="Z48" s="46">
        <f t="shared" si="143"/>
        <v>0</v>
      </c>
      <c r="AA48" s="46">
        <f t="shared" si="143"/>
        <v>3776748</v>
      </c>
      <c r="AB48" s="46">
        <f t="shared" si="143"/>
        <v>11405989</v>
      </c>
      <c r="AC48" s="46">
        <f t="shared" si="143"/>
        <v>0</v>
      </c>
      <c r="AD48" s="46">
        <f t="shared" si="143"/>
        <v>15182737</v>
      </c>
      <c r="AE48" s="46">
        <f t="shared" si="143"/>
        <v>420718</v>
      </c>
      <c r="AF48" s="46">
        <f t="shared" si="143"/>
        <v>203810</v>
      </c>
      <c r="AG48" s="46">
        <f t="shared" si="143"/>
        <v>0</v>
      </c>
      <c r="AH48" s="46">
        <f t="shared" si="143"/>
        <v>624528</v>
      </c>
      <c r="AI48" s="46">
        <f t="shared" si="143"/>
        <v>4197466</v>
      </c>
      <c r="AJ48" s="46">
        <f t="shared" si="143"/>
        <v>11609799</v>
      </c>
      <c r="AK48" s="46">
        <f t="shared" si="143"/>
        <v>0</v>
      </c>
      <c r="AL48" s="46">
        <f t="shared" si="143"/>
        <v>15807265</v>
      </c>
    </row>
    <row r="49" spans="1:38" ht="33" thickTop="1" thickBot="1" x14ac:dyDescent="0.3">
      <c r="A49" s="43" t="s">
        <v>684</v>
      </c>
      <c r="B49" s="43" t="s">
        <v>288</v>
      </c>
      <c r="C49" s="33">
        <f>SUM(C47+C48)</f>
        <v>27443218</v>
      </c>
      <c r="D49" s="33">
        <f t="shared" ref="D49:AD49" si="144">SUM(D47+D48)</f>
        <v>15070652</v>
      </c>
      <c r="E49" s="33">
        <f t="shared" si="144"/>
        <v>0</v>
      </c>
      <c r="F49" s="33">
        <f t="shared" si="144"/>
        <v>42513870</v>
      </c>
      <c r="G49" s="33">
        <f t="shared" ref="G49:N49" si="145">SUM(G47+G48)</f>
        <v>621884</v>
      </c>
      <c r="H49" s="33">
        <f t="shared" si="145"/>
        <v>1488108</v>
      </c>
      <c r="I49" s="33">
        <f t="shared" si="145"/>
        <v>0</v>
      </c>
      <c r="J49" s="33">
        <f t="shared" si="145"/>
        <v>2109992</v>
      </c>
      <c r="K49" s="33">
        <f t="shared" si="145"/>
        <v>28065102</v>
      </c>
      <c r="L49" s="33">
        <f t="shared" si="145"/>
        <v>16558760</v>
      </c>
      <c r="M49" s="33">
        <f t="shared" si="145"/>
        <v>0</v>
      </c>
      <c r="N49" s="33">
        <f t="shared" si="145"/>
        <v>44623862</v>
      </c>
      <c r="O49" s="33">
        <f t="shared" si="144"/>
        <v>1774636</v>
      </c>
      <c r="P49" s="33">
        <f t="shared" si="144"/>
        <v>721657</v>
      </c>
      <c r="Q49" s="33">
        <f t="shared" si="144"/>
        <v>83627</v>
      </c>
      <c r="R49" s="33">
        <f t="shared" si="144"/>
        <v>2579920</v>
      </c>
      <c r="S49" s="33">
        <f t="shared" ref="S49:Z49" si="146">SUM(S47+S48)</f>
        <v>244207</v>
      </c>
      <c r="T49" s="33">
        <f t="shared" si="146"/>
        <v>103043</v>
      </c>
      <c r="U49" s="33">
        <f t="shared" si="146"/>
        <v>2268</v>
      </c>
      <c r="V49" s="33">
        <f t="shared" si="146"/>
        <v>349518</v>
      </c>
      <c r="W49" s="33">
        <f t="shared" si="146"/>
        <v>2018843</v>
      </c>
      <c r="X49" s="33">
        <f t="shared" si="146"/>
        <v>824700</v>
      </c>
      <c r="Y49" s="33">
        <f t="shared" si="146"/>
        <v>85895</v>
      </c>
      <c r="Z49" s="33">
        <f t="shared" si="146"/>
        <v>2929438</v>
      </c>
      <c r="AA49" s="33">
        <f t="shared" si="144"/>
        <v>29217854</v>
      </c>
      <c r="AB49" s="33">
        <f t="shared" si="144"/>
        <v>15792309</v>
      </c>
      <c r="AC49" s="33">
        <f t="shared" si="144"/>
        <v>83627</v>
      </c>
      <c r="AD49" s="33">
        <f t="shared" si="144"/>
        <v>45093790</v>
      </c>
      <c r="AE49" s="33">
        <f t="shared" ref="AE49:AL49" si="147">SUM(AE47+AE48)</f>
        <v>866091</v>
      </c>
      <c r="AF49" s="33">
        <f t="shared" si="147"/>
        <v>1591151</v>
      </c>
      <c r="AG49" s="33">
        <f t="shared" si="147"/>
        <v>2268</v>
      </c>
      <c r="AH49" s="33">
        <f t="shared" si="147"/>
        <v>2459510</v>
      </c>
      <c r="AI49" s="33">
        <f t="shared" si="147"/>
        <v>30083945</v>
      </c>
      <c r="AJ49" s="33">
        <f t="shared" si="147"/>
        <v>17383460</v>
      </c>
      <c r="AK49" s="33">
        <f t="shared" si="147"/>
        <v>85895</v>
      </c>
      <c r="AL49" s="33">
        <f t="shared" si="147"/>
        <v>47553300</v>
      </c>
    </row>
    <row r="50" spans="1:38" ht="17.25" thickTop="1" thickBot="1" x14ac:dyDescent="0.3">
      <c r="A50" s="43"/>
      <c r="B50" s="212"/>
      <c r="C50" s="44"/>
      <c r="D50" s="208"/>
      <c r="E50" s="44"/>
      <c r="F50" s="45"/>
      <c r="G50" s="45"/>
      <c r="H50" s="45"/>
      <c r="I50" s="45"/>
      <c r="J50" s="45"/>
      <c r="K50" s="45"/>
      <c r="L50" s="45"/>
      <c r="M50" s="45"/>
      <c r="N50" s="45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7"/>
      <c r="AB50" s="46"/>
      <c r="AC50" s="46"/>
      <c r="AD50" s="46"/>
      <c r="AE50" s="47"/>
      <c r="AF50" s="46"/>
      <c r="AG50" s="46"/>
      <c r="AH50" s="46"/>
      <c r="AI50" s="47"/>
      <c r="AJ50" s="46"/>
      <c r="AK50" s="46"/>
      <c r="AL50" s="46"/>
    </row>
    <row r="51" spans="1:38" ht="32.25" thickTop="1" x14ac:dyDescent="0.25">
      <c r="A51" s="51" t="s">
        <v>324</v>
      </c>
      <c r="B51" s="51"/>
      <c r="C51" s="234"/>
      <c r="D51" s="235"/>
      <c r="E51" s="277"/>
      <c r="F51" s="281">
        <f>F52-F53</f>
        <v>-16186202</v>
      </c>
      <c r="G51" s="286"/>
      <c r="H51" s="235"/>
      <c r="I51" s="235"/>
      <c r="J51" s="286">
        <f>J52-J53</f>
        <v>320906</v>
      </c>
      <c r="K51" s="234"/>
      <c r="L51" s="235"/>
      <c r="M51" s="235"/>
      <c r="N51" s="281">
        <f>N52-N53</f>
        <v>-15865296</v>
      </c>
      <c r="O51" s="418"/>
      <c r="P51" s="235"/>
      <c r="Q51" s="235"/>
      <c r="R51" s="281">
        <f>R52-R53</f>
        <v>-11372693</v>
      </c>
      <c r="S51" s="418"/>
      <c r="T51" s="235"/>
      <c r="U51" s="235"/>
      <c r="V51" s="281">
        <f>V52-V53</f>
        <v>-373059</v>
      </c>
      <c r="W51" s="412"/>
      <c r="X51" s="235"/>
      <c r="Y51" s="235"/>
      <c r="Z51" s="426">
        <f>Z52-Z53</f>
        <v>-11745752</v>
      </c>
      <c r="AA51" s="234"/>
      <c r="AB51" s="235"/>
      <c r="AC51" s="235"/>
      <c r="AD51" s="281">
        <f>AD52-AD53</f>
        <v>-27558895</v>
      </c>
      <c r="AE51" s="234"/>
      <c r="AF51" s="235"/>
      <c r="AG51" s="235"/>
      <c r="AH51" s="281">
        <f t="shared" ref="AH51" si="148">AH52-AH53</f>
        <v>-52153</v>
      </c>
      <c r="AI51" s="234"/>
      <c r="AJ51" s="235"/>
      <c r="AK51" s="235"/>
      <c r="AL51" s="281">
        <f t="shared" ref="AL51" si="149">AL52-AL53</f>
        <v>-27611048</v>
      </c>
    </row>
    <row r="52" spans="1:38" x14ac:dyDescent="0.25">
      <c r="A52" s="287" t="s">
        <v>228</v>
      </c>
      <c r="B52" s="287" t="s">
        <v>288</v>
      </c>
      <c r="C52" s="236"/>
      <c r="D52" s="237"/>
      <c r="E52" s="278"/>
      <c r="F52" s="282">
        <f>SUM(F49)</f>
        <v>42513870</v>
      </c>
      <c r="G52" s="288"/>
      <c r="H52" s="237"/>
      <c r="I52" s="237"/>
      <c r="J52" s="288">
        <f>SUM(J49)</f>
        <v>2109992</v>
      </c>
      <c r="K52" s="236"/>
      <c r="L52" s="237"/>
      <c r="M52" s="237"/>
      <c r="N52" s="282">
        <f>SUM(N49)</f>
        <v>44623862</v>
      </c>
      <c r="O52" s="419"/>
      <c r="P52" s="237"/>
      <c r="Q52" s="237"/>
      <c r="R52" s="282">
        <f>SUM(R49)</f>
        <v>2579920</v>
      </c>
      <c r="S52" s="419"/>
      <c r="T52" s="237"/>
      <c r="U52" s="237"/>
      <c r="V52" s="282">
        <f>SUM(V49)</f>
        <v>349518</v>
      </c>
      <c r="W52" s="413"/>
      <c r="X52" s="237"/>
      <c r="Y52" s="237"/>
      <c r="Z52" s="427">
        <f>SUM(Z49)</f>
        <v>2929438</v>
      </c>
      <c r="AA52" s="236"/>
      <c r="AB52" s="237"/>
      <c r="AC52" s="237"/>
      <c r="AD52" s="282">
        <f>SUM(AD49)</f>
        <v>45093790</v>
      </c>
      <c r="AE52" s="236"/>
      <c r="AF52" s="237"/>
      <c r="AG52" s="237"/>
      <c r="AH52" s="282">
        <f t="shared" ref="AH52" si="150">SUM(AH49)</f>
        <v>2459510</v>
      </c>
      <c r="AI52" s="236"/>
      <c r="AJ52" s="237"/>
      <c r="AK52" s="237"/>
      <c r="AL52" s="282">
        <f t="shared" ref="AL52" si="151">SUM(AL49)</f>
        <v>47553300</v>
      </c>
    </row>
    <row r="53" spans="1:38" x14ac:dyDescent="0.25">
      <c r="A53" s="287" t="s">
        <v>229</v>
      </c>
      <c r="B53" s="287" t="s">
        <v>284</v>
      </c>
      <c r="C53" s="54"/>
      <c r="D53" s="238"/>
      <c r="E53" s="279"/>
      <c r="F53" s="283">
        <f>'2 kiadás (kötelező, önként)'!F22</f>
        <v>58700072</v>
      </c>
      <c r="G53" s="242"/>
      <c r="H53" s="238"/>
      <c r="I53" s="238"/>
      <c r="J53" s="242">
        <f>'2 kiadás (kötelező, önként)'!J22</f>
        <v>1789086</v>
      </c>
      <c r="K53" s="54"/>
      <c r="L53" s="238"/>
      <c r="M53" s="238"/>
      <c r="N53" s="283">
        <f>SUM(J53+F53)</f>
        <v>60489158</v>
      </c>
      <c r="O53" s="420"/>
      <c r="P53" s="238"/>
      <c r="Q53" s="238"/>
      <c r="R53" s="283">
        <f>'2 kiadás (kötelező, önként)'!R22</f>
        <v>13952613</v>
      </c>
      <c r="S53" s="420"/>
      <c r="T53" s="238"/>
      <c r="U53" s="238"/>
      <c r="V53" s="283">
        <f>'2 kiadás (kötelező, önként)'!V22</f>
        <v>722577</v>
      </c>
      <c r="W53" s="414"/>
      <c r="X53" s="238"/>
      <c r="Y53" s="238"/>
      <c r="Z53" s="289">
        <f>'2 kiadás (kötelező, önként)'!Z22</f>
        <v>14675190</v>
      </c>
      <c r="AA53" s="54"/>
      <c r="AB53" s="238"/>
      <c r="AC53" s="238"/>
      <c r="AD53" s="291">
        <f>'2 kiadás (kötelező, önként)'!AD22</f>
        <v>72652685</v>
      </c>
      <c r="AE53" s="54"/>
      <c r="AF53" s="238"/>
      <c r="AG53" s="238"/>
      <c r="AH53" s="291">
        <f>'2 kiadás (kötelező, önként)'!AH22</f>
        <v>2511663</v>
      </c>
      <c r="AI53" s="54"/>
      <c r="AJ53" s="238"/>
      <c r="AK53" s="238"/>
      <c r="AL53" s="291">
        <f>'2 kiadás (kötelező, önként)'!AL22</f>
        <v>75164348</v>
      </c>
    </row>
    <row r="54" spans="1:38" x14ac:dyDescent="0.25">
      <c r="A54" s="287"/>
      <c r="B54" s="287"/>
      <c r="C54" s="54"/>
      <c r="D54" s="238"/>
      <c r="E54" s="279"/>
      <c r="F54" s="283"/>
      <c r="G54" s="242"/>
      <c r="H54" s="238"/>
      <c r="I54" s="238"/>
      <c r="J54" s="242"/>
      <c r="K54" s="54"/>
      <c r="L54" s="238"/>
      <c r="M54" s="238"/>
      <c r="N54" s="283"/>
      <c r="O54" s="420"/>
      <c r="P54" s="238"/>
      <c r="Q54" s="238"/>
      <c r="R54" s="283"/>
      <c r="S54" s="420"/>
      <c r="T54" s="238"/>
      <c r="U54" s="238"/>
      <c r="V54" s="283"/>
      <c r="W54" s="414"/>
      <c r="X54" s="238"/>
      <c r="Y54" s="238"/>
      <c r="Z54" s="289"/>
      <c r="AA54" s="54"/>
      <c r="AB54" s="238"/>
      <c r="AC54" s="238"/>
      <c r="AD54" s="291"/>
      <c r="AE54" s="54"/>
      <c r="AF54" s="238"/>
      <c r="AG54" s="238"/>
      <c r="AH54" s="291"/>
      <c r="AI54" s="54"/>
      <c r="AJ54" s="238"/>
      <c r="AK54" s="238"/>
      <c r="AL54" s="291"/>
    </row>
    <row r="55" spans="1:38" x14ac:dyDescent="0.25">
      <c r="A55" s="55" t="s">
        <v>519</v>
      </c>
      <c r="B55" s="55"/>
      <c r="C55" s="213"/>
      <c r="D55" s="231"/>
      <c r="E55" s="280"/>
      <c r="F55" s="284">
        <f>SUM(F61-F62)</f>
        <v>16186202</v>
      </c>
      <c r="G55" s="233"/>
      <c r="H55" s="231"/>
      <c r="I55" s="231"/>
      <c r="J55" s="233">
        <f>SUM(J61-J62)</f>
        <v>-320906</v>
      </c>
      <c r="K55" s="213"/>
      <c r="L55" s="231"/>
      <c r="M55" s="231"/>
      <c r="N55" s="284">
        <f>SUM(N61-N62)</f>
        <v>15865296</v>
      </c>
      <c r="O55" s="421"/>
      <c r="P55" s="231"/>
      <c r="Q55" s="231"/>
      <c r="R55" s="284">
        <f>SUM(R61-R62)</f>
        <v>11372693</v>
      </c>
      <c r="S55" s="421"/>
      <c r="T55" s="231"/>
      <c r="U55" s="231"/>
      <c r="V55" s="284">
        <f>SUM(V61-V62)</f>
        <v>373059</v>
      </c>
      <c r="W55" s="415"/>
      <c r="X55" s="231"/>
      <c r="Y55" s="231"/>
      <c r="Z55" s="428">
        <f>SUM(Z61-Z62)</f>
        <v>11745752</v>
      </c>
      <c r="AA55" s="213"/>
      <c r="AB55" s="231"/>
      <c r="AC55" s="231"/>
      <c r="AD55" s="284">
        <f>SUM(AD61-AD62)</f>
        <v>27558895</v>
      </c>
      <c r="AE55" s="213"/>
      <c r="AF55" s="231"/>
      <c r="AG55" s="231"/>
      <c r="AH55" s="284">
        <f>SUM(AH61-AH62)</f>
        <v>52153</v>
      </c>
      <c r="AI55" s="213"/>
      <c r="AJ55" s="231"/>
      <c r="AK55" s="231"/>
      <c r="AL55" s="284">
        <f>SUM(AL61-AL62)</f>
        <v>27611048</v>
      </c>
    </row>
    <row r="56" spans="1:38" ht="31.5" x14ac:dyDescent="0.25">
      <c r="A56" s="56" t="s">
        <v>192</v>
      </c>
      <c r="B56" s="56"/>
      <c r="C56" s="239">
        <v>1700547</v>
      </c>
      <c r="D56" s="53">
        <v>302156</v>
      </c>
      <c r="E56" s="53"/>
      <c r="F56" s="290">
        <f>SUM(C56:E56)</f>
        <v>2002703</v>
      </c>
      <c r="G56" s="232"/>
      <c r="H56" s="53"/>
      <c r="I56" s="53"/>
      <c r="J56" s="232">
        <f>SUM(G56:I56)</f>
        <v>0</v>
      </c>
      <c r="K56" s="239">
        <f t="shared" ref="K56:K57" si="152">SUM(G56+C56)</f>
        <v>1700547</v>
      </c>
      <c r="L56" s="53">
        <f t="shared" ref="L56:L57" si="153">SUM(H56+D56)</f>
        <v>302156</v>
      </c>
      <c r="M56" s="53">
        <f t="shared" ref="M56:M57" si="154">SUM(I56+E56)</f>
        <v>0</v>
      </c>
      <c r="N56" s="290">
        <f t="shared" ref="N56:N57" si="155">SUM(K56:M56)</f>
        <v>2002703</v>
      </c>
      <c r="O56" s="239">
        <v>541384</v>
      </c>
      <c r="P56" s="53">
        <v>38647</v>
      </c>
      <c r="Q56" s="53"/>
      <c r="R56" s="290">
        <f>SUM(O56:Q56)</f>
        <v>580031</v>
      </c>
      <c r="S56" s="422"/>
      <c r="T56" s="53"/>
      <c r="U56" s="53">
        <v>0</v>
      </c>
      <c r="V56" s="290">
        <f>SUM(S56:U56)</f>
        <v>0</v>
      </c>
      <c r="W56" s="381">
        <f>SUM(S56+O56)</f>
        <v>541384</v>
      </c>
      <c r="X56" s="53">
        <f>SUM(T56+P56)</f>
        <v>38647</v>
      </c>
      <c r="Y56" s="53">
        <f>SUM(Q56+U56)</f>
        <v>0</v>
      </c>
      <c r="Z56" s="291">
        <f>SUM(W56:Y56)</f>
        <v>580031</v>
      </c>
      <c r="AA56" s="239">
        <f>SUM(O56+C56)</f>
        <v>2241931</v>
      </c>
      <c r="AB56" s="53">
        <f>SUM(P56+D56)</f>
        <v>340803</v>
      </c>
      <c r="AC56" s="53"/>
      <c r="AD56" s="291">
        <f>SUM(AA56:AC56)</f>
        <v>2582734</v>
      </c>
      <c r="AE56" s="239">
        <f t="shared" ref="AE56:AF57" si="156">SUM(S56+G56)</f>
        <v>0</v>
      </c>
      <c r="AF56" s="53">
        <f t="shared" si="156"/>
        <v>0</v>
      </c>
      <c r="AG56" s="53"/>
      <c r="AH56" s="291">
        <f t="shared" ref="AH56:AH57" si="157">SUM(AE56:AG56)</f>
        <v>0</v>
      </c>
      <c r="AI56" s="239">
        <f t="shared" ref="AI56:AJ57" si="158">SUM(W56+K56)</f>
        <v>2241931</v>
      </c>
      <c r="AJ56" s="53">
        <f t="shared" si="158"/>
        <v>340803</v>
      </c>
      <c r="AK56" s="53"/>
      <c r="AL56" s="291">
        <f t="shared" ref="AL56:AL57" si="159">SUM(AI56:AK56)</f>
        <v>2582734</v>
      </c>
    </row>
    <row r="57" spans="1:38" ht="31.5" x14ac:dyDescent="0.25">
      <c r="A57" s="56" t="s">
        <v>181</v>
      </c>
      <c r="B57" s="56"/>
      <c r="C57" s="239">
        <v>3927973</v>
      </c>
      <c r="D57" s="53">
        <v>6886760</v>
      </c>
      <c r="E57" s="53"/>
      <c r="F57" s="290">
        <f>SUM(C57:E57)</f>
        <v>10814733</v>
      </c>
      <c r="G57" s="232"/>
      <c r="H57" s="53"/>
      <c r="I57" s="53"/>
      <c r="J57" s="232">
        <f>SUM(G57:I57)</f>
        <v>0</v>
      </c>
      <c r="K57" s="239">
        <f t="shared" si="152"/>
        <v>3927973</v>
      </c>
      <c r="L57" s="53">
        <f t="shared" si="153"/>
        <v>6886760</v>
      </c>
      <c r="M57" s="53">
        <f t="shared" si="154"/>
        <v>0</v>
      </c>
      <c r="N57" s="290">
        <f t="shared" si="155"/>
        <v>10814733</v>
      </c>
      <c r="O57" s="239"/>
      <c r="P57" s="53"/>
      <c r="Q57" s="53"/>
      <c r="R57" s="290">
        <f>SUM(O57:Q57)</f>
        <v>0</v>
      </c>
      <c r="S57" s="422"/>
      <c r="T57" s="53"/>
      <c r="U57" s="53"/>
      <c r="V57" s="290">
        <f>SUM(S57:U57)</f>
        <v>0</v>
      </c>
      <c r="W57" s="381">
        <f>SUM(S57+O57)</f>
        <v>0</v>
      </c>
      <c r="X57" s="53">
        <f>SUM(T57+P57)</f>
        <v>0</v>
      </c>
      <c r="Y57" s="53">
        <f>SUM(Q57+U57)</f>
        <v>0</v>
      </c>
      <c r="Z57" s="291">
        <f>SUM(W57:Y57)</f>
        <v>0</v>
      </c>
      <c r="AA57" s="239">
        <f>SUM(O57+C57)</f>
        <v>3927973</v>
      </c>
      <c r="AB57" s="53">
        <f>SUM(P57+D57)</f>
        <v>6886760</v>
      </c>
      <c r="AC57" s="53"/>
      <c r="AD57" s="291">
        <f>SUM(AA57:AC57)</f>
        <v>10814733</v>
      </c>
      <c r="AE57" s="239">
        <f t="shared" si="156"/>
        <v>0</v>
      </c>
      <c r="AF57" s="53">
        <f t="shared" si="156"/>
        <v>0</v>
      </c>
      <c r="AG57" s="53"/>
      <c r="AH57" s="291">
        <f t="shared" si="157"/>
        <v>0</v>
      </c>
      <c r="AI57" s="239">
        <f t="shared" si="158"/>
        <v>3927973</v>
      </c>
      <c r="AJ57" s="53">
        <f t="shared" si="158"/>
        <v>6886760</v>
      </c>
      <c r="AK57" s="53"/>
      <c r="AL57" s="291">
        <f t="shared" si="159"/>
        <v>10814733</v>
      </c>
    </row>
    <row r="58" spans="1:38" x14ac:dyDescent="0.25">
      <c r="A58" s="52" t="s">
        <v>182</v>
      </c>
      <c r="B58" s="52" t="s">
        <v>227</v>
      </c>
      <c r="C58" s="54">
        <f t="shared" ref="C58:AD58" si="160">SUM(C56:C57)</f>
        <v>5628520</v>
      </c>
      <c r="D58" s="238">
        <f t="shared" si="160"/>
        <v>7188916</v>
      </c>
      <c r="E58" s="238">
        <f t="shared" si="160"/>
        <v>0</v>
      </c>
      <c r="F58" s="289">
        <f t="shared" si="160"/>
        <v>12817436</v>
      </c>
      <c r="G58" s="242">
        <f t="shared" si="160"/>
        <v>0</v>
      </c>
      <c r="H58" s="238">
        <f t="shared" si="160"/>
        <v>0</v>
      </c>
      <c r="I58" s="238">
        <f t="shared" si="160"/>
        <v>0</v>
      </c>
      <c r="J58" s="289">
        <f t="shared" si="160"/>
        <v>0</v>
      </c>
      <c r="K58" s="242">
        <f t="shared" si="160"/>
        <v>5628520</v>
      </c>
      <c r="L58" s="238">
        <f t="shared" si="160"/>
        <v>7188916</v>
      </c>
      <c r="M58" s="238">
        <f t="shared" si="160"/>
        <v>0</v>
      </c>
      <c r="N58" s="289">
        <f t="shared" si="160"/>
        <v>12817436</v>
      </c>
      <c r="O58" s="420">
        <f t="shared" si="160"/>
        <v>541384</v>
      </c>
      <c r="P58" s="238">
        <f t="shared" si="160"/>
        <v>38647</v>
      </c>
      <c r="Q58" s="238">
        <f t="shared" si="160"/>
        <v>0</v>
      </c>
      <c r="R58" s="283">
        <f t="shared" si="160"/>
        <v>580031</v>
      </c>
      <c r="S58" s="279">
        <f t="shared" si="160"/>
        <v>0</v>
      </c>
      <c r="T58" s="238">
        <f t="shared" si="160"/>
        <v>0</v>
      </c>
      <c r="U58" s="238">
        <f t="shared" si="160"/>
        <v>0</v>
      </c>
      <c r="V58" s="289">
        <f t="shared" si="160"/>
        <v>0</v>
      </c>
      <c r="W58" s="279">
        <f t="shared" si="160"/>
        <v>541384</v>
      </c>
      <c r="X58" s="238">
        <f t="shared" si="160"/>
        <v>38647</v>
      </c>
      <c r="Y58" s="238">
        <f t="shared" si="160"/>
        <v>0</v>
      </c>
      <c r="Z58" s="289">
        <f t="shared" si="160"/>
        <v>580031</v>
      </c>
      <c r="AA58" s="54">
        <f t="shared" si="160"/>
        <v>6169904</v>
      </c>
      <c r="AB58" s="238">
        <f t="shared" si="160"/>
        <v>7227563</v>
      </c>
      <c r="AC58" s="238">
        <f t="shared" si="160"/>
        <v>0</v>
      </c>
      <c r="AD58" s="289">
        <f t="shared" si="160"/>
        <v>13397467</v>
      </c>
      <c r="AE58" s="54">
        <f t="shared" ref="AE58:AL58" si="161">SUM(AE56:AE57)</f>
        <v>0</v>
      </c>
      <c r="AF58" s="238">
        <f t="shared" si="161"/>
        <v>0</v>
      </c>
      <c r="AG58" s="238">
        <f t="shared" si="161"/>
        <v>0</v>
      </c>
      <c r="AH58" s="289">
        <f t="shared" si="161"/>
        <v>0</v>
      </c>
      <c r="AI58" s="54">
        <f t="shared" si="161"/>
        <v>6169904</v>
      </c>
      <c r="AJ58" s="238">
        <f t="shared" si="161"/>
        <v>7227563</v>
      </c>
      <c r="AK58" s="238">
        <f t="shared" si="161"/>
        <v>0</v>
      </c>
      <c r="AL58" s="289">
        <f t="shared" si="161"/>
        <v>13397467</v>
      </c>
    </row>
    <row r="59" spans="1:38" s="10" customFormat="1" x14ac:dyDescent="0.25">
      <c r="A59" s="292" t="s">
        <v>325</v>
      </c>
      <c r="B59" s="292" t="s">
        <v>326</v>
      </c>
      <c r="C59" s="293"/>
      <c r="D59" s="294"/>
      <c r="E59" s="294"/>
      <c r="F59" s="295">
        <v>0</v>
      </c>
      <c r="G59" s="296"/>
      <c r="H59" s="294"/>
      <c r="I59" s="294"/>
      <c r="J59" s="296">
        <f>SUM(G59:I59)</f>
        <v>0</v>
      </c>
      <c r="K59" s="410">
        <f t="shared" ref="K59" si="162">SUM(G59+C59)</f>
        <v>0</v>
      </c>
      <c r="L59" s="294">
        <f t="shared" ref="L59" si="163">SUM(H59+D59)</f>
        <v>0</v>
      </c>
      <c r="M59" s="294">
        <f t="shared" ref="M59" si="164">SUM(I59+E59)</f>
        <v>0</v>
      </c>
      <c r="N59" s="295">
        <f t="shared" ref="N59" si="165">SUM(K59:M59)</f>
        <v>0</v>
      </c>
      <c r="O59" s="410">
        <v>8128007</v>
      </c>
      <c r="P59" s="294">
        <v>1724309</v>
      </c>
      <c r="Q59" s="294">
        <v>940346</v>
      </c>
      <c r="R59" s="297">
        <f>SUM(O59:Q59)</f>
        <v>10792662</v>
      </c>
      <c r="S59" s="410">
        <v>270031</v>
      </c>
      <c r="T59" s="294">
        <v>130198</v>
      </c>
      <c r="U59" s="294">
        <v>-27170</v>
      </c>
      <c r="V59" s="295">
        <f>SUM(S59:U59)</f>
        <v>373059</v>
      </c>
      <c r="W59" s="296">
        <f t="shared" ref="W59" si="166">SUM(S59+O59)</f>
        <v>8398038</v>
      </c>
      <c r="X59" s="294">
        <f t="shared" ref="X59" si="167">SUM(T59+P59)</f>
        <v>1854507</v>
      </c>
      <c r="Y59" s="294">
        <f t="shared" ref="Y59" si="168">SUM(Q59+U59)</f>
        <v>913176</v>
      </c>
      <c r="Z59" s="295">
        <f>SUM(W59:Y59)</f>
        <v>11165721</v>
      </c>
      <c r="AA59" s="293">
        <f>SUM(O59)</f>
        <v>8128007</v>
      </c>
      <c r="AB59" s="294">
        <f>SUM(P59+D59)</f>
        <v>1724309</v>
      </c>
      <c r="AC59" s="294">
        <f>SUM(Q59+E59)</f>
        <v>940346</v>
      </c>
      <c r="AD59" s="295">
        <f>SUM(AA59:AC59)</f>
        <v>10792662</v>
      </c>
      <c r="AE59" s="293">
        <f t="shared" ref="AE59" si="169">SUM(S59)</f>
        <v>270031</v>
      </c>
      <c r="AF59" s="294">
        <f t="shared" ref="AF59:AG59" si="170">SUM(T59+H59)</f>
        <v>130198</v>
      </c>
      <c r="AG59" s="294">
        <f t="shared" si="170"/>
        <v>-27170</v>
      </c>
      <c r="AH59" s="295">
        <f t="shared" ref="AH59" si="171">SUM(AE59:AG59)</f>
        <v>373059</v>
      </c>
      <c r="AI59" s="293">
        <f t="shared" ref="AI59" si="172">SUM(W59)</f>
        <v>8398038</v>
      </c>
      <c r="AJ59" s="294">
        <f t="shared" ref="AJ59:AK59" si="173">SUM(X59+L59)</f>
        <v>1854507</v>
      </c>
      <c r="AK59" s="294">
        <f t="shared" si="173"/>
        <v>913176</v>
      </c>
      <c r="AL59" s="295">
        <f t="shared" ref="AL59" si="174">SUM(AI59:AK59)</f>
        <v>11165721</v>
      </c>
    </row>
    <row r="60" spans="1:38" s="10" customFormat="1" ht="31.5" x14ac:dyDescent="0.25">
      <c r="A60" s="292" t="s">
        <v>513</v>
      </c>
      <c r="B60" s="292" t="s">
        <v>510</v>
      </c>
      <c r="C60" s="293"/>
      <c r="D60" s="294">
        <v>28800000</v>
      </c>
      <c r="E60" s="294"/>
      <c r="F60" s="295">
        <f>SUM(C60:E60)</f>
        <v>28800000</v>
      </c>
      <c r="G60" s="296"/>
      <c r="H60" s="294">
        <v>18350000</v>
      </c>
      <c r="I60" s="294"/>
      <c r="J60" s="283">
        <f>SUM(G60:I60)</f>
        <v>18350000</v>
      </c>
      <c r="K60" s="410">
        <f t="shared" ref="K60" si="175">SUM(G60+C60)</f>
        <v>0</v>
      </c>
      <c r="L60" s="294">
        <f t="shared" ref="L60" si="176">SUM(H60+D60)</f>
        <v>47150000</v>
      </c>
      <c r="M60" s="294">
        <f t="shared" ref="M60" si="177">SUM(I60+E60)</f>
        <v>0</v>
      </c>
      <c r="N60" s="295">
        <f t="shared" ref="N60" si="178">SUM(K60:M60)</f>
        <v>47150000</v>
      </c>
      <c r="O60" s="410"/>
      <c r="P60" s="294"/>
      <c r="Q60" s="294"/>
      <c r="R60" s="297">
        <f>SUM(O60:Q60)</f>
        <v>0</v>
      </c>
      <c r="S60" s="296"/>
      <c r="T60" s="294"/>
      <c r="U60" s="294"/>
      <c r="V60" s="295">
        <f>SUM(S60:U60)</f>
        <v>0</v>
      </c>
      <c r="W60" s="296">
        <f t="shared" ref="W60" si="179">SUM(S60+O60)</f>
        <v>0</v>
      </c>
      <c r="X60" s="294">
        <f t="shared" ref="X60" si="180">SUM(T60+P60)</f>
        <v>0</v>
      </c>
      <c r="Y60" s="294">
        <f t="shared" ref="Y60" si="181">SUM(Q60+U60)</f>
        <v>0</v>
      </c>
      <c r="Z60" s="295">
        <f>SUM(W60:Y60)</f>
        <v>0</v>
      </c>
      <c r="AA60" s="293">
        <f>SUM(O60+C60)</f>
        <v>0</v>
      </c>
      <c r="AB60" s="294">
        <f>SUM(P60+D60)</f>
        <v>28800000</v>
      </c>
      <c r="AC60" s="294"/>
      <c r="AD60" s="295">
        <f>SUM(AA60:AC60)</f>
        <v>28800000</v>
      </c>
      <c r="AE60" s="293">
        <f t="shared" ref="AE60" si="182">SUM(S60+G60)</f>
        <v>0</v>
      </c>
      <c r="AF60" s="294">
        <f t="shared" ref="AF60" si="183">SUM(T60+H60)</f>
        <v>18350000</v>
      </c>
      <c r="AG60" s="294"/>
      <c r="AH60" s="295">
        <f t="shared" ref="AH60" si="184">SUM(AE60:AG60)</f>
        <v>18350000</v>
      </c>
      <c r="AI60" s="293">
        <f t="shared" ref="AI60" si="185">SUM(W60+K60)</f>
        <v>0</v>
      </c>
      <c r="AJ60" s="294">
        <f t="shared" ref="AJ60" si="186">SUM(X60+L60)</f>
        <v>47150000</v>
      </c>
      <c r="AK60" s="294"/>
      <c r="AL60" s="295">
        <f t="shared" ref="AL60" si="187">SUM(AI60:AK60)</f>
        <v>47150000</v>
      </c>
    </row>
    <row r="61" spans="1:38" s="20" customFormat="1" ht="31.5" x14ac:dyDescent="0.25">
      <c r="A61" s="298" t="s">
        <v>520</v>
      </c>
      <c r="B61" s="298" t="s">
        <v>183</v>
      </c>
      <c r="C61" s="299">
        <f t="shared" ref="C61:N61" si="188">SUM(C58:C60)</f>
        <v>5628520</v>
      </c>
      <c r="D61" s="300">
        <f t="shared" si="188"/>
        <v>35988916</v>
      </c>
      <c r="E61" s="300">
        <f t="shared" si="188"/>
        <v>0</v>
      </c>
      <c r="F61" s="301">
        <f t="shared" si="188"/>
        <v>41617436</v>
      </c>
      <c r="G61" s="302">
        <f t="shared" si="188"/>
        <v>0</v>
      </c>
      <c r="H61" s="317">
        <f t="shared" si="188"/>
        <v>18350000</v>
      </c>
      <c r="I61" s="317">
        <f t="shared" si="188"/>
        <v>0</v>
      </c>
      <c r="J61" s="301">
        <f t="shared" si="188"/>
        <v>18350000</v>
      </c>
      <c r="K61" s="302">
        <f t="shared" si="188"/>
        <v>5628520</v>
      </c>
      <c r="L61" s="317">
        <f t="shared" si="188"/>
        <v>54338916</v>
      </c>
      <c r="M61" s="317">
        <f t="shared" si="188"/>
        <v>0</v>
      </c>
      <c r="N61" s="301">
        <f t="shared" si="188"/>
        <v>59967436</v>
      </c>
      <c r="O61" s="423">
        <f t="shared" ref="O61:Z61" si="189">SUM(O58:O59)</f>
        <v>8669391</v>
      </c>
      <c r="P61" s="300">
        <f t="shared" si="189"/>
        <v>1762956</v>
      </c>
      <c r="Q61" s="300">
        <f t="shared" si="189"/>
        <v>940346</v>
      </c>
      <c r="R61" s="303">
        <f t="shared" si="189"/>
        <v>11372693</v>
      </c>
      <c r="S61" s="425">
        <f t="shared" si="189"/>
        <v>270031</v>
      </c>
      <c r="T61" s="317">
        <f t="shared" si="189"/>
        <v>130198</v>
      </c>
      <c r="U61" s="317">
        <f t="shared" si="189"/>
        <v>-27170</v>
      </c>
      <c r="V61" s="301">
        <f t="shared" si="189"/>
        <v>373059</v>
      </c>
      <c r="W61" s="425">
        <f t="shared" si="189"/>
        <v>8939422</v>
      </c>
      <c r="X61" s="317">
        <f t="shared" si="189"/>
        <v>1893154</v>
      </c>
      <c r="Y61" s="317">
        <f t="shared" si="189"/>
        <v>913176</v>
      </c>
      <c r="Z61" s="301">
        <f t="shared" si="189"/>
        <v>11745752</v>
      </c>
      <c r="AA61" s="299">
        <f t="shared" ref="AA61:AL61" si="190">SUM(AA58:AA60)</f>
        <v>14297911</v>
      </c>
      <c r="AB61" s="300">
        <f t="shared" si="190"/>
        <v>37751872</v>
      </c>
      <c r="AC61" s="300">
        <f t="shared" si="190"/>
        <v>940346</v>
      </c>
      <c r="AD61" s="301">
        <f t="shared" si="190"/>
        <v>52990129</v>
      </c>
      <c r="AE61" s="423">
        <f t="shared" si="190"/>
        <v>270031</v>
      </c>
      <c r="AF61" s="317">
        <f t="shared" si="190"/>
        <v>18480198</v>
      </c>
      <c r="AG61" s="317">
        <f t="shared" si="190"/>
        <v>-27170</v>
      </c>
      <c r="AH61" s="416">
        <f t="shared" si="190"/>
        <v>18723059</v>
      </c>
      <c r="AI61" s="423">
        <f t="shared" si="190"/>
        <v>14567942</v>
      </c>
      <c r="AJ61" s="317">
        <f t="shared" si="190"/>
        <v>56232070</v>
      </c>
      <c r="AK61" s="317">
        <f t="shared" si="190"/>
        <v>913176</v>
      </c>
      <c r="AL61" s="325">
        <f t="shared" si="190"/>
        <v>71713188</v>
      </c>
    </row>
    <row r="62" spans="1:38" s="20" customFormat="1" x14ac:dyDescent="0.25">
      <c r="A62" s="298" t="s">
        <v>327</v>
      </c>
      <c r="B62" s="298" t="s">
        <v>222</v>
      </c>
      <c r="C62" s="423">
        <f>'2 kiadás (kötelező, önként)'!C26</f>
        <v>8266579</v>
      </c>
      <c r="D62" s="317">
        <f>'2 kiadás (kötelező, önként)'!D26</f>
        <v>16224309</v>
      </c>
      <c r="E62" s="416">
        <f>'2 kiadás (kötelező, önként)'!E26</f>
        <v>940346</v>
      </c>
      <c r="F62" s="301">
        <f>SUM(C62:E62)</f>
        <v>25431234</v>
      </c>
      <c r="G62" s="302">
        <f>'2 kiadás (kötelező, önként)'!G26</f>
        <v>262386</v>
      </c>
      <c r="H62" s="317">
        <f>'2 kiadás (kötelező, önként)'!H26</f>
        <v>18435690</v>
      </c>
      <c r="I62" s="317">
        <f>'2 kiadás (kötelező, önként)'!I26</f>
        <v>-27170</v>
      </c>
      <c r="J62" s="302">
        <f>SUM(G62:I62)</f>
        <v>18670906</v>
      </c>
      <c r="K62" s="299">
        <f t="shared" ref="K62" si="191">SUM(G62+C62)</f>
        <v>8528965</v>
      </c>
      <c r="L62" s="300">
        <f t="shared" ref="L62" si="192">SUM(H62+D62)</f>
        <v>34659999</v>
      </c>
      <c r="M62" s="300">
        <f t="shared" ref="M62" si="193">SUM(I62+E62)</f>
        <v>913176</v>
      </c>
      <c r="N62" s="303">
        <f t="shared" ref="N62" si="194">SUM(K62:M62)</f>
        <v>44102140</v>
      </c>
      <c r="O62" s="423"/>
      <c r="P62" s="300"/>
      <c r="Q62" s="300"/>
      <c r="R62" s="303">
        <f>SUM(O62:Q62)</f>
        <v>0</v>
      </c>
      <c r="S62" s="423"/>
      <c r="T62" s="300"/>
      <c r="U62" s="300"/>
      <c r="V62" s="303">
        <f>SUM(S62:U62)</f>
        <v>0</v>
      </c>
      <c r="W62" s="416">
        <f>SUM(S62+O62)</f>
        <v>0</v>
      </c>
      <c r="X62" s="300">
        <f>SUM(T62+P62)</f>
        <v>0</v>
      </c>
      <c r="Y62" s="300">
        <f>SUM(Q62+U62)</f>
        <v>0</v>
      </c>
      <c r="Z62" s="301">
        <f>SUM(W62:Y62)</f>
        <v>0</v>
      </c>
      <c r="AA62" s="299">
        <f>SUM(O62+C62)</f>
        <v>8266579</v>
      </c>
      <c r="AB62" s="300">
        <f>SUM(P62+D62)</f>
        <v>16224309</v>
      </c>
      <c r="AC62" s="300">
        <f>SUM(Q62+E62)</f>
        <v>940346</v>
      </c>
      <c r="AD62" s="301">
        <f>SUM(AA62:AC62)</f>
        <v>25431234</v>
      </c>
      <c r="AE62" s="299">
        <f t="shared" ref="AE62:AG62" si="195">SUM(S62+G62)</f>
        <v>262386</v>
      </c>
      <c r="AF62" s="300">
        <f t="shared" si="195"/>
        <v>18435690</v>
      </c>
      <c r="AG62" s="300">
        <f t="shared" si="195"/>
        <v>-27170</v>
      </c>
      <c r="AH62" s="301">
        <f t="shared" ref="AH62" si="196">SUM(AE62:AG62)</f>
        <v>18670906</v>
      </c>
      <c r="AI62" s="299">
        <f t="shared" ref="AI62:AK62" si="197">SUM(W62+K62)</f>
        <v>8528965</v>
      </c>
      <c r="AJ62" s="300">
        <f t="shared" si="197"/>
        <v>34659999</v>
      </c>
      <c r="AK62" s="300">
        <f t="shared" si="197"/>
        <v>913176</v>
      </c>
      <c r="AL62" s="301">
        <f t="shared" ref="AL62" si="198">SUM(AI62:AK62)</f>
        <v>44102140</v>
      </c>
    </row>
    <row r="63" spans="1:38" s="57" customFormat="1" ht="16.5" thickBot="1" x14ac:dyDescent="0.3">
      <c r="A63" s="58" t="s">
        <v>521</v>
      </c>
      <c r="B63" s="58"/>
      <c r="C63" s="240"/>
      <c r="D63" s="241"/>
      <c r="E63" s="241"/>
      <c r="F63" s="304">
        <f>SUM(F51+F55)</f>
        <v>0</v>
      </c>
      <c r="G63" s="305"/>
      <c r="H63" s="241"/>
      <c r="I63" s="241"/>
      <c r="J63" s="305">
        <f>SUM(J51+J55)</f>
        <v>0</v>
      </c>
      <c r="K63" s="240"/>
      <c r="L63" s="241"/>
      <c r="M63" s="241"/>
      <c r="N63" s="285">
        <f>SUM(N51+N55)</f>
        <v>0</v>
      </c>
      <c r="O63" s="424"/>
      <c r="P63" s="241"/>
      <c r="Q63" s="241"/>
      <c r="R63" s="285">
        <f>SUM(R51+R55)</f>
        <v>0</v>
      </c>
      <c r="S63" s="424"/>
      <c r="T63" s="241"/>
      <c r="U63" s="241"/>
      <c r="V63" s="285">
        <f>SUM(V51+V55)</f>
        <v>0</v>
      </c>
      <c r="W63" s="417"/>
      <c r="X63" s="241"/>
      <c r="Y63" s="241"/>
      <c r="Z63" s="304">
        <f>SUM(Z51+Z55)</f>
        <v>0</v>
      </c>
      <c r="AA63" s="240"/>
      <c r="AB63" s="241"/>
      <c r="AC63" s="241"/>
      <c r="AD63" s="304">
        <f>SUM(AD51+AD55)</f>
        <v>0</v>
      </c>
      <c r="AE63" s="240"/>
      <c r="AF63" s="241"/>
      <c r="AG63" s="241"/>
      <c r="AH63" s="304">
        <f>SUM(AH51+AH55)</f>
        <v>0</v>
      </c>
      <c r="AI63" s="240"/>
      <c r="AJ63" s="241"/>
      <c r="AK63" s="241"/>
      <c r="AL63" s="304">
        <f>SUM(AL51+AL55)</f>
        <v>0</v>
      </c>
    </row>
    <row r="64" spans="1:38" s="57" customFormat="1" ht="29.25" customHeight="1" thickTop="1" x14ac:dyDescent="0.25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E64" s="59"/>
      <c r="AI64" s="59"/>
    </row>
    <row r="65" spans="1:38" s="57" customFormat="1" x14ac:dyDescent="0.25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</row>
    <row r="66" spans="1:38" s="57" customFormat="1" x14ac:dyDescent="0.25">
      <c r="A66" s="59"/>
    </row>
    <row r="67" spans="1:38" s="57" customFormat="1" x14ac:dyDescent="0.25">
      <c r="A67" s="59"/>
    </row>
    <row r="68" spans="1:38" s="57" customFormat="1" x14ac:dyDescent="0.25">
      <c r="A68" s="59"/>
    </row>
    <row r="69" spans="1:38" s="57" customFormat="1" x14ac:dyDescent="0.25"/>
    <row r="70" spans="1:38" s="57" customFormat="1" x14ac:dyDescent="0.25"/>
    <row r="71" spans="1:38" s="57" customFormat="1" x14ac:dyDescent="0.25">
      <c r="A71" s="60"/>
      <c r="B71" s="60"/>
    </row>
    <row r="72" spans="1:38" s="62" customFormat="1" x14ac:dyDescent="0.25">
      <c r="A72" s="61"/>
      <c r="B72" s="61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</row>
    <row r="73" spans="1:38" s="62" customFormat="1" x14ac:dyDescent="0.25">
      <c r="A73" s="63"/>
      <c r="B73" s="63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</row>
    <row r="74" spans="1:38" s="62" customFormat="1" x14ac:dyDescent="0.25">
      <c r="A74" s="64"/>
      <c r="B74" s="64"/>
    </row>
    <row r="75" spans="1:38" s="62" customFormat="1" x14ac:dyDescent="0.25">
      <c r="A75" s="65"/>
      <c r="B75" s="65"/>
    </row>
    <row r="76" spans="1:38" s="62" customFormat="1" x14ac:dyDescent="0.25">
      <c r="A76" s="66"/>
      <c r="B76" s="66"/>
    </row>
    <row r="77" spans="1:38" s="62" customFormat="1" x14ac:dyDescent="0.25">
      <c r="A77" s="64"/>
      <c r="B77" s="64"/>
    </row>
    <row r="78" spans="1:38" s="62" customFormat="1" x14ac:dyDescent="0.25">
      <c r="A78" s="65"/>
      <c r="B78" s="65"/>
    </row>
    <row r="79" spans="1:38" s="62" customFormat="1" x14ac:dyDescent="0.25">
      <c r="A79" s="65"/>
      <c r="B79" s="65"/>
    </row>
    <row r="80" spans="1:38" s="62" customFormat="1" x14ac:dyDescent="0.25">
      <c r="A80" s="64"/>
      <c r="B80" s="64"/>
    </row>
    <row r="81" spans="1:38" s="62" customFormat="1" x14ac:dyDescent="0.25">
      <c r="A81" s="65"/>
      <c r="B81" s="65"/>
    </row>
    <row r="82" spans="1:38" s="62" customFormat="1" x14ac:dyDescent="0.25">
      <c r="A82" s="65"/>
      <c r="B82" s="65"/>
    </row>
    <row r="83" spans="1:38" s="62" customFormat="1" x14ac:dyDescent="0.25">
      <c r="A83" s="65"/>
      <c r="B83" s="65"/>
    </row>
    <row r="84" spans="1:38" s="62" customFormat="1" x14ac:dyDescent="0.25">
      <c r="A84" s="65"/>
      <c r="B84" s="65"/>
    </row>
    <row r="85" spans="1:38" s="62" customFormat="1" x14ac:dyDescent="0.25">
      <c r="A85" s="64"/>
      <c r="B85" s="64"/>
    </row>
    <row r="86" spans="1:38" s="62" customFormat="1" x14ac:dyDescent="0.25">
      <c r="A86" s="65"/>
      <c r="B86" s="65"/>
    </row>
    <row r="87" spans="1:38" s="62" customFormat="1" x14ac:dyDescent="0.25">
      <c r="A87" s="65"/>
      <c r="B87" s="65"/>
    </row>
    <row r="88" spans="1:38" s="62" customFormat="1" x14ac:dyDescent="0.25">
      <c r="A88" s="65"/>
      <c r="B88" s="65"/>
    </row>
    <row r="89" spans="1:38" s="62" customFormat="1" x14ac:dyDescent="0.25">
      <c r="A89" s="65"/>
      <c r="B89" s="65"/>
    </row>
    <row r="90" spans="1:38" s="62" customFormat="1" x14ac:dyDescent="0.25">
      <c r="A90" s="65"/>
      <c r="B90" s="65"/>
    </row>
    <row r="91" spans="1:38" x14ac:dyDescent="0.25">
      <c r="A91" s="65"/>
      <c r="B91" s="65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</row>
    <row r="92" spans="1:38" x14ac:dyDescent="0.25">
      <c r="A92" s="65"/>
      <c r="B92" s="65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</row>
    <row r="93" spans="1:38" x14ac:dyDescent="0.25">
      <c r="A93" s="67"/>
      <c r="B93" s="67"/>
    </row>
    <row r="94" spans="1:38" x14ac:dyDescent="0.25">
      <c r="A94" s="67"/>
      <c r="B94" s="67"/>
    </row>
    <row r="95" spans="1:38" x14ac:dyDescent="0.25">
      <c r="A95" s="67"/>
      <c r="B95" s="67"/>
    </row>
    <row r="96" spans="1:38" x14ac:dyDescent="0.25">
      <c r="A96" s="67"/>
      <c r="B96" s="67"/>
    </row>
    <row r="97" spans="1:2" x14ac:dyDescent="0.25">
      <c r="A97" s="67"/>
      <c r="B97" s="67"/>
    </row>
    <row r="98" spans="1:2" x14ac:dyDescent="0.25">
      <c r="A98" s="67"/>
      <c r="B98" s="67"/>
    </row>
    <row r="99" spans="1:2" x14ac:dyDescent="0.25">
      <c r="A99" s="67"/>
      <c r="B99" s="67"/>
    </row>
    <row r="100" spans="1:2" x14ac:dyDescent="0.25">
      <c r="A100" s="67"/>
      <c r="B100" s="67"/>
    </row>
    <row r="101" spans="1:2" x14ac:dyDescent="0.25">
      <c r="A101" s="67"/>
      <c r="B101" s="67"/>
    </row>
    <row r="102" spans="1:2" x14ac:dyDescent="0.25">
      <c r="A102" s="67"/>
      <c r="B102" s="67"/>
    </row>
    <row r="103" spans="1:2" x14ac:dyDescent="0.25">
      <c r="A103" s="67"/>
      <c r="B103" s="67"/>
    </row>
    <row r="104" spans="1:2" x14ac:dyDescent="0.25">
      <c r="A104" s="67"/>
      <c r="B104" s="67"/>
    </row>
    <row r="105" spans="1:2" x14ac:dyDescent="0.25">
      <c r="A105" s="67"/>
      <c r="B105" s="67"/>
    </row>
    <row r="106" spans="1:2" x14ac:dyDescent="0.25">
      <c r="A106" s="67"/>
      <c r="B106" s="67"/>
    </row>
    <row r="107" spans="1:2" x14ac:dyDescent="0.25">
      <c r="A107" s="67"/>
      <c r="B107" s="67"/>
    </row>
    <row r="108" spans="1:2" x14ac:dyDescent="0.25">
      <c r="A108" s="67"/>
      <c r="B108" s="67"/>
    </row>
    <row r="109" spans="1:2" x14ac:dyDescent="0.25">
      <c r="A109" s="67"/>
      <c r="B109" s="67"/>
    </row>
    <row r="110" spans="1:2" x14ac:dyDescent="0.25">
      <c r="A110" s="67"/>
      <c r="B110" s="67"/>
    </row>
    <row r="111" spans="1:2" x14ac:dyDescent="0.25">
      <c r="A111" s="67"/>
      <c r="B111" s="67"/>
    </row>
    <row r="112" spans="1:2" x14ac:dyDescent="0.25">
      <c r="A112" s="67"/>
      <c r="B112" s="67"/>
    </row>
    <row r="113" spans="1:2" x14ac:dyDescent="0.25">
      <c r="A113" s="67"/>
      <c r="B113" s="67"/>
    </row>
    <row r="114" spans="1:2" x14ac:dyDescent="0.25">
      <c r="A114" s="67"/>
      <c r="B114" s="67"/>
    </row>
    <row r="115" spans="1:2" x14ac:dyDescent="0.25">
      <c r="A115" s="67"/>
      <c r="B115" s="67"/>
    </row>
    <row r="116" spans="1:2" x14ac:dyDescent="0.25">
      <c r="A116" s="67"/>
      <c r="B116" s="67"/>
    </row>
    <row r="117" spans="1:2" x14ac:dyDescent="0.25">
      <c r="A117" s="67"/>
      <c r="B117" s="67"/>
    </row>
    <row r="118" spans="1:2" x14ac:dyDescent="0.25">
      <c r="A118" s="67"/>
      <c r="B118" s="67"/>
    </row>
    <row r="119" spans="1:2" x14ac:dyDescent="0.25">
      <c r="A119" s="67"/>
      <c r="B119" s="67"/>
    </row>
    <row r="120" spans="1:2" x14ac:dyDescent="0.25">
      <c r="A120" s="67"/>
      <c r="B120" s="67"/>
    </row>
    <row r="121" spans="1:2" x14ac:dyDescent="0.25">
      <c r="A121" s="67"/>
      <c r="B121" s="67"/>
    </row>
    <row r="122" spans="1:2" x14ac:dyDescent="0.25">
      <c r="A122" s="67"/>
      <c r="B122" s="67"/>
    </row>
    <row r="123" spans="1:2" x14ac:dyDescent="0.25">
      <c r="A123" s="67"/>
      <c r="B123" s="67"/>
    </row>
    <row r="124" spans="1:2" x14ac:dyDescent="0.25">
      <c r="A124" s="67"/>
      <c r="B124" s="67"/>
    </row>
    <row r="125" spans="1:2" x14ac:dyDescent="0.25">
      <c r="A125" s="67"/>
      <c r="B125" s="67"/>
    </row>
    <row r="126" spans="1:2" x14ac:dyDescent="0.25">
      <c r="A126" s="67"/>
      <c r="B126" s="67"/>
    </row>
    <row r="127" spans="1:2" x14ac:dyDescent="0.25">
      <c r="A127" s="67"/>
      <c r="B127" s="67"/>
    </row>
    <row r="128" spans="1:2" x14ac:dyDescent="0.25">
      <c r="A128" s="67"/>
      <c r="B128" s="67"/>
    </row>
    <row r="129" spans="1:2" x14ac:dyDescent="0.25">
      <c r="A129" s="67"/>
      <c r="B129" s="67"/>
    </row>
    <row r="130" spans="1:2" x14ac:dyDescent="0.25">
      <c r="A130" s="67"/>
      <c r="B130" s="67"/>
    </row>
    <row r="131" spans="1:2" x14ac:dyDescent="0.25">
      <c r="A131" s="67"/>
      <c r="B131" s="67"/>
    </row>
    <row r="132" spans="1:2" x14ac:dyDescent="0.25">
      <c r="A132" s="67"/>
      <c r="B132" s="67"/>
    </row>
    <row r="133" spans="1:2" x14ac:dyDescent="0.25">
      <c r="A133" s="67"/>
      <c r="B133" s="67"/>
    </row>
    <row r="134" spans="1:2" x14ac:dyDescent="0.25">
      <c r="A134" s="67"/>
      <c r="B134" s="67"/>
    </row>
    <row r="135" spans="1:2" x14ac:dyDescent="0.25">
      <c r="A135" s="67"/>
      <c r="B135" s="67"/>
    </row>
    <row r="136" spans="1:2" x14ac:dyDescent="0.25">
      <c r="A136" s="67"/>
      <c r="B136" s="67"/>
    </row>
    <row r="137" spans="1:2" x14ac:dyDescent="0.25">
      <c r="A137" s="67"/>
      <c r="B137" s="67"/>
    </row>
    <row r="138" spans="1:2" x14ac:dyDescent="0.25">
      <c r="A138" s="67"/>
      <c r="B138" s="67"/>
    </row>
    <row r="139" spans="1:2" x14ac:dyDescent="0.25">
      <c r="A139" s="67"/>
      <c r="B139" s="67"/>
    </row>
    <row r="140" spans="1:2" x14ac:dyDescent="0.25">
      <c r="A140" s="67"/>
      <c r="B140" s="67"/>
    </row>
    <row r="141" spans="1:2" x14ac:dyDescent="0.25">
      <c r="A141" s="67"/>
      <c r="B141" s="67"/>
    </row>
    <row r="142" spans="1:2" x14ac:dyDescent="0.25">
      <c r="A142" s="67"/>
      <c r="B142" s="67"/>
    </row>
    <row r="143" spans="1:2" x14ac:dyDescent="0.25">
      <c r="A143" s="67"/>
      <c r="B143" s="67"/>
    </row>
    <row r="144" spans="1:2" x14ac:dyDescent="0.25">
      <c r="A144" s="67"/>
      <c r="B144" s="67"/>
    </row>
    <row r="145" spans="1:2" x14ac:dyDescent="0.25">
      <c r="A145" s="67"/>
      <c r="B145" s="67"/>
    </row>
    <row r="146" spans="1:2" x14ac:dyDescent="0.25">
      <c r="A146" s="67"/>
      <c r="B146" s="67"/>
    </row>
    <row r="147" spans="1:2" x14ac:dyDescent="0.25">
      <c r="A147" s="67"/>
      <c r="B147" s="67"/>
    </row>
    <row r="148" spans="1:2" x14ac:dyDescent="0.25">
      <c r="A148" s="67"/>
      <c r="B148" s="67"/>
    </row>
    <row r="149" spans="1:2" x14ac:dyDescent="0.25">
      <c r="A149" s="67"/>
      <c r="B149" s="67"/>
    </row>
    <row r="150" spans="1:2" x14ac:dyDescent="0.25">
      <c r="A150" s="67"/>
      <c r="B150" s="67"/>
    </row>
    <row r="151" spans="1:2" x14ac:dyDescent="0.25">
      <c r="A151" s="67"/>
      <c r="B151" s="67"/>
    </row>
    <row r="152" spans="1:2" x14ac:dyDescent="0.25">
      <c r="A152" s="67"/>
      <c r="B152" s="67"/>
    </row>
    <row r="153" spans="1:2" x14ac:dyDescent="0.25">
      <c r="A153" s="67"/>
      <c r="B153" s="67"/>
    </row>
    <row r="154" spans="1:2" x14ac:dyDescent="0.25">
      <c r="A154" s="67"/>
      <c r="B154" s="67"/>
    </row>
    <row r="155" spans="1:2" x14ac:dyDescent="0.25">
      <c r="A155" s="67"/>
      <c r="B155" s="67"/>
    </row>
    <row r="156" spans="1:2" x14ac:dyDescent="0.25">
      <c r="A156" s="67"/>
      <c r="B156" s="67"/>
    </row>
    <row r="157" spans="1:2" x14ac:dyDescent="0.25">
      <c r="A157" s="67"/>
      <c r="B157" s="67"/>
    </row>
    <row r="158" spans="1:2" x14ac:dyDescent="0.25">
      <c r="A158" s="67"/>
      <c r="B158" s="67"/>
    </row>
    <row r="159" spans="1:2" x14ac:dyDescent="0.25">
      <c r="A159" s="67"/>
      <c r="B159" s="67"/>
    </row>
    <row r="160" spans="1:2" x14ac:dyDescent="0.25">
      <c r="A160" s="67"/>
      <c r="B160" s="67"/>
    </row>
    <row r="161" spans="1:2" x14ac:dyDescent="0.25">
      <c r="A161" s="67"/>
      <c r="B161" s="67"/>
    </row>
    <row r="162" spans="1:2" x14ac:dyDescent="0.25">
      <c r="A162" s="67"/>
      <c r="B162" s="67"/>
    </row>
    <row r="163" spans="1:2" x14ac:dyDescent="0.25">
      <c r="A163" s="67"/>
      <c r="B163" s="67"/>
    </row>
    <row r="164" spans="1:2" x14ac:dyDescent="0.25">
      <c r="A164" s="67"/>
      <c r="B164" s="67"/>
    </row>
    <row r="165" spans="1:2" x14ac:dyDescent="0.25">
      <c r="A165" s="67"/>
      <c r="B165" s="67"/>
    </row>
    <row r="166" spans="1:2" x14ac:dyDescent="0.25">
      <c r="A166" s="67"/>
      <c r="B166" s="67"/>
    </row>
    <row r="167" spans="1:2" x14ac:dyDescent="0.25">
      <c r="A167" s="67"/>
      <c r="B167" s="67"/>
    </row>
    <row r="168" spans="1:2" x14ac:dyDescent="0.25">
      <c r="A168" s="67"/>
      <c r="B168" s="67"/>
    </row>
    <row r="169" spans="1:2" x14ac:dyDescent="0.25">
      <c r="A169" s="67"/>
      <c r="B169" s="67"/>
    </row>
    <row r="170" spans="1:2" x14ac:dyDescent="0.25">
      <c r="A170" s="67"/>
      <c r="B170" s="67"/>
    </row>
    <row r="171" spans="1:2" x14ac:dyDescent="0.25">
      <c r="A171" s="67"/>
      <c r="B171" s="67"/>
    </row>
    <row r="172" spans="1:2" x14ac:dyDescent="0.25">
      <c r="A172" s="67"/>
      <c r="B172" s="67"/>
    </row>
    <row r="173" spans="1:2" x14ac:dyDescent="0.25">
      <c r="A173" s="67"/>
      <c r="B173" s="67"/>
    </row>
    <row r="174" spans="1:2" x14ac:dyDescent="0.25">
      <c r="A174" s="67"/>
      <c r="B174" s="67"/>
    </row>
    <row r="175" spans="1:2" x14ac:dyDescent="0.25">
      <c r="A175" s="67"/>
      <c r="B175" s="67"/>
    </row>
    <row r="176" spans="1:2" x14ac:dyDescent="0.25">
      <c r="A176" s="67"/>
      <c r="B176" s="67"/>
    </row>
    <row r="177" spans="1:2" x14ac:dyDescent="0.25">
      <c r="A177" s="67"/>
      <c r="B177" s="67"/>
    </row>
    <row r="178" spans="1:2" x14ac:dyDescent="0.25">
      <c r="A178" s="67"/>
      <c r="B178" s="67"/>
    </row>
    <row r="179" spans="1:2" x14ac:dyDescent="0.25">
      <c r="A179" s="67"/>
      <c r="B179" s="67"/>
    </row>
    <row r="180" spans="1:2" x14ac:dyDescent="0.25">
      <c r="A180" s="67"/>
      <c r="B180" s="67"/>
    </row>
    <row r="181" spans="1:2" x14ac:dyDescent="0.25">
      <c r="A181" s="67"/>
      <c r="B181" s="67"/>
    </row>
    <row r="182" spans="1:2" x14ac:dyDescent="0.25">
      <c r="A182" s="67"/>
      <c r="B182" s="67"/>
    </row>
    <row r="183" spans="1:2" x14ac:dyDescent="0.25">
      <c r="A183" s="67"/>
      <c r="B183" s="67"/>
    </row>
    <row r="184" spans="1:2" x14ac:dyDescent="0.25">
      <c r="A184" s="67"/>
      <c r="B184" s="67"/>
    </row>
    <row r="185" spans="1:2" x14ac:dyDescent="0.25">
      <c r="A185" s="67"/>
      <c r="B185" s="67"/>
    </row>
    <row r="186" spans="1:2" x14ac:dyDescent="0.25">
      <c r="A186" s="67"/>
      <c r="B186" s="67"/>
    </row>
    <row r="187" spans="1:2" x14ac:dyDescent="0.25">
      <c r="A187" s="67"/>
      <c r="B187" s="67"/>
    </row>
    <row r="188" spans="1:2" x14ac:dyDescent="0.25">
      <c r="A188" s="67"/>
      <c r="B188" s="67"/>
    </row>
    <row r="189" spans="1:2" x14ac:dyDescent="0.25">
      <c r="A189" s="67"/>
      <c r="B189" s="67"/>
    </row>
    <row r="190" spans="1:2" x14ac:dyDescent="0.25">
      <c r="A190" s="67"/>
      <c r="B190" s="67"/>
    </row>
    <row r="191" spans="1:2" x14ac:dyDescent="0.25">
      <c r="A191" s="67"/>
      <c r="B191" s="67"/>
    </row>
    <row r="192" spans="1:2" x14ac:dyDescent="0.25">
      <c r="A192" s="67"/>
      <c r="B192" s="67"/>
    </row>
    <row r="193" spans="1:2" x14ac:dyDescent="0.25">
      <c r="A193" s="67"/>
      <c r="B193" s="67"/>
    </row>
    <row r="194" spans="1:2" x14ac:dyDescent="0.25">
      <c r="A194" s="67"/>
      <c r="B194" s="67"/>
    </row>
    <row r="195" spans="1:2" x14ac:dyDescent="0.25">
      <c r="A195" s="67"/>
      <c r="B195" s="67"/>
    </row>
    <row r="196" spans="1:2" x14ac:dyDescent="0.25">
      <c r="A196" s="67"/>
      <c r="B196" s="67"/>
    </row>
    <row r="197" spans="1:2" x14ac:dyDescent="0.25">
      <c r="A197" s="67"/>
      <c r="B197" s="67"/>
    </row>
    <row r="198" spans="1:2" x14ac:dyDescent="0.25">
      <c r="A198" s="67"/>
      <c r="B198" s="67"/>
    </row>
    <row r="199" spans="1:2" x14ac:dyDescent="0.25">
      <c r="A199" s="67"/>
      <c r="B199" s="67"/>
    </row>
    <row r="200" spans="1:2" x14ac:dyDescent="0.25">
      <c r="A200" s="67"/>
      <c r="B200" s="67"/>
    </row>
    <row r="201" spans="1:2" x14ac:dyDescent="0.25">
      <c r="A201" s="67"/>
      <c r="B201" s="67"/>
    </row>
    <row r="202" spans="1:2" x14ac:dyDescent="0.25">
      <c r="A202" s="67"/>
      <c r="B202" s="67"/>
    </row>
    <row r="203" spans="1:2" x14ac:dyDescent="0.25">
      <c r="A203" s="67"/>
      <c r="B203" s="67"/>
    </row>
    <row r="204" spans="1:2" x14ac:dyDescent="0.25">
      <c r="A204" s="67"/>
      <c r="B204" s="67"/>
    </row>
    <row r="205" spans="1:2" x14ac:dyDescent="0.25">
      <c r="A205" s="67"/>
      <c r="B205" s="67"/>
    </row>
    <row r="206" spans="1:2" x14ac:dyDescent="0.25">
      <c r="A206" s="67"/>
      <c r="B206" s="67"/>
    </row>
    <row r="207" spans="1:2" x14ac:dyDescent="0.25">
      <c r="A207" s="67"/>
      <c r="B207" s="67"/>
    </row>
    <row r="208" spans="1:2" x14ac:dyDescent="0.25">
      <c r="A208" s="67"/>
      <c r="B208" s="67"/>
    </row>
    <row r="209" spans="1:2" x14ac:dyDescent="0.25">
      <c r="A209" s="67"/>
      <c r="B209" s="67"/>
    </row>
    <row r="210" spans="1:2" x14ac:dyDescent="0.25">
      <c r="A210" s="67"/>
      <c r="B210" s="67"/>
    </row>
    <row r="211" spans="1:2" x14ac:dyDescent="0.25">
      <c r="A211" s="67"/>
      <c r="B211" s="67"/>
    </row>
    <row r="212" spans="1:2" x14ac:dyDescent="0.25">
      <c r="A212" s="67"/>
      <c r="B212" s="67"/>
    </row>
    <row r="213" spans="1:2" x14ac:dyDescent="0.25">
      <c r="A213" s="67"/>
      <c r="B213" s="67"/>
    </row>
    <row r="214" spans="1:2" x14ac:dyDescent="0.25">
      <c r="A214" s="67"/>
      <c r="B214" s="67"/>
    </row>
    <row r="215" spans="1:2" x14ac:dyDescent="0.25">
      <c r="A215" s="67"/>
      <c r="B215" s="67"/>
    </row>
    <row r="216" spans="1:2" x14ac:dyDescent="0.25">
      <c r="A216" s="67"/>
      <c r="B216" s="67"/>
    </row>
    <row r="217" spans="1:2" x14ac:dyDescent="0.25">
      <c r="A217" s="67"/>
      <c r="B217" s="67"/>
    </row>
    <row r="218" spans="1:2" x14ac:dyDescent="0.25">
      <c r="A218" s="67"/>
      <c r="B218" s="67"/>
    </row>
    <row r="219" spans="1:2" x14ac:dyDescent="0.25">
      <c r="A219" s="67"/>
      <c r="B219" s="67"/>
    </row>
    <row r="220" spans="1:2" x14ac:dyDescent="0.25">
      <c r="A220" s="67"/>
      <c r="B220" s="67"/>
    </row>
    <row r="221" spans="1:2" x14ac:dyDescent="0.25">
      <c r="A221" s="67"/>
      <c r="B221" s="67"/>
    </row>
    <row r="222" spans="1:2" x14ac:dyDescent="0.25">
      <c r="A222" s="67"/>
      <c r="B222" s="67"/>
    </row>
    <row r="223" spans="1:2" x14ac:dyDescent="0.25">
      <c r="A223" s="67"/>
      <c r="B223" s="67"/>
    </row>
    <row r="224" spans="1:2" x14ac:dyDescent="0.25">
      <c r="A224" s="67"/>
      <c r="B224" s="67"/>
    </row>
    <row r="225" spans="1:2" x14ac:dyDescent="0.25">
      <c r="A225" s="67"/>
      <c r="B225" s="67"/>
    </row>
    <row r="226" spans="1:2" x14ac:dyDescent="0.25">
      <c r="A226" s="67"/>
      <c r="B226" s="67"/>
    </row>
    <row r="227" spans="1:2" x14ac:dyDescent="0.25">
      <c r="A227" s="67"/>
      <c r="B227" s="67"/>
    </row>
    <row r="228" spans="1:2" x14ac:dyDescent="0.25">
      <c r="A228" s="67"/>
      <c r="B228" s="67"/>
    </row>
    <row r="229" spans="1:2" x14ac:dyDescent="0.25">
      <c r="A229" s="67"/>
      <c r="B229" s="67"/>
    </row>
    <row r="230" spans="1:2" x14ac:dyDescent="0.25">
      <c r="A230" s="67"/>
      <c r="B230" s="67"/>
    </row>
    <row r="231" spans="1:2" x14ac:dyDescent="0.25">
      <c r="A231" s="67"/>
      <c r="B231" s="67"/>
    </row>
    <row r="232" spans="1:2" x14ac:dyDescent="0.25">
      <c r="A232" s="67"/>
      <c r="B232" s="67"/>
    </row>
    <row r="233" spans="1:2" x14ac:dyDescent="0.25">
      <c r="A233" s="67"/>
      <c r="B233" s="67"/>
    </row>
    <row r="234" spans="1:2" x14ac:dyDescent="0.25">
      <c r="A234" s="67"/>
      <c r="B234" s="67"/>
    </row>
    <row r="235" spans="1:2" x14ac:dyDescent="0.25">
      <c r="A235" s="67"/>
      <c r="B235" s="67"/>
    </row>
    <row r="236" spans="1:2" x14ac:dyDescent="0.25">
      <c r="A236" s="67"/>
      <c r="B236" s="67"/>
    </row>
    <row r="237" spans="1:2" x14ac:dyDescent="0.25">
      <c r="A237" s="67"/>
      <c r="B237" s="67"/>
    </row>
    <row r="238" spans="1:2" x14ac:dyDescent="0.25">
      <c r="A238" s="67"/>
      <c r="B238" s="67"/>
    </row>
    <row r="239" spans="1:2" x14ac:dyDescent="0.25">
      <c r="A239" s="67"/>
      <c r="B239" s="67"/>
    </row>
    <row r="240" spans="1:2" x14ac:dyDescent="0.25">
      <c r="A240" s="67"/>
      <c r="B240" s="67"/>
    </row>
    <row r="241" spans="1:2" x14ac:dyDescent="0.25">
      <c r="A241" s="67"/>
      <c r="B241" s="67"/>
    </row>
    <row r="242" spans="1:2" x14ac:dyDescent="0.25">
      <c r="A242" s="67"/>
      <c r="B242" s="67"/>
    </row>
    <row r="243" spans="1:2" x14ac:dyDescent="0.25">
      <c r="A243" s="67"/>
      <c r="B243" s="67"/>
    </row>
    <row r="244" spans="1:2" x14ac:dyDescent="0.25">
      <c r="A244" s="67"/>
      <c r="B244" s="67"/>
    </row>
    <row r="245" spans="1:2" x14ac:dyDescent="0.25">
      <c r="A245" s="67"/>
      <c r="B245" s="67"/>
    </row>
    <row r="246" spans="1:2" x14ac:dyDescent="0.25">
      <c r="A246" s="67"/>
      <c r="B246" s="67"/>
    </row>
    <row r="247" spans="1:2" x14ac:dyDescent="0.25">
      <c r="A247" s="67"/>
      <c r="B247" s="67"/>
    </row>
    <row r="248" spans="1:2" x14ac:dyDescent="0.25">
      <c r="A248" s="67"/>
      <c r="B248" s="67"/>
    </row>
    <row r="249" spans="1:2" x14ac:dyDescent="0.25">
      <c r="A249" s="67"/>
      <c r="B249" s="67"/>
    </row>
    <row r="250" spans="1:2" x14ac:dyDescent="0.25">
      <c r="A250" s="67"/>
      <c r="B250" s="67"/>
    </row>
    <row r="251" spans="1:2" x14ac:dyDescent="0.25">
      <c r="A251" s="67"/>
      <c r="B251" s="67"/>
    </row>
    <row r="252" spans="1:2" x14ac:dyDescent="0.25">
      <c r="A252" s="67"/>
      <c r="B252" s="67"/>
    </row>
    <row r="253" spans="1:2" x14ac:dyDescent="0.25">
      <c r="A253" s="67"/>
      <c r="B253" s="67"/>
    </row>
    <row r="254" spans="1:2" x14ac:dyDescent="0.25">
      <c r="A254" s="67"/>
      <c r="B254" s="67"/>
    </row>
    <row r="255" spans="1:2" x14ac:dyDescent="0.25">
      <c r="A255" s="67"/>
      <c r="B255" s="67"/>
    </row>
    <row r="256" spans="1:2" x14ac:dyDescent="0.25">
      <c r="A256" s="67"/>
      <c r="B256" s="67"/>
    </row>
    <row r="257" spans="1:2" x14ac:dyDescent="0.25">
      <c r="A257" s="67"/>
      <c r="B257" s="67"/>
    </row>
    <row r="258" spans="1:2" x14ac:dyDescent="0.25">
      <c r="A258" s="67"/>
      <c r="B258" s="67"/>
    </row>
    <row r="259" spans="1:2" x14ac:dyDescent="0.25">
      <c r="A259" s="67"/>
      <c r="B259" s="67"/>
    </row>
    <row r="260" spans="1:2" x14ac:dyDescent="0.25">
      <c r="A260" s="67"/>
      <c r="B260" s="67"/>
    </row>
    <row r="261" spans="1:2" x14ac:dyDescent="0.25">
      <c r="A261" s="67"/>
      <c r="B261" s="67"/>
    </row>
    <row r="262" spans="1:2" x14ac:dyDescent="0.25">
      <c r="A262" s="67"/>
      <c r="B262" s="67"/>
    </row>
    <row r="263" spans="1:2" x14ac:dyDescent="0.25">
      <c r="A263" s="67"/>
      <c r="B263" s="67"/>
    </row>
    <row r="264" spans="1:2" x14ac:dyDescent="0.25">
      <c r="A264" s="67"/>
      <c r="B264" s="67"/>
    </row>
    <row r="265" spans="1:2" x14ac:dyDescent="0.25">
      <c r="A265" s="67"/>
      <c r="B265" s="67"/>
    </row>
    <row r="266" spans="1:2" x14ac:dyDescent="0.25">
      <c r="A266" s="67"/>
      <c r="B266" s="67"/>
    </row>
    <row r="267" spans="1:2" x14ac:dyDescent="0.25">
      <c r="A267" s="67"/>
      <c r="B267" s="67"/>
    </row>
    <row r="268" spans="1:2" x14ac:dyDescent="0.25">
      <c r="A268" s="67"/>
      <c r="B268" s="67"/>
    </row>
    <row r="269" spans="1:2" x14ac:dyDescent="0.25">
      <c r="A269" s="67"/>
      <c r="B269" s="67"/>
    </row>
    <row r="270" spans="1:2" x14ac:dyDescent="0.25">
      <c r="A270" s="67"/>
      <c r="B270" s="67"/>
    </row>
    <row r="271" spans="1:2" x14ac:dyDescent="0.25">
      <c r="A271" s="67"/>
      <c r="B271" s="67"/>
    </row>
    <row r="272" spans="1:2" x14ac:dyDescent="0.25">
      <c r="A272" s="67"/>
      <c r="B272" s="67"/>
    </row>
    <row r="273" spans="1:2" x14ac:dyDescent="0.25">
      <c r="A273" s="67"/>
      <c r="B273" s="67"/>
    </row>
    <row r="274" spans="1:2" x14ac:dyDescent="0.25">
      <c r="A274" s="67"/>
      <c r="B274" s="67"/>
    </row>
    <row r="275" spans="1:2" x14ac:dyDescent="0.25">
      <c r="A275" s="67"/>
      <c r="B275" s="67"/>
    </row>
    <row r="276" spans="1:2" x14ac:dyDescent="0.25">
      <c r="A276" s="67"/>
      <c r="B276" s="67"/>
    </row>
    <row r="277" spans="1:2" x14ac:dyDescent="0.25">
      <c r="A277" s="67"/>
      <c r="B277" s="67"/>
    </row>
    <row r="278" spans="1:2" x14ac:dyDescent="0.25">
      <c r="A278" s="67"/>
      <c r="B278" s="67"/>
    </row>
    <row r="279" spans="1:2" x14ac:dyDescent="0.25">
      <c r="A279" s="67"/>
      <c r="B279" s="67"/>
    </row>
    <row r="280" spans="1:2" x14ac:dyDescent="0.25">
      <c r="A280" s="67"/>
      <c r="B280" s="67"/>
    </row>
    <row r="281" spans="1:2" x14ac:dyDescent="0.25">
      <c r="A281" s="67"/>
      <c r="B281" s="67"/>
    </row>
    <row r="282" spans="1:2" x14ac:dyDescent="0.25">
      <c r="A282" s="67"/>
      <c r="B282" s="67"/>
    </row>
    <row r="283" spans="1:2" x14ac:dyDescent="0.25">
      <c r="A283" s="67"/>
      <c r="B283" s="67"/>
    </row>
    <row r="284" spans="1:2" x14ac:dyDescent="0.25">
      <c r="A284" s="67"/>
      <c r="B284" s="67"/>
    </row>
    <row r="285" spans="1:2" x14ac:dyDescent="0.25">
      <c r="A285" s="67"/>
      <c r="B285" s="67"/>
    </row>
    <row r="286" spans="1:2" x14ac:dyDescent="0.25">
      <c r="A286" s="67"/>
      <c r="B286" s="67"/>
    </row>
    <row r="287" spans="1:2" x14ac:dyDescent="0.25">
      <c r="A287" s="67"/>
      <c r="B287" s="67"/>
    </row>
    <row r="288" spans="1:2" x14ac:dyDescent="0.25">
      <c r="A288" s="67"/>
      <c r="B288" s="67"/>
    </row>
    <row r="289" spans="1:2" x14ac:dyDescent="0.25">
      <c r="A289" s="67"/>
      <c r="B289" s="67"/>
    </row>
    <row r="290" spans="1:2" x14ac:dyDescent="0.25">
      <c r="A290" s="67"/>
      <c r="B290" s="67"/>
    </row>
    <row r="291" spans="1:2" x14ac:dyDescent="0.25">
      <c r="A291" s="67"/>
      <c r="B291" s="67"/>
    </row>
    <row r="292" spans="1:2" x14ac:dyDescent="0.25">
      <c r="A292" s="67"/>
      <c r="B292" s="67"/>
    </row>
    <row r="293" spans="1:2" x14ac:dyDescent="0.25">
      <c r="A293" s="67"/>
      <c r="B293" s="67"/>
    </row>
    <row r="294" spans="1:2" x14ac:dyDescent="0.25">
      <c r="A294" s="67"/>
      <c r="B294" s="67"/>
    </row>
    <row r="295" spans="1:2" x14ac:dyDescent="0.25">
      <c r="A295" s="67"/>
      <c r="B295" s="67"/>
    </row>
    <row r="296" spans="1:2" x14ac:dyDescent="0.25">
      <c r="A296" s="67"/>
      <c r="B296" s="67"/>
    </row>
    <row r="297" spans="1:2" x14ac:dyDescent="0.25">
      <c r="A297" s="67"/>
      <c r="B297" s="67"/>
    </row>
    <row r="298" spans="1:2" x14ac:dyDescent="0.25">
      <c r="A298" s="67"/>
      <c r="B298" s="67"/>
    </row>
    <row r="299" spans="1:2" x14ac:dyDescent="0.25">
      <c r="A299" s="67"/>
      <c r="B299" s="67"/>
    </row>
    <row r="300" spans="1:2" x14ac:dyDescent="0.25">
      <c r="A300" s="67"/>
      <c r="B300" s="67"/>
    </row>
    <row r="301" spans="1:2" x14ac:dyDescent="0.25">
      <c r="A301" s="67"/>
      <c r="B301" s="67"/>
    </row>
    <row r="302" spans="1:2" x14ac:dyDescent="0.25">
      <c r="A302" s="67"/>
      <c r="B302" s="67"/>
    </row>
    <row r="303" spans="1:2" x14ac:dyDescent="0.25">
      <c r="A303" s="67"/>
      <c r="B303" s="67"/>
    </row>
    <row r="304" spans="1:2" x14ac:dyDescent="0.25">
      <c r="A304" s="67"/>
      <c r="B304" s="67"/>
    </row>
    <row r="305" spans="1:2" x14ac:dyDescent="0.25">
      <c r="A305" s="67"/>
      <c r="B305" s="67"/>
    </row>
    <row r="306" spans="1:2" x14ac:dyDescent="0.25">
      <c r="A306" s="67"/>
      <c r="B306" s="67"/>
    </row>
    <row r="307" spans="1:2" x14ac:dyDescent="0.25">
      <c r="A307" s="67"/>
      <c r="B307" s="67"/>
    </row>
    <row r="308" spans="1:2" x14ac:dyDescent="0.25">
      <c r="A308" s="67"/>
      <c r="B308" s="67"/>
    </row>
    <row r="309" spans="1:2" x14ac:dyDescent="0.25">
      <c r="A309" s="67"/>
      <c r="B309" s="67"/>
    </row>
    <row r="310" spans="1:2" x14ac:dyDescent="0.25">
      <c r="A310" s="67"/>
      <c r="B310" s="67"/>
    </row>
    <row r="311" spans="1:2" x14ac:dyDescent="0.25">
      <c r="A311" s="67"/>
      <c r="B311" s="67"/>
    </row>
    <row r="312" spans="1:2" x14ac:dyDescent="0.25">
      <c r="A312" s="67"/>
      <c r="B312" s="67"/>
    </row>
    <row r="313" spans="1:2" x14ac:dyDescent="0.25">
      <c r="A313" s="67"/>
      <c r="B313" s="67"/>
    </row>
    <row r="314" spans="1:2" x14ac:dyDescent="0.25">
      <c r="A314" s="67"/>
      <c r="B314" s="67"/>
    </row>
    <row r="315" spans="1:2" x14ac:dyDescent="0.25">
      <c r="A315" s="67"/>
      <c r="B315" s="67"/>
    </row>
    <row r="316" spans="1:2" x14ac:dyDescent="0.25">
      <c r="A316" s="67"/>
      <c r="B316" s="67"/>
    </row>
    <row r="317" spans="1:2" x14ac:dyDescent="0.25">
      <c r="A317" s="67"/>
      <c r="B317" s="67"/>
    </row>
    <row r="318" spans="1:2" x14ac:dyDescent="0.25">
      <c r="A318" s="67"/>
      <c r="B318" s="67"/>
    </row>
    <row r="319" spans="1:2" x14ac:dyDescent="0.25">
      <c r="A319" s="67"/>
      <c r="B319" s="67"/>
    </row>
    <row r="320" spans="1:2" x14ac:dyDescent="0.25">
      <c r="A320" s="67"/>
      <c r="B320" s="67"/>
    </row>
    <row r="321" spans="1:2" x14ac:dyDescent="0.25">
      <c r="A321" s="67"/>
      <c r="B321" s="67"/>
    </row>
    <row r="322" spans="1:2" x14ac:dyDescent="0.25">
      <c r="A322" s="67"/>
      <c r="B322" s="67"/>
    </row>
    <row r="323" spans="1:2" x14ac:dyDescent="0.25">
      <c r="A323" s="67"/>
      <c r="B323" s="67"/>
    </row>
    <row r="324" spans="1:2" x14ac:dyDescent="0.25">
      <c r="A324" s="67"/>
      <c r="B324" s="67"/>
    </row>
    <row r="325" spans="1:2" x14ac:dyDescent="0.25">
      <c r="A325" s="67"/>
      <c r="B325" s="67"/>
    </row>
    <row r="326" spans="1:2" x14ac:dyDescent="0.25">
      <c r="A326" s="67"/>
      <c r="B326" s="67"/>
    </row>
    <row r="327" spans="1:2" x14ac:dyDescent="0.25">
      <c r="A327" s="67"/>
      <c r="B327" s="67"/>
    </row>
    <row r="328" spans="1:2" x14ac:dyDescent="0.25">
      <c r="A328" s="67"/>
      <c r="B328" s="67"/>
    </row>
    <row r="329" spans="1:2" x14ac:dyDescent="0.25">
      <c r="A329" s="67"/>
      <c r="B329" s="67"/>
    </row>
    <row r="330" spans="1:2" x14ac:dyDescent="0.25">
      <c r="A330" s="67"/>
      <c r="B330" s="67"/>
    </row>
    <row r="331" spans="1:2" x14ac:dyDescent="0.25">
      <c r="A331" s="67"/>
      <c r="B331" s="67"/>
    </row>
    <row r="332" spans="1:2" x14ac:dyDescent="0.25">
      <c r="A332" s="67"/>
      <c r="B332" s="67"/>
    </row>
    <row r="333" spans="1:2" x14ac:dyDescent="0.25">
      <c r="A333" s="67"/>
      <c r="B333" s="67"/>
    </row>
    <row r="334" spans="1:2" x14ac:dyDescent="0.25">
      <c r="A334" s="67"/>
      <c r="B334" s="67"/>
    </row>
    <row r="335" spans="1:2" x14ac:dyDescent="0.25">
      <c r="A335" s="67"/>
      <c r="B335" s="67"/>
    </row>
    <row r="336" spans="1:2" x14ac:dyDescent="0.25">
      <c r="A336" s="67"/>
      <c r="B336" s="67"/>
    </row>
    <row r="337" spans="1:2" x14ac:dyDescent="0.25">
      <c r="A337" s="67"/>
      <c r="B337" s="67"/>
    </row>
    <row r="338" spans="1:2" x14ac:dyDescent="0.25">
      <c r="A338" s="67"/>
      <c r="B338" s="67"/>
    </row>
    <row r="339" spans="1:2" x14ac:dyDescent="0.25">
      <c r="A339" s="67"/>
      <c r="B339" s="67"/>
    </row>
    <row r="340" spans="1:2" x14ac:dyDescent="0.25">
      <c r="A340" s="67"/>
      <c r="B340" s="67"/>
    </row>
    <row r="341" spans="1:2" x14ac:dyDescent="0.25">
      <c r="A341" s="67"/>
      <c r="B341" s="67"/>
    </row>
    <row r="342" spans="1:2" x14ac:dyDescent="0.25">
      <c r="A342" s="67"/>
      <c r="B342" s="67"/>
    </row>
    <row r="343" spans="1:2" x14ac:dyDescent="0.25">
      <c r="A343" s="67"/>
      <c r="B343" s="67"/>
    </row>
    <row r="344" spans="1:2" x14ac:dyDescent="0.25">
      <c r="A344" s="67"/>
      <c r="B344" s="67"/>
    </row>
    <row r="345" spans="1:2" x14ac:dyDescent="0.25">
      <c r="A345" s="67"/>
      <c r="B345" s="67"/>
    </row>
    <row r="346" spans="1:2" x14ac:dyDescent="0.25">
      <c r="A346" s="67"/>
      <c r="B346" s="67"/>
    </row>
    <row r="347" spans="1:2" x14ac:dyDescent="0.25">
      <c r="A347" s="67"/>
      <c r="B347" s="67"/>
    </row>
    <row r="348" spans="1:2" x14ac:dyDescent="0.25">
      <c r="A348" s="67"/>
      <c r="B348" s="67"/>
    </row>
    <row r="349" spans="1:2" x14ac:dyDescent="0.25">
      <c r="A349" s="67"/>
      <c r="B349" s="67"/>
    </row>
    <row r="350" spans="1:2" x14ac:dyDescent="0.25">
      <c r="A350" s="67"/>
      <c r="B350" s="67"/>
    </row>
    <row r="351" spans="1:2" x14ac:dyDescent="0.25">
      <c r="A351" s="67"/>
      <c r="B351" s="67"/>
    </row>
    <row r="352" spans="1:2" x14ac:dyDescent="0.25">
      <c r="A352" s="67"/>
      <c r="B352" s="67"/>
    </row>
    <row r="353" spans="1:2" x14ac:dyDescent="0.25">
      <c r="A353" s="67"/>
      <c r="B353" s="67"/>
    </row>
    <row r="354" spans="1:2" x14ac:dyDescent="0.25">
      <c r="A354" s="67"/>
      <c r="B354" s="67"/>
    </row>
    <row r="355" spans="1:2" x14ac:dyDescent="0.25">
      <c r="A355" s="67"/>
      <c r="B355" s="67"/>
    </row>
    <row r="356" spans="1:2" x14ac:dyDescent="0.25">
      <c r="A356" s="67"/>
      <c r="B356" s="67"/>
    </row>
    <row r="357" spans="1:2" x14ac:dyDescent="0.25">
      <c r="A357" s="67"/>
      <c r="B357" s="67"/>
    </row>
    <row r="358" spans="1:2" x14ac:dyDescent="0.25">
      <c r="A358" s="67"/>
      <c r="B358" s="67"/>
    </row>
    <row r="359" spans="1:2" x14ac:dyDescent="0.25">
      <c r="A359" s="67"/>
      <c r="B359" s="67"/>
    </row>
    <row r="360" spans="1:2" x14ac:dyDescent="0.25">
      <c r="A360" s="67"/>
      <c r="B360" s="67"/>
    </row>
    <row r="361" spans="1:2" x14ac:dyDescent="0.25">
      <c r="A361" s="67"/>
      <c r="B361" s="67"/>
    </row>
    <row r="362" spans="1:2" x14ac:dyDescent="0.25">
      <c r="A362" s="67"/>
      <c r="B362" s="67"/>
    </row>
    <row r="363" spans="1:2" x14ac:dyDescent="0.25">
      <c r="A363" s="67"/>
      <c r="B363" s="67"/>
    </row>
    <row r="364" spans="1:2" x14ac:dyDescent="0.25">
      <c r="A364" s="67"/>
      <c r="B364" s="67"/>
    </row>
    <row r="365" spans="1:2" x14ac:dyDescent="0.25">
      <c r="A365" s="67"/>
      <c r="B365" s="67"/>
    </row>
    <row r="366" spans="1:2" x14ac:dyDescent="0.25">
      <c r="A366" s="67"/>
      <c r="B366" s="67"/>
    </row>
    <row r="367" spans="1:2" x14ac:dyDescent="0.25">
      <c r="A367" s="67"/>
      <c r="B367" s="67"/>
    </row>
    <row r="368" spans="1:2" x14ac:dyDescent="0.25">
      <c r="A368" s="67"/>
      <c r="B368" s="67"/>
    </row>
    <row r="369" spans="1:2" x14ac:dyDescent="0.25">
      <c r="A369" s="67"/>
      <c r="B369" s="67"/>
    </row>
    <row r="370" spans="1:2" x14ac:dyDescent="0.25">
      <c r="A370" s="67"/>
      <c r="B370" s="67"/>
    </row>
    <row r="371" spans="1:2" x14ac:dyDescent="0.25">
      <c r="A371" s="67"/>
      <c r="B371" s="67"/>
    </row>
    <row r="372" spans="1:2" x14ac:dyDescent="0.25">
      <c r="A372" s="67"/>
      <c r="B372" s="67"/>
    </row>
    <row r="373" spans="1:2" x14ac:dyDescent="0.25">
      <c r="A373" s="67"/>
      <c r="B373" s="67"/>
    </row>
    <row r="374" spans="1:2" x14ac:dyDescent="0.25">
      <c r="A374" s="67"/>
      <c r="B374" s="67"/>
    </row>
    <row r="375" spans="1:2" x14ac:dyDescent="0.25">
      <c r="A375" s="67"/>
      <c r="B375" s="67"/>
    </row>
    <row r="376" spans="1:2" x14ac:dyDescent="0.25">
      <c r="A376" s="67"/>
      <c r="B376" s="67"/>
    </row>
    <row r="377" spans="1:2" x14ac:dyDescent="0.25">
      <c r="A377" s="67"/>
      <c r="B377" s="67"/>
    </row>
    <row r="378" spans="1:2" x14ac:dyDescent="0.25">
      <c r="A378" s="67"/>
      <c r="B378" s="67"/>
    </row>
    <row r="379" spans="1:2" x14ac:dyDescent="0.25">
      <c r="A379" s="67"/>
      <c r="B379" s="67"/>
    </row>
    <row r="380" spans="1:2" x14ac:dyDescent="0.25">
      <c r="A380" s="67"/>
      <c r="B380" s="67"/>
    </row>
    <row r="381" spans="1:2" x14ac:dyDescent="0.25">
      <c r="A381" s="67"/>
      <c r="B381" s="67"/>
    </row>
    <row r="382" spans="1:2" x14ac:dyDescent="0.25">
      <c r="A382" s="67"/>
      <c r="B382" s="67"/>
    </row>
    <row r="383" spans="1:2" x14ac:dyDescent="0.25">
      <c r="A383" s="67"/>
      <c r="B383" s="67"/>
    </row>
    <row r="384" spans="1:2" x14ac:dyDescent="0.25">
      <c r="A384" s="67"/>
      <c r="B384" s="67"/>
    </row>
    <row r="385" spans="1:2" x14ac:dyDescent="0.25">
      <c r="A385" s="67"/>
      <c r="B385" s="67"/>
    </row>
    <row r="386" spans="1:2" x14ac:dyDescent="0.25">
      <c r="A386" s="67"/>
      <c r="B386" s="67"/>
    </row>
    <row r="387" spans="1:2" x14ac:dyDescent="0.25">
      <c r="A387" s="67"/>
      <c r="B387" s="67"/>
    </row>
    <row r="388" spans="1:2" x14ac:dyDescent="0.25">
      <c r="A388" s="67"/>
      <c r="B388" s="67"/>
    </row>
    <row r="389" spans="1:2" x14ac:dyDescent="0.25">
      <c r="A389" s="67"/>
      <c r="B389" s="67"/>
    </row>
    <row r="390" spans="1:2" x14ac:dyDescent="0.25">
      <c r="A390" s="67"/>
      <c r="B390" s="67"/>
    </row>
    <row r="391" spans="1:2" x14ac:dyDescent="0.25">
      <c r="A391" s="67"/>
      <c r="B391" s="67"/>
    </row>
    <row r="392" spans="1:2" x14ac:dyDescent="0.25">
      <c r="A392" s="67"/>
      <c r="B392" s="67"/>
    </row>
    <row r="393" spans="1:2" x14ac:dyDescent="0.25">
      <c r="A393" s="67"/>
      <c r="B393" s="67"/>
    </row>
    <row r="394" spans="1:2" x14ac:dyDescent="0.25">
      <c r="A394" s="67"/>
      <c r="B394" s="67"/>
    </row>
    <row r="395" spans="1:2" x14ac:dyDescent="0.25">
      <c r="A395" s="67"/>
      <c r="B395" s="67"/>
    </row>
    <row r="396" spans="1:2" x14ac:dyDescent="0.25">
      <c r="A396" s="67"/>
      <c r="B396" s="67"/>
    </row>
    <row r="397" spans="1:2" x14ac:dyDescent="0.25">
      <c r="A397" s="67"/>
      <c r="B397" s="67"/>
    </row>
    <row r="398" spans="1:2" x14ac:dyDescent="0.25">
      <c r="A398" s="67"/>
      <c r="B398" s="67"/>
    </row>
    <row r="399" spans="1:2" x14ac:dyDescent="0.25">
      <c r="A399" s="67"/>
      <c r="B399" s="67"/>
    </row>
    <row r="400" spans="1:2" x14ac:dyDescent="0.25">
      <c r="A400" s="67"/>
      <c r="B400" s="67"/>
    </row>
    <row r="401" spans="1:2" x14ac:dyDescent="0.25">
      <c r="A401" s="67"/>
      <c r="B401" s="67"/>
    </row>
    <row r="402" spans="1:2" x14ac:dyDescent="0.25">
      <c r="A402" s="67"/>
      <c r="B402" s="67"/>
    </row>
    <row r="403" spans="1:2" x14ac:dyDescent="0.25">
      <c r="A403" s="67"/>
      <c r="B403" s="67"/>
    </row>
    <row r="404" spans="1:2" x14ac:dyDescent="0.25">
      <c r="A404" s="67"/>
      <c r="B404" s="67"/>
    </row>
    <row r="405" spans="1:2" x14ac:dyDescent="0.25">
      <c r="A405" s="67"/>
      <c r="B405" s="67"/>
    </row>
    <row r="406" spans="1:2" x14ac:dyDescent="0.25">
      <c r="A406" s="67"/>
      <c r="B406" s="67"/>
    </row>
    <row r="407" spans="1:2" x14ac:dyDescent="0.25">
      <c r="A407" s="67"/>
      <c r="B407" s="67"/>
    </row>
    <row r="408" spans="1:2" x14ac:dyDescent="0.25">
      <c r="A408" s="67"/>
      <c r="B408" s="67"/>
    </row>
    <row r="409" spans="1:2" x14ac:dyDescent="0.25">
      <c r="A409" s="67"/>
      <c r="B409" s="67"/>
    </row>
    <row r="410" spans="1:2" x14ac:dyDescent="0.25">
      <c r="A410" s="67"/>
      <c r="B410" s="67"/>
    </row>
    <row r="411" spans="1:2" x14ac:dyDescent="0.25">
      <c r="A411" s="67"/>
      <c r="B411" s="67"/>
    </row>
    <row r="412" spans="1:2" x14ac:dyDescent="0.25">
      <c r="A412" s="67"/>
      <c r="B412" s="67"/>
    </row>
    <row r="413" spans="1:2" x14ac:dyDescent="0.25">
      <c r="A413" s="67"/>
      <c r="B413" s="67"/>
    </row>
    <row r="414" spans="1:2" x14ac:dyDescent="0.25">
      <c r="A414" s="67"/>
      <c r="B414" s="67"/>
    </row>
    <row r="415" spans="1:2" x14ac:dyDescent="0.25">
      <c r="A415" s="67"/>
      <c r="B415" s="67"/>
    </row>
    <row r="416" spans="1:2" x14ac:dyDescent="0.25">
      <c r="A416" s="67"/>
      <c r="B416" s="67"/>
    </row>
    <row r="417" spans="1:2" x14ac:dyDescent="0.25">
      <c r="A417" s="67"/>
      <c r="B417" s="67"/>
    </row>
    <row r="418" spans="1:2" x14ac:dyDescent="0.25">
      <c r="A418" s="67"/>
      <c r="B418" s="67"/>
    </row>
    <row r="419" spans="1:2" x14ac:dyDescent="0.25">
      <c r="A419" s="67"/>
      <c r="B419" s="67"/>
    </row>
    <row r="420" spans="1:2" x14ac:dyDescent="0.25">
      <c r="A420" s="67"/>
      <c r="B420" s="67"/>
    </row>
    <row r="421" spans="1:2" x14ac:dyDescent="0.25">
      <c r="A421" s="67"/>
      <c r="B421" s="67"/>
    </row>
    <row r="422" spans="1:2" x14ac:dyDescent="0.25">
      <c r="A422" s="67"/>
      <c r="B422" s="67"/>
    </row>
    <row r="423" spans="1:2" x14ac:dyDescent="0.25">
      <c r="A423" s="67"/>
      <c r="B423" s="67"/>
    </row>
    <row r="424" spans="1:2" x14ac:dyDescent="0.25">
      <c r="A424" s="67"/>
      <c r="B424" s="67"/>
    </row>
    <row r="425" spans="1:2" x14ac:dyDescent="0.25">
      <c r="A425" s="67"/>
      <c r="B425" s="67"/>
    </row>
    <row r="426" spans="1:2" x14ac:dyDescent="0.25">
      <c r="A426" s="67"/>
      <c r="B426" s="67"/>
    </row>
    <row r="427" spans="1:2" x14ac:dyDescent="0.25">
      <c r="A427" s="67"/>
      <c r="B427" s="67"/>
    </row>
    <row r="428" spans="1:2" x14ac:dyDescent="0.25">
      <c r="A428" s="67"/>
      <c r="B428" s="67"/>
    </row>
    <row r="429" spans="1:2" x14ac:dyDescent="0.25">
      <c r="A429" s="67"/>
      <c r="B429" s="67"/>
    </row>
    <row r="430" spans="1:2" x14ac:dyDescent="0.25">
      <c r="A430" s="67"/>
      <c r="B430" s="67"/>
    </row>
    <row r="431" spans="1:2" x14ac:dyDescent="0.25">
      <c r="A431" s="67"/>
      <c r="B431" s="67"/>
    </row>
    <row r="432" spans="1:2" x14ac:dyDescent="0.25">
      <c r="A432" s="67"/>
      <c r="B432" s="67"/>
    </row>
    <row r="433" spans="1:2" x14ac:dyDescent="0.25">
      <c r="A433" s="67"/>
      <c r="B433" s="67"/>
    </row>
    <row r="434" spans="1:2" x14ac:dyDescent="0.25">
      <c r="A434" s="67"/>
      <c r="B434" s="67"/>
    </row>
    <row r="435" spans="1:2" x14ac:dyDescent="0.25">
      <c r="A435" s="67"/>
      <c r="B435" s="67"/>
    </row>
    <row r="436" spans="1:2" x14ac:dyDescent="0.25">
      <c r="A436" s="67"/>
      <c r="B436" s="67"/>
    </row>
    <row r="437" spans="1:2" x14ac:dyDescent="0.25">
      <c r="A437" s="67"/>
      <c r="B437" s="67"/>
    </row>
    <row r="438" spans="1:2" x14ac:dyDescent="0.25">
      <c r="A438" s="67"/>
      <c r="B438" s="67"/>
    </row>
    <row r="439" spans="1:2" x14ac:dyDescent="0.25">
      <c r="A439" s="67"/>
      <c r="B439" s="67"/>
    </row>
    <row r="440" spans="1:2" x14ac:dyDescent="0.25">
      <c r="A440" s="67"/>
      <c r="B440" s="67"/>
    </row>
    <row r="441" spans="1:2" x14ac:dyDescent="0.25">
      <c r="A441" s="67"/>
      <c r="B441" s="67"/>
    </row>
    <row r="442" spans="1:2" x14ac:dyDescent="0.25">
      <c r="A442" s="67"/>
      <c r="B442" s="67"/>
    </row>
    <row r="443" spans="1:2" x14ac:dyDescent="0.25">
      <c r="A443" s="67"/>
      <c r="B443" s="67"/>
    </row>
    <row r="444" spans="1:2" x14ac:dyDescent="0.25">
      <c r="A444" s="67"/>
      <c r="B444" s="67"/>
    </row>
    <row r="445" spans="1:2" x14ac:dyDescent="0.25">
      <c r="A445" s="67"/>
      <c r="B445" s="67"/>
    </row>
    <row r="446" spans="1:2" x14ac:dyDescent="0.25">
      <c r="A446" s="67"/>
      <c r="B446" s="67"/>
    </row>
    <row r="447" spans="1:2" x14ac:dyDescent="0.25">
      <c r="A447" s="67"/>
      <c r="B447" s="67"/>
    </row>
    <row r="448" spans="1:2" x14ac:dyDescent="0.25">
      <c r="A448" s="67"/>
      <c r="B448" s="67"/>
    </row>
    <row r="449" spans="1:2" x14ac:dyDescent="0.25">
      <c r="A449" s="67"/>
      <c r="B449" s="67"/>
    </row>
    <row r="450" spans="1:2" x14ac:dyDescent="0.25">
      <c r="A450" s="67"/>
      <c r="B450" s="67"/>
    </row>
    <row r="451" spans="1:2" x14ac:dyDescent="0.25">
      <c r="A451" s="67"/>
      <c r="B451" s="67"/>
    </row>
    <row r="452" spans="1:2" x14ac:dyDescent="0.25">
      <c r="A452" s="67"/>
      <c r="B452" s="67"/>
    </row>
    <row r="453" spans="1:2" x14ac:dyDescent="0.25">
      <c r="A453" s="67"/>
      <c r="B453" s="67"/>
    </row>
    <row r="454" spans="1:2" x14ac:dyDescent="0.25">
      <c r="A454" s="67"/>
      <c r="B454" s="67"/>
    </row>
    <row r="455" spans="1:2" x14ac:dyDescent="0.25">
      <c r="A455" s="67"/>
      <c r="B455" s="67"/>
    </row>
    <row r="456" spans="1:2" x14ac:dyDescent="0.25">
      <c r="A456" s="67"/>
      <c r="B456" s="67"/>
    </row>
    <row r="457" spans="1:2" x14ac:dyDescent="0.25">
      <c r="A457" s="67"/>
      <c r="B457" s="67"/>
    </row>
    <row r="458" spans="1:2" x14ac:dyDescent="0.25">
      <c r="A458" s="67"/>
      <c r="B458" s="67"/>
    </row>
    <row r="459" spans="1:2" x14ac:dyDescent="0.25">
      <c r="A459" s="67"/>
      <c r="B459" s="67"/>
    </row>
    <row r="460" spans="1:2" x14ac:dyDescent="0.25">
      <c r="A460" s="67"/>
      <c r="B460" s="67"/>
    </row>
    <row r="461" spans="1:2" x14ac:dyDescent="0.25">
      <c r="A461" s="67"/>
      <c r="B461" s="67"/>
    </row>
    <row r="462" spans="1:2" x14ac:dyDescent="0.25">
      <c r="A462" s="67"/>
      <c r="B462" s="67"/>
    </row>
    <row r="463" spans="1:2" x14ac:dyDescent="0.25">
      <c r="A463" s="67"/>
      <c r="B463" s="67"/>
    </row>
    <row r="464" spans="1:2" x14ac:dyDescent="0.25">
      <c r="A464" s="67"/>
      <c r="B464" s="67"/>
    </row>
    <row r="465" spans="1:2" x14ac:dyDescent="0.25">
      <c r="A465" s="67"/>
      <c r="B465" s="67"/>
    </row>
    <row r="466" spans="1:2" x14ac:dyDescent="0.25">
      <c r="A466" s="67"/>
      <c r="B466" s="67"/>
    </row>
    <row r="467" spans="1:2" x14ac:dyDescent="0.25">
      <c r="A467" s="67"/>
      <c r="B467" s="67"/>
    </row>
    <row r="468" spans="1:2" x14ac:dyDescent="0.25">
      <c r="A468" s="67"/>
      <c r="B468" s="67"/>
    </row>
    <row r="469" spans="1:2" x14ac:dyDescent="0.25">
      <c r="A469" s="67"/>
      <c r="B469" s="67"/>
    </row>
    <row r="470" spans="1:2" x14ac:dyDescent="0.25">
      <c r="A470" s="67"/>
      <c r="B470" s="67"/>
    </row>
    <row r="471" spans="1:2" x14ac:dyDescent="0.25">
      <c r="A471" s="67"/>
      <c r="B471" s="67"/>
    </row>
    <row r="472" spans="1:2" x14ac:dyDescent="0.25">
      <c r="A472" s="67"/>
      <c r="B472" s="67"/>
    </row>
    <row r="473" spans="1:2" x14ac:dyDescent="0.25">
      <c r="A473" s="67"/>
      <c r="B473" s="67"/>
    </row>
    <row r="474" spans="1:2" x14ac:dyDescent="0.25">
      <c r="A474" s="67"/>
      <c r="B474" s="67"/>
    </row>
    <row r="475" spans="1:2" x14ac:dyDescent="0.25">
      <c r="A475" s="67"/>
      <c r="B475" s="67"/>
    </row>
    <row r="476" spans="1:2" x14ac:dyDescent="0.25">
      <c r="A476" s="67"/>
      <c r="B476" s="67"/>
    </row>
    <row r="477" spans="1:2" x14ac:dyDescent="0.25">
      <c r="A477" s="67"/>
      <c r="B477" s="67"/>
    </row>
    <row r="478" spans="1:2" x14ac:dyDescent="0.25">
      <c r="A478" s="67"/>
      <c r="B478" s="67"/>
    </row>
    <row r="479" spans="1:2" x14ac:dyDescent="0.25">
      <c r="A479" s="67"/>
      <c r="B479" s="67"/>
    </row>
    <row r="480" spans="1:2" x14ac:dyDescent="0.25">
      <c r="A480" s="67"/>
      <c r="B480" s="67"/>
    </row>
    <row r="481" spans="1:2" x14ac:dyDescent="0.25">
      <c r="A481" s="67"/>
      <c r="B481" s="67"/>
    </row>
    <row r="482" spans="1:2" x14ac:dyDescent="0.25">
      <c r="A482" s="67"/>
      <c r="B482" s="67"/>
    </row>
    <row r="483" spans="1:2" x14ac:dyDescent="0.25">
      <c r="A483" s="67"/>
      <c r="B483" s="67"/>
    </row>
    <row r="484" spans="1:2" x14ac:dyDescent="0.25">
      <c r="A484" s="67"/>
      <c r="B484" s="67"/>
    </row>
    <row r="485" spans="1:2" x14ac:dyDescent="0.25">
      <c r="A485" s="67"/>
      <c r="B485" s="67"/>
    </row>
    <row r="486" spans="1:2" x14ac:dyDescent="0.25">
      <c r="A486" s="67"/>
      <c r="B486" s="67"/>
    </row>
    <row r="487" spans="1:2" x14ac:dyDescent="0.25">
      <c r="A487" s="67"/>
      <c r="B487" s="67"/>
    </row>
    <row r="488" spans="1:2" x14ac:dyDescent="0.25">
      <c r="A488" s="67"/>
      <c r="B488" s="67"/>
    </row>
    <row r="489" spans="1:2" x14ac:dyDescent="0.25">
      <c r="A489" s="67"/>
      <c r="B489" s="67"/>
    </row>
    <row r="490" spans="1:2" x14ac:dyDescent="0.25">
      <c r="A490" s="67"/>
      <c r="B490" s="67"/>
    </row>
    <row r="491" spans="1:2" x14ac:dyDescent="0.25">
      <c r="A491" s="67"/>
      <c r="B491" s="67"/>
    </row>
    <row r="492" spans="1:2" x14ac:dyDescent="0.25">
      <c r="A492" s="67"/>
      <c r="B492" s="67"/>
    </row>
    <row r="493" spans="1:2" x14ac:dyDescent="0.25">
      <c r="A493" s="67"/>
      <c r="B493" s="67"/>
    </row>
    <row r="494" spans="1:2" x14ac:dyDescent="0.25">
      <c r="A494" s="67"/>
      <c r="B494" s="67"/>
    </row>
    <row r="495" spans="1:2" x14ac:dyDescent="0.25">
      <c r="A495" s="67"/>
      <c r="B495" s="67"/>
    </row>
    <row r="496" spans="1:2" x14ac:dyDescent="0.25">
      <c r="A496" s="67"/>
      <c r="B496" s="67"/>
    </row>
    <row r="497" spans="1:2" x14ac:dyDescent="0.25">
      <c r="A497" s="67"/>
      <c r="B497" s="67"/>
    </row>
    <row r="498" spans="1:2" x14ac:dyDescent="0.25">
      <c r="A498" s="67"/>
      <c r="B498" s="67"/>
    </row>
    <row r="499" spans="1:2" x14ac:dyDescent="0.25">
      <c r="A499" s="67"/>
      <c r="B499" s="67"/>
    </row>
    <row r="500" spans="1:2" x14ac:dyDescent="0.25">
      <c r="A500" s="67"/>
      <c r="B500" s="67"/>
    </row>
    <row r="501" spans="1:2" x14ac:dyDescent="0.25">
      <c r="A501" s="67"/>
      <c r="B501" s="67"/>
    </row>
    <row r="502" spans="1:2" x14ac:dyDescent="0.25">
      <c r="A502" s="67"/>
      <c r="B502" s="67"/>
    </row>
    <row r="503" spans="1:2" x14ac:dyDescent="0.25">
      <c r="A503" s="67"/>
      <c r="B503" s="67"/>
    </row>
    <row r="504" spans="1:2" x14ac:dyDescent="0.25">
      <c r="A504" s="67"/>
      <c r="B504" s="67"/>
    </row>
    <row r="505" spans="1:2" x14ac:dyDescent="0.25">
      <c r="A505" s="67"/>
      <c r="B505" s="67"/>
    </row>
    <row r="506" spans="1:2" x14ac:dyDescent="0.25">
      <c r="A506" s="67"/>
      <c r="B506" s="67"/>
    </row>
    <row r="507" spans="1:2" x14ac:dyDescent="0.25">
      <c r="A507" s="67"/>
      <c r="B507" s="67"/>
    </row>
    <row r="508" spans="1:2" x14ac:dyDescent="0.25">
      <c r="A508" s="67"/>
      <c r="B508" s="67"/>
    </row>
    <row r="509" spans="1:2" x14ac:dyDescent="0.25">
      <c r="A509" s="67"/>
      <c r="B509" s="67"/>
    </row>
    <row r="510" spans="1:2" x14ac:dyDescent="0.25">
      <c r="A510" s="67"/>
      <c r="B510" s="67"/>
    </row>
    <row r="511" spans="1:2" x14ac:dyDescent="0.25">
      <c r="A511" s="67"/>
      <c r="B511" s="67"/>
    </row>
    <row r="512" spans="1:2" x14ac:dyDescent="0.25">
      <c r="A512" s="67"/>
      <c r="B512" s="67"/>
    </row>
    <row r="513" spans="1:2" x14ac:dyDescent="0.25">
      <c r="A513" s="67"/>
      <c r="B513" s="67"/>
    </row>
    <row r="514" spans="1:2" x14ac:dyDescent="0.25">
      <c r="A514" s="67"/>
      <c r="B514" s="67"/>
    </row>
    <row r="515" spans="1:2" x14ac:dyDescent="0.25">
      <c r="A515" s="67"/>
      <c r="B515" s="67"/>
    </row>
    <row r="516" spans="1:2" x14ac:dyDescent="0.25">
      <c r="A516" s="67"/>
      <c r="B516" s="67"/>
    </row>
    <row r="517" spans="1:2" x14ac:dyDescent="0.25">
      <c r="A517" s="67"/>
      <c r="B517" s="67"/>
    </row>
    <row r="518" spans="1:2" x14ac:dyDescent="0.25">
      <c r="A518" s="67"/>
      <c r="B518" s="67"/>
    </row>
    <row r="519" spans="1:2" x14ac:dyDescent="0.25">
      <c r="A519" s="67"/>
      <c r="B519" s="67"/>
    </row>
    <row r="520" spans="1:2" x14ac:dyDescent="0.25">
      <c r="A520" s="67"/>
      <c r="B520" s="67"/>
    </row>
    <row r="521" spans="1:2" x14ac:dyDescent="0.25">
      <c r="A521" s="67"/>
      <c r="B521" s="67"/>
    </row>
    <row r="522" spans="1:2" x14ac:dyDescent="0.25">
      <c r="A522" s="67"/>
      <c r="B522" s="67"/>
    </row>
    <row r="523" spans="1:2" x14ac:dyDescent="0.25">
      <c r="A523" s="67"/>
      <c r="B523" s="67"/>
    </row>
    <row r="524" spans="1:2" x14ac:dyDescent="0.25">
      <c r="A524" s="67"/>
      <c r="B524" s="67"/>
    </row>
    <row r="525" spans="1:2" x14ac:dyDescent="0.25">
      <c r="A525" s="67"/>
      <c r="B525" s="67"/>
    </row>
    <row r="526" spans="1:2" x14ac:dyDescent="0.25">
      <c r="A526" s="67"/>
      <c r="B526" s="67"/>
    </row>
    <row r="527" spans="1:2" x14ac:dyDescent="0.25">
      <c r="A527" s="67"/>
      <c r="B527" s="67"/>
    </row>
    <row r="528" spans="1:2" x14ac:dyDescent="0.25">
      <c r="A528" s="67"/>
      <c r="B528" s="67"/>
    </row>
    <row r="529" spans="1:2" x14ac:dyDescent="0.25">
      <c r="A529" s="67"/>
      <c r="B529" s="67"/>
    </row>
    <row r="530" spans="1:2" x14ac:dyDescent="0.25">
      <c r="A530" s="67"/>
      <c r="B530" s="67"/>
    </row>
    <row r="531" spans="1:2" x14ac:dyDescent="0.25">
      <c r="A531" s="67"/>
      <c r="B531" s="67"/>
    </row>
    <row r="532" spans="1:2" x14ac:dyDescent="0.25">
      <c r="A532" s="67"/>
      <c r="B532" s="67"/>
    </row>
    <row r="533" spans="1:2" x14ac:dyDescent="0.25">
      <c r="A533" s="67"/>
      <c r="B533" s="67"/>
    </row>
    <row r="534" spans="1:2" x14ac:dyDescent="0.25">
      <c r="A534" s="67"/>
      <c r="B534" s="67"/>
    </row>
    <row r="535" spans="1:2" x14ac:dyDescent="0.25">
      <c r="A535" s="67"/>
      <c r="B535" s="67"/>
    </row>
    <row r="536" spans="1:2" x14ac:dyDescent="0.25">
      <c r="A536" s="67"/>
      <c r="B536" s="67"/>
    </row>
    <row r="537" spans="1:2" x14ac:dyDescent="0.25">
      <c r="A537" s="67"/>
      <c r="B537" s="67"/>
    </row>
    <row r="538" spans="1:2" x14ac:dyDescent="0.25">
      <c r="A538" s="67"/>
      <c r="B538" s="67"/>
    </row>
    <row r="539" spans="1:2" x14ac:dyDescent="0.25">
      <c r="A539" s="67"/>
      <c r="B539" s="67"/>
    </row>
    <row r="540" spans="1:2" x14ac:dyDescent="0.25">
      <c r="A540" s="67"/>
      <c r="B540" s="67"/>
    </row>
    <row r="541" spans="1:2" x14ac:dyDescent="0.25">
      <c r="A541" s="67"/>
      <c r="B541" s="67"/>
    </row>
    <row r="542" spans="1:2" x14ac:dyDescent="0.25">
      <c r="A542" s="67"/>
      <c r="B542" s="67"/>
    </row>
    <row r="543" spans="1:2" x14ac:dyDescent="0.25">
      <c r="A543" s="67"/>
      <c r="B543" s="67"/>
    </row>
    <row r="544" spans="1:2" x14ac:dyDescent="0.25">
      <c r="A544" s="67"/>
      <c r="B544" s="67"/>
    </row>
    <row r="545" spans="1:2" x14ac:dyDescent="0.25">
      <c r="A545" s="67"/>
      <c r="B545" s="67"/>
    </row>
    <row r="546" spans="1:2" x14ac:dyDescent="0.25">
      <c r="A546" s="67"/>
      <c r="B546" s="67"/>
    </row>
    <row r="547" spans="1:2" x14ac:dyDescent="0.25">
      <c r="A547" s="67"/>
      <c r="B547" s="67"/>
    </row>
    <row r="548" spans="1:2" x14ac:dyDescent="0.25">
      <c r="A548" s="67"/>
      <c r="B548" s="67"/>
    </row>
    <row r="549" spans="1:2" x14ac:dyDescent="0.25">
      <c r="A549" s="67"/>
      <c r="B549" s="67"/>
    </row>
    <row r="550" spans="1:2" x14ac:dyDescent="0.25">
      <c r="A550" s="67"/>
      <c r="B550" s="67"/>
    </row>
    <row r="551" spans="1:2" x14ac:dyDescent="0.25">
      <c r="A551" s="67"/>
      <c r="B551" s="67"/>
    </row>
    <row r="552" spans="1:2" x14ac:dyDescent="0.25">
      <c r="A552" s="67"/>
      <c r="B552" s="67"/>
    </row>
    <row r="553" spans="1:2" x14ac:dyDescent="0.25">
      <c r="A553" s="67"/>
      <c r="B553" s="67"/>
    </row>
    <row r="554" spans="1:2" x14ac:dyDescent="0.25">
      <c r="A554" s="67"/>
      <c r="B554" s="67"/>
    </row>
    <row r="555" spans="1:2" x14ac:dyDescent="0.25">
      <c r="A555" s="67"/>
      <c r="B555" s="67"/>
    </row>
    <row r="556" spans="1:2" x14ac:dyDescent="0.25">
      <c r="A556" s="67"/>
      <c r="B556" s="67"/>
    </row>
    <row r="557" spans="1:2" x14ac:dyDescent="0.25">
      <c r="A557" s="67"/>
      <c r="B557" s="67"/>
    </row>
    <row r="558" spans="1:2" x14ac:dyDescent="0.25">
      <c r="A558" s="67"/>
      <c r="B558" s="67"/>
    </row>
    <row r="559" spans="1:2" x14ac:dyDescent="0.25">
      <c r="A559" s="67"/>
      <c r="B559" s="67"/>
    </row>
    <row r="560" spans="1:2" x14ac:dyDescent="0.25">
      <c r="A560" s="67"/>
      <c r="B560" s="67"/>
    </row>
    <row r="561" spans="1:2" x14ac:dyDescent="0.25">
      <c r="A561" s="67"/>
      <c r="B561" s="67"/>
    </row>
    <row r="562" spans="1:2" x14ac:dyDescent="0.25">
      <c r="A562" s="67"/>
      <c r="B562" s="67"/>
    </row>
    <row r="563" spans="1:2" x14ac:dyDescent="0.25">
      <c r="A563" s="67"/>
      <c r="B563" s="67"/>
    </row>
    <row r="564" spans="1:2" x14ac:dyDescent="0.25">
      <c r="A564" s="67"/>
      <c r="B564" s="67"/>
    </row>
    <row r="565" spans="1:2" x14ac:dyDescent="0.25">
      <c r="A565" s="67"/>
      <c r="B565" s="67"/>
    </row>
    <row r="566" spans="1:2" x14ac:dyDescent="0.25">
      <c r="A566" s="67"/>
      <c r="B566" s="67"/>
    </row>
    <row r="567" spans="1:2" x14ac:dyDescent="0.25">
      <c r="A567" s="67"/>
      <c r="B567" s="67"/>
    </row>
    <row r="568" spans="1:2" x14ac:dyDescent="0.25">
      <c r="A568" s="67"/>
      <c r="B568" s="67"/>
    </row>
    <row r="569" spans="1:2" x14ac:dyDescent="0.25">
      <c r="A569" s="67"/>
      <c r="B569" s="67"/>
    </row>
    <row r="570" spans="1:2" x14ac:dyDescent="0.25">
      <c r="A570" s="67"/>
      <c r="B570" s="67"/>
    </row>
    <row r="571" spans="1:2" x14ac:dyDescent="0.25">
      <c r="A571" s="67"/>
      <c r="B571" s="67"/>
    </row>
    <row r="572" spans="1:2" x14ac:dyDescent="0.25">
      <c r="A572" s="67"/>
      <c r="B572" s="67"/>
    </row>
    <row r="573" spans="1:2" x14ac:dyDescent="0.25">
      <c r="A573" s="67"/>
      <c r="B573" s="67"/>
    </row>
    <row r="574" spans="1:2" x14ac:dyDescent="0.25">
      <c r="A574" s="67"/>
      <c r="B574" s="67"/>
    </row>
    <row r="575" spans="1:2" x14ac:dyDescent="0.25">
      <c r="A575" s="67"/>
      <c r="B575" s="67"/>
    </row>
    <row r="576" spans="1:2" x14ac:dyDescent="0.25">
      <c r="A576" s="67"/>
      <c r="B576" s="67"/>
    </row>
    <row r="577" spans="1:2" x14ac:dyDescent="0.25">
      <c r="A577" s="67"/>
      <c r="B577" s="67"/>
    </row>
    <row r="578" spans="1:2" x14ac:dyDescent="0.25">
      <c r="A578" s="67"/>
      <c r="B578" s="67"/>
    </row>
    <row r="579" spans="1:2" x14ac:dyDescent="0.25">
      <c r="A579" s="67"/>
      <c r="B579" s="67"/>
    </row>
    <row r="580" spans="1:2" x14ac:dyDescent="0.25">
      <c r="A580" s="67"/>
      <c r="B580" s="67"/>
    </row>
    <row r="581" spans="1:2" x14ac:dyDescent="0.25">
      <c r="A581" s="67"/>
      <c r="B581" s="67"/>
    </row>
    <row r="582" spans="1:2" x14ac:dyDescent="0.25">
      <c r="A582" s="67"/>
      <c r="B582" s="67"/>
    </row>
    <row r="583" spans="1:2" x14ac:dyDescent="0.25">
      <c r="A583" s="67"/>
      <c r="B583" s="67"/>
    </row>
    <row r="584" spans="1:2" x14ac:dyDescent="0.25">
      <c r="A584" s="67"/>
      <c r="B584" s="67"/>
    </row>
    <row r="585" spans="1:2" x14ac:dyDescent="0.25">
      <c r="A585" s="67"/>
      <c r="B585" s="67"/>
    </row>
    <row r="586" spans="1:2" x14ac:dyDescent="0.25">
      <c r="A586" s="67"/>
      <c r="B586" s="67"/>
    </row>
    <row r="587" spans="1:2" x14ac:dyDescent="0.25">
      <c r="A587" s="67"/>
      <c r="B587" s="67"/>
    </row>
    <row r="588" spans="1:2" x14ac:dyDescent="0.25">
      <c r="A588" s="67"/>
      <c r="B588" s="67"/>
    </row>
    <row r="589" spans="1:2" x14ac:dyDescent="0.25">
      <c r="A589" s="67"/>
      <c r="B589" s="67"/>
    </row>
    <row r="590" spans="1:2" x14ac:dyDescent="0.25">
      <c r="A590" s="67"/>
      <c r="B590" s="67"/>
    </row>
    <row r="591" spans="1:2" x14ac:dyDescent="0.25">
      <c r="A591" s="67"/>
      <c r="B591" s="67"/>
    </row>
    <row r="592" spans="1:2" x14ac:dyDescent="0.25">
      <c r="A592" s="67"/>
      <c r="B592" s="67"/>
    </row>
    <row r="593" spans="1:2" x14ac:dyDescent="0.25">
      <c r="A593" s="67"/>
      <c r="B593" s="67"/>
    </row>
    <row r="594" spans="1:2" x14ac:dyDescent="0.25">
      <c r="A594" s="67"/>
      <c r="B594" s="67"/>
    </row>
    <row r="595" spans="1:2" x14ac:dyDescent="0.25">
      <c r="A595" s="67"/>
      <c r="B595" s="67"/>
    </row>
    <row r="596" spans="1:2" x14ac:dyDescent="0.25">
      <c r="A596" s="67"/>
      <c r="B596" s="67"/>
    </row>
    <row r="597" spans="1:2" x14ac:dyDescent="0.25">
      <c r="A597" s="67"/>
      <c r="B597" s="67"/>
    </row>
    <row r="598" spans="1:2" x14ac:dyDescent="0.25">
      <c r="A598" s="67"/>
      <c r="B598" s="67"/>
    </row>
    <row r="599" spans="1:2" x14ac:dyDescent="0.25">
      <c r="A599" s="67"/>
      <c r="B599" s="67"/>
    </row>
    <row r="600" spans="1:2" x14ac:dyDescent="0.25">
      <c r="A600" s="67"/>
      <c r="B600" s="67"/>
    </row>
    <row r="601" spans="1:2" x14ac:dyDescent="0.25">
      <c r="A601" s="67"/>
      <c r="B601" s="67"/>
    </row>
    <row r="602" spans="1:2" x14ac:dyDescent="0.25">
      <c r="A602" s="67"/>
      <c r="B602" s="67"/>
    </row>
    <row r="603" spans="1:2" x14ac:dyDescent="0.25">
      <c r="A603" s="67"/>
      <c r="B603" s="67"/>
    </row>
    <row r="604" spans="1:2" x14ac:dyDescent="0.25">
      <c r="A604" s="67"/>
      <c r="B604" s="67"/>
    </row>
    <row r="605" spans="1:2" x14ac:dyDescent="0.25">
      <c r="A605" s="67"/>
      <c r="B605" s="67"/>
    </row>
    <row r="606" spans="1:2" x14ac:dyDescent="0.25">
      <c r="A606" s="67"/>
      <c r="B606" s="67"/>
    </row>
    <row r="607" spans="1:2" x14ac:dyDescent="0.25">
      <c r="A607" s="67"/>
      <c r="B607" s="67"/>
    </row>
    <row r="608" spans="1:2" x14ac:dyDescent="0.25">
      <c r="A608" s="67"/>
      <c r="B608" s="67"/>
    </row>
    <row r="609" spans="1:2" x14ac:dyDescent="0.25">
      <c r="A609" s="67"/>
      <c r="B609" s="67"/>
    </row>
    <row r="610" spans="1:2" x14ac:dyDescent="0.25">
      <c r="A610" s="67"/>
      <c r="B610" s="67"/>
    </row>
    <row r="611" spans="1:2" x14ac:dyDescent="0.25">
      <c r="A611" s="67"/>
      <c r="B611" s="67"/>
    </row>
    <row r="612" spans="1:2" x14ac:dyDescent="0.25">
      <c r="A612" s="67"/>
      <c r="B612" s="67"/>
    </row>
    <row r="613" spans="1:2" x14ac:dyDescent="0.25">
      <c r="A613" s="67"/>
      <c r="B613" s="67"/>
    </row>
    <row r="614" spans="1:2" x14ac:dyDescent="0.25">
      <c r="A614" s="67"/>
      <c r="B614" s="67"/>
    </row>
    <row r="615" spans="1:2" x14ac:dyDescent="0.25">
      <c r="A615" s="67"/>
      <c r="B615" s="67"/>
    </row>
    <row r="616" spans="1:2" x14ac:dyDescent="0.25">
      <c r="A616" s="67"/>
      <c r="B616" s="67"/>
    </row>
    <row r="617" spans="1:2" x14ac:dyDescent="0.25">
      <c r="A617" s="67"/>
      <c r="B617" s="67"/>
    </row>
    <row r="618" spans="1:2" x14ac:dyDescent="0.25">
      <c r="A618" s="67"/>
      <c r="B618" s="67"/>
    </row>
    <row r="619" spans="1:2" x14ac:dyDescent="0.25">
      <c r="A619" s="67"/>
      <c r="B619" s="67"/>
    </row>
    <row r="620" spans="1:2" x14ac:dyDescent="0.25">
      <c r="A620" s="67"/>
      <c r="B620" s="67"/>
    </row>
    <row r="621" spans="1:2" x14ac:dyDescent="0.25">
      <c r="A621" s="67"/>
      <c r="B621" s="67"/>
    </row>
    <row r="622" spans="1:2" x14ac:dyDescent="0.25">
      <c r="A622" s="67"/>
      <c r="B622" s="67"/>
    </row>
    <row r="623" spans="1:2" x14ac:dyDescent="0.25">
      <c r="A623" s="67"/>
      <c r="B623" s="67"/>
    </row>
    <row r="624" spans="1:2" x14ac:dyDescent="0.25">
      <c r="A624" s="67"/>
      <c r="B624" s="67"/>
    </row>
    <row r="625" spans="1:2" x14ac:dyDescent="0.25">
      <c r="A625" s="67"/>
      <c r="B625" s="67"/>
    </row>
    <row r="626" spans="1:2" x14ac:dyDescent="0.25">
      <c r="A626" s="67"/>
      <c r="B626" s="67"/>
    </row>
    <row r="627" spans="1:2" x14ac:dyDescent="0.25">
      <c r="A627" s="67"/>
      <c r="B627" s="67"/>
    </row>
    <row r="628" spans="1:2" x14ac:dyDescent="0.25">
      <c r="A628" s="67"/>
      <c r="B628" s="67"/>
    </row>
    <row r="629" spans="1:2" x14ac:dyDescent="0.25">
      <c r="A629" s="67"/>
      <c r="B629" s="67"/>
    </row>
    <row r="630" spans="1:2" x14ac:dyDescent="0.25">
      <c r="A630" s="67"/>
      <c r="B630" s="67"/>
    </row>
    <row r="631" spans="1:2" x14ac:dyDescent="0.25">
      <c r="A631" s="67"/>
      <c r="B631" s="67"/>
    </row>
    <row r="632" spans="1:2" x14ac:dyDescent="0.25">
      <c r="A632" s="67"/>
      <c r="B632" s="67"/>
    </row>
    <row r="633" spans="1:2" x14ac:dyDescent="0.25">
      <c r="A633" s="67"/>
      <c r="B633" s="67"/>
    </row>
    <row r="634" spans="1:2" x14ac:dyDescent="0.25">
      <c r="A634" s="67"/>
      <c r="B634" s="67"/>
    </row>
    <row r="635" spans="1:2" x14ac:dyDescent="0.25">
      <c r="A635" s="67"/>
      <c r="B635" s="67"/>
    </row>
    <row r="636" spans="1:2" x14ac:dyDescent="0.25">
      <c r="A636" s="67"/>
      <c r="B636" s="67"/>
    </row>
    <row r="637" spans="1:2" x14ac:dyDescent="0.25">
      <c r="A637" s="67"/>
      <c r="B637" s="67"/>
    </row>
    <row r="638" spans="1:2" x14ac:dyDescent="0.25">
      <c r="A638" s="67"/>
      <c r="B638" s="67"/>
    </row>
    <row r="639" spans="1:2" x14ac:dyDescent="0.25">
      <c r="A639" s="67"/>
      <c r="B639" s="67"/>
    </row>
    <row r="640" spans="1:2" x14ac:dyDescent="0.25">
      <c r="A640" s="67"/>
      <c r="B640" s="67"/>
    </row>
    <row r="641" spans="1:2" x14ac:dyDescent="0.25">
      <c r="A641" s="67"/>
      <c r="B641" s="67"/>
    </row>
    <row r="642" spans="1:2" x14ac:dyDescent="0.25">
      <c r="A642" s="67"/>
      <c r="B642" s="67"/>
    </row>
    <row r="643" spans="1:2" x14ac:dyDescent="0.25">
      <c r="A643" s="67"/>
      <c r="B643" s="67"/>
    </row>
    <row r="644" spans="1:2" x14ac:dyDescent="0.25">
      <c r="A644" s="67"/>
      <c r="B644" s="67"/>
    </row>
    <row r="645" spans="1:2" x14ac:dyDescent="0.25">
      <c r="A645" s="67"/>
      <c r="B645" s="67"/>
    </row>
    <row r="646" spans="1:2" x14ac:dyDescent="0.25">
      <c r="A646" s="67"/>
      <c r="B646" s="67"/>
    </row>
    <row r="647" spans="1:2" x14ac:dyDescent="0.25">
      <c r="A647" s="67"/>
      <c r="B647" s="67"/>
    </row>
    <row r="648" spans="1:2" x14ac:dyDescent="0.25">
      <c r="A648" s="67"/>
      <c r="B648" s="67"/>
    </row>
    <row r="649" spans="1:2" x14ac:dyDescent="0.25">
      <c r="A649" s="67"/>
      <c r="B649" s="67"/>
    </row>
    <row r="650" spans="1:2" x14ac:dyDescent="0.25">
      <c r="A650" s="67"/>
      <c r="B650" s="67"/>
    </row>
    <row r="651" spans="1:2" x14ac:dyDescent="0.25">
      <c r="A651" s="67"/>
      <c r="B651" s="67"/>
    </row>
    <row r="652" spans="1:2" x14ac:dyDescent="0.25">
      <c r="A652" s="67"/>
      <c r="B652" s="67"/>
    </row>
    <row r="653" spans="1:2" x14ac:dyDescent="0.25">
      <c r="A653" s="67"/>
      <c r="B653" s="67"/>
    </row>
    <row r="654" spans="1:2" x14ac:dyDescent="0.25">
      <c r="A654" s="67"/>
      <c r="B654" s="67"/>
    </row>
    <row r="655" spans="1:2" x14ac:dyDescent="0.25">
      <c r="A655" s="67"/>
      <c r="B655" s="67"/>
    </row>
    <row r="656" spans="1:2" x14ac:dyDescent="0.25">
      <c r="A656" s="67"/>
      <c r="B656" s="67"/>
    </row>
    <row r="657" spans="1:2" x14ac:dyDescent="0.25">
      <c r="A657" s="67"/>
      <c r="B657" s="67"/>
    </row>
    <row r="658" spans="1:2" x14ac:dyDescent="0.25">
      <c r="A658" s="67"/>
      <c r="B658" s="67"/>
    </row>
    <row r="659" spans="1:2" x14ac:dyDescent="0.25">
      <c r="A659" s="67"/>
      <c r="B659" s="67"/>
    </row>
    <row r="660" spans="1:2" x14ac:dyDescent="0.25">
      <c r="A660" s="67"/>
      <c r="B660" s="67"/>
    </row>
    <row r="661" spans="1:2" x14ac:dyDescent="0.25">
      <c r="A661" s="67"/>
      <c r="B661" s="67"/>
    </row>
    <row r="662" spans="1:2" x14ac:dyDescent="0.25">
      <c r="A662" s="67"/>
      <c r="B662" s="67"/>
    </row>
    <row r="663" spans="1:2" x14ac:dyDescent="0.25">
      <c r="A663" s="67"/>
      <c r="B663" s="67"/>
    </row>
    <row r="664" spans="1:2" x14ac:dyDescent="0.25">
      <c r="A664" s="67"/>
      <c r="B664" s="67"/>
    </row>
    <row r="665" spans="1:2" x14ac:dyDescent="0.25">
      <c r="A665" s="67"/>
      <c r="B665" s="67"/>
    </row>
    <row r="666" spans="1:2" x14ac:dyDescent="0.25">
      <c r="A666" s="67"/>
      <c r="B666" s="67"/>
    </row>
    <row r="667" spans="1:2" x14ac:dyDescent="0.25">
      <c r="A667" s="67"/>
      <c r="B667" s="67"/>
    </row>
    <row r="668" spans="1:2" x14ac:dyDescent="0.25">
      <c r="A668" s="67"/>
      <c r="B668" s="67"/>
    </row>
    <row r="669" spans="1:2" x14ac:dyDescent="0.25">
      <c r="A669" s="67"/>
      <c r="B669" s="67"/>
    </row>
    <row r="670" spans="1:2" x14ac:dyDescent="0.25">
      <c r="A670" s="67"/>
      <c r="B670" s="67"/>
    </row>
    <row r="671" spans="1:2" x14ac:dyDescent="0.25">
      <c r="A671" s="67"/>
      <c r="B671" s="67"/>
    </row>
    <row r="672" spans="1:2" x14ac:dyDescent="0.25">
      <c r="A672" s="67"/>
      <c r="B672" s="67"/>
    </row>
    <row r="673" spans="1:2" x14ac:dyDescent="0.25">
      <c r="A673" s="67"/>
      <c r="B673" s="67"/>
    </row>
    <row r="674" spans="1:2" x14ac:dyDescent="0.25">
      <c r="A674" s="67"/>
      <c r="B674" s="67"/>
    </row>
    <row r="675" spans="1:2" x14ac:dyDescent="0.25">
      <c r="A675" s="67"/>
      <c r="B675" s="67"/>
    </row>
    <row r="676" spans="1:2" x14ac:dyDescent="0.25">
      <c r="A676" s="67"/>
      <c r="B676" s="67"/>
    </row>
    <row r="677" spans="1:2" x14ac:dyDescent="0.25">
      <c r="A677" s="67"/>
      <c r="B677" s="67"/>
    </row>
    <row r="678" spans="1:2" x14ac:dyDescent="0.25">
      <c r="A678" s="67"/>
      <c r="B678" s="67"/>
    </row>
    <row r="679" spans="1:2" x14ac:dyDescent="0.25">
      <c r="A679" s="67"/>
      <c r="B679" s="67"/>
    </row>
    <row r="680" spans="1:2" x14ac:dyDescent="0.25">
      <c r="A680" s="67"/>
      <c r="B680" s="67"/>
    </row>
    <row r="681" spans="1:2" x14ac:dyDescent="0.25">
      <c r="A681" s="67"/>
      <c r="B681" s="67"/>
    </row>
    <row r="682" spans="1:2" x14ac:dyDescent="0.25">
      <c r="A682" s="67"/>
      <c r="B682" s="67"/>
    </row>
    <row r="683" spans="1:2" x14ac:dyDescent="0.25">
      <c r="A683" s="67"/>
      <c r="B683" s="67"/>
    </row>
    <row r="684" spans="1:2" x14ac:dyDescent="0.25">
      <c r="A684" s="67"/>
      <c r="B684" s="67"/>
    </row>
    <row r="685" spans="1:2" x14ac:dyDescent="0.25">
      <c r="A685" s="67"/>
      <c r="B685" s="67"/>
    </row>
    <row r="686" spans="1:2" x14ac:dyDescent="0.25">
      <c r="A686" s="67"/>
      <c r="B686" s="67"/>
    </row>
    <row r="687" spans="1:2" x14ac:dyDescent="0.25">
      <c r="A687" s="67"/>
      <c r="B687" s="67"/>
    </row>
    <row r="688" spans="1:2" x14ac:dyDescent="0.25">
      <c r="A688" s="67"/>
      <c r="B688" s="67"/>
    </row>
    <row r="689" spans="1:2" x14ac:dyDescent="0.25">
      <c r="A689" s="67"/>
      <c r="B689" s="67"/>
    </row>
    <row r="690" spans="1:2" x14ac:dyDescent="0.25">
      <c r="A690" s="67"/>
      <c r="B690" s="67"/>
    </row>
    <row r="691" spans="1:2" x14ac:dyDescent="0.25">
      <c r="A691" s="67"/>
      <c r="B691" s="67"/>
    </row>
    <row r="692" spans="1:2" x14ac:dyDescent="0.25">
      <c r="A692" s="67"/>
      <c r="B692" s="67"/>
    </row>
    <row r="693" spans="1:2" x14ac:dyDescent="0.25">
      <c r="A693" s="67"/>
      <c r="B693" s="67"/>
    </row>
    <row r="694" spans="1:2" x14ac:dyDescent="0.25">
      <c r="A694" s="67"/>
      <c r="B694" s="67"/>
    </row>
    <row r="695" spans="1:2" x14ac:dyDescent="0.25">
      <c r="A695" s="67"/>
      <c r="B695" s="67"/>
    </row>
    <row r="696" spans="1:2" x14ac:dyDescent="0.25">
      <c r="A696" s="67"/>
      <c r="B696" s="67"/>
    </row>
    <row r="697" spans="1:2" x14ac:dyDescent="0.25">
      <c r="A697" s="67"/>
      <c r="B697" s="67"/>
    </row>
    <row r="698" spans="1:2" x14ac:dyDescent="0.25">
      <c r="A698" s="67"/>
      <c r="B698" s="67"/>
    </row>
    <row r="699" spans="1:2" x14ac:dyDescent="0.25">
      <c r="A699" s="67"/>
      <c r="B699" s="67"/>
    </row>
    <row r="700" spans="1:2" x14ac:dyDescent="0.25">
      <c r="A700" s="67"/>
      <c r="B700" s="67"/>
    </row>
    <row r="701" spans="1:2" x14ac:dyDescent="0.25">
      <c r="A701" s="67"/>
      <c r="B701" s="67"/>
    </row>
    <row r="702" spans="1:2" x14ac:dyDescent="0.25">
      <c r="A702" s="67"/>
      <c r="B702" s="67"/>
    </row>
    <row r="703" spans="1:2" x14ac:dyDescent="0.25">
      <c r="A703" s="67"/>
      <c r="B703" s="67"/>
    </row>
    <row r="704" spans="1:2" x14ac:dyDescent="0.25">
      <c r="A704" s="67"/>
      <c r="B704" s="67"/>
    </row>
    <row r="705" spans="1:2" x14ac:dyDescent="0.25">
      <c r="A705" s="67"/>
      <c r="B705" s="67"/>
    </row>
    <row r="706" spans="1:2" x14ac:dyDescent="0.25">
      <c r="A706" s="67"/>
      <c r="B706" s="67"/>
    </row>
    <row r="707" spans="1:2" x14ac:dyDescent="0.25">
      <c r="A707" s="67"/>
      <c r="B707" s="67"/>
    </row>
    <row r="708" spans="1:2" x14ac:dyDescent="0.25">
      <c r="A708" s="67"/>
      <c r="B708" s="67"/>
    </row>
    <row r="709" spans="1:2" x14ac:dyDescent="0.25">
      <c r="A709" s="67"/>
      <c r="B709" s="67"/>
    </row>
    <row r="710" spans="1:2" x14ac:dyDescent="0.25">
      <c r="A710" s="67"/>
      <c r="B710" s="67"/>
    </row>
    <row r="711" spans="1:2" x14ac:dyDescent="0.25">
      <c r="A711" s="67"/>
      <c r="B711" s="67"/>
    </row>
    <row r="712" spans="1:2" x14ac:dyDescent="0.25">
      <c r="A712" s="67"/>
      <c r="B712" s="67"/>
    </row>
    <row r="713" spans="1:2" x14ac:dyDescent="0.25">
      <c r="A713" s="67"/>
      <c r="B713" s="67"/>
    </row>
    <row r="714" spans="1:2" x14ac:dyDescent="0.25">
      <c r="A714" s="67"/>
      <c r="B714" s="67"/>
    </row>
    <row r="715" spans="1:2" x14ac:dyDescent="0.25">
      <c r="A715" s="67"/>
      <c r="B715" s="67"/>
    </row>
    <row r="716" spans="1:2" x14ac:dyDescent="0.25">
      <c r="A716" s="67"/>
      <c r="B716" s="67"/>
    </row>
    <row r="717" spans="1:2" x14ac:dyDescent="0.25">
      <c r="A717" s="67"/>
      <c r="B717" s="67"/>
    </row>
    <row r="718" spans="1:2" x14ac:dyDescent="0.25">
      <c r="A718" s="67"/>
      <c r="B718" s="67"/>
    </row>
    <row r="719" spans="1:2" x14ac:dyDescent="0.25">
      <c r="A719" s="67"/>
      <c r="B719" s="67"/>
    </row>
    <row r="720" spans="1:2" x14ac:dyDescent="0.25">
      <c r="A720" s="67"/>
      <c r="B720" s="67"/>
    </row>
    <row r="721" spans="1:2" x14ac:dyDescent="0.25">
      <c r="A721" s="67"/>
      <c r="B721" s="67"/>
    </row>
    <row r="722" spans="1:2" x14ac:dyDescent="0.25">
      <c r="A722" s="67"/>
      <c r="B722" s="67"/>
    </row>
    <row r="723" spans="1:2" x14ac:dyDescent="0.25">
      <c r="A723" s="67"/>
      <c r="B723" s="67"/>
    </row>
    <row r="724" spans="1:2" x14ac:dyDescent="0.25">
      <c r="A724" s="67"/>
      <c r="B724" s="67"/>
    </row>
    <row r="725" spans="1:2" x14ac:dyDescent="0.25">
      <c r="A725" s="67"/>
      <c r="B725" s="67"/>
    </row>
    <row r="726" spans="1:2" x14ac:dyDescent="0.25">
      <c r="A726" s="67"/>
      <c r="B726" s="67"/>
    </row>
    <row r="727" spans="1:2" x14ac:dyDescent="0.25">
      <c r="A727" s="67"/>
      <c r="B727" s="67"/>
    </row>
    <row r="728" spans="1:2" x14ac:dyDescent="0.25">
      <c r="A728" s="67"/>
      <c r="B728" s="67"/>
    </row>
    <row r="729" spans="1:2" x14ac:dyDescent="0.25">
      <c r="A729" s="67"/>
      <c r="B729" s="67"/>
    </row>
    <row r="730" spans="1:2" x14ac:dyDescent="0.25">
      <c r="A730" s="67"/>
      <c r="B730" s="67"/>
    </row>
    <row r="731" spans="1:2" x14ac:dyDescent="0.25">
      <c r="A731" s="67"/>
      <c r="B731" s="67"/>
    </row>
    <row r="732" spans="1:2" x14ac:dyDescent="0.25">
      <c r="A732" s="67"/>
      <c r="B732" s="67"/>
    </row>
    <row r="733" spans="1:2" x14ac:dyDescent="0.25">
      <c r="A733" s="67"/>
      <c r="B733" s="67"/>
    </row>
    <row r="734" spans="1:2" x14ac:dyDescent="0.25">
      <c r="A734" s="67"/>
      <c r="B734" s="67"/>
    </row>
    <row r="735" spans="1:2" x14ac:dyDescent="0.25">
      <c r="A735" s="67"/>
      <c r="B735" s="67"/>
    </row>
    <row r="736" spans="1:2" x14ac:dyDescent="0.25">
      <c r="A736" s="67"/>
      <c r="B736" s="67"/>
    </row>
    <row r="737" spans="1:2" x14ac:dyDescent="0.25">
      <c r="A737" s="67"/>
      <c r="B737" s="67"/>
    </row>
    <row r="738" spans="1:2" x14ac:dyDescent="0.25">
      <c r="A738" s="67"/>
      <c r="B738" s="67"/>
    </row>
    <row r="739" spans="1:2" x14ac:dyDescent="0.25">
      <c r="A739" s="67"/>
      <c r="B739" s="67"/>
    </row>
    <row r="740" spans="1:2" x14ac:dyDescent="0.25">
      <c r="A740" s="67"/>
      <c r="B740" s="67"/>
    </row>
    <row r="741" spans="1:2" x14ac:dyDescent="0.25">
      <c r="A741" s="67"/>
      <c r="B741" s="67"/>
    </row>
    <row r="742" spans="1:2" x14ac:dyDescent="0.25">
      <c r="A742" s="67"/>
      <c r="B742" s="67"/>
    </row>
    <row r="743" spans="1:2" x14ac:dyDescent="0.25">
      <c r="A743" s="67"/>
      <c r="B743" s="67"/>
    </row>
    <row r="744" spans="1:2" x14ac:dyDescent="0.25">
      <c r="A744" s="67"/>
      <c r="B744" s="67"/>
    </row>
    <row r="745" spans="1:2" x14ac:dyDescent="0.25">
      <c r="A745" s="67"/>
      <c r="B745" s="67"/>
    </row>
    <row r="746" spans="1:2" x14ac:dyDescent="0.25">
      <c r="A746" s="67"/>
      <c r="B746" s="67"/>
    </row>
    <row r="747" spans="1:2" x14ac:dyDescent="0.25">
      <c r="A747" s="67"/>
      <c r="B747" s="67"/>
    </row>
    <row r="748" spans="1:2" x14ac:dyDescent="0.25">
      <c r="A748" s="67"/>
      <c r="B748" s="67"/>
    </row>
    <row r="749" spans="1:2" x14ac:dyDescent="0.25">
      <c r="A749" s="67"/>
      <c r="B749" s="67"/>
    </row>
    <row r="750" spans="1:2" x14ac:dyDescent="0.25">
      <c r="A750" s="67"/>
      <c r="B750" s="67"/>
    </row>
    <row r="751" spans="1:2" x14ac:dyDescent="0.25">
      <c r="A751" s="67"/>
      <c r="B751" s="67"/>
    </row>
    <row r="752" spans="1:2" x14ac:dyDescent="0.25">
      <c r="A752" s="67"/>
      <c r="B752" s="67"/>
    </row>
    <row r="753" spans="1:2" x14ac:dyDescent="0.25">
      <c r="A753" s="67"/>
      <c r="B753" s="67"/>
    </row>
    <row r="754" spans="1:2" x14ac:dyDescent="0.25">
      <c r="A754" s="67"/>
      <c r="B754" s="67"/>
    </row>
    <row r="755" spans="1:2" x14ac:dyDescent="0.25">
      <c r="A755" s="67"/>
      <c r="B755" s="67"/>
    </row>
    <row r="756" spans="1:2" x14ac:dyDescent="0.25">
      <c r="A756" s="67"/>
      <c r="B756" s="67"/>
    </row>
    <row r="757" spans="1:2" x14ac:dyDescent="0.25">
      <c r="A757" s="67"/>
      <c r="B757" s="67"/>
    </row>
    <row r="758" spans="1:2" x14ac:dyDescent="0.25">
      <c r="A758" s="67"/>
      <c r="B758" s="67"/>
    </row>
    <row r="759" spans="1:2" x14ac:dyDescent="0.25">
      <c r="A759" s="67"/>
      <c r="B759" s="67"/>
    </row>
    <row r="760" spans="1:2" x14ac:dyDescent="0.25">
      <c r="A760" s="67"/>
      <c r="B760" s="67"/>
    </row>
    <row r="761" spans="1:2" x14ac:dyDescent="0.25">
      <c r="A761" s="67"/>
      <c r="B761" s="67"/>
    </row>
    <row r="762" spans="1:2" x14ac:dyDescent="0.25">
      <c r="A762" s="67"/>
      <c r="B762" s="67"/>
    </row>
    <row r="763" spans="1:2" x14ac:dyDescent="0.25">
      <c r="A763" s="67"/>
      <c r="B763" s="67"/>
    </row>
    <row r="764" spans="1:2" x14ac:dyDescent="0.25">
      <c r="A764" s="67"/>
      <c r="B764" s="67"/>
    </row>
    <row r="765" spans="1:2" x14ac:dyDescent="0.25">
      <c r="A765" s="67"/>
      <c r="B765" s="67"/>
    </row>
    <row r="766" spans="1:2" x14ac:dyDescent="0.25">
      <c r="A766" s="67"/>
      <c r="B766" s="67"/>
    </row>
    <row r="767" spans="1:2" x14ac:dyDescent="0.25">
      <c r="A767" s="67"/>
      <c r="B767" s="67"/>
    </row>
    <row r="768" spans="1:2" x14ac:dyDescent="0.25">
      <c r="A768" s="67"/>
      <c r="B768" s="67"/>
    </row>
    <row r="769" spans="1:2" x14ac:dyDescent="0.25">
      <c r="A769" s="67"/>
      <c r="B769" s="67"/>
    </row>
    <row r="770" spans="1:2" x14ac:dyDescent="0.25">
      <c r="A770" s="67"/>
      <c r="B770" s="67"/>
    </row>
    <row r="771" spans="1:2" x14ac:dyDescent="0.25">
      <c r="A771" s="67"/>
      <c r="B771" s="67"/>
    </row>
    <row r="772" spans="1:2" x14ac:dyDescent="0.25">
      <c r="A772" s="67"/>
      <c r="B772" s="67"/>
    </row>
    <row r="773" spans="1:2" x14ac:dyDescent="0.25">
      <c r="A773" s="67"/>
      <c r="B773" s="67"/>
    </row>
    <row r="774" spans="1:2" x14ac:dyDescent="0.25">
      <c r="A774" s="67"/>
      <c r="B774" s="67"/>
    </row>
    <row r="775" spans="1:2" x14ac:dyDescent="0.25">
      <c r="A775" s="67"/>
      <c r="B775" s="67"/>
    </row>
    <row r="776" spans="1:2" x14ac:dyDescent="0.25">
      <c r="A776" s="67"/>
      <c r="B776" s="67"/>
    </row>
    <row r="777" spans="1:2" x14ac:dyDescent="0.25">
      <c r="A777" s="67"/>
      <c r="B777" s="67"/>
    </row>
    <row r="778" spans="1:2" x14ac:dyDescent="0.25">
      <c r="A778" s="67"/>
      <c r="B778" s="67"/>
    </row>
    <row r="779" spans="1:2" x14ac:dyDescent="0.25">
      <c r="A779" s="67"/>
      <c r="B779" s="67"/>
    </row>
    <row r="780" spans="1:2" x14ac:dyDescent="0.25">
      <c r="A780" s="67"/>
      <c r="B780" s="67"/>
    </row>
    <row r="781" spans="1:2" x14ac:dyDescent="0.25">
      <c r="A781" s="67"/>
      <c r="B781" s="67"/>
    </row>
    <row r="782" spans="1:2" x14ac:dyDescent="0.25">
      <c r="A782" s="67"/>
      <c r="B782" s="67"/>
    </row>
    <row r="783" spans="1:2" x14ac:dyDescent="0.25">
      <c r="A783" s="67"/>
      <c r="B783" s="67"/>
    </row>
    <row r="784" spans="1:2" x14ac:dyDescent="0.25">
      <c r="A784" s="67"/>
      <c r="B784" s="67"/>
    </row>
    <row r="785" spans="1:2" x14ac:dyDescent="0.25">
      <c r="A785" s="67"/>
      <c r="B785" s="67"/>
    </row>
    <row r="786" spans="1:2" x14ac:dyDescent="0.25">
      <c r="A786" s="67"/>
      <c r="B786" s="67"/>
    </row>
    <row r="787" spans="1:2" x14ac:dyDescent="0.25">
      <c r="A787" s="67"/>
      <c r="B787" s="67"/>
    </row>
    <row r="788" spans="1:2" x14ac:dyDescent="0.25">
      <c r="A788" s="67"/>
      <c r="B788" s="67"/>
    </row>
    <row r="789" spans="1:2" x14ac:dyDescent="0.25">
      <c r="A789" s="67"/>
      <c r="B789" s="67"/>
    </row>
    <row r="790" spans="1:2" x14ac:dyDescent="0.25">
      <c r="A790" s="67"/>
      <c r="B790" s="67"/>
    </row>
    <row r="791" spans="1:2" x14ac:dyDescent="0.25">
      <c r="A791" s="67"/>
      <c r="B791" s="67"/>
    </row>
    <row r="792" spans="1:2" x14ac:dyDescent="0.25">
      <c r="A792" s="67"/>
      <c r="B792" s="67"/>
    </row>
    <row r="793" spans="1:2" x14ac:dyDescent="0.25">
      <c r="A793" s="67"/>
      <c r="B793" s="67"/>
    </row>
    <row r="794" spans="1:2" x14ac:dyDescent="0.25">
      <c r="A794" s="67"/>
      <c r="B794" s="67"/>
    </row>
    <row r="795" spans="1:2" x14ac:dyDescent="0.25">
      <c r="A795" s="67"/>
      <c r="B795" s="67"/>
    </row>
    <row r="796" spans="1:2" x14ac:dyDescent="0.25">
      <c r="A796" s="67"/>
      <c r="B796" s="67"/>
    </row>
    <row r="797" spans="1:2" x14ac:dyDescent="0.25">
      <c r="A797" s="67"/>
      <c r="B797" s="67"/>
    </row>
    <row r="798" spans="1:2" x14ac:dyDescent="0.25">
      <c r="A798" s="67"/>
      <c r="B798" s="67"/>
    </row>
    <row r="799" spans="1:2" x14ac:dyDescent="0.25">
      <c r="A799" s="67"/>
      <c r="B799" s="67"/>
    </row>
    <row r="800" spans="1:2" x14ac:dyDescent="0.25">
      <c r="A800" s="67"/>
      <c r="B800" s="67"/>
    </row>
    <row r="801" spans="1:2" x14ac:dyDescent="0.25">
      <c r="A801" s="67"/>
      <c r="B801" s="67"/>
    </row>
    <row r="802" spans="1:2" x14ac:dyDescent="0.25">
      <c r="A802" s="67"/>
      <c r="B802" s="67"/>
    </row>
    <row r="803" spans="1:2" x14ac:dyDescent="0.25">
      <c r="A803" s="67"/>
      <c r="B803" s="67"/>
    </row>
    <row r="804" spans="1:2" x14ac:dyDescent="0.25">
      <c r="A804" s="67"/>
      <c r="B804" s="67"/>
    </row>
    <row r="805" spans="1:2" x14ac:dyDescent="0.25">
      <c r="A805" s="67"/>
      <c r="B805" s="67"/>
    </row>
    <row r="806" spans="1:2" x14ac:dyDescent="0.25">
      <c r="A806" s="67"/>
      <c r="B806" s="67"/>
    </row>
    <row r="807" spans="1:2" x14ac:dyDescent="0.25">
      <c r="A807" s="67"/>
      <c r="B807" s="67"/>
    </row>
    <row r="808" spans="1:2" x14ac:dyDescent="0.25">
      <c r="A808" s="67"/>
      <c r="B808" s="67"/>
    </row>
    <row r="809" spans="1:2" x14ac:dyDescent="0.25">
      <c r="A809" s="67"/>
      <c r="B809" s="67"/>
    </row>
    <row r="810" spans="1:2" x14ac:dyDescent="0.25">
      <c r="A810" s="67"/>
      <c r="B810" s="67"/>
    </row>
    <row r="811" spans="1:2" x14ac:dyDescent="0.25">
      <c r="A811" s="67"/>
      <c r="B811" s="67"/>
    </row>
    <row r="812" spans="1:2" x14ac:dyDescent="0.25">
      <c r="A812" s="67"/>
      <c r="B812" s="67"/>
    </row>
    <row r="813" spans="1:2" x14ac:dyDescent="0.25">
      <c r="A813" s="67"/>
      <c r="B813" s="67"/>
    </row>
    <row r="814" spans="1:2" x14ac:dyDescent="0.25">
      <c r="A814" s="67"/>
      <c r="B814" s="67"/>
    </row>
    <row r="815" spans="1:2" x14ac:dyDescent="0.25">
      <c r="A815" s="67"/>
      <c r="B815" s="67"/>
    </row>
    <row r="816" spans="1:2" x14ac:dyDescent="0.25">
      <c r="A816" s="67"/>
      <c r="B816" s="67"/>
    </row>
    <row r="817" spans="1:2" x14ac:dyDescent="0.25">
      <c r="A817" s="67"/>
      <c r="B817" s="67"/>
    </row>
    <row r="818" spans="1:2" x14ac:dyDescent="0.25">
      <c r="A818" s="67"/>
      <c r="B818" s="67"/>
    </row>
    <row r="819" spans="1:2" x14ac:dyDescent="0.25">
      <c r="A819" s="67"/>
      <c r="B819" s="67"/>
    </row>
    <row r="820" spans="1:2" x14ac:dyDescent="0.25">
      <c r="A820" s="67"/>
      <c r="B820" s="67"/>
    </row>
    <row r="821" spans="1:2" x14ac:dyDescent="0.25">
      <c r="A821" s="67"/>
      <c r="B821" s="67"/>
    </row>
    <row r="822" spans="1:2" x14ac:dyDescent="0.25">
      <c r="A822" s="67"/>
      <c r="B822" s="67"/>
    </row>
    <row r="823" spans="1:2" x14ac:dyDescent="0.25">
      <c r="A823" s="67"/>
      <c r="B823" s="67"/>
    </row>
    <row r="824" spans="1:2" x14ac:dyDescent="0.25">
      <c r="A824" s="67"/>
      <c r="B824" s="67"/>
    </row>
    <row r="825" spans="1:2" x14ac:dyDescent="0.25">
      <c r="A825" s="67"/>
      <c r="B825" s="67"/>
    </row>
    <row r="826" spans="1:2" x14ac:dyDescent="0.25">
      <c r="A826" s="67"/>
      <c r="B826" s="67"/>
    </row>
    <row r="827" spans="1:2" x14ac:dyDescent="0.25">
      <c r="A827" s="67"/>
      <c r="B827" s="67"/>
    </row>
    <row r="828" spans="1:2" x14ac:dyDescent="0.25">
      <c r="A828" s="67"/>
      <c r="B828" s="67"/>
    </row>
    <row r="829" spans="1:2" x14ac:dyDescent="0.25">
      <c r="A829" s="67"/>
      <c r="B829" s="67"/>
    </row>
    <row r="830" spans="1:2" x14ac:dyDescent="0.25">
      <c r="A830" s="67"/>
      <c r="B830" s="67"/>
    </row>
    <row r="831" spans="1:2" x14ac:dyDescent="0.25">
      <c r="A831" s="67"/>
      <c r="B831" s="67"/>
    </row>
    <row r="832" spans="1:2" x14ac:dyDescent="0.25">
      <c r="A832" s="67"/>
      <c r="B832" s="67"/>
    </row>
    <row r="833" spans="1:2" x14ac:dyDescent="0.25">
      <c r="A833" s="67"/>
      <c r="B833" s="67"/>
    </row>
    <row r="834" spans="1:2" x14ac:dyDescent="0.25">
      <c r="A834" s="67"/>
      <c r="B834" s="67"/>
    </row>
    <row r="835" spans="1:2" x14ac:dyDescent="0.25">
      <c r="A835" s="67"/>
      <c r="B835" s="67"/>
    </row>
    <row r="836" spans="1:2" x14ac:dyDescent="0.25">
      <c r="A836" s="67"/>
      <c r="B836" s="67"/>
    </row>
    <row r="837" spans="1:2" x14ac:dyDescent="0.25">
      <c r="A837" s="67"/>
      <c r="B837" s="67"/>
    </row>
    <row r="838" spans="1:2" x14ac:dyDescent="0.25">
      <c r="A838" s="67"/>
      <c r="B838" s="67"/>
    </row>
    <row r="839" spans="1:2" x14ac:dyDescent="0.25">
      <c r="A839" s="67"/>
      <c r="B839" s="67"/>
    </row>
    <row r="840" spans="1:2" x14ac:dyDescent="0.25">
      <c r="A840" s="67"/>
      <c r="B840" s="67"/>
    </row>
    <row r="841" spans="1:2" x14ac:dyDescent="0.25">
      <c r="A841" s="67"/>
      <c r="B841" s="67"/>
    </row>
    <row r="842" spans="1:2" x14ac:dyDescent="0.25">
      <c r="A842" s="67"/>
      <c r="B842" s="67"/>
    </row>
    <row r="843" spans="1:2" x14ac:dyDescent="0.25">
      <c r="A843" s="67"/>
      <c r="B843" s="67"/>
    </row>
    <row r="844" spans="1:2" x14ac:dyDescent="0.25">
      <c r="A844" s="67"/>
      <c r="B844" s="67"/>
    </row>
    <row r="845" spans="1:2" x14ac:dyDescent="0.25">
      <c r="A845" s="67"/>
      <c r="B845" s="67"/>
    </row>
    <row r="846" spans="1:2" x14ac:dyDescent="0.25">
      <c r="A846" s="67"/>
      <c r="B846" s="67"/>
    </row>
    <row r="847" spans="1:2" x14ac:dyDescent="0.25">
      <c r="A847" s="67"/>
      <c r="B847" s="67"/>
    </row>
    <row r="848" spans="1:2" x14ac:dyDescent="0.25">
      <c r="A848" s="67"/>
      <c r="B848" s="67"/>
    </row>
    <row r="849" spans="1:2" x14ac:dyDescent="0.25">
      <c r="A849" s="67"/>
      <c r="B849" s="67"/>
    </row>
    <row r="850" spans="1:2" x14ac:dyDescent="0.25">
      <c r="A850" s="67"/>
      <c r="B850" s="67"/>
    </row>
    <row r="851" spans="1:2" x14ac:dyDescent="0.25">
      <c r="A851" s="67"/>
      <c r="B851" s="67"/>
    </row>
    <row r="852" spans="1:2" x14ac:dyDescent="0.25">
      <c r="A852" s="67"/>
      <c r="B852" s="67"/>
    </row>
    <row r="853" spans="1:2" x14ac:dyDescent="0.25">
      <c r="A853" s="67"/>
      <c r="B853" s="67"/>
    </row>
    <row r="854" spans="1:2" x14ac:dyDescent="0.25">
      <c r="A854" s="67"/>
      <c r="B854" s="67"/>
    </row>
    <row r="855" spans="1:2" x14ac:dyDescent="0.25">
      <c r="A855" s="67"/>
      <c r="B855" s="67"/>
    </row>
    <row r="856" spans="1:2" x14ac:dyDescent="0.25">
      <c r="A856" s="67"/>
      <c r="B856" s="67"/>
    </row>
    <row r="857" spans="1:2" x14ac:dyDescent="0.25">
      <c r="A857" s="67"/>
      <c r="B857" s="67"/>
    </row>
    <row r="858" spans="1:2" x14ac:dyDescent="0.25">
      <c r="A858" s="67"/>
      <c r="B858" s="67"/>
    </row>
    <row r="859" spans="1:2" x14ac:dyDescent="0.25">
      <c r="A859" s="67"/>
      <c r="B859" s="67"/>
    </row>
    <row r="860" spans="1:2" x14ac:dyDescent="0.25">
      <c r="A860" s="67"/>
      <c r="B860" s="67"/>
    </row>
    <row r="861" spans="1:2" x14ac:dyDescent="0.25">
      <c r="A861" s="67"/>
      <c r="B861" s="67"/>
    </row>
    <row r="862" spans="1:2" x14ac:dyDescent="0.25">
      <c r="A862" s="67"/>
      <c r="B862" s="67"/>
    </row>
    <row r="863" spans="1:2" x14ac:dyDescent="0.25">
      <c r="A863" s="67"/>
      <c r="B863" s="67"/>
    </row>
    <row r="864" spans="1:2" x14ac:dyDescent="0.25">
      <c r="A864" s="67"/>
      <c r="B864" s="67"/>
    </row>
    <row r="865" spans="1:2" x14ac:dyDescent="0.25">
      <c r="A865" s="67"/>
      <c r="B865" s="67"/>
    </row>
    <row r="866" spans="1:2" x14ac:dyDescent="0.25">
      <c r="A866" s="67"/>
      <c r="B866" s="67"/>
    </row>
    <row r="867" spans="1:2" x14ac:dyDescent="0.25">
      <c r="A867" s="67"/>
      <c r="B867" s="67"/>
    </row>
    <row r="868" spans="1:2" x14ac:dyDescent="0.25">
      <c r="A868" s="67"/>
      <c r="B868" s="67"/>
    </row>
    <row r="869" spans="1:2" x14ac:dyDescent="0.25">
      <c r="A869" s="67"/>
      <c r="B869" s="67"/>
    </row>
    <row r="870" spans="1:2" x14ac:dyDescent="0.25">
      <c r="A870" s="67"/>
      <c r="B870" s="67"/>
    </row>
    <row r="871" spans="1:2" x14ac:dyDescent="0.25">
      <c r="A871" s="67"/>
      <c r="B871" s="67"/>
    </row>
    <row r="872" spans="1:2" x14ac:dyDescent="0.25">
      <c r="A872" s="67"/>
      <c r="B872" s="67"/>
    </row>
    <row r="873" spans="1:2" x14ac:dyDescent="0.25">
      <c r="A873" s="67"/>
      <c r="B873" s="67"/>
    </row>
    <row r="874" spans="1:2" x14ac:dyDescent="0.25">
      <c r="A874" s="67"/>
      <c r="B874" s="67"/>
    </row>
    <row r="875" spans="1:2" x14ac:dyDescent="0.25">
      <c r="A875" s="67"/>
      <c r="B875" s="67"/>
    </row>
    <row r="876" spans="1:2" x14ac:dyDescent="0.25">
      <c r="A876" s="67"/>
      <c r="B876" s="67"/>
    </row>
    <row r="877" spans="1:2" x14ac:dyDescent="0.25">
      <c r="A877" s="67"/>
      <c r="B877" s="67"/>
    </row>
    <row r="878" spans="1:2" x14ac:dyDescent="0.25">
      <c r="A878" s="67"/>
      <c r="B878" s="67"/>
    </row>
    <row r="879" spans="1:2" x14ac:dyDescent="0.25">
      <c r="A879" s="67"/>
      <c r="B879" s="67"/>
    </row>
    <row r="880" spans="1:2" x14ac:dyDescent="0.25">
      <c r="A880" s="67"/>
      <c r="B880" s="67"/>
    </row>
    <row r="881" spans="1:2" x14ac:dyDescent="0.25">
      <c r="A881" s="67"/>
      <c r="B881" s="67"/>
    </row>
    <row r="882" spans="1:2" x14ac:dyDescent="0.25">
      <c r="A882" s="67"/>
      <c r="B882" s="67"/>
    </row>
    <row r="883" spans="1:2" x14ac:dyDescent="0.25">
      <c r="A883" s="67"/>
      <c r="B883" s="67"/>
    </row>
    <row r="884" spans="1:2" x14ac:dyDescent="0.25">
      <c r="A884" s="67"/>
      <c r="B884" s="67"/>
    </row>
    <row r="885" spans="1:2" x14ac:dyDescent="0.25">
      <c r="A885" s="67"/>
      <c r="B885" s="67"/>
    </row>
    <row r="886" spans="1:2" x14ac:dyDescent="0.25">
      <c r="A886" s="67"/>
      <c r="B886" s="67"/>
    </row>
    <row r="887" spans="1:2" x14ac:dyDescent="0.25">
      <c r="A887" s="67"/>
      <c r="B887" s="67"/>
    </row>
    <row r="888" spans="1:2" x14ac:dyDescent="0.25">
      <c r="A888" s="67"/>
      <c r="B888" s="67"/>
    </row>
    <row r="889" spans="1:2" x14ac:dyDescent="0.25">
      <c r="A889" s="67"/>
      <c r="B889" s="67"/>
    </row>
    <row r="890" spans="1:2" x14ac:dyDescent="0.25">
      <c r="A890" s="67"/>
      <c r="B890" s="67"/>
    </row>
    <row r="891" spans="1:2" x14ac:dyDescent="0.25">
      <c r="A891" s="67"/>
      <c r="B891" s="67"/>
    </row>
    <row r="892" spans="1:2" x14ac:dyDescent="0.25">
      <c r="A892" s="67"/>
      <c r="B892" s="67"/>
    </row>
    <row r="893" spans="1:2" x14ac:dyDescent="0.25">
      <c r="A893" s="67"/>
      <c r="B893" s="67"/>
    </row>
    <row r="894" spans="1:2" x14ac:dyDescent="0.25">
      <c r="A894" s="67"/>
      <c r="B894" s="67"/>
    </row>
    <row r="895" spans="1:2" x14ac:dyDescent="0.25">
      <c r="A895" s="67"/>
      <c r="B895" s="67"/>
    </row>
    <row r="896" spans="1:2" x14ac:dyDescent="0.25">
      <c r="A896" s="67"/>
      <c r="B896" s="67"/>
    </row>
    <row r="897" spans="1:2" x14ac:dyDescent="0.25">
      <c r="A897" s="67"/>
      <c r="B897" s="67"/>
    </row>
    <row r="898" spans="1:2" x14ac:dyDescent="0.25">
      <c r="A898" s="67"/>
      <c r="B898" s="67"/>
    </row>
    <row r="899" spans="1:2" x14ac:dyDescent="0.25">
      <c r="A899" s="67"/>
      <c r="B899" s="67"/>
    </row>
    <row r="900" spans="1:2" x14ac:dyDescent="0.25">
      <c r="A900" s="67"/>
      <c r="B900" s="67"/>
    </row>
    <row r="901" spans="1:2" x14ac:dyDescent="0.25">
      <c r="A901" s="67"/>
      <c r="B901" s="67"/>
    </row>
    <row r="902" spans="1:2" x14ac:dyDescent="0.25">
      <c r="A902" s="67"/>
      <c r="B902" s="67"/>
    </row>
    <row r="903" spans="1:2" x14ac:dyDescent="0.25">
      <c r="A903" s="67"/>
      <c r="B903" s="67"/>
    </row>
    <row r="904" spans="1:2" x14ac:dyDescent="0.25">
      <c r="A904" s="67"/>
      <c r="B904" s="67"/>
    </row>
    <row r="905" spans="1:2" x14ac:dyDescent="0.25">
      <c r="A905" s="67"/>
      <c r="B905" s="67"/>
    </row>
    <row r="906" spans="1:2" x14ac:dyDescent="0.25">
      <c r="A906" s="67"/>
      <c r="B906" s="67"/>
    </row>
    <row r="907" spans="1:2" x14ac:dyDescent="0.25">
      <c r="A907" s="67"/>
      <c r="B907" s="67"/>
    </row>
    <row r="908" spans="1:2" x14ac:dyDescent="0.25">
      <c r="A908" s="67"/>
      <c r="B908" s="67"/>
    </row>
    <row r="909" spans="1:2" x14ac:dyDescent="0.25">
      <c r="A909" s="67"/>
      <c r="B909" s="67"/>
    </row>
    <row r="910" spans="1:2" x14ac:dyDescent="0.25">
      <c r="A910" s="67"/>
      <c r="B910" s="67"/>
    </row>
    <row r="911" spans="1:2" x14ac:dyDescent="0.25">
      <c r="A911" s="67"/>
      <c r="B911" s="67"/>
    </row>
    <row r="912" spans="1:2" x14ac:dyDescent="0.25">
      <c r="A912" s="67"/>
      <c r="B912" s="67"/>
    </row>
    <row r="913" spans="1:2" x14ac:dyDescent="0.25">
      <c r="A913" s="67"/>
      <c r="B913" s="67"/>
    </row>
    <row r="914" spans="1:2" x14ac:dyDescent="0.25">
      <c r="A914" s="67"/>
      <c r="B914" s="67"/>
    </row>
    <row r="915" spans="1:2" x14ac:dyDescent="0.25">
      <c r="A915" s="67"/>
      <c r="B915" s="67"/>
    </row>
    <row r="916" spans="1:2" x14ac:dyDescent="0.25">
      <c r="A916" s="67"/>
      <c r="B916" s="67"/>
    </row>
    <row r="917" spans="1:2" x14ac:dyDescent="0.25">
      <c r="A917" s="67"/>
      <c r="B917" s="67"/>
    </row>
    <row r="918" spans="1:2" x14ac:dyDescent="0.25">
      <c r="A918" s="67"/>
      <c r="B918" s="67"/>
    </row>
    <row r="919" spans="1:2" x14ac:dyDescent="0.25">
      <c r="A919" s="67"/>
      <c r="B919" s="67"/>
    </row>
    <row r="920" spans="1:2" x14ac:dyDescent="0.25">
      <c r="A920" s="67"/>
      <c r="B920" s="67"/>
    </row>
    <row r="921" spans="1:2" x14ac:dyDescent="0.25">
      <c r="A921" s="67"/>
      <c r="B921" s="67"/>
    </row>
    <row r="922" spans="1:2" x14ac:dyDescent="0.25">
      <c r="A922" s="67"/>
      <c r="B922" s="67"/>
    </row>
    <row r="923" spans="1:2" x14ac:dyDescent="0.25">
      <c r="A923" s="67"/>
      <c r="B923" s="67"/>
    </row>
    <row r="924" spans="1:2" x14ac:dyDescent="0.25">
      <c r="A924" s="67"/>
      <c r="B924" s="67"/>
    </row>
    <row r="925" spans="1:2" x14ac:dyDescent="0.25">
      <c r="A925" s="67"/>
      <c r="B925" s="67"/>
    </row>
    <row r="926" spans="1:2" x14ac:dyDescent="0.25">
      <c r="A926" s="67"/>
      <c r="B926" s="67"/>
    </row>
    <row r="927" spans="1:2" x14ac:dyDescent="0.25">
      <c r="A927" s="67"/>
      <c r="B927" s="67"/>
    </row>
    <row r="928" spans="1:2" x14ac:dyDescent="0.25">
      <c r="A928" s="67"/>
      <c r="B928" s="67"/>
    </row>
    <row r="929" spans="1:2" x14ac:dyDescent="0.25">
      <c r="A929" s="67"/>
      <c r="B929" s="67"/>
    </row>
    <row r="930" spans="1:2" x14ac:dyDescent="0.25">
      <c r="A930" s="67"/>
      <c r="B930" s="67"/>
    </row>
    <row r="931" spans="1:2" x14ac:dyDescent="0.25">
      <c r="A931" s="67"/>
      <c r="B931" s="67"/>
    </row>
    <row r="932" spans="1:2" x14ac:dyDescent="0.25">
      <c r="A932" s="67"/>
      <c r="B932" s="67"/>
    </row>
    <row r="933" spans="1:2" x14ac:dyDescent="0.25">
      <c r="A933" s="67"/>
      <c r="B933" s="67"/>
    </row>
    <row r="934" spans="1:2" x14ac:dyDescent="0.25">
      <c r="A934" s="67"/>
      <c r="B934" s="67"/>
    </row>
    <row r="935" spans="1:2" x14ac:dyDescent="0.25">
      <c r="A935" s="67"/>
      <c r="B935" s="67"/>
    </row>
    <row r="936" spans="1:2" x14ac:dyDescent="0.25">
      <c r="A936" s="67"/>
      <c r="B936" s="67"/>
    </row>
    <row r="937" spans="1:2" x14ac:dyDescent="0.25">
      <c r="A937" s="67"/>
      <c r="B937" s="67"/>
    </row>
    <row r="938" spans="1:2" x14ac:dyDescent="0.25">
      <c r="A938" s="67"/>
      <c r="B938" s="67"/>
    </row>
    <row r="939" spans="1:2" x14ac:dyDescent="0.25">
      <c r="A939" s="67"/>
      <c r="B939" s="67"/>
    </row>
    <row r="940" spans="1:2" x14ac:dyDescent="0.25">
      <c r="A940" s="67"/>
      <c r="B940" s="67"/>
    </row>
    <row r="941" spans="1:2" x14ac:dyDescent="0.25">
      <c r="A941" s="67"/>
      <c r="B941" s="67"/>
    </row>
    <row r="942" spans="1:2" x14ac:dyDescent="0.25">
      <c r="A942" s="67"/>
      <c r="B942" s="67"/>
    </row>
    <row r="943" spans="1:2" x14ac:dyDescent="0.25">
      <c r="A943" s="67"/>
      <c r="B943" s="67"/>
    </row>
    <row r="944" spans="1:2" x14ac:dyDescent="0.25">
      <c r="A944" s="67"/>
      <c r="B944" s="67"/>
    </row>
    <row r="945" spans="1:2" x14ac:dyDescent="0.25">
      <c r="A945" s="67"/>
      <c r="B945" s="67"/>
    </row>
    <row r="946" spans="1:2" x14ac:dyDescent="0.25">
      <c r="A946" s="67"/>
      <c r="B946" s="67"/>
    </row>
    <row r="947" spans="1:2" x14ac:dyDescent="0.25">
      <c r="A947" s="67"/>
      <c r="B947" s="67"/>
    </row>
    <row r="948" spans="1:2" x14ac:dyDescent="0.25">
      <c r="A948" s="67"/>
      <c r="B948" s="67"/>
    </row>
    <row r="949" spans="1:2" x14ac:dyDescent="0.25">
      <c r="A949" s="67"/>
      <c r="B949" s="67"/>
    </row>
    <row r="950" spans="1:2" x14ac:dyDescent="0.25">
      <c r="A950" s="67"/>
      <c r="B950" s="67"/>
    </row>
    <row r="951" spans="1:2" x14ac:dyDescent="0.25">
      <c r="A951" s="67"/>
      <c r="B951" s="67"/>
    </row>
    <row r="952" spans="1:2" x14ac:dyDescent="0.25">
      <c r="A952" s="67"/>
      <c r="B952" s="67"/>
    </row>
    <row r="953" spans="1:2" x14ac:dyDescent="0.25">
      <c r="A953" s="67"/>
      <c r="B953" s="67"/>
    </row>
    <row r="954" spans="1:2" x14ac:dyDescent="0.25">
      <c r="A954" s="67"/>
      <c r="B954" s="67"/>
    </row>
    <row r="955" spans="1:2" x14ac:dyDescent="0.25">
      <c r="A955" s="67"/>
      <c r="B955" s="67"/>
    </row>
    <row r="956" spans="1:2" x14ac:dyDescent="0.25">
      <c r="A956" s="67"/>
      <c r="B956" s="67"/>
    </row>
    <row r="957" spans="1:2" x14ac:dyDescent="0.25">
      <c r="A957" s="67"/>
      <c r="B957" s="67"/>
    </row>
    <row r="958" spans="1:2" x14ac:dyDescent="0.25">
      <c r="A958" s="67"/>
      <c r="B958" s="67"/>
    </row>
    <row r="959" spans="1:2" x14ac:dyDescent="0.25">
      <c r="A959" s="67"/>
      <c r="B959" s="67"/>
    </row>
    <row r="960" spans="1:2" x14ac:dyDescent="0.25">
      <c r="A960" s="67"/>
      <c r="B960" s="67"/>
    </row>
    <row r="961" spans="1:2" x14ac:dyDescent="0.25">
      <c r="A961" s="67"/>
      <c r="B961" s="67"/>
    </row>
    <row r="962" spans="1:2" x14ac:dyDescent="0.25">
      <c r="A962" s="67"/>
      <c r="B962" s="67"/>
    </row>
    <row r="963" spans="1:2" x14ac:dyDescent="0.25">
      <c r="A963" s="67"/>
      <c r="B963" s="67"/>
    </row>
    <row r="964" spans="1:2" x14ac:dyDescent="0.25">
      <c r="A964" s="67"/>
      <c r="B964" s="67"/>
    </row>
    <row r="965" spans="1:2" x14ac:dyDescent="0.25">
      <c r="A965" s="67"/>
      <c r="B965" s="67"/>
    </row>
    <row r="966" spans="1:2" x14ac:dyDescent="0.25">
      <c r="A966" s="67"/>
      <c r="B966" s="67"/>
    </row>
    <row r="967" spans="1:2" x14ac:dyDescent="0.25">
      <c r="A967" s="67"/>
      <c r="B967" s="67"/>
    </row>
    <row r="968" spans="1:2" x14ac:dyDescent="0.25">
      <c r="A968" s="67"/>
      <c r="B968" s="67"/>
    </row>
    <row r="969" spans="1:2" x14ac:dyDescent="0.25">
      <c r="A969" s="67"/>
      <c r="B969" s="67"/>
    </row>
    <row r="970" spans="1:2" x14ac:dyDescent="0.25">
      <c r="A970" s="67"/>
      <c r="B970" s="67"/>
    </row>
    <row r="971" spans="1:2" x14ac:dyDescent="0.25">
      <c r="A971" s="67"/>
      <c r="B971" s="67"/>
    </row>
    <row r="972" spans="1:2" x14ac:dyDescent="0.25">
      <c r="A972" s="67"/>
      <c r="B972" s="67"/>
    </row>
    <row r="973" spans="1:2" x14ac:dyDescent="0.25">
      <c r="A973" s="67"/>
      <c r="B973" s="67"/>
    </row>
    <row r="974" spans="1:2" x14ac:dyDescent="0.25">
      <c r="A974" s="67"/>
      <c r="B974" s="67"/>
    </row>
    <row r="975" spans="1:2" x14ac:dyDescent="0.25">
      <c r="A975" s="67"/>
      <c r="B975" s="67"/>
    </row>
    <row r="976" spans="1:2" x14ac:dyDescent="0.25">
      <c r="A976" s="67"/>
      <c r="B976" s="67"/>
    </row>
    <row r="977" spans="1:2" x14ac:dyDescent="0.25">
      <c r="A977" s="67"/>
      <c r="B977" s="67"/>
    </row>
    <row r="978" spans="1:2" x14ac:dyDescent="0.25">
      <c r="A978" s="67"/>
      <c r="B978" s="67"/>
    </row>
    <row r="979" spans="1:2" x14ac:dyDescent="0.25">
      <c r="A979" s="67"/>
      <c r="B979" s="67"/>
    </row>
    <row r="980" spans="1:2" x14ac:dyDescent="0.25">
      <c r="A980" s="67"/>
      <c r="B980" s="67"/>
    </row>
    <row r="981" spans="1:2" x14ac:dyDescent="0.25">
      <c r="A981" s="67"/>
      <c r="B981" s="67"/>
    </row>
    <row r="982" spans="1:2" x14ac:dyDescent="0.25">
      <c r="A982" s="67"/>
      <c r="B982" s="67"/>
    </row>
    <row r="983" spans="1:2" x14ac:dyDescent="0.25">
      <c r="A983" s="67"/>
      <c r="B983" s="67"/>
    </row>
    <row r="984" spans="1:2" x14ac:dyDescent="0.25">
      <c r="A984" s="67"/>
      <c r="B984" s="67"/>
    </row>
    <row r="985" spans="1:2" x14ac:dyDescent="0.25">
      <c r="A985" s="67"/>
      <c r="B985" s="67"/>
    </row>
    <row r="986" spans="1:2" x14ac:dyDescent="0.25">
      <c r="A986" s="67"/>
      <c r="B986" s="67"/>
    </row>
    <row r="987" spans="1:2" x14ac:dyDescent="0.25">
      <c r="A987" s="67"/>
      <c r="B987" s="67"/>
    </row>
    <row r="988" spans="1:2" x14ac:dyDescent="0.25">
      <c r="A988" s="67"/>
      <c r="B988" s="67"/>
    </row>
    <row r="989" spans="1:2" x14ac:dyDescent="0.25">
      <c r="A989" s="67"/>
      <c r="B989" s="67"/>
    </row>
    <row r="990" spans="1:2" x14ac:dyDescent="0.25">
      <c r="A990" s="67"/>
      <c r="B990" s="67"/>
    </row>
    <row r="991" spans="1:2" x14ac:dyDescent="0.25">
      <c r="A991" s="67"/>
      <c r="B991" s="67"/>
    </row>
    <row r="992" spans="1:2" x14ac:dyDescent="0.25">
      <c r="A992" s="67"/>
      <c r="B992" s="67"/>
    </row>
    <row r="993" spans="1:2" x14ac:dyDescent="0.25">
      <c r="A993" s="67"/>
      <c r="B993" s="67"/>
    </row>
    <row r="994" spans="1:2" x14ac:dyDescent="0.25">
      <c r="A994" s="67"/>
      <c r="B994" s="67"/>
    </row>
    <row r="995" spans="1:2" x14ac:dyDescent="0.25">
      <c r="A995" s="67"/>
      <c r="B995" s="67"/>
    </row>
    <row r="996" spans="1:2" x14ac:dyDescent="0.25">
      <c r="A996" s="67"/>
      <c r="B996" s="67"/>
    </row>
    <row r="997" spans="1:2" x14ac:dyDescent="0.25">
      <c r="A997" s="67"/>
      <c r="B997" s="67"/>
    </row>
    <row r="998" spans="1:2" x14ac:dyDescent="0.25">
      <c r="A998" s="67"/>
      <c r="B998" s="67"/>
    </row>
    <row r="999" spans="1:2" x14ac:dyDescent="0.25">
      <c r="A999" s="67"/>
      <c r="B999" s="67"/>
    </row>
    <row r="1000" spans="1:2" x14ac:dyDescent="0.25">
      <c r="A1000" s="67"/>
      <c r="B1000" s="67"/>
    </row>
    <row r="1001" spans="1:2" x14ac:dyDescent="0.25">
      <c r="A1001" s="67"/>
      <c r="B1001" s="67"/>
    </row>
    <row r="1002" spans="1:2" x14ac:dyDescent="0.25">
      <c r="A1002" s="67"/>
      <c r="B1002" s="67"/>
    </row>
    <row r="1003" spans="1:2" x14ac:dyDescent="0.25">
      <c r="A1003" s="67"/>
      <c r="B1003" s="67"/>
    </row>
    <row r="1004" spans="1:2" x14ac:dyDescent="0.25">
      <c r="A1004" s="67"/>
      <c r="B1004" s="67"/>
    </row>
    <row r="1005" spans="1:2" x14ac:dyDescent="0.25">
      <c r="A1005" s="67"/>
      <c r="B1005" s="67"/>
    </row>
    <row r="1006" spans="1:2" x14ac:dyDescent="0.25">
      <c r="A1006" s="67"/>
      <c r="B1006" s="67"/>
    </row>
    <row r="1007" spans="1:2" x14ac:dyDescent="0.25">
      <c r="A1007" s="67"/>
      <c r="B1007" s="67"/>
    </row>
    <row r="1008" spans="1:2" x14ac:dyDescent="0.25">
      <c r="A1008" s="67"/>
      <c r="B1008" s="67"/>
    </row>
    <row r="1009" spans="1:2" x14ac:dyDescent="0.25">
      <c r="A1009" s="67"/>
      <c r="B1009" s="67"/>
    </row>
    <row r="1010" spans="1:2" x14ac:dyDescent="0.25">
      <c r="A1010" s="67"/>
      <c r="B1010" s="67"/>
    </row>
    <row r="1011" spans="1:2" x14ac:dyDescent="0.25">
      <c r="A1011" s="67"/>
      <c r="B1011" s="67"/>
    </row>
    <row r="1012" spans="1:2" x14ac:dyDescent="0.25">
      <c r="A1012" s="67"/>
      <c r="B1012" s="67"/>
    </row>
    <row r="1013" spans="1:2" x14ac:dyDescent="0.25">
      <c r="A1013" s="67"/>
      <c r="B1013" s="67"/>
    </row>
    <row r="1014" spans="1:2" x14ac:dyDescent="0.25">
      <c r="A1014" s="67"/>
      <c r="B1014" s="67"/>
    </row>
    <row r="1015" spans="1:2" x14ac:dyDescent="0.25">
      <c r="A1015" s="67"/>
      <c r="B1015" s="67"/>
    </row>
    <row r="1016" spans="1:2" x14ac:dyDescent="0.25">
      <c r="A1016" s="67"/>
      <c r="B1016" s="67"/>
    </row>
    <row r="1017" spans="1:2" x14ac:dyDescent="0.25">
      <c r="A1017" s="67"/>
      <c r="B1017" s="67"/>
    </row>
    <row r="1018" spans="1:2" x14ac:dyDescent="0.25">
      <c r="A1018" s="67"/>
      <c r="B1018" s="67"/>
    </row>
    <row r="1019" spans="1:2" x14ac:dyDescent="0.25">
      <c r="A1019" s="67"/>
      <c r="B1019" s="67"/>
    </row>
    <row r="1020" spans="1:2" x14ac:dyDescent="0.25">
      <c r="A1020" s="67"/>
      <c r="B1020" s="67"/>
    </row>
    <row r="1021" spans="1:2" x14ac:dyDescent="0.25">
      <c r="A1021" s="67"/>
      <c r="B1021" s="67"/>
    </row>
    <row r="1022" spans="1:2" x14ac:dyDescent="0.25">
      <c r="A1022" s="67"/>
      <c r="B1022" s="67"/>
    </row>
    <row r="1023" spans="1:2" x14ac:dyDescent="0.25">
      <c r="A1023" s="67"/>
      <c r="B1023" s="67"/>
    </row>
    <row r="1024" spans="1:2" x14ac:dyDescent="0.25">
      <c r="A1024" s="67"/>
      <c r="B1024" s="67"/>
    </row>
    <row r="1025" spans="1:2" x14ac:dyDescent="0.25">
      <c r="A1025" s="67"/>
      <c r="B1025" s="67"/>
    </row>
    <row r="1026" spans="1:2" x14ac:dyDescent="0.25">
      <c r="A1026" s="67"/>
      <c r="B1026" s="67"/>
    </row>
    <row r="1027" spans="1:2" x14ac:dyDescent="0.25">
      <c r="A1027" s="67"/>
      <c r="B1027" s="67"/>
    </row>
    <row r="1028" spans="1:2" x14ac:dyDescent="0.25">
      <c r="A1028" s="67"/>
      <c r="B1028" s="67"/>
    </row>
    <row r="1029" spans="1:2" x14ac:dyDescent="0.25">
      <c r="A1029" s="67"/>
      <c r="B1029" s="67"/>
    </row>
    <row r="1030" spans="1:2" x14ac:dyDescent="0.25">
      <c r="A1030" s="67"/>
      <c r="B1030" s="67"/>
    </row>
    <row r="1031" spans="1:2" x14ac:dyDescent="0.25">
      <c r="A1031" s="67"/>
      <c r="B1031" s="67"/>
    </row>
    <row r="1032" spans="1:2" x14ac:dyDescent="0.25">
      <c r="A1032" s="67"/>
      <c r="B1032" s="67"/>
    </row>
    <row r="1033" spans="1:2" x14ac:dyDescent="0.25">
      <c r="A1033" s="67"/>
      <c r="B1033" s="67"/>
    </row>
    <row r="1034" spans="1:2" x14ac:dyDescent="0.25">
      <c r="A1034" s="67"/>
      <c r="B1034" s="67"/>
    </row>
    <row r="1035" spans="1:2" x14ac:dyDescent="0.25">
      <c r="A1035" s="67"/>
      <c r="B1035" s="67"/>
    </row>
    <row r="1036" spans="1:2" x14ac:dyDescent="0.25">
      <c r="A1036" s="67"/>
      <c r="B1036" s="67"/>
    </row>
    <row r="1037" spans="1:2" x14ac:dyDescent="0.25">
      <c r="A1037" s="67"/>
      <c r="B1037" s="67"/>
    </row>
    <row r="1038" spans="1:2" x14ac:dyDescent="0.25">
      <c r="A1038" s="67"/>
      <c r="B1038" s="67"/>
    </row>
    <row r="1039" spans="1:2" x14ac:dyDescent="0.25">
      <c r="A1039" s="67"/>
      <c r="B1039" s="67"/>
    </row>
    <row r="1040" spans="1:2" x14ac:dyDescent="0.25">
      <c r="A1040" s="67"/>
      <c r="B1040" s="67"/>
    </row>
    <row r="1041" spans="1:2" x14ac:dyDescent="0.25">
      <c r="A1041" s="67"/>
      <c r="B1041" s="67"/>
    </row>
    <row r="1042" spans="1:2" x14ac:dyDescent="0.25">
      <c r="A1042" s="67"/>
      <c r="B1042" s="67"/>
    </row>
    <row r="1043" spans="1:2" x14ac:dyDescent="0.25">
      <c r="A1043" s="67"/>
      <c r="B1043" s="67"/>
    </row>
    <row r="1044" spans="1:2" x14ac:dyDescent="0.25">
      <c r="A1044" s="67"/>
      <c r="B1044" s="67"/>
    </row>
    <row r="1045" spans="1:2" x14ac:dyDescent="0.25">
      <c r="A1045" s="67"/>
      <c r="B1045" s="67"/>
    </row>
    <row r="1046" spans="1:2" x14ac:dyDescent="0.25">
      <c r="A1046" s="67"/>
      <c r="B1046" s="67"/>
    </row>
    <row r="1047" spans="1:2" x14ac:dyDescent="0.25">
      <c r="A1047" s="67"/>
      <c r="B1047" s="67"/>
    </row>
    <row r="1048" spans="1:2" x14ac:dyDescent="0.25">
      <c r="A1048" s="67"/>
      <c r="B1048" s="67"/>
    </row>
    <row r="1049" spans="1:2" x14ac:dyDescent="0.25">
      <c r="A1049" s="67"/>
      <c r="B1049" s="67"/>
    </row>
    <row r="1050" spans="1:2" x14ac:dyDescent="0.25">
      <c r="A1050" s="67"/>
      <c r="B1050" s="67"/>
    </row>
    <row r="1051" spans="1:2" x14ac:dyDescent="0.25">
      <c r="A1051" s="67"/>
      <c r="B1051" s="67"/>
    </row>
    <row r="1052" spans="1:2" x14ac:dyDescent="0.25">
      <c r="A1052" s="67"/>
      <c r="B1052" s="67"/>
    </row>
    <row r="1053" spans="1:2" x14ac:dyDescent="0.25">
      <c r="A1053" s="67"/>
      <c r="B1053" s="67"/>
    </row>
    <row r="1054" spans="1:2" x14ac:dyDescent="0.25">
      <c r="A1054" s="67"/>
      <c r="B1054" s="67"/>
    </row>
    <row r="1055" spans="1:2" x14ac:dyDescent="0.25">
      <c r="A1055" s="67"/>
      <c r="B1055" s="67"/>
    </row>
    <row r="1056" spans="1:2" x14ac:dyDescent="0.25">
      <c r="A1056" s="67"/>
      <c r="B1056" s="67"/>
    </row>
    <row r="1057" spans="1:2" x14ac:dyDescent="0.25">
      <c r="A1057" s="67"/>
      <c r="B1057" s="67"/>
    </row>
    <row r="1058" spans="1:2" x14ac:dyDescent="0.25">
      <c r="A1058" s="67"/>
      <c r="B1058" s="67"/>
    </row>
    <row r="1059" spans="1:2" x14ac:dyDescent="0.25">
      <c r="A1059" s="67"/>
      <c r="B1059" s="67"/>
    </row>
    <row r="1060" spans="1:2" x14ac:dyDescent="0.25">
      <c r="A1060" s="67"/>
      <c r="B1060" s="67"/>
    </row>
    <row r="1061" spans="1:2" x14ac:dyDescent="0.25">
      <c r="A1061" s="67"/>
      <c r="B1061" s="67"/>
    </row>
    <row r="1062" spans="1:2" x14ac:dyDescent="0.25">
      <c r="A1062" s="67"/>
      <c r="B1062" s="67"/>
    </row>
    <row r="1063" spans="1:2" x14ac:dyDescent="0.25">
      <c r="A1063" s="67"/>
      <c r="B1063" s="67"/>
    </row>
    <row r="1064" spans="1:2" x14ac:dyDescent="0.25">
      <c r="A1064" s="67"/>
      <c r="B1064" s="67"/>
    </row>
    <row r="1065" spans="1:2" x14ac:dyDescent="0.25">
      <c r="A1065" s="67"/>
      <c r="B1065" s="67"/>
    </row>
    <row r="1066" spans="1:2" x14ac:dyDescent="0.25">
      <c r="A1066" s="67"/>
      <c r="B1066" s="67"/>
    </row>
    <row r="1067" spans="1:2" x14ac:dyDescent="0.25">
      <c r="A1067" s="67"/>
      <c r="B1067" s="67"/>
    </row>
    <row r="1068" spans="1:2" x14ac:dyDescent="0.25">
      <c r="A1068" s="67"/>
      <c r="B1068" s="67"/>
    </row>
    <row r="1069" spans="1:2" x14ac:dyDescent="0.25">
      <c r="A1069" s="67"/>
      <c r="B1069" s="67"/>
    </row>
    <row r="1070" spans="1:2" x14ac:dyDescent="0.25">
      <c r="A1070" s="67"/>
      <c r="B1070" s="67"/>
    </row>
    <row r="1071" spans="1:2" x14ac:dyDescent="0.25">
      <c r="A1071" s="67"/>
      <c r="B1071" s="67"/>
    </row>
    <row r="1072" spans="1:2" x14ac:dyDescent="0.25">
      <c r="A1072" s="67"/>
      <c r="B1072" s="67"/>
    </row>
    <row r="1073" spans="1:2" x14ac:dyDescent="0.25">
      <c r="A1073" s="67"/>
      <c r="B1073" s="67"/>
    </row>
    <row r="1074" spans="1:2" x14ac:dyDescent="0.25">
      <c r="A1074" s="67"/>
      <c r="B1074" s="67"/>
    </row>
    <row r="1075" spans="1:2" x14ac:dyDescent="0.25">
      <c r="A1075" s="67"/>
      <c r="B1075" s="67"/>
    </row>
    <row r="1076" spans="1:2" x14ac:dyDescent="0.25">
      <c r="A1076" s="67"/>
      <c r="B1076" s="67"/>
    </row>
    <row r="1077" spans="1:2" x14ac:dyDescent="0.25">
      <c r="A1077" s="67"/>
      <c r="B1077" s="67"/>
    </row>
    <row r="1078" spans="1:2" x14ac:dyDescent="0.25">
      <c r="A1078" s="67"/>
      <c r="B1078" s="67"/>
    </row>
    <row r="1079" spans="1:2" x14ac:dyDescent="0.25">
      <c r="A1079" s="67"/>
      <c r="B1079" s="67"/>
    </row>
    <row r="1080" spans="1:2" x14ac:dyDescent="0.25">
      <c r="A1080" s="67"/>
      <c r="B1080" s="67"/>
    </row>
    <row r="1081" spans="1:2" x14ac:dyDescent="0.25">
      <c r="A1081" s="67"/>
      <c r="B1081" s="67"/>
    </row>
    <row r="1082" spans="1:2" x14ac:dyDescent="0.25">
      <c r="A1082" s="67"/>
      <c r="B1082" s="67"/>
    </row>
    <row r="1083" spans="1:2" x14ac:dyDescent="0.25">
      <c r="A1083" s="67"/>
      <c r="B1083" s="67"/>
    </row>
    <row r="1084" spans="1:2" x14ac:dyDescent="0.25">
      <c r="A1084" s="67"/>
      <c r="B1084" s="67"/>
    </row>
    <row r="1085" spans="1:2" x14ac:dyDescent="0.25">
      <c r="A1085" s="67"/>
      <c r="B1085" s="67"/>
    </row>
    <row r="1086" spans="1:2" x14ac:dyDescent="0.25">
      <c r="A1086" s="67"/>
      <c r="B1086" s="67"/>
    </row>
    <row r="1087" spans="1:2" x14ac:dyDescent="0.25">
      <c r="A1087" s="67"/>
      <c r="B1087" s="67"/>
    </row>
    <row r="1088" spans="1:2" x14ac:dyDescent="0.25">
      <c r="A1088" s="67"/>
      <c r="B1088" s="67"/>
    </row>
    <row r="1089" spans="1:2" x14ac:dyDescent="0.25">
      <c r="A1089" s="67"/>
      <c r="B1089" s="67"/>
    </row>
    <row r="1090" spans="1:2" x14ac:dyDescent="0.25">
      <c r="A1090" s="67"/>
      <c r="B1090" s="67"/>
    </row>
    <row r="1091" spans="1:2" x14ac:dyDescent="0.25">
      <c r="A1091" s="67"/>
      <c r="B1091" s="67"/>
    </row>
    <row r="1092" spans="1:2" x14ac:dyDescent="0.25">
      <c r="A1092" s="67"/>
      <c r="B1092" s="67"/>
    </row>
    <row r="1093" spans="1:2" x14ac:dyDescent="0.25">
      <c r="A1093" s="67"/>
      <c r="B1093" s="67"/>
    </row>
    <row r="1094" spans="1:2" x14ac:dyDescent="0.25">
      <c r="A1094" s="67"/>
      <c r="B1094" s="67"/>
    </row>
    <row r="1095" spans="1:2" x14ac:dyDescent="0.25">
      <c r="A1095" s="67"/>
      <c r="B1095" s="67"/>
    </row>
    <row r="1096" spans="1:2" x14ac:dyDescent="0.25">
      <c r="A1096" s="67"/>
      <c r="B1096" s="67"/>
    </row>
    <row r="1097" spans="1:2" x14ac:dyDescent="0.25">
      <c r="A1097" s="67"/>
      <c r="B1097" s="67"/>
    </row>
    <row r="1098" spans="1:2" x14ac:dyDescent="0.25">
      <c r="A1098" s="67"/>
      <c r="B1098" s="67"/>
    </row>
    <row r="1099" spans="1:2" x14ac:dyDescent="0.25">
      <c r="A1099" s="67"/>
      <c r="B1099" s="67"/>
    </row>
    <row r="1100" spans="1:2" x14ac:dyDescent="0.25">
      <c r="A1100" s="67"/>
      <c r="B1100" s="67"/>
    </row>
    <row r="1101" spans="1:2" x14ac:dyDescent="0.25">
      <c r="A1101" s="67"/>
      <c r="B1101" s="67"/>
    </row>
    <row r="1102" spans="1:2" x14ac:dyDescent="0.25">
      <c r="A1102" s="67"/>
      <c r="B1102" s="67"/>
    </row>
    <row r="1103" spans="1:2" x14ac:dyDescent="0.25">
      <c r="A1103" s="67"/>
      <c r="B1103" s="67"/>
    </row>
    <row r="1104" spans="1:2" x14ac:dyDescent="0.25">
      <c r="A1104" s="67"/>
      <c r="B1104" s="67"/>
    </row>
    <row r="1105" spans="1:2" x14ac:dyDescent="0.25">
      <c r="A1105" s="67"/>
      <c r="B1105" s="67"/>
    </row>
    <row r="1106" spans="1:2" x14ac:dyDescent="0.25">
      <c r="A1106" s="67"/>
      <c r="B1106" s="67"/>
    </row>
    <row r="1107" spans="1:2" x14ac:dyDescent="0.25">
      <c r="A1107" s="67"/>
      <c r="B1107" s="67"/>
    </row>
    <row r="1108" spans="1:2" x14ac:dyDescent="0.25">
      <c r="A1108" s="67"/>
      <c r="B1108" s="67"/>
    </row>
    <row r="1109" spans="1:2" x14ac:dyDescent="0.25">
      <c r="A1109" s="67"/>
      <c r="B1109" s="67"/>
    </row>
    <row r="1110" spans="1:2" x14ac:dyDescent="0.25">
      <c r="A1110" s="67"/>
      <c r="B1110" s="67"/>
    </row>
    <row r="1111" spans="1:2" x14ac:dyDescent="0.25">
      <c r="A1111" s="67"/>
      <c r="B1111" s="67"/>
    </row>
    <row r="1112" spans="1:2" x14ac:dyDescent="0.25">
      <c r="A1112" s="67"/>
      <c r="B1112" s="67"/>
    </row>
    <row r="1113" spans="1:2" x14ac:dyDescent="0.25">
      <c r="A1113" s="67"/>
      <c r="B1113" s="67"/>
    </row>
    <row r="1114" spans="1:2" x14ac:dyDescent="0.25">
      <c r="A1114" s="67"/>
      <c r="B1114" s="67"/>
    </row>
    <row r="1115" spans="1:2" x14ac:dyDescent="0.25">
      <c r="A1115" s="67"/>
      <c r="B1115" s="67"/>
    </row>
    <row r="1116" spans="1:2" x14ac:dyDescent="0.25">
      <c r="A1116" s="67"/>
      <c r="B1116" s="67"/>
    </row>
    <row r="1117" spans="1:2" x14ac:dyDescent="0.25">
      <c r="A1117" s="67"/>
      <c r="B1117" s="67"/>
    </row>
    <row r="1118" spans="1:2" x14ac:dyDescent="0.25">
      <c r="A1118" s="67"/>
      <c r="B1118" s="67"/>
    </row>
    <row r="1119" spans="1:2" x14ac:dyDescent="0.25">
      <c r="A1119" s="67"/>
      <c r="B1119" s="67"/>
    </row>
    <row r="1120" spans="1:2" x14ac:dyDescent="0.25">
      <c r="A1120" s="67"/>
      <c r="B1120" s="67"/>
    </row>
    <row r="1121" spans="1:2" x14ac:dyDescent="0.25">
      <c r="A1121" s="67"/>
      <c r="B1121" s="67"/>
    </row>
    <row r="1122" spans="1:2" x14ac:dyDescent="0.25">
      <c r="A1122" s="67"/>
      <c r="B1122" s="67"/>
    </row>
    <row r="1123" spans="1:2" x14ac:dyDescent="0.25">
      <c r="A1123" s="67"/>
      <c r="B1123" s="67"/>
    </row>
    <row r="1124" spans="1:2" x14ac:dyDescent="0.25">
      <c r="A1124" s="67"/>
      <c r="B1124" s="67"/>
    </row>
    <row r="1125" spans="1:2" x14ac:dyDescent="0.25">
      <c r="A1125" s="67"/>
      <c r="B1125" s="67"/>
    </row>
    <row r="1126" spans="1:2" x14ac:dyDescent="0.25">
      <c r="A1126" s="67"/>
      <c r="B1126" s="67"/>
    </row>
    <row r="1127" spans="1:2" x14ac:dyDescent="0.25">
      <c r="A1127" s="67"/>
      <c r="B1127" s="67"/>
    </row>
    <row r="1128" spans="1:2" x14ac:dyDescent="0.25">
      <c r="A1128" s="67"/>
      <c r="B1128" s="67"/>
    </row>
    <row r="1129" spans="1:2" x14ac:dyDescent="0.25">
      <c r="A1129" s="67"/>
      <c r="B1129" s="67"/>
    </row>
    <row r="1130" spans="1:2" x14ac:dyDescent="0.25">
      <c r="A1130" s="67"/>
      <c r="B1130" s="67"/>
    </row>
    <row r="1131" spans="1:2" x14ac:dyDescent="0.25">
      <c r="A1131" s="67"/>
      <c r="B1131" s="67"/>
    </row>
    <row r="1132" spans="1:2" x14ac:dyDescent="0.25">
      <c r="A1132" s="67"/>
      <c r="B1132" s="67"/>
    </row>
    <row r="1133" spans="1:2" x14ac:dyDescent="0.25">
      <c r="A1133" s="67"/>
      <c r="B1133" s="67"/>
    </row>
    <row r="1134" spans="1:2" x14ac:dyDescent="0.25">
      <c r="A1134" s="67"/>
      <c r="B1134" s="67"/>
    </row>
    <row r="1135" spans="1:2" x14ac:dyDescent="0.25">
      <c r="A1135" s="67"/>
      <c r="B1135" s="67"/>
    </row>
    <row r="1136" spans="1:2" x14ac:dyDescent="0.25">
      <c r="A1136" s="67"/>
      <c r="B1136" s="67"/>
    </row>
    <row r="1137" spans="1:2" x14ac:dyDescent="0.25">
      <c r="A1137" s="67"/>
      <c r="B1137" s="67"/>
    </row>
    <row r="1138" spans="1:2" x14ac:dyDescent="0.25">
      <c r="A1138" s="67"/>
      <c r="B1138" s="67"/>
    </row>
    <row r="1139" spans="1:2" x14ac:dyDescent="0.25">
      <c r="A1139" s="67"/>
      <c r="B1139" s="67"/>
    </row>
    <row r="1140" spans="1:2" x14ac:dyDescent="0.25">
      <c r="A1140" s="67"/>
      <c r="B1140" s="67"/>
    </row>
    <row r="1141" spans="1:2" x14ac:dyDescent="0.25">
      <c r="A1141" s="67"/>
      <c r="B1141" s="67"/>
    </row>
    <row r="1142" spans="1:2" x14ac:dyDescent="0.25">
      <c r="A1142" s="67"/>
      <c r="B1142" s="67"/>
    </row>
    <row r="1143" spans="1:2" x14ac:dyDescent="0.25">
      <c r="A1143" s="67"/>
      <c r="B1143" s="67"/>
    </row>
    <row r="1144" spans="1:2" x14ac:dyDescent="0.25">
      <c r="A1144" s="67"/>
      <c r="B1144" s="67"/>
    </row>
    <row r="1145" spans="1:2" x14ac:dyDescent="0.25">
      <c r="A1145" s="67"/>
      <c r="B1145" s="67"/>
    </row>
    <row r="1146" spans="1:2" x14ac:dyDescent="0.25">
      <c r="A1146" s="67"/>
      <c r="B1146" s="67"/>
    </row>
    <row r="1147" spans="1:2" x14ac:dyDescent="0.25">
      <c r="A1147" s="67"/>
      <c r="B1147" s="67"/>
    </row>
    <row r="1148" spans="1:2" x14ac:dyDescent="0.25">
      <c r="A1148" s="67"/>
      <c r="B1148" s="67"/>
    </row>
    <row r="1149" spans="1:2" x14ac:dyDescent="0.25">
      <c r="A1149" s="67"/>
      <c r="B1149" s="67"/>
    </row>
    <row r="1150" spans="1:2" x14ac:dyDescent="0.25">
      <c r="A1150" s="67"/>
      <c r="B1150" s="67"/>
    </row>
    <row r="1151" spans="1:2" x14ac:dyDescent="0.25">
      <c r="A1151" s="67"/>
      <c r="B1151" s="67"/>
    </row>
    <row r="1152" spans="1:2" x14ac:dyDescent="0.25">
      <c r="A1152" s="67"/>
      <c r="B1152" s="67"/>
    </row>
    <row r="1153" spans="1:2" x14ac:dyDescent="0.25">
      <c r="A1153" s="67"/>
      <c r="B1153" s="67"/>
    </row>
    <row r="1154" spans="1:2" x14ac:dyDescent="0.25">
      <c r="A1154" s="67"/>
      <c r="B1154" s="67"/>
    </row>
    <row r="1155" spans="1:2" x14ac:dyDescent="0.25">
      <c r="A1155" s="67"/>
      <c r="B1155" s="67"/>
    </row>
    <row r="1156" spans="1:2" x14ac:dyDescent="0.25">
      <c r="A1156" s="67"/>
      <c r="B1156" s="67"/>
    </row>
    <row r="1157" spans="1:2" x14ac:dyDescent="0.25">
      <c r="A1157" s="67"/>
      <c r="B1157" s="67"/>
    </row>
    <row r="1158" spans="1:2" x14ac:dyDescent="0.25">
      <c r="A1158" s="67"/>
      <c r="B1158" s="67"/>
    </row>
    <row r="1159" spans="1:2" x14ac:dyDescent="0.25">
      <c r="A1159" s="67"/>
      <c r="B1159" s="67"/>
    </row>
    <row r="1160" spans="1:2" x14ac:dyDescent="0.25">
      <c r="A1160" s="67"/>
      <c r="B1160" s="67"/>
    </row>
    <row r="1161" spans="1:2" x14ac:dyDescent="0.25">
      <c r="A1161" s="67"/>
      <c r="B1161" s="67"/>
    </row>
    <row r="1162" spans="1:2" x14ac:dyDescent="0.25">
      <c r="A1162" s="67"/>
      <c r="B1162" s="67"/>
    </row>
    <row r="1163" spans="1:2" x14ac:dyDescent="0.25">
      <c r="A1163" s="67"/>
      <c r="B1163" s="67"/>
    </row>
    <row r="1164" spans="1:2" x14ac:dyDescent="0.25">
      <c r="A1164" s="67"/>
      <c r="B1164" s="67"/>
    </row>
    <row r="1165" spans="1:2" x14ac:dyDescent="0.25">
      <c r="A1165" s="67"/>
      <c r="B1165" s="67"/>
    </row>
    <row r="1166" spans="1:2" x14ac:dyDescent="0.25">
      <c r="A1166" s="67"/>
      <c r="B1166" s="67"/>
    </row>
    <row r="1167" spans="1:2" x14ac:dyDescent="0.25">
      <c r="A1167" s="67"/>
      <c r="B1167" s="67"/>
    </row>
    <row r="1168" spans="1:2" x14ac:dyDescent="0.25">
      <c r="A1168" s="67"/>
      <c r="B1168" s="67"/>
    </row>
    <row r="1169" spans="1:2" x14ac:dyDescent="0.25">
      <c r="A1169" s="67"/>
      <c r="B1169" s="67"/>
    </row>
    <row r="1170" spans="1:2" x14ac:dyDescent="0.25">
      <c r="A1170" s="67"/>
      <c r="B1170" s="67"/>
    </row>
    <row r="1171" spans="1:2" x14ac:dyDescent="0.25">
      <c r="A1171" s="67"/>
      <c r="B1171" s="67"/>
    </row>
    <row r="1172" spans="1:2" x14ac:dyDescent="0.25">
      <c r="A1172" s="67"/>
      <c r="B1172" s="67"/>
    </row>
    <row r="1173" spans="1:2" x14ac:dyDescent="0.25">
      <c r="A1173" s="67"/>
      <c r="B1173" s="67"/>
    </row>
    <row r="1174" spans="1:2" x14ac:dyDescent="0.25">
      <c r="A1174" s="67"/>
      <c r="B1174" s="67"/>
    </row>
    <row r="1175" spans="1:2" x14ac:dyDescent="0.25">
      <c r="A1175" s="67"/>
      <c r="B1175" s="67"/>
    </row>
    <row r="1176" spans="1:2" x14ac:dyDescent="0.25">
      <c r="A1176" s="67"/>
      <c r="B1176" s="67"/>
    </row>
    <row r="1177" spans="1:2" x14ac:dyDescent="0.25">
      <c r="A1177" s="67"/>
      <c r="B1177" s="67"/>
    </row>
    <row r="1178" spans="1:2" x14ac:dyDescent="0.25">
      <c r="A1178" s="67"/>
      <c r="B1178" s="67"/>
    </row>
    <row r="1179" spans="1:2" x14ac:dyDescent="0.25">
      <c r="A1179" s="67"/>
      <c r="B1179" s="67"/>
    </row>
    <row r="1180" spans="1:2" x14ac:dyDescent="0.25">
      <c r="A1180" s="67"/>
      <c r="B1180" s="67"/>
    </row>
    <row r="1181" spans="1:2" x14ac:dyDescent="0.25">
      <c r="A1181" s="67"/>
      <c r="B1181" s="67"/>
    </row>
    <row r="1182" spans="1:2" x14ac:dyDescent="0.25">
      <c r="A1182" s="67"/>
      <c r="B1182" s="67"/>
    </row>
    <row r="1183" spans="1:2" x14ac:dyDescent="0.25">
      <c r="A1183" s="67"/>
      <c r="B1183" s="67"/>
    </row>
    <row r="1184" spans="1:2" x14ac:dyDescent="0.25">
      <c r="A1184" s="67"/>
      <c r="B1184" s="67"/>
    </row>
    <row r="1185" spans="1:2" x14ac:dyDescent="0.25">
      <c r="A1185" s="67"/>
      <c r="B1185" s="67"/>
    </row>
    <row r="1186" spans="1:2" x14ac:dyDescent="0.25">
      <c r="A1186" s="67"/>
      <c r="B1186" s="67"/>
    </row>
    <row r="1187" spans="1:2" x14ac:dyDescent="0.25">
      <c r="A1187" s="67"/>
      <c r="B1187" s="67"/>
    </row>
    <row r="1188" spans="1:2" x14ac:dyDescent="0.25">
      <c r="A1188" s="67"/>
      <c r="B1188" s="67"/>
    </row>
    <row r="1189" spans="1:2" x14ac:dyDescent="0.25">
      <c r="A1189" s="67"/>
      <c r="B1189" s="67"/>
    </row>
    <row r="1190" spans="1:2" x14ac:dyDescent="0.25">
      <c r="A1190" s="67"/>
      <c r="B1190" s="67"/>
    </row>
    <row r="1191" spans="1:2" x14ac:dyDescent="0.25">
      <c r="A1191" s="67"/>
      <c r="B1191" s="67"/>
    </row>
    <row r="1192" spans="1:2" x14ac:dyDescent="0.25">
      <c r="A1192" s="67"/>
      <c r="B1192" s="67"/>
    </row>
    <row r="1193" spans="1:2" x14ac:dyDescent="0.25">
      <c r="A1193" s="67"/>
      <c r="B1193" s="67"/>
    </row>
    <row r="1194" spans="1:2" x14ac:dyDescent="0.25">
      <c r="A1194" s="67"/>
      <c r="B1194" s="67"/>
    </row>
    <row r="1195" spans="1:2" x14ac:dyDescent="0.25">
      <c r="A1195" s="67"/>
      <c r="B1195" s="67"/>
    </row>
    <row r="1196" spans="1:2" x14ac:dyDescent="0.25">
      <c r="A1196" s="67"/>
      <c r="B1196" s="67"/>
    </row>
    <row r="1197" spans="1:2" x14ac:dyDescent="0.25">
      <c r="A1197" s="67"/>
      <c r="B1197" s="67"/>
    </row>
    <row r="1198" spans="1:2" x14ac:dyDescent="0.25">
      <c r="A1198" s="67"/>
      <c r="B1198" s="67"/>
    </row>
    <row r="1199" spans="1:2" x14ac:dyDescent="0.25">
      <c r="A1199" s="67"/>
      <c r="B1199" s="67"/>
    </row>
    <row r="1200" spans="1:2" x14ac:dyDescent="0.25">
      <c r="A1200" s="67"/>
      <c r="B1200" s="67"/>
    </row>
    <row r="1201" spans="1:2" x14ac:dyDescent="0.25">
      <c r="A1201" s="67"/>
      <c r="B1201" s="67"/>
    </row>
    <row r="1202" spans="1:2" x14ac:dyDescent="0.25">
      <c r="A1202" s="67"/>
      <c r="B1202" s="67"/>
    </row>
    <row r="1203" spans="1:2" x14ac:dyDescent="0.25">
      <c r="A1203" s="67"/>
      <c r="B1203" s="67"/>
    </row>
    <row r="1204" spans="1:2" x14ac:dyDescent="0.25">
      <c r="A1204" s="67"/>
      <c r="B1204" s="67"/>
    </row>
    <row r="1205" spans="1:2" x14ac:dyDescent="0.25">
      <c r="A1205" s="67"/>
      <c r="B1205" s="67"/>
    </row>
    <row r="1206" spans="1:2" x14ac:dyDescent="0.25">
      <c r="A1206" s="67"/>
      <c r="B1206" s="67"/>
    </row>
    <row r="1207" spans="1:2" x14ac:dyDescent="0.25">
      <c r="A1207" s="67"/>
      <c r="B1207" s="67"/>
    </row>
    <row r="1208" spans="1:2" x14ac:dyDescent="0.25">
      <c r="A1208" s="67"/>
      <c r="B1208" s="67"/>
    </row>
    <row r="1209" spans="1:2" x14ac:dyDescent="0.25">
      <c r="A1209" s="67"/>
      <c r="B1209" s="67"/>
    </row>
    <row r="1210" spans="1:2" x14ac:dyDescent="0.25">
      <c r="A1210" s="67"/>
      <c r="B1210" s="67"/>
    </row>
    <row r="1211" spans="1:2" x14ac:dyDescent="0.25">
      <c r="A1211" s="67"/>
      <c r="B1211" s="67"/>
    </row>
    <row r="1212" spans="1:2" x14ac:dyDescent="0.25">
      <c r="A1212" s="67"/>
      <c r="B1212" s="67"/>
    </row>
    <row r="1213" spans="1:2" x14ac:dyDescent="0.25">
      <c r="A1213" s="67"/>
      <c r="B1213" s="67"/>
    </row>
    <row r="1214" spans="1:2" x14ac:dyDescent="0.25">
      <c r="A1214" s="67"/>
      <c r="B1214" s="67"/>
    </row>
    <row r="1215" spans="1:2" x14ac:dyDescent="0.25">
      <c r="A1215" s="67"/>
      <c r="B1215" s="67"/>
    </row>
    <row r="1216" spans="1:2" x14ac:dyDescent="0.25">
      <c r="A1216" s="67"/>
      <c r="B1216" s="67"/>
    </row>
    <row r="1217" spans="1:2" x14ac:dyDescent="0.25">
      <c r="A1217" s="67"/>
      <c r="B1217" s="67"/>
    </row>
    <row r="1218" spans="1:2" x14ac:dyDescent="0.25">
      <c r="A1218" s="67"/>
      <c r="B1218" s="67"/>
    </row>
    <row r="1219" spans="1:2" x14ac:dyDescent="0.25">
      <c r="A1219" s="67"/>
      <c r="B1219" s="67"/>
    </row>
    <row r="1220" spans="1:2" x14ac:dyDescent="0.25">
      <c r="A1220" s="67"/>
      <c r="B1220" s="67"/>
    </row>
    <row r="1221" spans="1:2" x14ac:dyDescent="0.25">
      <c r="A1221" s="67"/>
      <c r="B1221" s="67"/>
    </row>
    <row r="1222" spans="1:2" x14ac:dyDescent="0.25">
      <c r="A1222" s="67"/>
      <c r="B1222" s="67"/>
    </row>
    <row r="1223" spans="1:2" x14ac:dyDescent="0.25">
      <c r="A1223" s="67"/>
      <c r="B1223" s="67"/>
    </row>
    <row r="1224" spans="1:2" x14ac:dyDescent="0.25">
      <c r="A1224" s="67"/>
      <c r="B1224" s="67"/>
    </row>
    <row r="1225" spans="1:2" x14ac:dyDescent="0.25">
      <c r="A1225" s="67"/>
      <c r="B1225" s="67"/>
    </row>
    <row r="1226" spans="1:2" x14ac:dyDescent="0.25">
      <c r="A1226" s="67"/>
      <c r="B1226" s="67"/>
    </row>
    <row r="1227" spans="1:2" x14ac:dyDescent="0.25">
      <c r="A1227" s="67"/>
      <c r="B1227" s="67"/>
    </row>
    <row r="1228" spans="1:2" x14ac:dyDescent="0.25">
      <c r="A1228" s="67"/>
      <c r="B1228" s="67"/>
    </row>
    <row r="1229" spans="1:2" x14ac:dyDescent="0.25">
      <c r="A1229" s="67"/>
      <c r="B1229" s="67"/>
    </row>
    <row r="1230" spans="1:2" x14ac:dyDescent="0.25">
      <c r="A1230" s="67"/>
      <c r="B1230" s="67"/>
    </row>
    <row r="1231" spans="1:2" x14ac:dyDescent="0.25">
      <c r="A1231" s="67"/>
      <c r="B1231" s="67"/>
    </row>
    <row r="1232" spans="1:2" x14ac:dyDescent="0.25">
      <c r="A1232" s="67"/>
      <c r="B1232" s="67"/>
    </row>
    <row r="1233" spans="1:2" x14ac:dyDescent="0.25">
      <c r="A1233" s="67"/>
      <c r="B1233" s="67"/>
    </row>
    <row r="1234" spans="1:2" x14ac:dyDescent="0.25">
      <c r="A1234" s="67"/>
      <c r="B1234" s="67"/>
    </row>
    <row r="1235" spans="1:2" x14ac:dyDescent="0.25">
      <c r="A1235" s="67"/>
      <c r="B1235" s="67"/>
    </row>
    <row r="1236" spans="1:2" x14ac:dyDescent="0.25">
      <c r="A1236" s="67"/>
      <c r="B1236" s="67"/>
    </row>
    <row r="1237" spans="1:2" x14ac:dyDescent="0.25">
      <c r="A1237" s="67"/>
      <c r="B1237" s="67"/>
    </row>
    <row r="1238" spans="1:2" x14ac:dyDescent="0.25">
      <c r="A1238" s="67"/>
      <c r="B1238" s="67"/>
    </row>
    <row r="1239" spans="1:2" x14ac:dyDescent="0.25">
      <c r="A1239" s="67"/>
      <c r="B1239" s="67"/>
    </row>
    <row r="1240" spans="1:2" x14ac:dyDescent="0.25">
      <c r="A1240" s="67"/>
      <c r="B1240" s="67"/>
    </row>
    <row r="1241" spans="1:2" x14ac:dyDescent="0.25">
      <c r="A1241" s="67"/>
      <c r="B1241" s="67"/>
    </row>
    <row r="1242" spans="1:2" x14ac:dyDescent="0.25">
      <c r="A1242" s="67"/>
      <c r="B1242" s="67"/>
    </row>
    <row r="1243" spans="1:2" x14ac:dyDescent="0.25">
      <c r="A1243" s="67"/>
      <c r="B1243" s="67"/>
    </row>
    <row r="1244" spans="1:2" x14ac:dyDescent="0.25">
      <c r="A1244" s="67"/>
      <c r="B1244" s="67"/>
    </row>
    <row r="1245" spans="1:2" x14ac:dyDescent="0.25">
      <c r="A1245" s="67"/>
      <c r="B1245" s="67"/>
    </row>
    <row r="1246" spans="1:2" x14ac:dyDescent="0.25">
      <c r="A1246" s="67"/>
      <c r="B1246" s="67"/>
    </row>
    <row r="1247" spans="1:2" x14ac:dyDescent="0.25">
      <c r="A1247" s="67"/>
      <c r="B1247" s="67"/>
    </row>
    <row r="1248" spans="1:2" x14ac:dyDescent="0.25">
      <c r="A1248" s="67"/>
      <c r="B1248" s="67"/>
    </row>
    <row r="1249" spans="1:2" x14ac:dyDescent="0.25">
      <c r="A1249" s="67"/>
      <c r="B1249" s="67"/>
    </row>
    <row r="1250" spans="1:2" x14ac:dyDescent="0.25">
      <c r="A1250" s="67"/>
      <c r="B1250" s="67"/>
    </row>
    <row r="1251" spans="1:2" x14ac:dyDescent="0.25">
      <c r="A1251" s="67"/>
      <c r="B1251" s="67"/>
    </row>
    <row r="1252" spans="1:2" x14ac:dyDescent="0.25">
      <c r="A1252" s="67"/>
      <c r="B1252" s="67"/>
    </row>
    <row r="1253" spans="1:2" x14ac:dyDescent="0.25">
      <c r="A1253" s="67"/>
      <c r="B1253" s="67"/>
    </row>
    <row r="1254" spans="1:2" x14ac:dyDescent="0.25">
      <c r="A1254" s="67"/>
      <c r="B1254" s="67"/>
    </row>
    <row r="1255" spans="1:2" x14ac:dyDescent="0.25">
      <c r="A1255" s="67"/>
      <c r="B1255" s="67"/>
    </row>
    <row r="1256" spans="1:2" x14ac:dyDescent="0.25">
      <c r="A1256" s="67"/>
      <c r="B1256" s="67"/>
    </row>
    <row r="1257" spans="1:2" x14ac:dyDescent="0.25">
      <c r="A1257" s="67"/>
      <c r="B1257" s="67"/>
    </row>
    <row r="1258" spans="1:2" x14ac:dyDescent="0.25">
      <c r="A1258" s="67"/>
      <c r="B1258" s="67"/>
    </row>
    <row r="1259" spans="1:2" x14ac:dyDescent="0.25">
      <c r="A1259" s="67"/>
      <c r="B1259" s="67"/>
    </row>
    <row r="1260" spans="1:2" x14ac:dyDescent="0.25">
      <c r="A1260" s="67"/>
      <c r="B1260" s="67"/>
    </row>
    <row r="1261" spans="1:2" x14ac:dyDescent="0.25">
      <c r="A1261" s="67"/>
      <c r="B1261" s="67"/>
    </row>
    <row r="1262" spans="1:2" x14ac:dyDescent="0.25">
      <c r="A1262" s="67"/>
      <c r="B1262" s="67"/>
    </row>
    <row r="1263" spans="1:2" x14ac:dyDescent="0.25">
      <c r="A1263" s="67"/>
      <c r="B1263" s="67"/>
    </row>
    <row r="1264" spans="1:2" x14ac:dyDescent="0.25">
      <c r="A1264" s="67"/>
      <c r="B1264" s="67"/>
    </row>
    <row r="1265" spans="1:2" x14ac:dyDescent="0.25">
      <c r="A1265" s="67"/>
      <c r="B1265" s="67"/>
    </row>
    <row r="1266" spans="1:2" x14ac:dyDescent="0.25">
      <c r="A1266" s="67"/>
      <c r="B1266" s="67"/>
    </row>
    <row r="1267" spans="1:2" x14ac:dyDescent="0.25">
      <c r="A1267" s="67"/>
      <c r="B1267" s="67"/>
    </row>
    <row r="1268" spans="1:2" x14ac:dyDescent="0.25">
      <c r="A1268" s="67"/>
      <c r="B1268" s="67"/>
    </row>
    <row r="1269" spans="1:2" x14ac:dyDescent="0.25">
      <c r="A1269" s="67"/>
      <c r="B1269" s="67"/>
    </row>
    <row r="1270" spans="1:2" x14ac:dyDescent="0.25">
      <c r="A1270" s="67"/>
      <c r="B1270" s="67"/>
    </row>
    <row r="1271" spans="1:2" x14ac:dyDescent="0.25">
      <c r="A1271" s="67"/>
      <c r="B1271" s="67"/>
    </row>
    <row r="1272" spans="1:2" x14ac:dyDescent="0.25">
      <c r="A1272" s="67"/>
      <c r="B1272" s="67"/>
    </row>
    <row r="1273" spans="1:2" x14ac:dyDescent="0.25">
      <c r="A1273" s="67"/>
      <c r="B1273" s="67"/>
    </row>
    <row r="1274" spans="1:2" x14ac:dyDescent="0.25">
      <c r="A1274" s="67"/>
      <c r="B1274" s="67"/>
    </row>
    <row r="1275" spans="1:2" x14ac:dyDescent="0.25">
      <c r="A1275" s="67"/>
      <c r="B1275" s="67"/>
    </row>
    <row r="1276" spans="1:2" x14ac:dyDescent="0.25">
      <c r="A1276" s="67"/>
      <c r="B1276" s="67"/>
    </row>
    <row r="1277" spans="1:2" x14ac:dyDescent="0.25">
      <c r="A1277" s="67"/>
      <c r="B1277" s="67"/>
    </row>
    <row r="1278" spans="1:2" x14ac:dyDescent="0.25">
      <c r="A1278" s="67"/>
      <c r="B1278" s="67"/>
    </row>
    <row r="1279" spans="1:2" x14ac:dyDescent="0.25">
      <c r="A1279" s="67"/>
      <c r="B1279" s="67"/>
    </row>
    <row r="1280" spans="1:2" x14ac:dyDescent="0.25">
      <c r="A1280" s="67"/>
      <c r="B1280" s="67"/>
    </row>
    <row r="1281" spans="1:2" x14ac:dyDescent="0.25">
      <c r="A1281" s="67"/>
      <c r="B1281" s="67"/>
    </row>
    <row r="1282" spans="1:2" x14ac:dyDescent="0.25">
      <c r="A1282" s="67"/>
      <c r="B1282" s="67"/>
    </row>
    <row r="1283" spans="1:2" x14ac:dyDescent="0.25">
      <c r="A1283" s="67"/>
      <c r="B1283" s="67"/>
    </row>
    <row r="1284" spans="1:2" x14ac:dyDescent="0.25">
      <c r="A1284" s="67"/>
      <c r="B1284" s="67"/>
    </row>
    <row r="1285" spans="1:2" x14ac:dyDescent="0.25">
      <c r="A1285" s="67"/>
      <c r="B1285" s="67"/>
    </row>
    <row r="1286" spans="1:2" x14ac:dyDescent="0.25">
      <c r="A1286" s="67"/>
      <c r="B1286" s="67"/>
    </row>
    <row r="1287" spans="1:2" x14ac:dyDescent="0.25">
      <c r="A1287" s="67"/>
      <c r="B1287" s="67"/>
    </row>
    <row r="1288" spans="1:2" x14ac:dyDescent="0.25">
      <c r="A1288" s="67"/>
      <c r="B1288" s="67"/>
    </row>
    <row r="1289" spans="1:2" x14ac:dyDescent="0.25">
      <c r="A1289" s="67"/>
      <c r="B1289" s="67"/>
    </row>
    <row r="1290" spans="1:2" x14ac:dyDescent="0.25">
      <c r="A1290" s="67"/>
      <c r="B1290" s="67"/>
    </row>
    <row r="1291" spans="1:2" x14ac:dyDescent="0.25">
      <c r="A1291" s="67"/>
      <c r="B1291" s="67"/>
    </row>
    <row r="1292" spans="1:2" x14ac:dyDescent="0.25">
      <c r="A1292" s="67"/>
      <c r="B1292" s="67"/>
    </row>
    <row r="1293" spans="1:2" x14ac:dyDescent="0.25">
      <c r="A1293" s="67"/>
      <c r="B1293" s="67"/>
    </row>
    <row r="1294" spans="1:2" x14ac:dyDescent="0.25">
      <c r="A1294" s="67"/>
      <c r="B1294" s="67"/>
    </row>
    <row r="1295" spans="1:2" x14ac:dyDescent="0.25">
      <c r="A1295" s="67"/>
      <c r="B1295" s="67"/>
    </row>
    <row r="1296" spans="1:2" x14ac:dyDescent="0.25">
      <c r="A1296" s="67"/>
      <c r="B1296" s="67"/>
    </row>
    <row r="1297" spans="1:2" x14ac:dyDescent="0.25">
      <c r="A1297" s="67"/>
      <c r="B1297" s="67"/>
    </row>
    <row r="1298" spans="1:2" x14ac:dyDescent="0.25">
      <c r="A1298" s="67"/>
      <c r="B1298" s="67"/>
    </row>
    <row r="1299" spans="1:2" x14ac:dyDescent="0.25">
      <c r="A1299" s="67"/>
      <c r="B1299" s="67"/>
    </row>
    <row r="1300" spans="1:2" x14ac:dyDescent="0.25">
      <c r="A1300" s="67"/>
      <c r="B1300" s="67"/>
    </row>
    <row r="1301" spans="1:2" x14ac:dyDescent="0.25">
      <c r="A1301" s="67"/>
      <c r="B1301" s="67"/>
    </row>
    <row r="1302" spans="1:2" x14ac:dyDescent="0.25">
      <c r="A1302" s="67"/>
      <c r="B1302" s="67"/>
    </row>
    <row r="1303" spans="1:2" x14ac:dyDescent="0.25">
      <c r="A1303" s="67"/>
      <c r="B1303" s="67"/>
    </row>
    <row r="1304" spans="1:2" x14ac:dyDescent="0.25">
      <c r="A1304" s="67"/>
      <c r="B1304" s="67"/>
    </row>
    <row r="1305" spans="1:2" x14ac:dyDescent="0.25">
      <c r="A1305" s="67"/>
      <c r="B1305" s="67"/>
    </row>
    <row r="1306" spans="1:2" x14ac:dyDescent="0.25">
      <c r="A1306" s="67"/>
      <c r="B1306" s="67"/>
    </row>
    <row r="1307" spans="1:2" x14ac:dyDescent="0.25">
      <c r="A1307" s="67"/>
      <c r="B1307" s="67"/>
    </row>
    <row r="1308" spans="1:2" x14ac:dyDescent="0.25">
      <c r="A1308" s="67"/>
      <c r="B1308" s="67"/>
    </row>
    <row r="1309" spans="1:2" x14ac:dyDescent="0.25">
      <c r="A1309" s="67"/>
      <c r="B1309" s="67"/>
    </row>
    <row r="1310" spans="1:2" x14ac:dyDescent="0.25">
      <c r="A1310" s="67"/>
      <c r="B1310" s="67"/>
    </row>
    <row r="1311" spans="1:2" x14ac:dyDescent="0.25">
      <c r="A1311" s="67"/>
      <c r="B1311" s="67"/>
    </row>
    <row r="1312" spans="1:2" x14ac:dyDescent="0.25">
      <c r="A1312" s="67"/>
      <c r="B1312" s="67"/>
    </row>
    <row r="1313" spans="1:2" x14ac:dyDescent="0.25">
      <c r="A1313" s="67"/>
      <c r="B1313" s="67"/>
    </row>
    <row r="1314" spans="1:2" x14ac:dyDescent="0.25">
      <c r="A1314" s="67"/>
      <c r="B1314" s="67"/>
    </row>
    <row r="1315" spans="1:2" x14ac:dyDescent="0.25">
      <c r="A1315" s="67"/>
      <c r="B1315" s="67"/>
    </row>
    <row r="1316" spans="1:2" x14ac:dyDescent="0.25">
      <c r="A1316" s="67"/>
      <c r="B1316" s="67"/>
    </row>
    <row r="1317" spans="1:2" x14ac:dyDescent="0.25">
      <c r="A1317" s="67"/>
      <c r="B1317" s="67"/>
    </row>
    <row r="1318" spans="1:2" x14ac:dyDescent="0.25">
      <c r="A1318" s="67"/>
      <c r="B1318" s="67"/>
    </row>
    <row r="1319" spans="1:2" x14ac:dyDescent="0.25">
      <c r="A1319" s="67"/>
      <c r="B1319" s="67"/>
    </row>
    <row r="1320" spans="1:2" x14ac:dyDescent="0.25">
      <c r="A1320" s="67"/>
      <c r="B1320" s="67"/>
    </row>
    <row r="1321" spans="1:2" x14ac:dyDescent="0.25">
      <c r="A1321" s="67"/>
      <c r="B1321" s="67"/>
    </row>
    <row r="1322" spans="1:2" x14ac:dyDescent="0.25">
      <c r="A1322" s="67"/>
      <c r="B1322" s="67"/>
    </row>
    <row r="1323" spans="1:2" x14ac:dyDescent="0.25">
      <c r="A1323" s="67"/>
      <c r="B1323" s="67"/>
    </row>
    <row r="1324" spans="1:2" x14ac:dyDescent="0.25">
      <c r="A1324" s="67"/>
      <c r="B1324" s="67"/>
    </row>
    <row r="1325" spans="1:2" x14ac:dyDescent="0.25">
      <c r="A1325" s="67"/>
      <c r="B1325" s="67"/>
    </row>
    <row r="1326" spans="1:2" x14ac:dyDescent="0.25">
      <c r="A1326" s="67"/>
      <c r="B1326" s="67"/>
    </row>
    <row r="1327" spans="1:2" x14ac:dyDescent="0.25">
      <c r="A1327" s="67"/>
      <c r="B1327" s="67"/>
    </row>
    <row r="1328" spans="1:2" x14ac:dyDescent="0.25">
      <c r="A1328" s="67"/>
      <c r="B1328" s="67"/>
    </row>
    <row r="1329" spans="1:2" x14ac:dyDescent="0.25">
      <c r="A1329" s="67"/>
      <c r="B1329" s="67"/>
    </row>
    <row r="1330" spans="1:2" x14ac:dyDescent="0.25">
      <c r="A1330" s="67"/>
      <c r="B1330" s="67"/>
    </row>
    <row r="1331" spans="1:2" x14ac:dyDescent="0.25">
      <c r="A1331" s="67"/>
      <c r="B1331" s="67"/>
    </row>
    <row r="1332" spans="1:2" x14ac:dyDescent="0.25">
      <c r="A1332" s="67"/>
      <c r="B1332" s="67"/>
    </row>
    <row r="1333" spans="1:2" x14ac:dyDescent="0.25">
      <c r="A1333" s="67"/>
      <c r="B1333" s="67"/>
    </row>
    <row r="1334" spans="1:2" x14ac:dyDescent="0.25">
      <c r="A1334" s="67"/>
      <c r="B1334" s="67"/>
    </row>
    <row r="1335" spans="1:2" x14ac:dyDescent="0.25">
      <c r="A1335" s="67"/>
      <c r="B1335" s="67"/>
    </row>
    <row r="1336" spans="1:2" x14ac:dyDescent="0.25">
      <c r="A1336" s="67"/>
      <c r="B1336" s="67"/>
    </row>
    <row r="1337" spans="1:2" x14ac:dyDescent="0.25">
      <c r="A1337" s="67"/>
      <c r="B1337" s="67"/>
    </row>
    <row r="1338" spans="1:2" x14ac:dyDescent="0.25">
      <c r="A1338" s="67"/>
      <c r="B1338" s="67"/>
    </row>
    <row r="1339" spans="1:2" x14ac:dyDescent="0.25">
      <c r="A1339" s="67"/>
      <c r="B1339" s="67"/>
    </row>
    <row r="1340" spans="1:2" x14ac:dyDescent="0.25">
      <c r="A1340" s="67"/>
      <c r="B1340" s="67"/>
    </row>
    <row r="1341" spans="1:2" x14ac:dyDescent="0.25">
      <c r="A1341" s="67"/>
      <c r="B1341" s="67"/>
    </row>
    <row r="1342" spans="1:2" x14ac:dyDescent="0.25">
      <c r="A1342" s="67"/>
      <c r="B1342" s="67"/>
    </row>
    <row r="1343" spans="1:2" x14ac:dyDescent="0.25">
      <c r="A1343" s="67"/>
      <c r="B1343" s="67"/>
    </row>
    <row r="1344" spans="1:2" x14ac:dyDescent="0.25">
      <c r="A1344" s="67"/>
      <c r="B1344" s="67"/>
    </row>
    <row r="1345" spans="1:2" x14ac:dyDescent="0.25">
      <c r="A1345" s="67"/>
      <c r="B1345" s="67"/>
    </row>
    <row r="1346" spans="1:2" x14ac:dyDescent="0.25">
      <c r="A1346" s="67"/>
      <c r="B1346" s="67"/>
    </row>
    <row r="1347" spans="1:2" x14ac:dyDescent="0.25">
      <c r="A1347" s="67"/>
      <c r="B1347" s="67"/>
    </row>
    <row r="1348" spans="1:2" x14ac:dyDescent="0.25">
      <c r="A1348" s="67"/>
      <c r="B1348" s="67"/>
    </row>
    <row r="1349" spans="1:2" x14ac:dyDescent="0.25">
      <c r="A1349" s="67"/>
      <c r="B1349" s="67"/>
    </row>
    <row r="1350" spans="1:2" x14ac:dyDescent="0.25">
      <c r="A1350" s="67"/>
      <c r="B1350" s="67"/>
    </row>
    <row r="1351" spans="1:2" x14ac:dyDescent="0.25">
      <c r="A1351" s="67"/>
      <c r="B1351" s="67"/>
    </row>
    <row r="1352" spans="1:2" x14ac:dyDescent="0.25">
      <c r="A1352" s="67"/>
      <c r="B1352" s="67"/>
    </row>
    <row r="1353" spans="1:2" x14ac:dyDescent="0.25">
      <c r="A1353" s="67"/>
      <c r="B1353" s="67"/>
    </row>
    <row r="1354" spans="1:2" x14ac:dyDescent="0.25">
      <c r="A1354" s="67"/>
      <c r="B1354" s="67"/>
    </row>
    <row r="1355" spans="1:2" x14ac:dyDescent="0.25">
      <c r="A1355" s="67"/>
      <c r="B1355" s="67"/>
    </row>
    <row r="1356" spans="1:2" x14ac:dyDescent="0.25">
      <c r="A1356" s="67"/>
      <c r="B1356" s="67"/>
    </row>
    <row r="1357" spans="1:2" x14ac:dyDescent="0.25">
      <c r="A1357" s="67"/>
      <c r="B1357" s="67"/>
    </row>
    <row r="1358" spans="1:2" x14ac:dyDescent="0.25">
      <c r="A1358" s="67"/>
      <c r="B1358" s="67"/>
    </row>
    <row r="1359" spans="1:2" x14ac:dyDescent="0.25">
      <c r="A1359" s="67"/>
      <c r="B1359" s="67"/>
    </row>
    <row r="1360" spans="1:2" x14ac:dyDescent="0.25">
      <c r="A1360" s="67"/>
      <c r="B1360" s="67"/>
    </row>
    <row r="1361" spans="1:2" x14ac:dyDescent="0.25">
      <c r="A1361" s="67"/>
      <c r="B1361" s="67"/>
    </row>
    <row r="1362" spans="1:2" x14ac:dyDescent="0.25">
      <c r="A1362" s="67"/>
      <c r="B1362" s="67"/>
    </row>
    <row r="1363" spans="1:2" x14ac:dyDescent="0.25">
      <c r="A1363" s="67"/>
      <c r="B1363" s="67"/>
    </row>
    <row r="1364" spans="1:2" x14ac:dyDescent="0.25">
      <c r="A1364" s="67"/>
      <c r="B1364" s="67"/>
    </row>
    <row r="1365" spans="1:2" x14ac:dyDescent="0.25">
      <c r="A1365" s="67"/>
      <c r="B1365" s="67"/>
    </row>
    <row r="1366" spans="1:2" x14ac:dyDescent="0.25">
      <c r="A1366" s="67"/>
      <c r="B1366" s="67"/>
    </row>
    <row r="1367" spans="1:2" x14ac:dyDescent="0.25">
      <c r="A1367" s="67"/>
      <c r="B1367" s="67"/>
    </row>
    <row r="1368" spans="1:2" x14ac:dyDescent="0.25">
      <c r="A1368" s="67"/>
      <c r="B1368" s="67"/>
    </row>
    <row r="1369" spans="1:2" x14ac:dyDescent="0.25">
      <c r="A1369" s="67"/>
      <c r="B1369" s="67"/>
    </row>
    <row r="1370" spans="1:2" x14ac:dyDescent="0.25">
      <c r="A1370" s="67"/>
      <c r="B1370" s="67"/>
    </row>
    <row r="1371" spans="1:2" x14ac:dyDescent="0.25">
      <c r="A1371" s="67"/>
      <c r="B1371" s="67"/>
    </row>
    <row r="1372" spans="1:2" x14ac:dyDescent="0.25">
      <c r="A1372" s="67"/>
      <c r="B1372" s="67"/>
    </row>
    <row r="1373" spans="1:2" x14ac:dyDescent="0.25">
      <c r="A1373" s="67"/>
      <c r="B1373" s="67"/>
    </row>
    <row r="1374" spans="1:2" x14ac:dyDescent="0.25">
      <c r="A1374" s="67"/>
      <c r="B1374" s="67"/>
    </row>
    <row r="1375" spans="1:2" x14ac:dyDescent="0.25">
      <c r="A1375" s="67"/>
      <c r="B1375" s="67"/>
    </row>
    <row r="1376" spans="1:2" x14ac:dyDescent="0.25">
      <c r="A1376" s="67"/>
      <c r="B1376" s="67"/>
    </row>
    <row r="1377" spans="1:2" x14ac:dyDescent="0.25">
      <c r="A1377" s="67"/>
      <c r="B1377" s="67"/>
    </row>
    <row r="1378" spans="1:2" x14ac:dyDescent="0.25">
      <c r="A1378" s="67"/>
      <c r="B1378" s="67"/>
    </row>
    <row r="1379" spans="1:2" x14ac:dyDescent="0.25">
      <c r="A1379" s="67"/>
      <c r="B1379" s="67"/>
    </row>
    <row r="1380" spans="1:2" x14ac:dyDescent="0.25">
      <c r="A1380" s="67"/>
      <c r="B1380" s="67"/>
    </row>
    <row r="1381" spans="1:2" x14ac:dyDescent="0.25">
      <c r="A1381" s="67"/>
      <c r="B1381" s="67"/>
    </row>
    <row r="1382" spans="1:2" x14ac:dyDescent="0.25">
      <c r="A1382" s="67"/>
      <c r="B1382" s="67"/>
    </row>
    <row r="1383" spans="1:2" x14ac:dyDescent="0.25">
      <c r="A1383" s="67"/>
      <c r="B1383" s="67"/>
    </row>
    <row r="1384" spans="1:2" x14ac:dyDescent="0.25">
      <c r="A1384" s="67"/>
      <c r="B1384" s="67"/>
    </row>
    <row r="1385" spans="1:2" x14ac:dyDescent="0.25">
      <c r="A1385" s="67"/>
      <c r="B1385" s="67"/>
    </row>
    <row r="1386" spans="1:2" x14ac:dyDescent="0.25">
      <c r="A1386" s="67"/>
      <c r="B1386" s="67"/>
    </row>
    <row r="1387" spans="1:2" x14ac:dyDescent="0.25">
      <c r="A1387" s="67"/>
      <c r="B1387" s="67"/>
    </row>
    <row r="1388" spans="1:2" x14ac:dyDescent="0.25">
      <c r="A1388" s="67"/>
      <c r="B1388" s="67"/>
    </row>
    <row r="1389" spans="1:2" x14ac:dyDescent="0.25">
      <c r="A1389" s="67"/>
      <c r="B1389" s="67"/>
    </row>
    <row r="1390" spans="1:2" x14ac:dyDescent="0.25">
      <c r="A1390" s="67"/>
      <c r="B1390" s="67"/>
    </row>
    <row r="1391" spans="1:2" x14ac:dyDescent="0.25">
      <c r="A1391" s="67"/>
      <c r="B1391" s="67"/>
    </row>
    <row r="1392" spans="1:2" x14ac:dyDescent="0.25">
      <c r="A1392" s="67"/>
      <c r="B1392" s="67"/>
    </row>
    <row r="1393" spans="1:2" x14ac:dyDescent="0.25">
      <c r="A1393" s="67"/>
      <c r="B1393" s="67"/>
    </row>
    <row r="1394" spans="1:2" x14ac:dyDescent="0.25">
      <c r="A1394" s="67"/>
      <c r="B1394" s="67"/>
    </row>
    <row r="1395" spans="1:2" x14ac:dyDescent="0.25">
      <c r="A1395" s="67"/>
      <c r="B1395" s="67"/>
    </row>
    <row r="1396" spans="1:2" x14ac:dyDescent="0.25">
      <c r="A1396" s="67"/>
      <c r="B1396" s="67"/>
    </row>
    <row r="1397" spans="1:2" x14ac:dyDescent="0.25">
      <c r="A1397" s="67"/>
      <c r="B1397" s="67"/>
    </row>
    <row r="1398" spans="1:2" x14ac:dyDescent="0.25">
      <c r="A1398" s="67"/>
      <c r="B1398" s="67"/>
    </row>
    <row r="1399" spans="1:2" x14ac:dyDescent="0.25">
      <c r="A1399" s="67"/>
      <c r="B1399" s="67"/>
    </row>
    <row r="1400" spans="1:2" x14ac:dyDescent="0.25">
      <c r="A1400" s="67"/>
      <c r="B1400" s="67"/>
    </row>
    <row r="1401" spans="1:2" x14ac:dyDescent="0.25">
      <c r="A1401" s="67"/>
      <c r="B1401" s="67"/>
    </row>
    <row r="1402" spans="1:2" x14ac:dyDescent="0.25">
      <c r="A1402" s="67"/>
      <c r="B1402" s="67"/>
    </row>
    <row r="1403" spans="1:2" x14ac:dyDescent="0.25">
      <c r="A1403" s="67"/>
      <c r="B1403" s="67"/>
    </row>
    <row r="1404" spans="1:2" x14ac:dyDescent="0.25">
      <c r="A1404" s="67"/>
      <c r="B1404" s="67"/>
    </row>
    <row r="1405" spans="1:2" x14ac:dyDescent="0.25">
      <c r="A1405" s="67"/>
      <c r="B1405" s="67"/>
    </row>
    <row r="1406" spans="1:2" x14ac:dyDescent="0.25">
      <c r="A1406" s="67"/>
      <c r="B1406" s="67"/>
    </row>
    <row r="1407" spans="1:2" x14ac:dyDescent="0.25">
      <c r="A1407" s="67"/>
      <c r="B1407" s="67"/>
    </row>
    <row r="1408" spans="1:2" x14ac:dyDescent="0.25">
      <c r="A1408" s="67"/>
      <c r="B1408" s="67"/>
    </row>
    <row r="1409" spans="1:2" x14ac:dyDescent="0.25">
      <c r="A1409" s="67"/>
      <c r="B1409" s="67"/>
    </row>
    <row r="1410" spans="1:2" x14ac:dyDescent="0.25">
      <c r="A1410" s="67"/>
      <c r="B1410" s="67"/>
    </row>
    <row r="1411" spans="1:2" x14ac:dyDescent="0.25">
      <c r="A1411" s="67"/>
      <c r="B1411" s="67"/>
    </row>
    <row r="1412" spans="1:2" x14ac:dyDescent="0.25">
      <c r="A1412" s="67"/>
      <c r="B1412" s="67"/>
    </row>
    <row r="1413" spans="1:2" x14ac:dyDescent="0.25">
      <c r="A1413" s="67"/>
      <c r="B1413" s="67"/>
    </row>
    <row r="1414" spans="1:2" x14ac:dyDescent="0.25">
      <c r="A1414" s="67"/>
      <c r="B1414" s="67"/>
    </row>
    <row r="1415" spans="1:2" x14ac:dyDescent="0.25">
      <c r="A1415" s="67"/>
      <c r="B1415" s="67"/>
    </row>
    <row r="1416" spans="1:2" x14ac:dyDescent="0.25">
      <c r="A1416" s="67"/>
      <c r="B1416" s="67"/>
    </row>
    <row r="1417" spans="1:2" x14ac:dyDescent="0.25">
      <c r="A1417" s="67"/>
      <c r="B1417" s="67"/>
    </row>
    <row r="1418" spans="1:2" x14ac:dyDescent="0.25">
      <c r="A1418" s="67"/>
      <c r="B1418" s="67"/>
    </row>
    <row r="1419" spans="1:2" x14ac:dyDescent="0.25">
      <c r="A1419" s="67"/>
      <c r="B1419" s="67"/>
    </row>
    <row r="1420" spans="1:2" x14ac:dyDescent="0.25">
      <c r="A1420" s="67"/>
      <c r="B1420" s="67"/>
    </row>
    <row r="1421" spans="1:2" x14ac:dyDescent="0.25">
      <c r="A1421" s="67"/>
      <c r="B1421" s="67"/>
    </row>
    <row r="1422" spans="1:2" x14ac:dyDescent="0.25">
      <c r="A1422" s="67"/>
      <c r="B1422" s="67"/>
    </row>
    <row r="1423" spans="1:2" x14ac:dyDescent="0.25">
      <c r="A1423" s="67"/>
      <c r="B1423" s="67"/>
    </row>
    <row r="1424" spans="1:2" x14ac:dyDescent="0.25">
      <c r="A1424" s="67"/>
      <c r="B1424" s="67"/>
    </row>
    <row r="1425" spans="1:2" x14ac:dyDescent="0.25">
      <c r="A1425" s="67"/>
      <c r="B1425" s="67"/>
    </row>
    <row r="1426" spans="1:2" x14ac:dyDescent="0.25">
      <c r="A1426" s="67"/>
      <c r="B1426" s="67"/>
    </row>
    <row r="1427" spans="1:2" x14ac:dyDescent="0.25">
      <c r="A1427" s="67"/>
      <c r="B1427" s="67"/>
    </row>
    <row r="1428" spans="1:2" x14ac:dyDescent="0.25">
      <c r="A1428" s="67"/>
      <c r="B1428" s="67"/>
    </row>
    <row r="1429" spans="1:2" x14ac:dyDescent="0.25">
      <c r="A1429" s="67"/>
      <c r="B1429" s="67"/>
    </row>
    <row r="1430" spans="1:2" x14ac:dyDescent="0.25">
      <c r="A1430" s="67"/>
      <c r="B1430" s="67"/>
    </row>
    <row r="1431" spans="1:2" x14ac:dyDescent="0.25">
      <c r="A1431" s="67"/>
      <c r="B1431" s="67"/>
    </row>
    <row r="1432" spans="1:2" x14ac:dyDescent="0.25">
      <c r="A1432" s="67"/>
      <c r="B1432" s="67"/>
    </row>
    <row r="1433" spans="1:2" x14ac:dyDescent="0.25">
      <c r="A1433" s="67"/>
      <c r="B1433" s="67"/>
    </row>
    <row r="1434" spans="1:2" x14ac:dyDescent="0.25">
      <c r="A1434" s="67"/>
      <c r="B1434" s="67"/>
    </row>
    <row r="1435" spans="1:2" x14ac:dyDescent="0.25">
      <c r="A1435" s="67"/>
      <c r="B1435" s="67"/>
    </row>
    <row r="1436" spans="1:2" x14ac:dyDescent="0.25">
      <c r="A1436" s="67"/>
      <c r="B1436" s="67"/>
    </row>
    <row r="1437" spans="1:2" x14ac:dyDescent="0.25">
      <c r="A1437" s="67"/>
      <c r="B1437" s="67"/>
    </row>
    <row r="1438" spans="1:2" x14ac:dyDescent="0.25">
      <c r="A1438" s="67"/>
      <c r="B1438" s="67"/>
    </row>
    <row r="1439" spans="1:2" x14ac:dyDescent="0.25">
      <c r="A1439" s="67"/>
      <c r="B1439" s="67"/>
    </row>
    <row r="1440" spans="1:2" x14ac:dyDescent="0.25">
      <c r="A1440" s="67"/>
      <c r="B1440" s="67"/>
    </row>
    <row r="1441" spans="1:2" x14ac:dyDescent="0.25">
      <c r="A1441" s="67"/>
      <c r="B1441" s="67"/>
    </row>
    <row r="1442" spans="1:2" x14ac:dyDescent="0.25">
      <c r="A1442" s="67"/>
      <c r="B1442" s="67"/>
    </row>
    <row r="1443" spans="1:2" x14ac:dyDescent="0.25">
      <c r="A1443" s="67"/>
      <c r="B1443" s="67"/>
    </row>
    <row r="1444" spans="1:2" x14ac:dyDescent="0.25">
      <c r="A1444" s="67"/>
      <c r="B1444" s="67"/>
    </row>
    <row r="1445" spans="1:2" x14ac:dyDescent="0.25">
      <c r="A1445" s="67"/>
      <c r="B1445" s="67"/>
    </row>
    <row r="1446" spans="1:2" x14ac:dyDescent="0.25">
      <c r="A1446" s="67"/>
      <c r="B1446" s="67"/>
    </row>
    <row r="1447" spans="1:2" x14ac:dyDescent="0.25">
      <c r="A1447" s="67"/>
      <c r="B1447" s="67"/>
    </row>
    <row r="1448" spans="1:2" x14ac:dyDescent="0.25">
      <c r="A1448" s="67"/>
      <c r="B1448" s="67"/>
    </row>
    <row r="1449" spans="1:2" x14ac:dyDescent="0.25">
      <c r="A1449" s="67"/>
      <c r="B1449" s="67"/>
    </row>
    <row r="1450" spans="1:2" x14ac:dyDescent="0.25">
      <c r="A1450" s="67"/>
      <c r="B1450" s="67"/>
    </row>
    <row r="1451" spans="1:2" x14ac:dyDescent="0.25">
      <c r="A1451" s="67"/>
      <c r="B1451" s="67"/>
    </row>
    <row r="1452" spans="1:2" x14ac:dyDescent="0.25">
      <c r="A1452" s="67"/>
      <c r="B1452" s="67"/>
    </row>
    <row r="1453" spans="1:2" x14ac:dyDescent="0.25">
      <c r="A1453" s="67"/>
      <c r="B1453" s="67"/>
    </row>
    <row r="1454" spans="1:2" x14ac:dyDescent="0.25">
      <c r="A1454" s="67"/>
      <c r="B1454" s="67"/>
    </row>
    <row r="1455" spans="1:2" x14ac:dyDescent="0.25">
      <c r="A1455" s="67"/>
      <c r="B1455" s="67"/>
    </row>
    <row r="1456" spans="1:2" x14ac:dyDescent="0.25">
      <c r="A1456" s="67"/>
      <c r="B1456" s="67"/>
    </row>
    <row r="1457" spans="1:2" x14ac:dyDescent="0.25">
      <c r="A1457" s="67"/>
      <c r="B1457" s="67"/>
    </row>
    <row r="1458" spans="1:2" x14ac:dyDescent="0.25">
      <c r="A1458" s="67"/>
      <c r="B1458" s="67"/>
    </row>
    <row r="1459" spans="1:2" x14ac:dyDescent="0.25">
      <c r="A1459" s="67"/>
      <c r="B1459" s="67"/>
    </row>
    <row r="1460" spans="1:2" x14ac:dyDescent="0.25">
      <c r="A1460" s="67"/>
      <c r="B1460" s="67"/>
    </row>
    <row r="1461" spans="1:2" x14ac:dyDescent="0.25">
      <c r="A1461" s="67"/>
      <c r="B1461" s="67"/>
    </row>
    <row r="1462" spans="1:2" x14ac:dyDescent="0.25">
      <c r="A1462" s="67"/>
      <c r="B1462" s="67"/>
    </row>
    <row r="1463" spans="1:2" x14ac:dyDescent="0.25">
      <c r="A1463" s="67"/>
      <c r="B1463" s="67"/>
    </row>
    <row r="1464" spans="1:2" x14ac:dyDescent="0.25">
      <c r="A1464" s="67"/>
      <c r="B1464" s="67"/>
    </row>
    <row r="1465" spans="1:2" x14ac:dyDescent="0.25">
      <c r="A1465" s="67"/>
      <c r="B1465" s="67"/>
    </row>
    <row r="1466" spans="1:2" x14ac:dyDescent="0.25">
      <c r="A1466" s="67"/>
      <c r="B1466" s="67"/>
    </row>
    <row r="1467" spans="1:2" x14ac:dyDescent="0.25">
      <c r="A1467" s="67"/>
      <c r="B1467" s="67"/>
    </row>
    <row r="1468" spans="1:2" x14ac:dyDescent="0.25">
      <c r="A1468" s="67"/>
      <c r="B1468" s="67"/>
    </row>
    <row r="1469" spans="1:2" x14ac:dyDescent="0.25">
      <c r="A1469" s="67"/>
      <c r="B1469" s="67"/>
    </row>
    <row r="1470" spans="1:2" x14ac:dyDescent="0.25">
      <c r="A1470" s="67"/>
      <c r="B1470" s="67"/>
    </row>
    <row r="1471" spans="1:2" x14ac:dyDescent="0.25">
      <c r="A1471" s="67"/>
      <c r="B1471" s="67"/>
    </row>
    <row r="1472" spans="1:2" x14ac:dyDescent="0.25">
      <c r="A1472" s="67"/>
      <c r="B1472" s="67"/>
    </row>
    <row r="1473" spans="1:2" x14ac:dyDescent="0.25">
      <c r="A1473" s="67"/>
      <c r="B1473" s="67"/>
    </row>
    <row r="1474" spans="1:2" x14ac:dyDescent="0.25">
      <c r="A1474" s="67"/>
      <c r="B1474" s="67"/>
    </row>
    <row r="1475" spans="1:2" x14ac:dyDescent="0.25">
      <c r="A1475" s="67"/>
      <c r="B1475" s="67"/>
    </row>
    <row r="1476" spans="1:2" x14ac:dyDescent="0.25">
      <c r="A1476" s="67"/>
      <c r="B1476" s="67"/>
    </row>
    <row r="1477" spans="1:2" x14ac:dyDescent="0.25">
      <c r="A1477" s="67"/>
      <c r="B1477" s="67"/>
    </row>
    <row r="1478" spans="1:2" x14ac:dyDescent="0.25">
      <c r="A1478" s="67"/>
      <c r="B1478" s="67"/>
    </row>
    <row r="1479" spans="1:2" x14ac:dyDescent="0.25">
      <c r="A1479" s="67"/>
      <c r="B1479" s="67"/>
    </row>
    <row r="1480" spans="1:2" x14ac:dyDescent="0.25">
      <c r="A1480" s="67"/>
      <c r="B1480" s="67"/>
    </row>
    <row r="1481" spans="1:2" x14ac:dyDescent="0.25">
      <c r="A1481" s="67"/>
      <c r="B1481" s="67"/>
    </row>
    <row r="1482" spans="1:2" x14ac:dyDescent="0.25">
      <c r="A1482" s="67"/>
      <c r="B1482" s="67"/>
    </row>
    <row r="1483" spans="1:2" x14ac:dyDescent="0.25">
      <c r="A1483" s="67"/>
      <c r="B1483" s="67"/>
    </row>
    <row r="1484" spans="1:2" x14ac:dyDescent="0.25">
      <c r="A1484" s="67"/>
      <c r="B1484" s="67"/>
    </row>
    <row r="1485" spans="1:2" x14ac:dyDescent="0.25">
      <c r="A1485" s="67"/>
      <c r="B1485" s="67"/>
    </row>
    <row r="1486" spans="1:2" x14ac:dyDescent="0.25">
      <c r="A1486" s="67"/>
      <c r="B1486" s="67"/>
    </row>
    <row r="1487" spans="1:2" x14ac:dyDescent="0.25">
      <c r="A1487" s="67"/>
      <c r="B1487" s="67"/>
    </row>
    <row r="1488" spans="1:2" x14ac:dyDescent="0.25">
      <c r="A1488" s="67"/>
      <c r="B1488" s="67"/>
    </row>
    <row r="1489" spans="1:2" x14ac:dyDescent="0.25">
      <c r="A1489" s="67"/>
      <c r="B1489" s="67"/>
    </row>
    <row r="1490" spans="1:2" x14ac:dyDescent="0.25">
      <c r="A1490" s="67"/>
      <c r="B1490" s="67"/>
    </row>
    <row r="1491" spans="1:2" x14ac:dyDescent="0.25">
      <c r="A1491" s="67"/>
      <c r="B1491" s="67"/>
    </row>
    <row r="1492" spans="1:2" x14ac:dyDescent="0.25">
      <c r="A1492" s="67"/>
      <c r="B1492" s="67"/>
    </row>
    <row r="1493" spans="1:2" x14ac:dyDescent="0.25">
      <c r="A1493" s="67"/>
      <c r="B1493" s="67"/>
    </row>
    <row r="1494" spans="1:2" x14ac:dyDescent="0.25">
      <c r="A1494" s="67"/>
      <c r="B1494" s="67"/>
    </row>
    <row r="1495" spans="1:2" x14ac:dyDescent="0.25">
      <c r="A1495" s="67"/>
      <c r="B1495" s="67"/>
    </row>
    <row r="1496" spans="1:2" x14ac:dyDescent="0.25">
      <c r="A1496" s="67"/>
      <c r="B1496" s="67"/>
    </row>
    <row r="1497" spans="1:2" x14ac:dyDescent="0.25">
      <c r="A1497" s="67"/>
      <c r="B1497" s="67"/>
    </row>
    <row r="1498" spans="1:2" x14ac:dyDescent="0.25">
      <c r="A1498" s="67"/>
      <c r="B1498" s="67"/>
    </row>
    <row r="1499" spans="1:2" x14ac:dyDescent="0.25">
      <c r="A1499" s="67"/>
      <c r="B1499" s="67"/>
    </row>
    <row r="1500" spans="1:2" x14ac:dyDescent="0.25">
      <c r="A1500" s="67"/>
      <c r="B1500" s="67"/>
    </row>
    <row r="1501" spans="1:2" x14ac:dyDescent="0.25">
      <c r="A1501" s="67"/>
      <c r="B1501" s="67"/>
    </row>
    <row r="1502" spans="1:2" x14ac:dyDescent="0.25">
      <c r="A1502" s="67"/>
      <c r="B1502" s="67"/>
    </row>
    <row r="1503" spans="1:2" x14ac:dyDescent="0.25">
      <c r="A1503" s="67"/>
      <c r="B1503" s="67"/>
    </row>
    <row r="1504" spans="1:2" x14ac:dyDescent="0.25">
      <c r="A1504" s="67"/>
      <c r="B1504" s="67"/>
    </row>
    <row r="1505" spans="1:2" x14ac:dyDescent="0.25">
      <c r="A1505" s="67"/>
      <c r="B1505" s="67"/>
    </row>
    <row r="1506" spans="1:2" x14ac:dyDescent="0.25">
      <c r="A1506" s="67"/>
      <c r="B1506" s="67"/>
    </row>
    <row r="1507" spans="1:2" x14ac:dyDescent="0.25">
      <c r="A1507" s="67"/>
      <c r="B1507" s="67"/>
    </row>
    <row r="1508" spans="1:2" x14ac:dyDescent="0.25">
      <c r="A1508" s="67"/>
      <c r="B1508" s="67"/>
    </row>
    <row r="1509" spans="1:2" x14ac:dyDescent="0.25">
      <c r="A1509" s="67"/>
      <c r="B1509" s="67"/>
    </row>
    <row r="1510" spans="1:2" x14ac:dyDescent="0.25">
      <c r="A1510" s="67"/>
      <c r="B1510" s="67"/>
    </row>
    <row r="1511" spans="1:2" x14ac:dyDescent="0.25">
      <c r="A1511" s="67"/>
      <c r="B1511" s="67"/>
    </row>
    <row r="1512" spans="1:2" x14ac:dyDescent="0.25">
      <c r="A1512" s="67"/>
      <c r="B1512" s="67"/>
    </row>
    <row r="1513" spans="1:2" x14ac:dyDescent="0.25">
      <c r="A1513" s="67"/>
      <c r="B1513" s="67"/>
    </row>
    <row r="1514" spans="1:2" x14ac:dyDescent="0.25">
      <c r="A1514" s="67"/>
      <c r="B1514" s="67"/>
    </row>
    <row r="1515" spans="1:2" x14ac:dyDescent="0.25">
      <c r="A1515" s="67"/>
      <c r="B1515" s="67"/>
    </row>
    <row r="1516" spans="1:2" x14ac:dyDescent="0.25">
      <c r="A1516" s="67"/>
      <c r="B1516" s="67"/>
    </row>
    <row r="1517" spans="1:2" x14ac:dyDescent="0.25">
      <c r="A1517" s="67"/>
      <c r="B1517" s="67"/>
    </row>
    <row r="1518" spans="1:2" x14ac:dyDescent="0.25">
      <c r="A1518" s="67"/>
      <c r="B1518" s="67"/>
    </row>
    <row r="1519" spans="1:2" x14ac:dyDescent="0.25">
      <c r="A1519" s="67"/>
      <c r="B1519" s="67"/>
    </row>
    <row r="1520" spans="1:2" x14ac:dyDescent="0.25">
      <c r="A1520" s="67"/>
      <c r="B1520" s="67"/>
    </row>
    <row r="1521" spans="1:2" x14ac:dyDescent="0.25">
      <c r="A1521" s="67"/>
      <c r="B1521" s="67"/>
    </row>
    <row r="1522" spans="1:2" x14ac:dyDescent="0.25">
      <c r="A1522" s="67"/>
      <c r="B1522" s="67"/>
    </row>
    <row r="1523" spans="1:2" x14ac:dyDescent="0.25">
      <c r="A1523" s="67"/>
      <c r="B1523" s="67"/>
    </row>
    <row r="1524" spans="1:2" x14ac:dyDescent="0.25">
      <c r="A1524" s="67"/>
      <c r="B1524" s="67"/>
    </row>
    <row r="1525" spans="1:2" x14ac:dyDescent="0.25">
      <c r="A1525" s="67"/>
      <c r="B1525" s="67"/>
    </row>
    <row r="1526" spans="1:2" x14ac:dyDescent="0.25">
      <c r="A1526" s="67"/>
      <c r="B1526" s="67"/>
    </row>
    <row r="1527" spans="1:2" x14ac:dyDescent="0.25">
      <c r="A1527" s="67"/>
      <c r="B1527" s="67"/>
    </row>
    <row r="1528" spans="1:2" x14ac:dyDescent="0.25">
      <c r="A1528" s="67"/>
      <c r="B1528" s="67"/>
    </row>
    <row r="1529" spans="1:2" x14ac:dyDescent="0.25">
      <c r="A1529" s="67"/>
      <c r="B1529" s="67"/>
    </row>
    <row r="1530" spans="1:2" x14ac:dyDescent="0.25">
      <c r="A1530" s="67"/>
      <c r="B1530" s="67"/>
    </row>
    <row r="1531" spans="1:2" x14ac:dyDescent="0.25">
      <c r="A1531" s="67"/>
      <c r="B1531" s="67"/>
    </row>
    <row r="1532" spans="1:2" x14ac:dyDescent="0.25">
      <c r="A1532" s="67"/>
      <c r="B1532" s="67"/>
    </row>
    <row r="1533" spans="1:2" x14ac:dyDescent="0.25">
      <c r="A1533" s="67"/>
      <c r="B1533" s="67"/>
    </row>
    <row r="1534" spans="1:2" x14ac:dyDescent="0.25">
      <c r="A1534" s="67"/>
      <c r="B1534" s="67"/>
    </row>
    <row r="1535" spans="1:2" x14ac:dyDescent="0.25">
      <c r="A1535" s="67"/>
      <c r="B1535" s="67"/>
    </row>
    <row r="1536" spans="1:2" x14ac:dyDescent="0.25">
      <c r="A1536" s="67"/>
      <c r="B1536" s="67"/>
    </row>
    <row r="1537" spans="1:2" x14ac:dyDescent="0.25">
      <c r="A1537" s="67"/>
      <c r="B1537" s="67"/>
    </row>
    <row r="1538" spans="1:2" x14ac:dyDescent="0.25">
      <c r="A1538" s="67"/>
      <c r="B1538" s="67"/>
    </row>
    <row r="1539" spans="1:2" x14ac:dyDescent="0.25">
      <c r="A1539" s="67"/>
      <c r="B1539" s="67"/>
    </row>
    <row r="1540" spans="1:2" x14ac:dyDescent="0.25">
      <c r="A1540" s="67"/>
      <c r="B1540" s="67"/>
    </row>
    <row r="1541" spans="1:2" x14ac:dyDescent="0.25">
      <c r="A1541" s="67"/>
      <c r="B1541" s="67"/>
    </row>
    <row r="1542" spans="1:2" x14ac:dyDescent="0.25">
      <c r="A1542" s="67"/>
      <c r="B1542" s="67"/>
    </row>
    <row r="1543" spans="1:2" x14ac:dyDescent="0.25">
      <c r="A1543" s="67"/>
      <c r="B1543" s="67"/>
    </row>
    <row r="1544" spans="1:2" x14ac:dyDescent="0.25">
      <c r="A1544" s="67"/>
      <c r="B1544" s="67"/>
    </row>
    <row r="1545" spans="1:2" x14ac:dyDescent="0.25">
      <c r="A1545" s="67"/>
      <c r="B1545" s="67"/>
    </row>
    <row r="1546" spans="1:2" x14ac:dyDescent="0.25">
      <c r="A1546" s="67"/>
      <c r="B1546" s="67"/>
    </row>
    <row r="1547" spans="1:2" x14ac:dyDescent="0.25">
      <c r="A1547" s="67"/>
      <c r="B1547" s="67"/>
    </row>
    <row r="1548" spans="1:2" x14ac:dyDescent="0.25">
      <c r="A1548" s="67"/>
      <c r="B1548" s="67"/>
    </row>
    <row r="1549" spans="1:2" x14ac:dyDescent="0.25">
      <c r="A1549" s="67"/>
      <c r="B1549" s="67"/>
    </row>
    <row r="1550" spans="1:2" x14ac:dyDescent="0.25">
      <c r="A1550" s="67"/>
      <c r="B1550" s="67"/>
    </row>
    <row r="1551" spans="1:2" x14ac:dyDescent="0.25">
      <c r="A1551" s="67"/>
      <c r="B1551" s="67"/>
    </row>
    <row r="1552" spans="1:2" x14ac:dyDescent="0.25">
      <c r="A1552" s="67"/>
      <c r="B1552" s="67"/>
    </row>
    <row r="1553" spans="1:2" x14ac:dyDescent="0.25">
      <c r="A1553" s="67"/>
      <c r="B1553" s="67"/>
    </row>
    <row r="1554" spans="1:2" x14ac:dyDescent="0.25">
      <c r="A1554" s="67"/>
      <c r="B1554" s="67"/>
    </row>
    <row r="1555" spans="1:2" x14ac:dyDescent="0.25">
      <c r="A1555" s="67"/>
      <c r="B1555" s="67"/>
    </row>
    <row r="1556" spans="1:2" x14ac:dyDescent="0.25">
      <c r="A1556" s="67"/>
      <c r="B1556" s="67"/>
    </row>
    <row r="1557" spans="1:2" x14ac:dyDescent="0.25">
      <c r="A1557" s="67"/>
      <c r="B1557" s="67"/>
    </row>
    <row r="1558" spans="1:2" x14ac:dyDescent="0.25">
      <c r="A1558" s="67"/>
      <c r="B1558" s="67"/>
    </row>
    <row r="1559" spans="1:2" x14ac:dyDescent="0.25">
      <c r="A1559" s="67"/>
      <c r="B1559" s="67"/>
    </row>
    <row r="1560" spans="1:2" x14ac:dyDescent="0.25">
      <c r="A1560" s="67"/>
      <c r="B1560" s="67"/>
    </row>
    <row r="1561" spans="1:2" x14ac:dyDescent="0.25">
      <c r="A1561" s="67"/>
      <c r="B1561" s="67"/>
    </row>
    <row r="1562" spans="1:2" x14ac:dyDescent="0.25">
      <c r="A1562" s="67"/>
      <c r="B1562" s="67"/>
    </row>
    <row r="1563" spans="1:2" x14ac:dyDescent="0.25">
      <c r="A1563" s="67"/>
      <c r="B1563" s="67"/>
    </row>
    <row r="1564" spans="1:2" x14ac:dyDescent="0.25">
      <c r="A1564" s="67"/>
      <c r="B1564" s="67"/>
    </row>
    <row r="1565" spans="1:2" x14ac:dyDescent="0.25">
      <c r="A1565" s="67"/>
      <c r="B1565" s="67"/>
    </row>
    <row r="1566" spans="1:2" x14ac:dyDescent="0.25">
      <c r="A1566" s="67"/>
      <c r="B1566" s="67"/>
    </row>
    <row r="1567" spans="1:2" x14ac:dyDescent="0.25">
      <c r="A1567" s="67"/>
      <c r="B1567" s="67"/>
    </row>
    <row r="1568" spans="1:2" x14ac:dyDescent="0.25">
      <c r="A1568" s="67"/>
      <c r="B1568" s="67"/>
    </row>
    <row r="1569" spans="1:2" x14ac:dyDescent="0.25">
      <c r="A1569" s="67"/>
      <c r="B1569" s="67"/>
    </row>
    <row r="1570" spans="1:2" x14ac:dyDescent="0.25">
      <c r="A1570" s="67"/>
      <c r="B1570" s="67"/>
    </row>
    <row r="1571" spans="1:2" x14ac:dyDescent="0.25">
      <c r="A1571" s="67"/>
      <c r="B1571" s="67"/>
    </row>
    <row r="1572" spans="1:2" x14ac:dyDescent="0.25">
      <c r="A1572" s="67"/>
      <c r="B1572" s="67"/>
    </row>
    <row r="1573" spans="1:2" x14ac:dyDescent="0.25">
      <c r="A1573" s="67"/>
      <c r="B1573" s="67"/>
    </row>
    <row r="1574" spans="1:2" x14ac:dyDescent="0.25">
      <c r="A1574" s="67"/>
      <c r="B1574" s="67"/>
    </row>
    <row r="1575" spans="1:2" x14ac:dyDescent="0.25">
      <c r="A1575" s="67"/>
      <c r="B1575" s="67"/>
    </row>
    <row r="1576" spans="1:2" x14ac:dyDescent="0.25">
      <c r="A1576" s="67"/>
      <c r="B1576" s="67"/>
    </row>
    <row r="1577" spans="1:2" x14ac:dyDescent="0.25">
      <c r="A1577" s="67"/>
      <c r="B1577" s="67"/>
    </row>
    <row r="1578" spans="1:2" x14ac:dyDescent="0.25">
      <c r="A1578" s="67"/>
      <c r="B1578" s="67"/>
    </row>
    <row r="1579" spans="1:2" x14ac:dyDescent="0.25">
      <c r="A1579" s="67"/>
      <c r="B1579" s="67"/>
    </row>
    <row r="1580" spans="1:2" x14ac:dyDescent="0.25">
      <c r="A1580" s="67"/>
      <c r="B1580" s="67"/>
    </row>
    <row r="1581" spans="1:2" x14ac:dyDescent="0.25">
      <c r="A1581" s="67"/>
      <c r="B1581" s="67"/>
    </row>
    <row r="1582" spans="1:2" x14ac:dyDescent="0.25">
      <c r="A1582" s="67"/>
      <c r="B1582" s="67"/>
    </row>
    <row r="1583" spans="1:2" x14ac:dyDescent="0.25">
      <c r="A1583" s="67"/>
      <c r="B1583" s="67"/>
    </row>
    <row r="1584" spans="1:2" x14ac:dyDescent="0.25">
      <c r="A1584" s="67"/>
      <c r="B1584" s="67"/>
    </row>
    <row r="1585" spans="1:2" x14ac:dyDescent="0.25">
      <c r="A1585" s="67"/>
      <c r="B1585" s="67"/>
    </row>
    <row r="1586" spans="1:2" x14ac:dyDescent="0.25">
      <c r="A1586" s="67"/>
      <c r="B1586" s="67"/>
    </row>
    <row r="1587" spans="1:2" x14ac:dyDescent="0.25">
      <c r="A1587" s="67"/>
      <c r="B1587" s="67"/>
    </row>
    <row r="1588" spans="1:2" x14ac:dyDescent="0.25">
      <c r="A1588" s="67"/>
      <c r="B1588" s="67"/>
    </row>
    <row r="1589" spans="1:2" x14ac:dyDescent="0.25">
      <c r="A1589" s="67"/>
      <c r="B1589" s="67"/>
    </row>
    <row r="1590" spans="1:2" x14ac:dyDescent="0.25">
      <c r="A1590" s="67"/>
      <c r="B1590" s="67"/>
    </row>
    <row r="1591" spans="1:2" x14ac:dyDescent="0.25">
      <c r="A1591" s="67"/>
      <c r="B1591" s="67"/>
    </row>
    <row r="1592" spans="1:2" x14ac:dyDescent="0.25">
      <c r="A1592" s="67"/>
      <c r="B1592" s="67"/>
    </row>
    <row r="1593" spans="1:2" x14ac:dyDescent="0.25">
      <c r="A1593" s="67"/>
      <c r="B1593" s="67"/>
    </row>
    <row r="1594" spans="1:2" x14ac:dyDescent="0.25">
      <c r="A1594" s="67"/>
      <c r="B1594" s="67"/>
    </row>
    <row r="1595" spans="1:2" x14ac:dyDescent="0.25">
      <c r="A1595" s="67"/>
      <c r="B1595" s="67"/>
    </row>
    <row r="1596" spans="1:2" x14ac:dyDescent="0.25">
      <c r="A1596" s="67"/>
      <c r="B1596" s="67"/>
    </row>
    <row r="1597" spans="1:2" x14ac:dyDescent="0.25">
      <c r="A1597" s="67"/>
      <c r="B1597" s="67"/>
    </row>
    <row r="1598" spans="1:2" x14ac:dyDescent="0.25">
      <c r="A1598" s="67"/>
      <c r="B1598" s="67"/>
    </row>
    <row r="1599" spans="1:2" x14ac:dyDescent="0.25">
      <c r="A1599" s="67"/>
      <c r="B1599" s="67"/>
    </row>
    <row r="1600" spans="1:2" x14ac:dyDescent="0.25">
      <c r="A1600" s="67"/>
      <c r="B1600" s="67"/>
    </row>
    <row r="1601" spans="1:2" x14ac:dyDescent="0.25">
      <c r="A1601" s="67"/>
      <c r="B1601" s="67"/>
    </row>
    <row r="1602" spans="1:2" x14ac:dyDescent="0.25">
      <c r="A1602" s="67"/>
      <c r="B1602" s="67"/>
    </row>
    <row r="1603" spans="1:2" x14ac:dyDescent="0.25">
      <c r="A1603" s="67"/>
      <c r="B1603" s="67"/>
    </row>
    <row r="1604" spans="1:2" x14ac:dyDescent="0.25">
      <c r="A1604" s="67"/>
      <c r="B1604" s="67"/>
    </row>
    <row r="1605" spans="1:2" x14ac:dyDescent="0.25">
      <c r="A1605" s="67"/>
      <c r="B1605" s="67"/>
    </row>
    <row r="1606" spans="1:2" x14ac:dyDescent="0.25">
      <c r="A1606" s="67"/>
      <c r="B1606" s="67"/>
    </row>
    <row r="1607" spans="1:2" x14ac:dyDescent="0.25">
      <c r="A1607" s="67"/>
      <c r="B1607" s="67"/>
    </row>
    <row r="1608" spans="1:2" x14ac:dyDescent="0.25">
      <c r="A1608" s="67"/>
      <c r="B1608" s="67"/>
    </row>
    <row r="1609" spans="1:2" x14ac:dyDescent="0.25">
      <c r="A1609" s="67"/>
      <c r="B1609" s="67"/>
    </row>
    <row r="1610" spans="1:2" x14ac:dyDescent="0.25">
      <c r="A1610" s="67"/>
      <c r="B1610" s="67"/>
    </row>
    <row r="1611" spans="1:2" x14ac:dyDescent="0.25">
      <c r="A1611" s="67"/>
      <c r="B1611" s="67"/>
    </row>
    <row r="1612" spans="1:2" x14ac:dyDescent="0.25">
      <c r="A1612" s="67"/>
      <c r="B1612" s="67"/>
    </row>
    <row r="1613" spans="1:2" x14ac:dyDescent="0.25">
      <c r="A1613" s="67"/>
      <c r="B1613" s="67"/>
    </row>
    <row r="1614" spans="1:2" x14ac:dyDescent="0.25">
      <c r="A1614" s="67"/>
      <c r="B1614" s="67"/>
    </row>
    <row r="1615" spans="1:2" x14ac:dyDescent="0.25">
      <c r="A1615" s="67"/>
      <c r="B1615" s="67"/>
    </row>
    <row r="1616" spans="1:2" x14ac:dyDescent="0.25">
      <c r="A1616" s="67"/>
      <c r="B1616" s="67"/>
    </row>
    <row r="1617" spans="1:2" x14ac:dyDescent="0.25">
      <c r="A1617" s="67"/>
      <c r="B1617" s="67"/>
    </row>
    <row r="1618" spans="1:2" x14ac:dyDescent="0.25">
      <c r="A1618" s="67"/>
      <c r="B1618" s="67"/>
    </row>
    <row r="1619" spans="1:2" x14ac:dyDescent="0.25">
      <c r="A1619" s="67"/>
      <c r="B1619" s="67"/>
    </row>
    <row r="1620" spans="1:2" x14ac:dyDescent="0.25">
      <c r="A1620" s="67"/>
      <c r="B1620" s="67"/>
    </row>
    <row r="1621" spans="1:2" x14ac:dyDescent="0.25">
      <c r="A1621" s="67"/>
      <c r="B1621" s="67"/>
    </row>
    <row r="1622" spans="1:2" x14ac:dyDescent="0.25">
      <c r="A1622" s="67"/>
      <c r="B1622" s="67"/>
    </row>
    <row r="1623" spans="1:2" x14ac:dyDescent="0.25">
      <c r="A1623" s="67"/>
      <c r="B1623" s="67"/>
    </row>
    <row r="1624" spans="1:2" x14ac:dyDescent="0.25">
      <c r="A1624" s="67"/>
      <c r="B1624" s="67"/>
    </row>
    <row r="1625" spans="1:2" x14ac:dyDescent="0.25">
      <c r="A1625" s="67"/>
      <c r="B1625" s="67"/>
    </row>
    <row r="1626" spans="1:2" x14ac:dyDescent="0.25">
      <c r="A1626" s="67"/>
      <c r="B1626" s="67"/>
    </row>
    <row r="1627" spans="1:2" x14ac:dyDescent="0.25">
      <c r="A1627" s="67"/>
      <c r="B1627" s="67"/>
    </row>
    <row r="1628" spans="1:2" x14ac:dyDescent="0.25">
      <c r="A1628" s="67"/>
      <c r="B1628" s="67"/>
    </row>
    <row r="1629" spans="1:2" x14ac:dyDescent="0.25">
      <c r="A1629" s="67"/>
      <c r="B1629" s="67"/>
    </row>
    <row r="1630" spans="1:2" x14ac:dyDescent="0.25">
      <c r="A1630" s="67"/>
      <c r="B1630" s="67"/>
    </row>
    <row r="1631" spans="1:2" x14ac:dyDescent="0.25">
      <c r="A1631" s="67"/>
      <c r="B1631" s="67"/>
    </row>
    <row r="1632" spans="1:2" x14ac:dyDescent="0.25">
      <c r="A1632" s="67"/>
      <c r="B1632" s="67"/>
    </row>
    <row r="1633" spans="1:2" x14ac:dyDescent="0.25">
      <c r="A1633" s="67"/>
      <c r="B1633" s="67"/>
    </row>
    <row r="1634" spans="1:2" x14ac:dyDescent="0.25">
      <c r="A1634" s="67"/>
      <c r="B1634" s="67"/>
    </row>
    <row r="1635" spans="1:2" x14ac:dyDescent="0.25">
      <c r="A1635" s="67"/>
      <c r="B1635" s="67"/>
    </row>
    <row r="1636" spans="1:2" x14ac:dyDescent="0.25">
      <c r="A1636" s="67"/>
      <c r="B1636" s="67"/>
    </row>
    <row r="1637" spans="1:2" x14ac:dyDescent="0.25">
      <c r="A1637" s="67"/>
      <c r="B1637" s="67"/>
    </row>
    <row r="1638" spans="1:2" x14ac:dyDescent="0.25">
      <c r="A1638" s="67"/>
      <c r="B1638" s="67"/>
    </row>
    <row r="1639" spans="1:2" x14ac:dyDescent="0.25">
      <c r="A1639" s="67"/>
      <c r="B1639" s="67"/>
    </row>
    <row r="1640" spans="1:2" x14ac:dyDescent="0.25">
      <c r="A1640" s="67"/>
      <c r="B1640" s="67"/>
    </row>
    <row r="1641" spans="1:2" x14ac:dyDescent="0.25">
      <c r="A1641" s="67"/>
      <c r="B1641" s="67"/>
    </row>
    <row r="1642" spans="1:2" x14ac:dyDescent="0.25">
      <c r="A1642" s="67"/>
      <c r="B1642" s="67"/>
    </row>
    <row r="1643" spans="1:2" x14ac:dyDescent="0.25">
      <c r="A1643" s="67"/>
      <c r="B1643" s="67"/>
    </row>
    <row r="1644" spans="1:2" x14ac:dyDescent="0.25">
      <c r="A1644" s="67"/>
      <c r="B1644" s="67"/>
    </row>
    <row r="1645" spans="1:2" x14ac:dyDescent="0.25">
      <c r="A1645" s="67"/>
      <c r="B1645" s="67"/>
    </row>
    <row r="1646" spans="1:2" x14ac:dyDescent="0.25">
      <c r="A1646" s="67"/>
      <c r="B1646" s="67"/>
    </row>
    <row r="1647" spans="1:2" x14ac:dyDescent="0.25">
      <c r="A1647" s="67"/>
      <c r="B1647" s="67"/>
    </row>
    <row r="1648" spans="1:2" x14ac:dyDescent="0.25">
      <c r="A1648" s="67"/>
      <c r="B1648" s="67"/>
    </row>
    <row r="1649" spans="1:2" x14ac:dyDescent="0.25">
      <c r="A1649" s="67"/>
      <c r="B1649" s="67"/>
    </row>
    <row r="1650" spans="1:2" x14ac:dyDescent="0.25">
      <c r="A1650" s="67"/>
      <c r="B1650" s="67"/>
    </row>
    <row r="1651" spans="1:2" x14ac:dyDescent="0.25">
      <c r="A1651" s="67"/>
      <c r="B1651" s="67"/>
    </row>
    <row r="1652" spans="1:2" x14ac:dyDescent="0.25">
      <c r="A1652" s="67"/>
      <c r="B1652" s="67"/>
    </row>
    <row r="1653" spans="1:2" x14ac:dyDescent="0.25">
      <c r="A1653" s="67"/>
      <c r="B1653" s="67"/>
    </row>
    <row r="1654" spans="1:2" x14ac:dyDescent="0.25">
      <c r="A1654" s="67"/>
      <c r="B1654" s="67"/>
    </row>
    <row r="1655" spans="1:2" x14ac:dyDescent="0.25">
      <c r="A1655" s="67"/>
      <c r="B1655" s="67"/>
    </row>
    <row r="1656" spans="1:2" x14ac:dyDescent="0.25">
      <c r="A1656" s="67"/>
      <c r="B1656" s="67"/>
    </row>
    <row r="1657" spans="1:2" x14ac:dyDescent="0.25">
      <c r="A1657" s="67"/>
      <c r="B1657" s="67"/>
    </row>
    <row r="1658" spans="1:2" x14ac:dyDescent="0.25">
      <c r="A1658" s="67"/>
      <c r="B1658" s="67"/>
    </row>
    <row r="1659" spans="1:2" x14ac:dyDescent="0.25">
      <c r="A1659" s="67"/>
      <c r="B1659" s="67"/>
    </row>
    <row r="1660" spans="1:2" x14ac:dyDescent="0.25">
      <c r="A1660" s="67"/>
      <c r="B1660" s="67"/>
    </row>
    <row r="1661" spans="1:2" x14ac:dyDescent="0.25">
      <c r="A1661" s="67"/>
      <c r="B1661" s="67"/>
    </row>
    <row r="1662" spans="1:2" x14ac:dyDescent="0.25">
      <c r="A1662" s="67"/>
      <c r="B1662" s="67"/>
    </row>
    <row r="1663" spans="1:2" x14ac:dyDescent="0.25">
      <c r="A1663" s="67"/>
      <c r="B1663" s="67"/>
    </row>
    <row r="1664" spans="1:2" x14ac:dyDescent="0.25">
      <c r="A1664" s="67"/>
      <c r="B1664" s="67"/>
    </row>
    <row r="1665" spans="1:2" x14ac:dyDescent="0.25">
      <c r="A1665" s="67"/>
      <c r="B1665" s="67"/>
    </row>
    <row r="1666" spans="1:2" x14ac:dyDescent="0.25">
      <c r="A1666" s="67"/>
      <c r="B1666" s="67"/>
    </row>
    <row r="1667" spans="1:2" x14ac:dyDescent="0.25">
      <c r="A1667" s="67"/>
      <c r="B1667" s="67"/>
    </row>
    <row r="1668" spans="1:2" x14ac:dyDescent="0.25">
      <c r="A1668" s="67"/>
      <c r="B1668" s="67"/>
    </row>
    <row r="1669" spans="1:2" x14ac:dyDescent="0.25">
      <c r="A1669" s="67"/>
      <c r="B1669" s="67"/>
    </row>
    <row r="1670" spans="1:2" x14ac:dyDescent="0.25">
      <c r="A1670" s="67"/>
      <c r="B1670" s="67"/>
    </row>
    <row r="1671" spans="1:2" x14ac:dyDescent="0.25">
      <c r="A1671" s="67"/>
      <c r="B1671" s="67"/>
    </row>
    <row r="1672" spans="1:2" x14ac:dyDescent="0.25">
      <c r="A1672" s="67"/>
      <c r="B1672" s="67"/>
    </row>
    <row r="1673" spans="1:2" x14ac:dyDescent="0.25">
      <c r="A1673" s="67"/>
      <c r="B1673" s="67"/>
    </row>
    <row r="1674" spans="1:2" x14ac:dyDescent="0.25">
      <c r="A1674" s="67"/>
      <c r="B1674" s="67"/>
    </row>
    <row r="1675" spans="1:2" x14ac:dyDescent="0.25">
      <c r="A1675" s="67"/>
      <c r="B1675" s="67"/>
    </row>
    <row r="1676" spans="1:2" x14ac:dyDescent="0.25">
      <c r="A1676" s="67"/>
      <c r="B1676" s="67"/>
    </row>
    <row r="1677" spans="1:2" x14ac:dyDescent="0.25">
      <c r="A1677" s="67"/>
      <c r="B1677" s="67"/>
    </row>
    <row r="1678" spans="1:2" x14ac:dyDescent="0.25">
      <c r="A1678" s="67"/>
      <c r="B1678" s="67"/>
    </row>
    <row r="1679" spans="1:2" x14ac:dyDescent="0.25">
      <c r="A1679" s="67"/>
      <c r="B1679" s="67"/>
    </row>
    <row r="1680" spans="1:2" x14ac:dyDescent="0.25">
      <c r="A1680" s="67"/>
      <c r="B1680" s="67"/>
    </row>
    <row r="1681" spans="1:2" x14ac:dyDescent="0.25">
      <c r="A1681" s="67"/>
      <c r="B1681" s="67"/>
    </row>
    <row r="1682" spans="1:2" x14ac:dyDescent="0.25">
      <c r="A1682" s="67"/>
      <c r="B1682" s="67"/>
    </row>
    <row r="1683" spans="1:2" x14ac:dyDescent="0.25">
      <c r="A1683" s="67"/>
      <c r="B1683" s="67"/>
    </row>
    <row r="1684" spans="1:2" x14ac:dyDescent="0.25">
      <c r="A1684" s="67"/>
      <c r="B1684" s="67"/>
    </row>
    <row r="1685" spans="1:2" x14ac:dyDescent="0.25">
      <c r="A1685" s="67"/>
      <c r="B1685" s="67"/>
    </row>
    <row r="1686" spans="1:2" x14ac:dyDescent="0.25">
      <c r="A1686" s="67"/>
      <c r="B1686" s="67"/>
    </row>
    <row r="1687" spans="1:2" x14ac:dyDescent="0.25">
      <c r="A1687" s="67"/>
      <c r="B1687" s="67"/>
    </row>
    <row r="1688" spans="1:2" x14ac:dyDescent="0.25">
      <c r="A1688" s="67"/>
      <c r="B1688" s="67"/>
    </row>
    <row r="1689" spans="1:2" x14ac:dyDescent="0.25">
      <c r="A1689" s="67"/>
      <c r="B1689" s="67"/>
    </row>
    <row r="1690" spans="1:2" x14ac:dyDescent="0.25">
      <c r="A1690" s="67"/>
      <c r="B1690" s="67"/>
    </row>
    <row r="1691" spans="1:2" x14ac:dyDescent="0.25">
      <c r="A1691" s="67"/>
      <c r="B1691" s="67"/>
    </row>
    <row r="1692" spans="1:2" x14ac:dyDescent="0.25">
      <c r="A1692" s="67"/>
      <c r="B1692" s="67"/>
    </row>
    <row r="1693" spans="1:2" x14ac:dyDescent="0.25">
      <c r="A1693" s="67"/>
      <c r="B1693" s="67"/>
    </row>
    <row r="1694" spans="1:2" x14ac:dyDescent="0.25">
      <c r="A1694" s="67"/>
      <c r="B1694" s="67"/>
    </row>
    <row r="1695" spans="1:2" x14ac:dyDescent="0.25">
      <c r="A1695" s="67"/>
      <c r="B1695" s="67"/>
    </row>
    <row r="1696" spans="1:2" x14ac:dyDescent="0.25">
      <c r="A1696" s="67"/>
      <c r="B1696" s="67"/>
    </row>
    <row r="1697" spans="1:2" x14ac:dyDescent="0.25">
      <c r="A1697" s="67"/>
      <c r="B1697" s="67"/>
    </row>
    <row r="1698" spans="1:2" x14ac:dyDescent="0.25">
      <c r="A1698" s="67"/>
      <c r="B1698" s="67"/>
    </row>
    <row r="1699" spans="1:2" x14ac:dyDescent="0.25">
      <c r="A1699" s="67"/>
      <c r="B1699" s="67"/>
    </row>
    <row r="1700" spans="1:2" x14ac:dyDescent="0.25">
      <c r="A1700" s="67"/>
      <c r="B1700" s="67"/>
    </row>
    <row r="1701" spans="1:2" x14ac:dyDescent="0.25">
      <c r="A1701" s="67"/>
      <c r="B1701" s="67"/>
    </row>
    <row r="1702" spans="1:2" x14ac:dyDescent="0.25">
      <c r="A1702" s="67"/>
      <c r="B1702" s="67"/>
    </row>
    <row r="1703" spans="1:2" x14ac:dyDescent="0.25">
      <c r="A1703" s="67"/>
      <c r="B1703" s="67"/>
    </row>
    <row r="1704" spans="1:2" x14ac:dyDescent="0.25">
      <c r="A1704" s="67"/>
      <c r="B1704" s="67"/>
    </row>
    <row r="1705" spans="1:2" x14ac:dyDescent="0.25">
      <c r="A1705" s="67"/>
      <c r="B1705" s="67"/>
    </row>
    <row r="1706" spans="1:2" x14ac:dyDescent="0.25">
      <c r="A1706" s="67"/>
      <c r="B1706" s="67"/>
    </row>
    <row r="1707" spans="1:2" x14ac:dyDescent="0.25">
      <c r="A1707" s="67"/>
      <c r="B1707" s="67"/>
    </row>
    <row r="1708" spans="1:2" x14ac:dyDescent="0.25">
      <c r="A1708" s="67"/>
      <c r="B1708" s="67"/>
    </row>
    <row r="1709" spans="1:2" x14ac:dyDescent="0.25">
      <c r="A1709" s="67"/>
      <c r="B1709" s="67"/>
    </row>
    <row r="1710" spans="1:2" x14ac:dyDescent="0.25">
      <c r="A1710" s="67"/>
      <c r="B1710" s="67"/>
    </row>
    <row r="1711" spans="1:2" x14ac:dyDescent="0.25">
      <c r="A1711" s="67"/>
      <c r="B1711" s="67"/>
    </row>
    <row r="1712" spans="1:2" x14ac:dyDescent="0.25">
      <c r="A1712" s="67"/>
      <c r="B1712" s="67"/>
    </row>
    <row r="1713" spans="1:2" x14ac:dyDescent="0.25">
      <c r="A1713" s="67"/>
      <c r="B1713" s="67"/>
    </row>
    <row r="1714" spans="1:2" x14ac:dyDescent="0.25">
      <c r="A1714" s="67"/>
      <c r="B1714" s="67"/>
    </row>
    <row r="1715" spans="1:2" x14ac:dyDescent="0.25">
      <c r="A1715" s="67"/>
      <c r="B1715" s="67"/>
    </row>
    <row r="1716" spans="1:2" x14ac:dyDescent="0.25">
      <c r="A1716" s="67"/>
      <c r="B1716" s="67"/>
    </row>
    <row r="1717" spans="1:2" x14ac:dyDescent="0.25">
      <c r="A1717" s="67"/>
      <c r="B1717" s="67"/>
    </row>
    <row r="1718" spans="1:2" x14ac:dyDescent="0.25">
      <c r="A1718" s="67"/>
      <c r="B1718" s="67"/>
    </row>
    <row r="1719" spans="1:2" x14ac:dyDescent="0.25">
      <c r="A1719" s="67"/>
      <c r="B1719" s="67"/>
    </row>
    <row r="1720" spans="1:2" x14ac:dyDescent="0.25">
      <c r="A1720" s="67"/>
      <c r="B1720" s="67"/>
    </row>
    <row r="1721" spans="1:2" x14ac:dyDescent="0.25">
      <c r="A1721" s="67"/>
      <c r="B1721" s="67"/>
    </row>
    <row r="1722" spans="1:2" x14ac:dyDescent="0.25">
      <c r="A1722" s="67"/>
      <c r="B1722" s="67"/>
    </row>
    <row r="1723" spans="1:2" x14ac:dyDescent="0.25">
      <c r="A1723" s="67"/>
      <c r="B1723" s="67"/>
    </row>
    <row r="1724" spans="1:2" x14ac:dyDescent="0.25">
      <c r="A1724" s="67"/>
      <c r="B1724" s="67"/>
    </row>
    <row r="1725" spans="1:2" x14ac:dyDescent="0.25">
      <c r="A1725" s="67"/>
      <c r="B1725" s="67"/>
    </row>
    <row r="1726" spans="1:2" x14ac:dyDescent="0.25">
      <c r="A1726" s="67"/>
      <c r="B1726" s="67"/>
    </row>
    <row r="1727" spans="1:2" x14ac:dyDescent="0.25">
      <c r="A1727" s="67"/>
      <c r="B1727" s="67"/>
    </row>
    <row r="1728" spans="1:2" x14ac:dyDescent="0.25">
      <c r="A1728" s="67"/>
      <c r="B1728" s="67"/>
    </row>
    <row r="1729" spans="1:2" x14ac:dyDescent="0.25">
      <c r="A1729" s="67"/>
      <c r="B1729" s="67"/>
    </row>
    <row r="1730" spans="1:2" x14ac:dyDescent="0.25">
      <c r="A1730" s="67"/>
      <c r="B1730" s="67"/>
    </row>
    <row r="1731" spans="1:2" x14ac:dyDescent="0.25">
      <c r="A1731" s="67"/>
      <c r="B1731" s="67"/>
    </row>
    <row r="1732" spans="1:2" x14ac:dyDescent="0.25">
      <c r="A1732" s="67"/>
      <c r="B1732" s="67"/>
    </row>
    <row r="1733" spans="1:2" x14ac:dyDescent="0.25">
      <c r="A1733" s="67"/>
      <c r="B1733" s="67"/>
    </row>
    <row r="1734" spans="1:2" x14ac:dyDescent="0.25">
      <c r="A1734" s="67"/>
      <c r="B1734" s="67"/>
    </row>
    <row r="1735" spans="1:2" x14ac:dyDescent="0.25">
      <c r="A1735" s="67"/>
      <c r="B1735" s="67"/>
    </row>
    <row r="1736" spans="1:2" x14ac:dyDescent="0.25">
      <c r="A1736" s="67"/>
      <c r="B1736" s="67"/>
    </row>
    <row r="1737" spans="1:2" x14ac:dyDescent="0.25">
      <c r="A1737" s="67"/>
      <c r="B1737" s="67"/>
    </row>
    <row r="1738" spans="1:2" x14ac:dyDescent="0.25">
      <c r="A1738" s="67"/>
      <c r="B1738" s="67"/>
    </row>
    <row r="1739" spans="1:2" x14ac:dyDescent="0.25">
      <c r="A1739" s="67"/>
      <c r="B1739" s="67"/>
    </row>
    <row r="1740" spans="1:2" x14ac:dyDescent="0.25">
      <c r="A1740" s="67"/>
      <c r="B1740" s="67"/>
    </row>
    <row r="1741" spans="1:2" x14ac:dyDescent="0.25">
      <c r="A1741" s="67"/>
      <c r="B1741" s="67"/>
    </row>
    <row r="1742" spans="1:2" x14ac:dyDescent="0.25">
      <c r="A1742" s="67"/>
      <c r="B1742" s="67"/>
    </row>
    <row r="1743" spans="1:2" x14ac:dyDescent="0.25">
      <c r="A1743" s="67"/>
      <c r="B1743" s="67"/>
    </row>
    <row r="1744" spans="1:2" x14ac:dyDescent="0.25">
      <c r="A1744" s="67"/>
      <c r="B1744" s="67"/>
    </row>
    <row r="1745" spans="1:2" x14ac:dyDescent="0.25">
      <c r="A1745" s="67"/>
      <c r="B1745" s="67"/>
    </row>
    <row r="1746" spans="1:2" x14ac:dyDescent="0.25">
      <c r="A1746" s="67"/>
      <c r="B1746" s="67"/>
    </row>
    <row r="1747" spans="1:2" x14ac:dyDescent="0.25">
      <c r="A1747" s="67"/>
      <c r="B1747" s="67"/>
    </row>
    <row r="1748" spans="1:2" x14ac:dyDescent="0.25">
      <c r="A1748" s="67"/>
      <c r="B1748" s="67"/>
    </row>
    <row r="1749" spans="1:2" x14ac:dyDescent="0.25">
      <c r="A1749" s="67"/>
      <c r="B1749" s="67"/>
    </row>
    <row r="1750" spans="1:2" x14ac:dyDescent="0.25">
      <c r="A1750" s="67"/>
      <c r="B1750" s="67"/>
    </row>
    <row r="1751" spans="1:2" x14ac:dyDescent="0.25">
      <c r="A1751" s="67"/>
      <c r="B1751" s="67"/>
    </row>
    <row r="1752" spans="1:2" x14ac:dyDescent="0.25">
      <c r="A1752" s="67"/>
      <c r="B1752" s="67"/>
    </row>
    <row r="1753" spans="1:2" x14ac:dyDescent="0.25">
      <c r="A1753" s="67"/>
      <c r="B1753" s="67"/>
    </row>
    <row r="1754" spans="1:2" x14ac:dyDescent="0.25">
      <c r="A1754" s="67"/>
      <c r="B1754" s="67"/>
    </row>
    <row r="1755" spans="1:2" x14ac:dyDescent="0.25">
      <c r="A1755" s="67"/>
      <c r="B1755" s="67"/>
    </row>
    <row r="1756" spans="1:2" x14ac:dyDescent="0.25">
      <c r="A1756" s="67"/>
      <c r="B1756" s="67"/>
    </row>
    <row r="1757" spans="1:2" x14ac:dyDescent="0.25">
      <c r="A1757" s="67"/>
      <c r="B1757" s="67"/>
    </row>
    <row r="1758" spans="1:2" x14ac:dyDescent="0.25">
      <c r="A1758" s="67"/>
      <c r="B1758" s="67"/>
    </row>
    <row r="1759" spans="1:2" x14ac:dyDescent="0.25">
      <c r="A1759" s="67"/>
      <c r="B1759" s="67"/>
    </row>
    <row r="1760" spans="1:2" x14ac:dyDescent="0.25">
      <c r="A1760" s="67"/>
      <c r="B1760" s="67"/>
    </row>
    <row r="1761" spans="1:2" x14ac:dyDescent="0.25">
      <c r="A1761" s="67"/>
      <c r="B1761" s="67"/>
    </row>
    <row r="1762" spans="1:2" x14ac:dyDescent="0.25">
      <c r="A1762" s="67"/>
      <c r="B1762" s="67"/>
    </row>
    <row r="1763" spans="1:2" x14ac:dyDescent="0.25">
      <c r="A1763" s="67"/>
      <c r="B1763" s="67"/>
    </row>
    <row r="1764" spans="1:2" x14ac:dyDescent="0.25">
      <c r="A1764" s="67"/>
      <c r="B1764" s="67"/>
    </row>
    <row r="1765" spans="1:2" x14ac:dyDescent="0.25">
      <c r="A1765" s="67"/>
      <c r="B1765" s="67"/>
    </row>
    <row r="1766" spans="1:2" x14ac:dyDescent="0.25">
      <c r="A1766" s="67"/>
      <c r="B1766" s="67"/>
    </row>
    <row r="1767" spans="1:2" x14ac:dyDescent="0.25">
      <c r="A1767" s="67"/>
      <c r="B1767" s="67"/>
    </row>
    <row r="1768" spans="1:2" x14ac:dyDescent="0.25">
      <c r="A1768" s="67"/>
      <c r="B1768" s="67"/>
    </row>
    <row r="1769" spans="1:2" x14ac:dyDescent="0.25">
      <c r="A1769" s="67"/>
      <c r="B1769" s="67"/>
    </row>
    <row r="1770" spans="1:2" x14ac:dyDescent="0.25">
      <c r="A1770" s="67"/>
      <c r="B1770" s="67"/>
    </row>
    <row r="1771" spans="1:2" x14ac:dyDescent="0.25">
      <c r="A1771" s="67"/>
      <c r="B1771" s="67"/>
    </row>
    <row r="1772" spans="1:2" x14ac:dyDescent="0.25">
      <c r="A1772" s="67"/>
      <c r="B1772" s="67"/>
    </row>
    <row r="1773" spans="1:2" x14ac:dyDescent="0.25">
      <c r="A1773" s="67"/>
      <c r="B1773" s="67"/>
    </row>
    <row r="1774" spans="1:2" x14ac:dyDescent="0.25">
      <c r="A1774" s="67"/>
      <c r="B1774" s="67"/>
    </row>
    <row r="1775" spans="1:2" x14ac:dyDescent="0.25">
      <c r="A1775" s="67"/>
      <c r="B1775" s="67"/>
    </row>
    <row r="1776" spans="1:2" x14ac:dyDescent="0.25">
      <c r="A1776" s="67"/>
      <c r="B1776" s="67"/>
    </row>
    <row r="1777" spans="1:2" x14ac:dyDescent="0.25">
      <c r="A1777" s="67"/>
      <c r="B1777" s="67"/>
    </row>
    <row r="1778" spans="1:2" x14ac:dyDescent="0.25">
      <c r="A1778" s="67"/>
      <c r="B1778" s="67"/>
    </row>
    <row r="1779" spans="1:2" x14ac:dyDescent="0.25">
      <c r="A1779" s="67"/>
      <c r="B1779" s="67"/>
    </row>
    <row r="1780" spans="1:2" x14ac:dyDescent="0.25">
      <c r="A1780" s="67"/>
      <c r="B1780" s="67"/>
    </row>
    <row r="1781" spans="1:2" x14ac:dyDescent="0.25">
      <c r="A1781" s="67"/>
      <c r="B1781" s="67"/>
    </row>
    <row r="1782" spans="1:2" x14ac:dyDescent="0.25">
      <c r="A1782" s="67"/>
      <c r="B1782" s="67"/>
    </row>
    <row r="1783" spans="1:2" x14ac:dyDescent="0.25">
      <c r="A1783" s="67"/>
      <c r="B1783" s="67"/>
    </row>
    <row r="1784" spans="1:2" x14ac:dyDescent="0.25">
      <c r="A1784" s="67"/>
      <c r="B1784" s="67"/>
    </row>
    <row r="1785" spans="1:2" x14ac:dyDescent="0.25">
      <c r="A1785" s="67"/>
      <c r="B1785" s="67"/>
    </row>
    <row r="1786" spans="1:2" x14ac:dyDescent="0.25">
      <c r="A1786" s="67"/>
      <c r="B1786" s="67"/>
    </row>
    <row r="1787" spans="1:2" x14ac:dyDescent="0.25">
      <c r="A1787" s="67"/>
      <c r="B1787" s="67"/>
    </row>
    <row r="1788" spans="1:2" x14ac:dyDescent="0.25">
      <c r="A1788" s="67"/>
      <c r="B1788" s="67"/>
    </row>
    <row r="1789" spans="1:2" x14ac:dyDescent="0.25">
      <c r="A1789" s="67"/>
      <c r="B1789" s="67"/>
    </row>
    <row r="1790" spans="1:2" x14ac:dyDescent="0.25">
      <c r="A1790" s="67"/>
      <c r="B1790" s="67"/>
    </row>
    <row r="1791" spans="1:2" x14ac:dyDescent="0.25">
      <c r="A1791" s="67"/>
      <c r="B1791" s="67"/>
    </row>
    <row r="1792" spans="1:2" x14ac:dyDescent="0.25">
      <c r="A1792" s="67"/>
      <c r="B1792" s="67"/>
    </row>
    <row r="1793" spans="1:2" x14ac:dyDescent="0.25">
      <c r="A1793" s="67"/>
      <c r="B1793" s="67"/>
    </row>
    <row r="1794" spans="1:2" x14ac:dyDescent="0.25">
      <c r="A1794" s="67"/>
      <c r="B1794" s="67"/>
    </row>
    <row r="1795" spans="1:2" x14ac:dyDescent="0.25">
      <c r="A1795" s="67"/>
      <c r="B1795" s="67"/>
    </row>
    <row r="1796" spans="1:2" x14ac:dyDescent="0.25">
      <c r="A1796" s="67"/>
      <c r="B1796" s="67"/>
    </row>
    <row r="1797" spans="1:2" x14ac:dyDescent="0.25">
      <c r="A1797" s="67"/>
      <c r="B1797" s="67"/>
    </row>
    <row r="1798" spans="1:2" x14ac:dyDescent="0.25">
      <c r="A1798" s="67"/>
      <c r="B1798" s="67"/>
    </row>
    <row r="1799" spans="1:2" x14ac:dyDescent="0.25">
      <c r="A1799" s="67"/>
      <c r="B1799" s="67"/>
    </row>
    <row r="1800" spans="1:2" x14ac:dyDescent="0.25">
      <c r="A1800" s="67"/>
      <c r="B1800" s="67"/>
    </row>
    <row r="1801" spans="1:2" x14ac:dyDescent="0.25">
      <c r="A1801" s="67"/>
      <c r="B1801" s="67"/>
    </row>
    <row r="1802" spans="1:2" x14ac:dyDescent="0.25">
      <c r="A1802" s="67"/>
      <c r="B1802" s="67"/>
    </row>
    <row r="1803" spans="1:2" x14ac:dyDescent="0.25">
      <c r="A1803" s="67"/>
      <c r="B1803" s="67"/>
    </row>
    <row r="1804" spans="1:2" x14ac:dyDescent="0.25">
      <c r="A1804" s="67"/>
      <c r="B1804" s="67"/>
    </row>
    <row r="1805" spans="1:2" x14ac:dyDescent="0.25">
      <c r="A1805" s="67"/>
      <c r="B1805" s="67"/>
    </row>
    <row r="1806" spans="1:2" x14ac:dyDescent="0.25">
      <c r="A1806" s="67"/>
      <c r="B1806" s="67"/>
    </row>
    <row r="1807" spans="1:2" x14ac:dyDescent="0.25">
      <c r="A1807" s="67"/>
      <c r="B1807" s="67"/>
    </row>
    <row r="1808" spans="1:2" x14ac:dyDescent="0.25">
      <c r="A1808" s="67"/>
      <c r="B1808" s="67"/>
    </row>
    <row r="1809" spans="1:2" x14ac:dyDescent="0.25">
      <c r="A1809" s="67"/>
      <c r="B1809" s="67"/>
    </row>
    <row r="1810" spans="1:2" x14ac:dyDescent="0.25">
      <c r="A1810" s="67"/>
      <c r="B1810" s="67"/>
    </row>
    <row r="1811" spans="1:2" x14ac:dyDescent="0.25">
      <c r="A1811" s="67"/>
      <c r="B1811" s="67"/>
    </row>
    <row r="1812" spans="1:2" x14ac:dyDescent="0.25">
      <c r="A1812" s="67"/>
      <c r="B1812" s="67"/>
    </row>
    <row r="1813" spans="1:2" x14ac:dyDescent="0.25">
      <c r="A1813" s="67"/>
      <c r="B1813" s="67"/>
    </row>
    <row r="1814" spans="1:2" x14ac:dyDescent="0.25">
      <c r="A1814" s="67"/>
      <c r="B1814" s="67"/>
    </row>
    <row r="1815" spans="1:2" x14ac:dyDescent="0.25">
      <c r="A1815" s="67"/>
      <c r="B1815" s="67"/>
    </row>
    <row r="1816" spans="1:2" x14ac:dyDescent="0.25">
      <c r="A1816" s="67"/>
      <c r="B1816" s="67"/>
    </row>
    <row r="1817" spans="1:2" x14ac:dyDescent="0.25">
      <c r="A1817" s="67"/>
      <c r="B1817" s="67"/>
    </row>
    <row r="1818" spans="1:2" x14ac:dyDescent="0.25">
      <c r="A1818" s="67"/>
      <c r="B1818" s="67"/>
    </row>
    <row r="1819" spans="1:2" x14ac:dyDescent="0.25">
      <c r="A1819" s="67"/>
      <c r="B1819" s="67"/>
    </row>
    <row r="1820" spans="1:2" x14ac:dyDescent="0.25">
      <c r="A1820" s="67"/>
      <c r="B1820" s="67"/>
    </row>
    <row r="1821" spans="1:2" x14ac:dyDescent="0.25">
      <c r="A1821" s="67"/>
      <c r="B1821" s="67"/>
    </row>
    <row r="1822" spans="1:2" x14ac:dyDescent="0.25">
      <c r="A1822" s="67"/>
      <c r="B1822" s="67"/>
    </row>
    <row r="1823" spans="1:2" x14ac:dyDescent="0.25">
      <c r="A1823" s="67"/>
      <c r="B1823" s="67"/>
    </row>
    <row r="1824" spans="1:2" x14ac:dyDescent="0.25">
      <c r="A1824" s="67"/>
      <c r="B1824" s="67"/>
    </row>
    <row r="1825" spans="1:2" x14ac:dyDescent="0.25">
      <c r="A1825" s="67"/>
      <c r="B1825" s="67"/>
    </row>
    <row r="1826" spans="1:2" x14ac:dyDescent="0.25">
      <c r="A1826" s="67"/>
      <c r="B1826" s="67"/>
    </row>
    <row r="1827" spans="1:2" x14ac:dyDescent="0.25">
      <c r="A1827" s="67"/>
      <c r="B1827" s="67"/>
    </row>
    <row r="1828" spans="1:2" x14ac:dyDescent="0.25">
      <c r="A1828" s="67"/>
      <c r="B1828" s="67"/>
    </row>
    <row r="1829" spans="1:2" x14ac:dyDescent="0.25">
      <c r="A1829" s="67"/>
      <c r="B1829" s="67"/>
    </row>
    <row r="1830" spans="1:2" x14ac:dyDescent="0.25">
      <c r="A1830" s="67"/>
      <c r="B1830" s="67"/>
    </row>
    <row r="1831" spans="1:2" x14ac:dyDescent="0.25">
      <c r="A1831" s="67"/>
      <c r="B1831" s="67"/>
    </row>
    <row r="1832" spans="1:2" x14ac:dyDescent="0.25">
      <c r="A1832" s="67"/>
      <c r="B1832" s="67"/>
    </row>
    <row r="1833" spans="1:2" x14ac:dyDescent="0.25">
      <c r="A1833" s="67"/>
      <c r="B1833" s="67"/>
    </row>
    <row r="1834" spans="1:2" x14ac:dyDescent="0.25">
      <c r="A1834" s="67"/>
      <c r="B1834" s="67"/>
    </row>
    <row r="1835" spans="1:2" x14ac:dyDescent="0.25">
      <c r="A1835" s="67"/>
      <c r="B1835" s="67"/>
    </row>
    <row r="1836" spans="1:2" x14ac:dyDescent="0.25">
      <c r="A1836" s="67"/>
      <c r="B1836" s="67"/>
    </row>
    <row r="1837" spans="1:2" x14ac:dyDescent="0.25">
      <c r="A1837" s="67"/>
      <c r="B1837" s="67"/>
    </row>
    <row r="1838" spans="1:2" x14ac:dyDescent="0.25">
      <c r="A1838" s="67"/>
      <c r="B1838" s="67"/>
    </row>
    <row r="1839" spans="1:2" x14ac:dyDescent="0.25">
      <c r="A1839" s="67"/>
      <c r="B1839" s="67"/>
    </row>
    <row r="1840" spans="1:2" x14ac:dyDescent="0.25">
      <c r="A1840" s="67"/>
      <c r="B1840" s="67"/>
    </row>
    <row r="1841" spans="1:2" x14ac:dyDescent="0.25">
      <c r="A1841" s="67"/>
      <c r="B1841" s="67"/>
    </row>
    <row r="1842" spans="1:2" x14ac:dyDescent="0.25">
      <c r="A1842" s="67"/>
      <c r="B1842" s="67"/>
    </row>
    <row r="1843" spans="1:2" x14ac:dyDescent="0.25">
      <c r="A1843" s="67"/>
      <c r="B1843" s="67"/>
    </row>
    <row r="1844" spans="1:2" x14ac:dyDescent="0.25">
      <c r="A1844" s="67"/>
      <c r="B1844" s="67"/>
    </row>
    <row r="1845" spans="1:2" x14ac:dyDescent="0.25">
      <c r="A1845" s="67"/>
      <c r="B1845" s="67"/>
    </row>
    <row r="1846" spans="1:2" x14ac:dyDescent="0.25">
      <c r="A1846" s="67"/>
      <c r="B1846" s="67"/>
    </row>
    <row r="1847" spans="1:2" x14ac:dyDescent="0.25">
      <c r="A1847" s="67"/>
      <c r="B1847" s="67"/>
    </row>
    <row r="1848" spans="1:2" x14ac:dyDescent="0.25">
      <c r="A1848" s="67"/>
      <c r="B1848" s="67"/>
    </row>
    <row r="1849" spans="1:2" x14ac:dyDescent="0.25">
      <c r="A1849" s="67"/>
      <c r="B1849" s="67"/>
    </row>
    <row r="1850" spans="1:2" x14ac:dyDescent="0.25">
      <c r="A1850" s="67"/>
      <c r="B1850" s="67"/>
    </row>
    <row r="1851" spans="1:2" x14ac:dyDescent="0.25">
      <c r="A1851" s="67"/>
      <c r="B1851" s="67"/>
    </row>
    <row r="1852" spans="1:2" x14ac:dyDescent="0.25">
      <c r="A1852" s="67"/>
      <c r="B1852" s="67"/>
    </row>
    <row r="1853" spans="1:2" x14ac:dyDescent="0.25">
      <c r="A1853" s="67"/>
      <c r="B1853" s="67"/>
    </row>
    <row r="1854" spans="1:2" x14ac:dyDescent="0.25">
      <c r="A1854" s="67"/>
      <c r="B1854" s="67"/>
    </row>
    <row r="1855" spans="1:2" x14ac:dyDescent="0.25">
      <c r="A1855" s="67"/>
      <c r="B1855" s="67"/>
    </row>
    <row r="1856" spans="1:2" x14ac:dyDescent="0.25">
      <c r="A1856" s="67"/>
      <c r="B1856" s="67"/>
    </row>
    <row r="1857" spans="1:2" x14ac:dyDescent="0.25">
      <c r="A1857" s="67"/>
      <c r="B1857" s="67"/>
    </row>
    <row r="1858" spans="1:2" x14ac:dyDescent="0.25">
      <c r="A1858" s="67"/>
      <c r="B1858" s="67"/>
    </row>
    <row r="1859" spans="1:2" x14ac:dyDescent="0.25">
      <c r="A1859" s="67"/>
      <c r="B1859" s="67"/>
    </row>
    <row r="1860" spans="1:2" x14ac:dyDescent="0.25">
      <c r="A1860" s="67"/>
      <c r="B1860" s="67"/>
    </row>
    <row r="1861" spans="1:2" x14ac:dyDescent="0.25">
      <c r="A1861" s="67"/>
      <c r="B1861" s="67"/>
    </row>
    <row r="1862" spans="1:2" x14ac:dyDescent="0.25">
      <c r="A1862" s="67"/>
      <c r="B1862" s="67"/>
    </row>
    <row r="1863" spans="1:2" x14ac:dyDescent="0.25">
      <c r="A1863" s="67"/>
      <c r="B1863" s="67"/>
    </row>
    <row r="1864" spans="1:2" x14ac:dyDescent="0.25">
      <c r="A1864" s="67"/>
      <c r="B1864" s="67"/>
    </row>
    <row r="1865" spans="1:2" x14ac:dyDescent="0.25">
      <c r="A1865" s="67"/>
      <c r="B1865" s="67"/>
    </row>
    <row r="1866" spans="1:2" x14ac:dyDescent="0.25">
      <c r="A1866" s="67"/>
      <c r="B1866" s="67"/>
    </row>
    <row r="1867" spans="1:2" x14ac:dyDescent="0.25">
      <c r="A1867" s="67"/>
      <c r="B1867" s="67"/>
    </row>
    <row r="1868" spans="1:2" x14ac:dyDescent="0.25">
      <c r="A1868" s="67"/>
      <c r="B1868" s="67"/>
    </row>
    <row r="1869" spans="1:2" x14ac:dyDescent="0.25">
      <c r="A1869" s="67"/>
      <c r="B1869" s="67"/>
    </row>
    <row r="1870" spans="1:2" x14ac:dyDescent="0.25">
      <c r="A1870" s="67"/>
      <c r="B1870" s="67"/>
    </row>
    <row r="1871" spans="1:2" x14ac:dyDescent="0.25">
      <c r="A1871" s="67"/>
      <c r="B1871" s="67"/>
    </row>
    <row r="1872" spans="1:2" x14ac:dyDescent="0.25">
      <c r="A1872" s="67"/>
      <c r="B1872" s="67"/>
    </row>
    <row r="1873" spans="1:2" x14ac:dyDescent="0.25">
      <c r="A1873" s="67"/>
      <c r="B1873" s="67"/>
    </row>
    <row r="1874" spans="1:2" x14ac:dyDescent="0.25">
      <c r="A1874" s="67"/>
      <c r="B1874" s="67"/>
    </row>
    <row r="1875" spans="1:2" x14ac:dyDescent="0.25">
      <c r="A1875" s="67"/>
      <c r="B1875" s="67"/>
    </row>
    <row r="1876" spans="1:2" x14ac:dyDescent="0.25">
      <c r="A1876" s="67"/>
      <c r="B1876" s="67"/>
    </row>
    <row r="1877" spans="1:2" x14ac:dyDescent="0.25">
      <c r="A1877" s="67"/>
      <c r="B1877" s="67"/>
    </row>
    <row r="1878" spans="1:2" x14ac:dyDescent="0.25">
      <c r="A1878" s="67"/>
      <c r="B1878" s="67"/>
    </row>
    <row r="1879" spans="1:2" x14ac:dyDescent="0.25">
      <c r="A1879" s="67"/>
      <c r="B1879" s="67"/>
    </row>
    <row r="1880" spans="1:2" x14ac:dyDescent="0.25">
      <c r="A1880" s="67"/>
      <c r="B1880" s="67"/>
    </row>
    <row r="1881" spans="1:2" x14ac:dyDescent="0.25">
      <c r="A1881" s="67"/>
      <c r="B1881" s="67"/>
    </row>
    <row r="1882" spans="1:2" x14ac:dyDescent="0.25">
      <c r="A1882" s="67"/>
      <c r="B1882" s="67"/>
    </row>
    <row r="1883" spans="1:2" x14ac:dyDescent="0.25">
      <c r="A1883" s="67"/>
      <c r="B1883" s="67"/>
    </row>
    <row r="1884" spans="1:2" x14ac:dyDescent="0.25">
      <c r="A1884" s="67"/>
      <c r="B1884" s="67"/>
    </row>
    <row r="1885" spans="1:2" x14ac:dyDescent="0.25">
      <c r="A1885" s="67"/>
      <c r="B1885" s="67"/>
    </row>
    <row r="1886" spans="1:2" x14ac:dyDescent="0.25">
      <c r="A1886" s="67"/>
      <c r="B1886" s="67"/>
    </row>
    <row r="1887" spans="1:2" x14ac:dyDescent="0.25">
      <c r="A1887" s="67"/>
      <c r="B1887" s="67"/>
    </row>
    <row r="1888" spans="1:2" x14ac:dyDescent="0.25">
      <c r="A1888" s="67"/>
      <c r="B1888" s="67"/>
    </row>
    <row r="1889" spans="1:2" x14ac:dyDescent="0.25">
      <c r="A1889" s="67"/>
      <c r="B1889" s="67"/>
    </row>
    <row r="1890" spans="1:2" x14ac:dyDescent="0.25">
      <c r="A1890" s="67"/>
      <c r="B1890" s="67"/>
    </row>
    <row r="1891" spans="1:2" x14ac:dyDescent="0.25">
      <c r="A1891" s="67"/>
      <c r="B1891" s="67"/>
    </row>
    <row r="1892" spans="1:2" x14ac:dyDescent="0.25">
      <c r="A1892" s="67"/>
      <c r="B1892" s="67"/>
    </row>
    <row r="1893" spans="1:2" x14ac:dyDescent="0.25">
      <c r="A1893" s="67"/>
      <c r="B1893" s="67"/>
    </row>
    <row r="1894" spans="1:2" x14ac:dyDescent="0.25">
      <c r="A1894" s="67"/>
      <c r="B1894" s="67"/>
    </row>
    <row r="1895" spans="1:2" x14ac:dyDescent="0.25">
      <c r="A1895" s="67"/>
      <c r="B1895" s="67"/>
    </row>
    <row r="1896" spans="1:2" x14ac:dyDescent="0.25">
      <c r="A1896" s="67"/>
      <c r="B1896" s="67"/>
    </row>
    <row r="1897" spans="1:2" x14ac:dyDescent="0.25">
      <c r="A1897" s="67"/>
      <c r="B1897" s="67"/>
    </row>
    <row r="1898" spans="1:2" x14ac:dyDescent="0.25">
      <c r="A1898" s="67"/>
      <c r="B1898" s="67"/>
    </row>
    <row r="1899" spans="1:2" x14ac:dyDescent="0.25">
      <c r="A1899" s="67"/>
      <c r="B1899" s="67"/>
    </row>
    <row r="1900" spans="1:2" x14ac:dyDescent="0.25">
      <c r="A1900" s="67"/>
      <c r="B1900" s="67"/>
    </row>
    <row r="1901" spans="1:2" x14ac:dyDescent="0.25">
      <c r="A1901" s="67"/>
      <c r="B1901" s="67"/>
    </row>
    <row r="1902" spans="1:2" x14ac:dyDescent="0.25">
      <c r="A1902" s="67"/>
      <c r="B1902" s="67"/>
    </row>
    <row r="1903" spans="1:2" x14ac:dyDescent="0.25">
      <c r="A1903" s="67"/>
      <c r="B1903" s="67"/>
    </row>
    <row r="1904" spans="1:2" x14ac:dyDescent="0.25">
      <c r="A1904" s="67"/>
      <c r="B1904" s="67"/>
    </row>
    <row r="1905" spans="1:2" x14ac:dyDescent="0.25">
      <c r="A1905" s="67"/>
      <c r="B1905" s="67"/>
    </row>
    <row r="1906" spans="1:2" x14ac:dyDescent="0.25">
      <c r="A1906" s="67"/>
      <c r="B1906" s="67"/>
    </row>
    <row r="1907" spans="1:2" x14ac:dyDescent="0.25">
      <c r="A1907" s="67"/>
      <c r="B1907" s="67"/>
    </row>
    <row r="1908" spans="1:2" x14ac:dyDescent="0.25">
      <c r="A1908" s="67"/>
      <c r="B1908" s="67"/>
    </row>
    <row r="1909" spans="1:2" x14ac:dyDescent="0.25">
      <c r="A1909" s="67"/>
      <c r="B1909" s="67"/>
    </row>
    <row r="1910" spans="1:2" x14ac:dyDescent="0.25">
      <c r="A1910" s="67"/>
      <c r="B1910" s="67"/>
    </row>
    <row r="1911" spans="1:2" x14ac:dyDescent="0.25">
      <c r="A1911" s="67"/>
      <c r="B1911" s="67"/>
    </row>
    <row r="1912" spans="1:2" x14ac:dyDescent="0.25">
      <c r="A1912" s="67"/>
      <c r="B1912" s="67"/>
    </row>
    <row r="1913" spans="1:2" x14ac:dyDescent="0.25">
      <c r="A1913" s="67"/>
      <c r="B1913" s="67"/>
    </row>
    <row r="1914" spans="1:2" x14ac:dyDescent="0.25">
      <c r="A1914" s="67"/>
      <c r="B1914" s="67"/>
    </row>
    <row r="1915" spans="1:2" x14ac:dyDescent="0.25">
      <c r="A1915" s="67"/>
      <c r="B1915" s="67"/>
    </row>
    <row r="1916" spans="1:2" x14ac:dyDescent="0.25">
      <c r="A1916" s="67"/>
      <c r="B1916" s="67"/>
    </row>
    <row r="1917" spans="1:2" x14ac:dyDescent="0.25">
      <c r="A1917" s="67"/>
      <c r="B1917" s="67"/>
    </row>
    <row r="1918" spans="1:2" x14ac:dyDescent="0.25">
      <c r="A1918" s="67"/>
      <c r="B1918" s="67"/>
    </row>
    <row r="1919" spans="1:2" x14ac:dyDescent="0.25">
      <c r="A1919" s="67"/>
      <c r="B1919" s="67"/>
    </row>
    <row r="1920" spans="1:2" x14ac:dyDescent="0.25">
      <c r="A1920" s="67"/>
      <c r="B1920" s="67"/>
    </row>
    <row r="1921" spans="1:2" x14ac:dyDescent="0.25">
      <c r="A1921" s="67"/>
      <c r="B1921" s="67"/>
    </row>
    <row r="1922" spans="1:2" x14ac:dyDescent="0.25">
      <c r="A1922" s="67"/>
      <c r="B1922" s="67"/>
    </row>
    <row r="1923" spans="1:2" x14ac:dyDescent="0.25">
      <c r="A1923" s="67"/>
      <c r="B1923" s="67"/>
    </row>
    <row r="1924" spans="1:2" x14ac:dyDescent="0.25">
      <c r="A1924" s="67"/>
      <c r="B1924" s="67"/>
    </row>
    <row r="1925" spans="1:2" x14ac:dyDescent="0.25">
      <c r="A1925" s="67"/>
      <c r="B1925" s="67"/>
    </row>
    <row r="1926" spans="1:2" x14ac:dyDescent="0.25">
      <c r="A1926" s="67"/>
      <c r="B1926" s="67"/>
    </row>
    <row r="1927" spans="1:2" x14ac:dyDescent="0.25">
      <c r="A1927" s="67"/>
      <c r="B1927" s="67"/>
    </row>
    <row r="1928" spans="1:2" x14ac:dyDescent="0.25">
      <c r="A1928" s="67"/>
      <c r="B1928" s="67"/>
    </row>
    <row r="1929" spans="1:2" x14ac:dyDescent="0.25">
      <c r="A1929" s="67"/>
      <c r="B1929" s="67"/>
    </row>
    <row r="1930" spans="1:2" x14ac:dyDescent="0.25">
      <c r="A1930" s="67"/>
      <c r="B1930" s="67"/>
    </row>
    <row r="1931" spans="1:2" x14ac:dyDescent="0.25">
      <c r="A1931" s="67"/>
      <c r="B1931" s="67"/>
    </row>
    <row r="1932" spans="1:2" x14ac:dyDescent="0.25">
      <c r="A1932" s="67"/>
      <c r="B1932" s="67"/>
    </row>
    <row r="1933" spans="1:2" x14ac:dyDescent="0.25">
      <c r="A1933" s="67"/>
      <c r="B1933" s="67"/>
    </row>
    <row r="1934" spans="1:2" x14ac:dyDescent="0.25">
      <c r="A1934" s="67"/>
      <c r="B1934" s="67"/>
    </row>
    <row r="1935" spans="1:2" x14ac:dyDescent="0.25">
      <c r="A1935" s="67"/>
      <c r="B1935" s="67"/>
    </row>
    <row r="1936" spans="1:2" x14ac:dyDescent="0.25">
      <c r="A1936" s="67"/>
      <c r="B1936" s="67"/>
    </row>
    <row r="1937" spans="1:2" x14ac:dyDescent="0.25">
      <c r="A1937" s="67"/>
      <c r="B1937" s="67"/>
    </row>
    <row r="1938" spans="1:2" x14ac:dyDescent="0.25">
      <c r="A1938" s="67"/>
      <c r="B1938" s="67"/>
    </row>
    <row r="1939" spans="1:2" x14ac:dyDescent="0.25">
      <c r="A1939" s="67"/>
      <c r="B1939" s="67"/>
    </row>
    <row r="1940" spans="1:2" x14ac:dyDescent="0.25">
      <c r="A1940" s="67"/>
      <c r="B1940" s="67"/>
    </row>
    <row r="1941" spans="1:2" x14ac:dyDescent="0.25">
      <c r="A1941" s="67"/>
      <c r="B1941" s="67"/>
    </row>
    <row r="1942" spans="1:2" x14ac:dyDescent="0.25">
      <c r="A1942" s="67"/>
      <c r="B1942" s="67"/>
    </row>
    <row r="1943" spans="1:2" x14ac:dyDescent="0.25">
      <c r="A1943" s="67"/>
      <c r="B1943" s="67"/>
    </row>
    <row r="1944" spans="1:2" x14ac:dyDescent="0.25">
      <c r="A1944" s="67"/>
      <c r="B1944" s="67"/>
    </row>
    <row r="1945" spans="1:2" x14ac:dyDescent="0.25">
      <c r="A1945" s="67"/>
      <c r="B1945" s="67"/>
    </row>
    <row r="1946" spans="1:2" x14ac:dyDescent="0.25">
      <c r="A1946" s="67"/>
      <c r="B1946" s="67"/>
    </row>
    <row r="1947" spans="1:2" x14ac:dyDescent="0.25">
      <c r="A1947" s="67"/>
      <c r="B1947" s="67"/>
    </row>
    <row r="1948" spans="1:2" x14ac:dyDescent="0.25">
      <c r="A1948" s="67"/>
      <c r="B1948" s="67"/>
    </row>
    <row r="1949" spans="1:2" x14ac:dyDescent="0.25">
      <c r="A1949" s="67"/>
      <c r="B1949" s="67"/>
    </row>
    <row r="1950" spans="1:2" x14ac:dyDescent="0.25">
      <c r="A1950" s="67"/>
      <c r="B1950" s="67"/>
    </row>
    <row r="1951" spans="1:2" x14ac:dyDescent="0.25">
      <c r="A1951" s="67"/>
      <c r="B1951" s="67"/>
    </row>
    <row r="1952" spans="1:2" x14ac:dyDescent="0.25">
      <c r="A1952" s="67"/>
      <c r="B1952" s="67"/>
    </row>
    <row r="1953" spans="1:2" x14ac:dyDescent="0.25">
      <c r="A1953" s="67"/>
      <c r="B1953" s="67"/>
    </row>
    <row r="1954" spans="1:2" x14ac:dyDescent="0.25">
      <c r="A1954" s="67"/>
      <c r="B1954" s="67"/>
    </row>
    <row r="1955" spans="1:2" x14ac:dyDescent="0.25">
      <c r="A1955" s="67"/>
      <c r="B1955" s="67"/>
    </row>
    <row r="1956" spans="1:2" x14ac:dyDescent="0.25">
      <c r="A1956" s="67"/>
      <c r="B1956" s="67"/>
    </row>
    <row r="1957" spans="1:2" x14ac:dyDescent="0.25">
      <c r="A1957" s="67"/>
      <c r="B1957" s="67"/>
    </row>
    <row r="1958" spans="1:2" x14ac:dyDescent="0.25">
      <c r="A1958" s="67"/>
      <c r="B1958" s="67"/>
    </row>
    <row r="1959" spans="1:2" x14ac:dyDescent="0.25">
      <c r="A1959" s="67"/>
      <c r="B1959" s="67"/>
    </row>
    <row r="1960" spans="1:2" x14ac:dyDescent="0.25">
      <c r="A1960" s="67"/>
      <c r="B1960" s="67"/>
    </row>
    <row r="1961" spans="1:2" x14ac:dyDescent="0.25">
      <c r="A1961" s="67"/>
      <c r="B1961" s="67"/>
    </row>
    <row r="1962" spans="1:2" x14ac:dyDescent="0.25">
      <c r="A1962" s="67"/>
      <c r="B1962" s="67"/>
    </row>
    <row r="1963" spans="1:2" x14ac:dyDescent="0.25">
      <c r="A1963" s="67"/>
      <c r="B1963" s="67"/>
    </row>
    <row r="1964" spans="1:2" x14ac:dyDescent="0.25">
      <c r="A1964" s="67"/>
      <c r="B1964" s="67"/>
    </row>
    <row r="1965" spans="1:2" x14ac:dyDescent="0.25">
      <c r="A1965" s="67"/>
      <c r="B1965" s="67"/>
    </row>
    <row r="1966" spans="1:2" x14ac:dyDescent="0.25">
      <c r="A1966" s="67"/>
      <c r="B1966" s="67"/>
    </row>
    <row r="1967" spans="1:2" x14ac:dyDescent="0.25">
      <c r="A1967" s="67"/>
      <c r="B1967" s="67"/>
    </row>
    <row r="1968" spans="1:2" x14ac:dyDescent="0.25">
      <c r="A1968" s="67"/>
      <c r="B1968" s="67"/>
    </row>
    <row r="1969" spans="1:2" x14ac:dyDescent="0.25">
      <c r="A1969" s="67"/>
      <c r="B1969" s="67"/>
    </row>
    <row r="1970" spans="1:2" x14ac:dyDescent="0.25">
      <c r="A1970" s="67"/>
      <c r="B1970" s="67"/>
    </row>
    <row r="1971" spans="1:2" x14ac:dyDescent="0.25">
      <c r="A1971" s="67"/>
      <c r="B1971" s="67"/>
    </row>
    <row r="1972" spans="1:2" x14ac:dyDescent="0.25">
      <c r="A1972" s="67"/>
      <c r="B1972" s="67"/>
    </row>
    <row r="1973" spans="1:2" x14ac:dyDescent="0.25">
      <c r="A1973" s="67"/>
      <c r="B1973" s="67"/>
    </row>
    <row r="1974" spans="1:2" x14ac:dyDescent="0.25">
      <c r="A1974" s="67"/>
      <c r="B1974" s="67"/>
    </row>
    <row r="1975" spans="1:2" x14ac:dyDescent="0.25">
      <c r="A1975" s="67"/>
      <c r="B1975" s="67"/>
    </row>
    <row r="1976" spans="1:2" x14ac:dyDescent="0.25">
      <c r="A1976" s="67"/>
      <c r="B1976" s="67"/>
    </row>
    <row r="1977" spans="1:2" x14ac:dyDescent="0.25">
      <c r="A1977" s="67"/>
      <c r="B1977" s="67"/>
    </row>
    <row r="1978" spans="1:2" x14ac:dyDescent="0.25">
      <c r="A1978" s="67"/>
      <c r="B1978" s="67"/>
    </row>
    <row r="1979" spans="1:2" x14ac:dyDescent="0.25">
      <c r="A1979" s="67"/>
      <c r="B1979" s="67"/>
    </row>
    <row r="1980" spans="1:2" x14ac:dyDescent="0.25">
      <c r="A1980" s="67"/>
      <c r="B1980" s="67"/>
    </row>
    <row r="1981" spans="1:2" x14ac:dyDescent="0.25">
      <c r="A1981" s="67"/>
      <c r="B1981" s="67"/>
    </row>
    <row r="1982" spans="1:2" x14ac:dyDescent="0.25">
      <c r="A1982" s="67"/>
      <c r="B1982" s="67"/>
    </row>
    <row r="1983" spans="1:2" x14ac:dyDescent="0.25">
      <c r="A1983" s="67"/>
      <c r="B1983" s="67"/>
    </row>
    <row r="1984" spans="1:2" x14ac:dyDescent="0.25">
      <c r="A1984" s="67"/>
      <c r="B1984" s="67"/>
    </row>
    <row r="1985" spans="1:2" x14ac:dyDescent="0.25">
      <c r="A1985" s="67"/>
      <c r="B1985" s="67"/>
    </row>
    <row r="1986" spans="1:2" x14ac:dyDescent="0.25">
      <c r="A1986" s="67"/>
      <c r="B1986" s="67"/>
    </row>
    <row r="1987" spans="1:2" x14ac:dyDescent="0.25">
      <c r="A1987" s="67"/>
      <c r="B1987" s="67"/>
    </row>
    <row r="1988" spans="1:2" x14ac:dyDescent="0.25">
      <c r="A1988" s="67"/>
      <c r="B1988" s="67"/>
    </row>
    <row r="1989" spans="1:2" x14ac:dyDescent="0.25">
      <c r="A1989" s="67"/>
      <c r="B1989" s="67"/>
    </row>
    <row r="1990" spans="1:2" x14ac:dyDescent="0.25">
      <c r="A1990" s="67"/>
      <c r="B1990" s="67"/>
    </row>
    <row r="1991" spans="1:2" x14ac:dyDescent="0.25">
      <c r="A1991" s="67"/>
      <c r="B1991" s="67"/>
    </row>
    <row r="1992" spans="1:2" x14ac:dyDescent="0.25">
      <c r="A1992" s="67"/>
      <c r="B1992" s="67"/>
    </row>
    <row r="1993" spans="1:2" x14ac:dyDescent="0.25">
      <c r="A1993" s="67"/>
      <c r="B1993" s="67"/>
    </row>
    <row r="1994" spans="1:2" x14ac:dyDescent="0.25">
      <c r="A1994" s="67"/>
      <c r="B1994" s="67"/>
    </row>
    <row r="1995" spans="1:2" x14ac:dyDescent="0.25">
      <c r="A1995" s="67"/>
      <c r="B1995" s="67"/>
    </row>
    <row r="1996" spans="1:2" x14ac:dyDescent="0.25">
      <c r="A1996" s="67"/>
      <c r="B1996" s="67"/>
    </row>
    <row r="1997" spans="1:2" x14ac:dyDescent="0.25">
      <c r="A1997" s="67"/>
      <c r="B1997" s="67"/>
    </row>
    <row r="1998" spans="1:2" x14ac:dyDescent="0.25">
      <c r="A1998" s="67"/>
      <c r="B1998" s="67"/>
    </row>
    <row r="1999" spans="1:2" x14ac:dyDescent="0.25">
      <c r="A1999" s="67"/>
      <c r="B1999" s="67"/>
    </row>
    <row r="2000" spans="1:2" x14ac:dyDescent="0.25">
      <c r="A2000" s="67"/>
      <c r="B2000" s="67"/>
    </row>
    <row r="2001" spans="1:2" x14ac:dyDescent="0.25">
      <c r="A2001" s="67"/>
      <c r="B2001" s="67"/>
    </row>
    <row r="2002" spans="1:2" x14ac:dyDescent="0.25">
      <c r="A2002" s="67"/>
      <c r="B2002" s="67"/>
    </row>
    <row r="2003" spans="1:2" x14ac:dyDescent="0.25">
      <c r="A2003" s="67"/>
      <c r="B2003" s="67"/>
    </row>
    <row r="2004" spans="1:2" x14ac:dyDescent="0.25">
      <c r="A2004" s="67"/>
      <c r="B2004" s="67"/>
    </row>
    <row r="2005" spans="1:2" x14ac:dyDescent="0.25">
      <c r="A2005" s="67"/>
      <c r="B2005" s="67"/>
    </row>
    <row r="2006" spans="1:2" x14ac:dyDescent="0.25">
      <c r="A2006" s="67"/>
      <c r="B2006" s="67"/>
    </row>
    <row r="2007" spans="1:2" x14ac:dyDescent="0.25">
      <c r="A2007" s="67"/>
      <c r="B2007" s="67"/>
    </row>
    <row r="2008" spans="1:2" x14ac:dyDescent="0.25">
      <c r="A2008" s="67"/>
      <c r="B2008" s="67"/>
    </row>
    <row r="2009" spans="1:2" x14ac:dyDescent="0.25">
      <c r="A2009" s="67"/>
      <c r="B2009" s="67"/>
    </row>
    <row r="2010" spans="1:2" x14ac:dyDescent="0.25">
      <c r="A2010" s="67"/>
      <c r="B2010" s="67"/>
    </row>
    <row r="2011" spans="1:2" x14ac:dyDescent="0.25">
      <c r="A2011" s="67"/>
      <c r="B2011" s="67"/>
    </row>
    <row r="2012" spans="1:2" x14ac:dyDescent="0.25">
      <c r="A2012" s="67"/>
      <c r="B2012" s="67"/>
    </row>
    <row r="2013" spans="1:2" x14ac:dyDescent="0.25">
      <c r="A2013" s="67"/>
      <c r="B2013" s="67"/>
    </row>
    <row r="2014" spans="1:2" x14ac:dyDescent="0.25">
      <c r="A2014" s="67"/>
      <c r="B2014" s="67"/>
    </row>
    <row r="2015" spans="1:2" x14ac:dyDescent="0.25">
      <c r="A2015" s="67"/>
      <c r="B2015" s="67"/>
    </row>
    <row r="2016" spans="1:2" x14ac:dyDescent="0.25">
      <c r="A2016" s="67"/>
      <c r="B2016" s="67"/>
    </row>
    <row r="2017" spans="1:2" x14ac:dyDescent="0.25">
      <c r="A2017" s="67"/>
      <c r="B2017" s="67"/>
    </row>
    <row r="2018" spans="1:2" x14ac:dyDescent="0.25">
      <c r="A2018" s="67"/>
      <c r="B2018" s="67"/>
    </row>
    <row r="2019" spans="1:2" x14ac:dyDescent="0.25">
      <c r="A2019" s="67"/>
      <c r="B2019" s="67"/>
    </row>
    <row r="2020" spans="1:2" x14ac:dyDescent="0.25">
      <c r="A2020" s="67"/>
      <c r="B2020" s="67"/>
    </row>
    <row r="2021" spans="1:2" x14ac:dyDescent="0.25">
      <c r="A2021" s="67"/>
      <c r="B2021" s="67"/>
    </row>
    <row r="2022" spans="1:2" x14ac:dyDescent="0.25">
      <c r="A2022" s="67"/>
      <c r="B2022" s="67"/>
    </row>
    <row r="2023" spans="1:2" x14ac:dyDescent="0.25">
      <c r="A2023" s="67"/>
      <c r="B2023" s="67"/>
    </row>
    <row r="2024" spans="1:2" x14ac:dyDescent="0.25">
      <c r="A2024" s="67"/>
      <c r="B2024" s="67"/>
    </row>
    <row r="2025" spans="1:2" x14ac:dyDescent="0.25">
      <c r="A2025" s="67"/>
      <c r="B2025" s="67"/>
    </row>
    <row r="2026" spans="1:2" x14ac:dyDescent="0.25">
      <c r="A2026" s="67"/>
      <c r="B2026" s="67"/>
    </row>
    <row r="2027" spans="1:2" x14ac:dyDescent="0.25">
      <c r="A2027" s="67"/>
      <c r="B2027" s="67"/>
    </row>
    <row r="2028" spans="1:2" x14ac:dyDescent="0.25">
      <c r="A2028" s="67"/>
      <c r="B2028" s="67"/>
    </row>
    <row r="2029" spans="1:2" x14ac:dyDescent="0.25">
      <c r="A2029" s="67"/>
      <c r="B2029" s="67"/>
    </row>
    <row r="2030" spans="1:2" x14ac:dyDescent="0.25">
      <c r="A2030" s="67"/>
      <c r="B2030" s="67"/>
    </row>
    <row r="2031" spans="1:2" x14ac:dyDescent="0.25">
      <c r="A2031" s="67"/>
      <c r="B2031" s="67"/>
    </row>
    <row r="2032" spans="1:2" x14ac:dyDescent="0.25">
      <c r="A2032" s="67"/>
      <c r="B2032" s="67"/>
    </row>
    <row r="2033" spans="1:2" x14ac:dyDescent="0.25">
      <c r="A2033" s="67"/>
      <c r="B2033" s="67"/>
    </row>
    <row r="2034" spans="1:2" x14ac:dyDescent="0.25">
      <c r="A2034" s="67"/>
      <c r="B2034" s="67"/>
    </row>
    <row r="2035" spans="1:2" x14ac:dyDescent="0.25">
      <c r="A2035" s="67"/>
      <c r="B2035" s="67"/>
    </row>
    <row r="2036" spans="1:2" x14ac:dyDescent="0.25">
      <c r="A2036" s="67"/>
      <c r="B2036" s="67"/>
    </row>
    <row r="2037" spans="1:2" x14ac:dyDescent="0.25">
      <c r="A2037" s="67"/>
      <c r="B2037" s="67"/>
    </row>
    <row r="2038" spans="1:2" x14ac:dyDescent="0.25">
      <c r="A2038" s="67"/>
      <c r="B2038" s="67"/>
    </row>
    <row r="2039" spans="1:2" x14ac:dyDescent="0.25">
      <c r="A2039" s="67"/>
      <c r="B2039" s="67"/>
    </row>
    <row r="2040" spans="1:2" x14ac:dyDescent="0.25">
      <c r="A2040" s="67"/>
      <c r="B2040" s="67"/>
    </row>
    <row r="2041" spans="1:2" x14ac:dyDescent="0.25">
      <c r="A2041" s="67"/>
      <c r="B2041" s="67"/>
    </row>
    <row r="2042" spans="1:2" x14ac:dyDescent="0.25">
      <c r="A2042" s="67"/>
      <c r="B2042" s="67"/>
    </row>
    <row r="2043" spans="1:2" x14ac:dyDescent="0.25">
      <c r="A2043" s="67"/>
      <c r="B2043" s="67"/>
    </row>
    <row r="2044" spans="1:2" x14ac:dyDescent="0.25">
      <c r="A2044" s="67"/>
      <c r="B2044" s="67"/>
    </row>
    <row r="2045" spans="1:2" x14ac:dyDescent="0.25">
      <c r="A2045" s="67"/>
      <c r="B2045" s="67"/>
    </row>
    <row r="2046" spans="1:2" x14ac:dyDescent="0.25">
      <c r="A2046" s="67"/>
      <c r="B2046" s="67"/>
    </row>
    <row r="2047" spans="1:2" x14ac:dyDescent="0.25">
      <c r="A2047" s="67"/>
      <c r="B2047" s="67"/>
    </row>
    <row r="2048" spans="1:2" x14ac:dyDescent="0.25">
      <c r="A2048" s="67"/>
      <c r="B2048" s="67"/>
    </row>
    <row r="2049" spans="1:2" x14ac:dyDescent="0.25">
      <c r="A2049" s="67"/>
      <c r="B2049" s="67"/>
    </row>
    <row r="2050" spans="1:2" x14ac:dyDescent="0.25">
      <c r="A2050" s="67"/>
      <c r="B2050" s="67"/>
    </row>
    <row r="2051" spans="1:2" x14ac:dyDescent="0.25">
      <c r="A2051" s="67"/>
      <c r="B2051" s="67"/>
    </row>
    <row r="2052" spans="1:2" x14ac:dyDescent="0.25">
      <c r="A2052" s="67"/>
      <c r="B2052" s="67"/>
    </row>
    <row r="2053" spans="1:2" x14ac:dyDescent="0.25">
      <c r="A2053" s="67"/>
      <c r="B2053" s="67"/>
    </row>
    <row r="2054" spans="1:2" x14ac:dyDescent="0.25">
      <c r="A2054" s="67"/>
      <c r="B2054" s="67"/>
    </row>
    <row r="2055" spans="1:2" x14ac:dyDescent="0.25">
      <c r="A2055" s="67"/>
      <c r="B2055" s="67"/>
    </row>
    <row r="2056" spans="1:2" x14ac:dyDescent="0.25">
      <c r="A2056" s="67"/>
      <c r="B2056" s="67"/>
    </row>
    <row r="2057" spans="1:2" x14ac:dyDescent="0.25">
      <c r="A2057" s="67"/>
      <c r="B2057" s="67"/>
    </row>
    <row r="2058" spans="1:2" x14ac:dyDescent="0.25">
      <c r="A2058" s="67"/>
      <c r="B2058" s="67"/>
    </row>
    <row r="2059" spans="1:2" x14ac:dyDescent="0.25">
      <c r="A2059" s="67"/>
      <c r="B2059" s="67"/>
    </row>
    <row r="2060" spans="1:2" x14ac:dyDescent="0.25">
      <c r="A2060" s="67"/>
      <c r="B2060" s="67"/>
    </row>
    <row r="2061" spans="1:2" x14ac:dyDescent="0.25">
      <c r="A2061" s="67"/>
      <c r="B2061" s="67"/>
    </row>
    <row r="2062" spans="1:2" x14ac:dyDescent="0.25">
      <c r="A2062" s="67"/>
      <c r="B2062" s="67"/>
    </row>
    <row r="2063" spans="1:2" x14ac:dyDescent="0.25">
      <c r="A2063" s="67"/>
      <c r="B2063" s="67"/>
    </row>
    <row r="2064" spans="1:2" x14ac:dyDescent="0.25">
      <c r="A2064" s="67"/>
      <c r="B2064" s="67"/>
    </row>
    <row r="2065" spans="1:2" x14ac:dyDescent="0.25">
      <c r="A2065" s="67"/>
      <c r="B2065" s="67"/>
    </row>
    <row r="2066" spans="1:2" x14ac:dyDescent="0.25">
      <c r="A2066" s="67"/>
      <c r="B2066" s="67"/>
    </row>
    <row r="2067" spans="1:2" x14ac:dyDescent="0.25">
      <c r="A2067" s="67"/>
      <c r="B2067" s="67"/>
    </row>
    <row r="2068" spans="1:2" x14ac:dyDescent="0.25">
      <c r="A2068" s="67"/>
      <c r="B2068" s="67"/>
    </row>
    <row r="2069" spans="1:2" x14ac:dyDescent="0.25">
      <c r="A2069" s="67"/>
      <c r="B2069" s="67"/>
    </row>
    <row r="2070" spans="1:2" x14ac:dyDescent="0.25">
      <c r="A2070" s="67"/>
      <c r="B2070" s="67"/>
    </row>
    <row r="2071" spans="1:2" x14ac:dyDescent="0.25">
      <c r="A2071" s="67"/>
      <c r="B2071" s="67"/>
    </row>
    <row r="2072" spans="1:2" x14ac:dyDescent="0.25">
      <c r="A2072" s="67"/>
      <c r="B2072" s="67"/>
    </row>
    <row r="2073" spans="1:2" x14ac:dyDescent="0.25">
      <c r="A2073" s="67"/>
      <c r="B2073" s="67"/>
    </row>
    <row r="2074" spans="1:2" x14ac:dyDescent="0.25">
      <c r="A2074" s="67"/>
      <c r="B2074" s="67"/>
    </row>
    <row r="2075" spans="1:2" x14ac:dyDescent="0.25">
      <c r="A2075" s="67"/>
      <c r="B2075" s="67"/>
    </row>
    <row r="2076" spans="1:2" x14ac:dyDescent="0.25">
      <c r="A2076" s="67"/>
      <c r="B2076" s="67"/>
    </row>
    <row r="2077" spans="1:2" x14ac:dyDescent="0.25">
      <c r="A2077" s="67"/>
      <c r="B2077" s="67"/>
    </row>
    <row r="2078" spans="1:2" x14ac:dyDescent="0.25">
      <c r="A2078" s="67"/>
      <c r="B2078" s="67"/>
    </row>
    <row r="2079" spans="1:2" x14ac:dyDescent="0.25">
      <c r="A2079" s="67"/>
      <c r="B2079" s="67"/>
    </row>
    <row r="2080" spans="1:2" x14ac:dyDescent="0.25">
      <c r="A2080" s="67"/>
      <c r="B2080" s="67"/>
    </row>
    <row r="2081" spans="1:2" x14ac:dyDescent="0.25">
      <c r="A2081" s="67"/>
      <c r="B2081" s="67"/>
    </row>
    <row r="2082" spans="1:2" x14ac:dyDescent="0.25">
      <c r="A2082" s="67"/>
      <c r="B2082" s="67"/>
    </row>
    <row r="2083" spans="1:2" x14ac:dyDescent="0.25">
      <c r="A2083" s="67"/>
      <c r="B2083" s="67"/>
    </row>
    <row r="2084" spans="1:2" x14ac:dyDescent="0.25">
      <c r="A2084" s="67"/>
      <c r="B2084" s="67"/>
    </row>
    <row r="2085" spans="1:2" x14ac:dyDescent="0.25">
      <c r="A2085" s="67"/>
      <c r="B2085" s="67"/>
    </row>
    <row r="2086" spans="1:2" x14ac:dyDescent="0.25">
      <c r="A2086" s="67"/>
      <c r="B2086" s="67"/>
    </row>
    <row r="2087" spans="1:2" x14ac:dyDescent="0.25">
      <c r="A2087" s="67"/>
      <c r="B2087" s="67"/>
    </row>
    <row r="2088" spans="1:2" x14ac:dyDescent="0.25">
      <c r="A2088" s="67"/>
      <c r="B2088" s="67"/>
    </row>
    <row r="2089" spans="1:2" x14ac:dyDescent="0.25">
      <c r="A2089" s="67"/>
      <c r="B2089" s="67"/>
    </row>
    <row r="2090" spans="1:2" x14ac:dyDescent="0.25">
      <c r="A2090" s="67"/>
      <c r="B2090" s="67"/>
    </row>
    <row r="2091" spans="1:2" x14ac:dyDescent="0.25">
      <c r="A2091" s="67"/>
      <c r="B2091" s="67"/>
    </row>
    <row r="2092" spans="1:2" x14ac:dyDescent="0.25">
      <c r="A2092" s="67"/>
      <c r="B2092" s="67"/>
    </row>
    <row r="2093" spans="1:2" x14ac:dyDescent="0.25">
      <c r="A2093" s="67"/>
      <c r="B2093" s="67"/>
    </row>
    <row r="2094" spans="1:2" x14ac:dyDescent="0.25">
      <c r="A2094" s="67"/>
      <c r="B2094" s="67"/>
    </row>
    <row r="2095" spans="1:2" x14ac:dyDescent="0.25">
      <c r="A2095" s="67"/>
      <c r="B2095" s="67"/>
    </row>
    <row r="2096" spans="1:2" x14ac:dyDescent="0.25">
      <c r="A2096" s="67"/>
      <c r="B2096" s="67"/>
    </row>
    <row r="2097" spans="1:2" x14ac:dyDescent="0.25">
      <c r="A2097" s="67"/>
      <c r="B2097" s="67"/>
    </row>
    <row r="2098" spans="1:2" x14ac:dyDescent="0.25">
      <c r="A2098" s="67"/>
      <c r="B2098" s="67"/>
    </row>
    <row r="2099" spans="1:2" x14ac:dyDescent="0.25">
      <c r="A2099" s="67"/>
      <c r="B2099" s="67"/>
    </row>
    <row r="2100" spans="1:2" x14ac:dyDescent="0.25">
      <c r="A2100" s="67"/>
      <c r="B2100" s="67"/>
    </row>
    <row r="2101" spans="1:2" x14ac:dyDescent="0.25">
      <c r="A2101" s="67"/>
      <c r="B2101" s="67"/>
    </row>
    <row r="2102" spans="1:2" x14ac:dyDescent="0.25">
      <c r="A2102" s="67"/>
      <c r="B2102" s="67"/>
    </row>
    <row r="2103" spans="1:2" x14ac:dyDescent="0.25">
      <c r="A2103" s="67"/>
      <c r="B2103" s="67"/>
    </row>
    <row r="2104" spans="1:2" x14ac:dyDescent="0.25">
      <c r="A2104" s="67"/>
      <c r="B2104" s="67"/>
    </row>
    <row r="2105" spans="1:2" x14ac:dyDescent="0.25">
      <c r="A2105" s="67"/>
      <c r="B2105" s="67"/>
    </row>
    <row r="2106" spans="1:2" x14ac:dyDescent="0.25">
      <c r="A2106" s="67"/>
      <c r="B2106" s="67"/>
    </row>
    <row r="2107" spans="1:2" x14ac:dyDescent="0.25">
      <c r="A2107" s="67"/>
      <c r="B2107" s="67"/>
    </row>
    <row r="2108" spans="1:2" x14ac:dyDescent="0.25">
      <c r="A2108" s="67"/>
      <c r="B2108" s="67"/>
    </row>
    <row r="2109" spans="1:2" x14ac:dyDescent="0.25">
      <c r="A2109" s="67"/>
      <c r="B2109" s="67"/>
    </row>
    <row r="2110" spans="1:2" x14ac:dyDescent="0.25">
      <c r="A2110" s="67"/>
      <c r="B2110" s="67"/>
    </row>
    <row r="2111" spans="1:2" x14ac:dyDescent="0.25">
      <c r="A2111" s="67"/>
      <c r="B2111" s="67"/>
    </row>
    <row r="2112" spans="1:2" x14ac:dyDescent="0.25">
      <c r="A2112" s="67"/>
      <c r="B2112" s="67"/>
    </row>
    <row r="2113" spans="1:2" x14ac:dyDescent="0.25">
      <c r="A2113" s="67"/>
      <c r="B2113" s="67"/>
    </row>
    <row r="2114" spans="1:2" x14ac:dyDescent="0.25">
      <c r="A2114" s="67"/>
      <c r="B2114" s="67"/>
    </row>
    <row r="2115" spans="1:2" x14ac:dyDescent="0.25">
      <c r="A2115" s="67"/>
      <c r="B2115" s="67"/>
    </row>
    <row r="2116" spans="1:2" x14ac:dyDescent="0.25">
      <c r="A2116" s="67"/>
      <c r="B2116" s="67"/>
    </row>
    <row r="2117" spans="1:2" x14ac:dyDescent="0.25">
      <c r="A2117" s="67"/>
      <c r="B2117" s="67"/>
    </row>
    <row r="2118" spans="1:2" x14ac:dyDescent="0.25">
      <c r="A2118" s="67"/>
      <c r="B2118" s="67"/>
    </row>
    <row r="2119" spans="1:2" x14ac:dyDescent="0.25">
      <c r="A2119" s="67"/>
      <c r="B2119" s="67"/>
    </row>
    <row r="2120" spans="1:2" x14ac:dyDescent="0.25">
      <c r="A2120" s="67"/>
      <c r="B2120" s="67"/>
    </row>
    <row r="2121" spans="1:2" x14ac:dyDescent="0.25">
      <c r="A2121" s="67"/>
      <c r="B2121" s="67"/>
    </row>
    <row r="2122" spans="1:2" x14ac:dyDescent="0.25">
      <c r="A2122" s="67"/>
      <c r="B2122" s="67"/>
    </row>
    <row r="2123" spans="1:2" x14ac:dyDescent="0.25">
      <c r="A2123" s="67"/>
      <c r="B2123" s="67"/>
    </row>
    <row r="2124" spans="1:2" x14ac:dyDescent="0.25">
      <c r="A2124" s="67"/>
      <c r="B2124" s="67"/>
    </row>
    <row r="2125" spans="1:2" x14ac:dyDescent="0.25">
      <c r="A2125" s="67"/>
      <c r="B2125" s="67"/>
    </row>
    <row r="2126" spans="1:2" x14ac:dyDescent="0.25">
      <c r="A2126" s="67"/>
      <c r="B2126" s="67"/>
    </row>
    <row r="2127" spans="1:2" x14ac:dyDescent="0.25">
      <c r="A2127" s="67"/>
      <c r="B2127" s="67"/>
    </row>
    <row r="2128" spans="1:2" x14ac:dyDescent="0.25">
      <c r="A2128" s="67"/>
      <c r="B2128" s="67"/>
    </row>
    <row r="2129" spans="1:2" x14ac:dyDescent="0.25">
      <c r="A2129" s="67"/>
      <c r="B2129" s="67"/>
    </row>
    <row r="2130" spans="1:2" x14ac:dyDescent="0.25">
      <c r="A2130" s="67"/>
      <c r="B2130" s="67"/>
    </row>
    <row r="2131" spans="1:2" x14ac:dyDescent="0.25">
      <c r="A2131" s="67"/>
      <c r="B2131" s="67"/>
    </row>
    <row r="2132" spans="1:2" x14ac:dyDescent="0.25">
      <c r="A2132" s="67"/>
      <c r="B2132" s="67"/>
    </row>
    <row r="2133" spans="1:2" x14ac:dyDescent="0.25">
      <c r="A2133" s="67"/>
      <c r="B2133" s="67"/>
    </row>
    <row r="2134" spans="1:2" x14ac:dyDescent="0.25">
      <c r="A2134" s="67"/>
      <c r="B2134" s="67"/>
    </row>
    <row r="2135" spans="1:2" x14ac:dyDescent="0.25">
      <c r="A2135" s="67"/>
      <c r="B2135" s="67"/>
    </row>
    <row r="2136" spans="1:2" x14ac:dyDescent="0.25">
      <c r="A2136" s="67"/>
      <c r="B2136" s="67"/>
    </row>
    <row r="2137" spans="1:2" x14ac:dyDescent="0.25">
      <c r="A2137" s="67"/>
      <c r="B2137" s="67"/>
    </row>
    <row r="2138" spans="1:2" x14ac:dyDescent="0.25">
      <c r="A2138" s="67"/>
      <c r="B2138" s="67"/>
    </row>
    <row r="2139" spans="1:2" x14ac:dyDescent="0.25">
      <c r="A2139" s="67"/>
      <c r="B2139" s="67"/>
    </row>
    <row r="2140" spans="1:2" x14ac:dyDescent="0.25">
      <c r="A2140" s="67"/>
      <c r="B2140" s="67"/>
    </row>
    <row r="2141" spans="1:2" x14ac:dyDescent="0.25">
      <c r="A2141" s="67"/>
      <c r="B2141" s="67"/>
    </row>
    <row r="2142" spans="1:2" x14ac:dyDescent="0.25">
      <c r="A2142" s="67"/>
      <c r="B2142" s="67"/>
    </row>
    <row r="2143" spans="1:2" x14ac:dyDescent="0.25">
      <c r="A2143" s="67"/>
      <c r="B2143" s="67"/>
    </row>
    <row r="2144" spans="1:2" x14ac:dyDescent="0.25">
      <c r="A2144" s="67"/>
      <c r="B2144" s="67"/>
    </row>
    <row r="2145" spans="1:2" x14ac:dyDescent="0.25">
      <c r="A2145" s="67"/>
      <c r="B2145" s="67"/>
    </row>
    <row r="2146" spans="1:2" x14ac:dyDescent="0.25">
      <c r="A2146" s="67"/>
      <c r="B2146" s="67"/>
    </row>
    <row r="2147" spans="1:2" x14ac:dyDescent="0.25">
      <c r="A2147" s="67"/>
      <c r="B2147" s="67"/>
    </row>
    <row r="2148" spans="1:2" x14ac:dyDescent="0.25">
      <c r="A2148" s="67"/>
      <c r="B2148" s="67"/>
    </row>
    <row r="2149" spans="1:2" x14ac:dyDescent="0.25">
      <c r="A2149" s="67"/>
      <c r="B2149" s="67"/>
    </row>
    <row r="2150" spans="1:2" x14ac:dyDescent="0.25">
      <c r="A2150" s="67"/>
      <c r="B2150" s="67"/>
    </row>
    <row r="2151" spans="1:2" x14ac:dyDescent="0.25">
      <c r="A2151" s="67"/>
      <c r="B2151" s="67"/>
    </row>
    <row r="2152" spans="1:2" x14ac:dyDescent="0.25">
      <c r="A2152" s="67"/>
      <c r="B2152" s="67"/>
    </row>
    <row r="2153" spans="1:2" x14ac:dyDescent="0.25">
      <c r="A2153" s="67"/>
      <c r="B2153" s="67"/>
    </row>
    <row r="2154" spans="1:2" x14ac:dyDescent="0.25">
      <c r="A2154" s="67"/>
      <c r="B2154" s="67"/>
    </row>
    <row r="2155" spans="1:2" x14ac:dyDescent="0.25">
      <c r="A2155" s="67"/>
      <c r="B2155" s="67"/>
    </row>
    <row r="2156" spans="1:2" x14ac:dyDescent="0.25">
      <c r="A2156" s="67"/>
      <c r="B2156" s="67"/>
    </row>
    <row r="2157" spans="1:2" x14ac:dyDescent="0.25">
      <c r="A2157" s="67"/>
      <c r="B2157" s="67"/>
    </row>
    <row r="2158" spans="1:2" x14ac:dyDescent="0.25">
      <c r="A2158" s="67"/>
      <c r="B2158" s="67"/>
    </row>
    <row r="2159" spans="1:2" x14ac:dyDescent="0.25">
      <c r="A2159" s="67"/>
      <c r="B2159" s="67"/>
    </row>
    <row r="2160" spans="1:2" x14ac:dyDescent="0.25">
      <c r="A2160" s="67"/>
      <c r="B2160" s="67"/>
    </row>
    <row r="2161" spans="1:2" x14ac:dyDescent="0.25">
      <c r="A2161" s="67"/>
      <c r="B2161" s="67"/>
    </row>
    <row r="2162" spans="1:2" x14ac:dyDescent="0.25">
      <c r="A2162" s="67"/>
      <c r="B2162" s="67"/>
    </row>
    <row r="2163" spans="1:2" x14ac:dyDescent="0.25">
      <c r="A2163" s="67"/>
      <c r="B2163" s="67"/>
    </row>
    <row r="2164" spans="1:2" x14ac:dyDescent="0.25">
      <c r="A2164" s="67"/>
      <c r="B2164" s="67"/>
    </row>
    <row r="2165" spans="1:2" x14ac:dyDescent="0.25">
      <c r="A2165" s="67"/>
      <c r="B2165" s="67"/>
    </row>
    <row r="2166" spans="1:2" x14ac:dyDescent="0.25">
      <c r="A2166" s="67"/>
      <c r="B2166" s="67"/>
    </row>
    <row r="2167" spans="1:2" x14ac:dyDescent="0.25">
      <c r="A2167" s="67"/>
      <c r="B2167" s="67"/>
    </row>
    <row r="2168" spans="1:2" x14ac:dyDescent="0.25">
      <c r="A2168" s="67"/>
      <c r="B2168" s="67"/>
    </row>
    <row r="2169" spans="1:2" x14ac:dyDescent="0.25">
      <c r="A2169" s="67"/>
      <c r="B2169" s="67"/>
    </row>
    <row r="2170" spans="1:2" x14ac:dyDescent="0.25">
      <c r="A2170" s="67"/>
      <c r="B2170" s="67"/>
    </row>
    <row r="2171" spans="1:2" x14ac:dyDescent="0.25">
      <c r="A2171" s="67"/>
      <c r="B2171" s="67"/>
    </row>
    <row r="2172" spans="1:2" x14ac:dyDescent="0.25">
      <c r="A2172" s="67"/>
      <c r="B2172" s="67"/>
    </row>
    <row r="2173" spans="1:2" x14ac:dyDescent="0.25">
      <c r="A2173" s="67"/>
      <c r="B2173" s="67"/>
    </row>
    <row r="2174" spans="1:2" x14ac:dyDescent="0.25">
      <c r="A2174" s="67"/>
      <c r="B2174" s="67"/>
    </row>
    <row r="2175" spans="1:2" x14ac:dyDescent="0.25">
      <c r="A2175" s="67"/>
      <c r="B2175" s="67"/>
    </row>
    <row r="2176" spans="1:2" x14ac:dyDescent="0.25">
      <c r="A2176" s="67"/>
      <c r="B2176" s="67"/>
    </row>
    <row r="2177" spans="1:2" x14ac:dyDescent="0.25">
      <c r="A2177" s="67"/>
      <c r="B2177" s="67"/>
    </row>
    <row r="2178" spans="1:2" x14ac:dyDescent="0.25">
      <c r="A2178" s="67"/>
      <c r="B2178" s="67"/>
    </row>
    <row r="2179" spans="1:2" x14ac:dyDescent="0.25">
      <c r="A2179" s="67"/>
      <c r="B2179" s="67"/>
    </row>
    <row r="2180" spans="1:2" x14ac:dyDescent="0.25">
      <c r="A2180" s="67"/>
      <c r="B2180" s="67"/>
    </row>
    <row r="2181" spans="1:2" x14ac:dyDescent="0.25">
      <c r="A2181" s="67"/>
      <c r="B2181" s="67"/>
    </row>
    <row r="2182" spans="1:2" x14ac:dyDescent="0.25">
      <c r="A2182" s="67"/>
      <c r="B2182" s="67"/>
    </row>
    <row r="2183" spans="1:2" x14ac:dyDescent="0.25">
      <c r="A2183" s="67"/>
      <c r="B2183" s="67"/>
    </row>
    <row r="2184" spans="1:2" x14ac:dyDescent="0.25">
      <c r="A2184" s="67"/>
      <c r="B2184" s="67"/>
    </row>
    <row r="2185" spans="1:2" x14ac:dyDescent="0.25">
      <c r="A2185" s="67"/>
      <c r="B2185" s="67"/>
    </row>
    <row r="2186" spans="1:2" x14ac:dyDescent="0.25">
      <c r="A2186" s="67"/>
      <c r="B2186" s="67"/>
    </row>
    <row r="2187" spans="1:2" x14ac:dyDescent="0.25">
      <c r="A2187" s="67"/>
      <c r="B2187" s="67"/>
    </row>
    <row r="2188" spans="1:2" x14ac:dyDescent="0.25">
      <c r="A2188" s="67"/>
      <c r="B2188" s="67"/>
    </row>
    <row r="2189" spans="1:2" x14ac:dyDescent="0.25">
      <c r="A2189" s="67"/>
      <c r="B2189" s="67"/>
    </row>
    <row r="2190" spans="1:2" x14ac:dyDescent="0.25">
      <c r="A2190" s="67"/>
      <c r="B2190" s="67"/>
    </row>
    <row r="2191" spans="1:2" x14ac:dyDescent="0.25">
      <c r="A2191" s="67"/>
      <c r="B2191" s="67"/>
    </row>
    <row r="2192" spans="1:2" x14ac:dyDescent="0.25">
      <c r="A2192" s="67"/>
      <c r="B2192" s="67"/>
    </row>
    <row r="2193" spans="1:2" x14ac:dyDescent="0.25">
      <c r="A2193" s="67"/>
      <c r="B2193" s="67"/>
    </row>
    <row r="2194" spans="1:2" x14ac:dyDescent="0.25">
      <c r="A2194" s="67"/>
      <c r="B2194" s="67"/>
    </row>
    <row r="2195" spans="1:2" x14ac:dyDescent="0.25">
      <c r="A2195" s="67"/>
      <c r="B2195" s="67"/>
    </row>
    <row r="2196" spans="1:2" x14ac:dyDescent="0.25">
      <c r="A2196" s="67"/>
      <c r="B2196" s="67"/>
    </row>
    <row r="2197" spans="1:2" x14ac:dyDescent="0.25">
      <c r="A2197" s="67"/>
      <c r="B2197" s="67"/>
    </row>
    <row r="2198" spans="1:2" x14ac:dyDescent="0.25">
      <c r="A2198" s="67"/>
      <c r="B2198" s="67"/>
    </row>
    <row r="2199" spans="1:2" x14ac:dyDescent="0.25">
      <c r="A2199" s="67"/>
      <c r="B2199" s="67"/>
    </row>
    <row r="2200" spans="1:2" x14ac:dyDescent="0.25">
      <c r="A2200" s="67"/>
      <c r="B2200" s="67"/>
    </row>
    <row r="2201" spans="1:2" x14ac:dyDescent="0.25">
      <c r="A2201" s="67"/>
      <c r="B2201" s="67"/>
    </row>
    <row r="2202" spans="1:2" x14ac:dyDescent="0.25">
      <c r="A2202" s="67"/>
      <c r="B2202" s="67"/>
    </row>
    <row r="2203" spans="1:2" x14ac:dyDescent="0.25">
      <c r="A2203" s="67"/>
      <c r="B2203" s="67"/>
    </row>
    <row r="2204" spans="1:2" x14ac:dyDescent="0.25">
      <c r="A2204" s="67"/>
      <c r="B2204" s="67"/>
    </row>
    <row r="2205" spans="1:2" x14ac:dyDescent="0.25">
      <c r="A2205" s="67"/>
      <c r="B2205" s="67"/>
    </row>
    <row r="2206" spans="1:2" x14ac:dyDescent="0.25">
      <c r="A2206" s="67"/>
      <c r="B2206" s="67"/>
    </row>
    <row r="2207" spans="1:2" x14ac:dyDescent="0.25">
      <c r="A2207" s="67"/>
      <c r="B2207" s="67"/>
    </row>
    <row r="2208" spans="1:2" x14ac:dyDescent="0.25">
      <c r="A2208" s="67"/>
      <c r="B2208" s="67"/>
    </row>
    <row r="2209" spans="1:2" x14ac:dyDescent="0.25">
      <c r="A2209" s="67"/>
      <c r="B2209" s="67"/>
    </row>
    <row r="2210" spans="1:2" x14ac:dyDescent="0.25">
      <c r="A2210" s="67"/>
      <c r="B2210" s="67"/>
    </row>
    <row r="2211" spans="1:2" x14ac:dyDescent="0.25">
      <c r="A2211" s="67"/>
      <c r="B2211" s="67"/>
    </row>
    <row r="2212" spans="1:2" x14ac:dyDescent="0.25">
      <c r="A2212" s="67"/>
      <c r="B2212" s="67"/>
    </row>
    <row r="2213" spans="1:2" x14ac:dyDescent="0.25">
      <c r="A2213" s="67"/>
      <c r="B2213" s="67"/>
    </row>
    <row r="2214" spans="1:2" x14ac:dyDescent="0.25">
      <c r="A2214" s="67"/>
      <c r="B2214" s="67"/>
    </row>
    <row r="2215" spans="1:2" x14ac:dyDescent="0.25">
      <c r="A2215" s="67"/>
      <c r="B2215" s="67"/>
    </row>
    <row r="2216" spans="1:2" x14ac:dyDescent="0.25">
      <c r="A2216" s="67"/>
      <c r="B2216" s="67"/>
    </row>
    <row r="2217" spans="1:2" x14ac:dyDescent="0.25">
      <c r="A2217" s="67"/>
      <c r="B2217" s="67"/>
    </row>
    <row r="2218" spans="1:2" x14ac:dyDescent="0.25">
      <c r="A2218" s="67"/>
      <c r="B2218" s="67"/>
    </row>
    <row r="2219" spans="1:2" x14ac:dyDescent="0.25">
      <c r="A2219" s="67"/>
      <c r="B2219" s="67"/>
    </row>
    <row r="2220" spans="1:2" x14ac:dyDescent="0.25">
      <c r="A2220" s="67"/>
      <c r="B2220" s="67"/>
    </row>
    <row r="2221" spans="1:2" x14ac:dyDescent="0.25">
      <c r="A2221" s="67"/>
      <c r="B2221" s="67"/>
    </row>
    <row r="2222" spans="1:2" x14ac:dyDescent="0.25">
      <c r="A2222" s="67"/>
      <c r="B2222" s="67"/>
    </row>
    <row r="2223" spans="1:2" x14ac:dyDescent="0.25">
      <c r="A2223" s="67"/>
      <c r="B2223" s="67"/>
    </row>
    <row r="2224" spans="1:2" x14ac:dyDescent="0.25">
      <c r="A2224" s="67"/>
      <c r="B2224" s="67"/>
    </row>
    <row r="2225" spans="1:2" x14ac:dyDescent="0.25">
      <c r="A2225" s="67"/>
      <c r="B2225" s="67"/>
    </row>
    <row r="2226" spans="1:2" x14ac:dyDescent="0.25">
      <c r="A2226" s="67"/>
      <c r="B2226" s="67"/>
    </row>
    <row r="2227" spans="1:2" x14ac:dyDescent="0.25">
      <c r="A2227" s="67"/>
      <c r="B2227" s="67"/>
    </row>
    <row r="2228" spans="1:2" x14ac:dyDescent="0.25">
      <c r="A2228" s="67"/>
      <c r="B2228" s="67"/>
    </row>
    <row r="2229" spans="1:2" x14ac:dyDescent="0.25">
      <c r="A2229" s="67"/>
      <c r="B2229" s="67"/>
    </row>
    <row r="2230" spans="1:2" x14ac:dyDescent="0.25">
      <c r="A2230" s="67"/>
      <c r="B2230" s="67"/>
    </row>
    <row r="2231" spans="1:2" x14ac:dyDescent="0.25">
      <c r="A2231" s="67"/>
      <c r="B2231" s="67"/>
    </row>
    <row r="2232" spans="1:2" x14ac:dyDescent="0.25">
      <c r="A2232" s="67"/>
      <c r="B2232" s="67"/>
    </row>
    <row r="2233" spans="1:2" x14ac:dyDescent="0.25">
      <c r="A2233" s="67"/>
      <c r="B2233" s="67"/>
    </row>
    <row r="2234" spans="1:2" x14ac:dyDescent="0.25">
      <c r="A2234" s="67"/>
      <c r="B2234" s="67"/>
    </row>
    <row r="2235" spans="1:2" x14ac:dyDescent="0.25">
      <c r="A2235" s="67"/>
      <c r="B2235" s="67"/>
    </row>
    <row r="2236" spans="1:2" x14ac:dyDescent="0.25">
      <c r="A2236" s="67"/>
      <c r="B2236" s="67"/>
    </row>
    <row r="2237" spans="1:2" x14ac:dyDescent="0.25">
      <c r="A2237" s="67"/>
      <c r="B2237" s="67"/>
    </row>
    <row r="2238" spans="1:2" x14ac:dyDescent="0.25">
      <c r="A2238" s="67"/>
      <c r="B2238" s="67"/>
    </row>
    <row r="2239" spans="1:2" x14ac:dyDescent="0.25">
      <c r="A2239" s="67"/>
      <c r="B2239" s="67"/>
    </row>
    <row r="2240" spans="1:2" x14ac:dyDescent="0.25">
      <c r="A2240" s="67"/>
      <c r="B2240" s="67"/>
    </row>
    <row r="2241" spans="1:2" x14ac:dyDescent="0.25">
      <c r="A2241" s="67"/>
      <c r="B2241" s="67"/>
    </row>
    <row r="2242" spans="1:2" x14ac:dyDescent="0.25">
      <c r="A2242" s="67"/>
      <c r="B2242" s="67"/>
    </row>
    <row r="2243" spans="1:2" x14ac:dyDescent="0.25">
      <c r="A2243" s="67"/>
      <c r="B2243" s="67"/>
    </row>
    <row r="2244" spans="1:2" x14ac:dyDescent="0.25">
      <c r="A2244" s="67"/>
      <c r="B2244" s="67"/>
    </row>
    <row r="2245" spans="1:2" x14ac:dyDescent="0.25">
      <c r="A2245" s="67"/>
      <c r="B2245" s="67"/>
    </row>
    <row r="2246" spans="1:2" x14ac:dyDescent="0.25">
      <c r="A2246" s="67"/>
      <c r="B2246" s="67"/>
    </row>
    <row r="2247" spans="1:2" x14ac:dyDescent="0.25">
      <c r="A2247" s="67"/>
      <c r="B2247" s="67"/>
    </row>
    <row r="2248" spans="1:2" x14ac:dyDescent="0.25">
      <c r="A2248" s="67"/>
      <c r="B2248" s="67"/>
    </row>
    <row r="2249" spans="1:2" x14ac:dyDescent="0.25">
      <c r="A2249" s="67"/>
      <c r="B2249" s="67"/>
    </row>
    <row r="2250" spans="1:2" x14ac:dyDescent="0.25">
      <c r="A2250" s="67"/>
      <c r="B2250" s="67"/>
    </row>
    <row r="2251" spans="1:2" x14ac:dyDescent="0.25">
      <c r="A2251" s="67"/>
      <c r="B2251" s="67"/>
    </row>
    <row r="2252" spans="1:2" x14ac:dyDescent="0.25">
      <c r="A2252" s="67"/>
      <c r="B2252" s="67"/>
    </row>
    <row r="2253" spans="1:2" x14ac:dyDescent="0.25">
      <c r="A2253" s="67"/>
      <c r="B2253" s="67"/>
    </row>
    <row r="2254" spans="1:2" x14ac:dyDescent="0.25">
      <c r="A2254" s="67"/>
      <c r="B2254" s="67"/>
    </row>
    <row r="2255" spans="1:2" x14ac:dyDescent="0.25">
      <c r="A2255" s="67"/>
      <c r="B2255" s="67"/>
    </row>
    <row r="2256" spans="1:2" x14ac:dyDescent="0.25">
      <c r="A2256" s="67"/>
      <c r="B2256" s="67"/>
    </row>
    <row r="2257" spans="1:2" x14ac:dyDescent="0.25">
      <c r="A2257" s="67"/>
      <c r="B2257" s="67"/>
    </row>
    <row r="2258" spans="1:2" x14ac:dyDescent="0.25">
      <c r="A2258" s="67"/>
      <c r="B2258" s="67"/>
    </row>
    <row r="2259" spans="1:2" x14ac:dyDescent="0.25">
      <c r="A2259" s="67"/>
      <c r="B2259" s="67"/>
    </row>
    <row r="2260" spans="1:2" x14ac:dyDescent="0.25">
      <c r="A2260" s="67"/>
      <c r="B2260" s="67"/>
    </row>
    <row r="2261" spans="1:2" x14ac:dyDescent="0.25">
      <c r="A2261" s="67"/>
      <c r="B2261" s="67"/>
    </row>
    <row r="2262" spans="1:2" x14ac:dyDescent="0.25">
      <c r="A2262" s="67"/>
      <c r="B2262" s="67"/>
    </row>
    <row r="2263" spans="1:2" x14ac:dyDescent="0.25">
      <c r="A2263" s="67"/>
      <c r="B2263" s="67"/>
    </row>
    <row r="2264" spans="1:2" x14ac:dyDescent="0.25">
      <c r="A2264" s="67"/>
      <c r="B2264" s="67"/>
    </row>
    <row r="2265" spans="1:2" x14ac:dyDescent="0.25">
      <c r="A2265" s="67"/>
      <c r="B2265" s="67"/>
    </row>
    <row r="2266" spans="1:2" x14ac:dyDescent="0.25">
      <c r="A2266" s="67"/>
      <c r="B2266" s="67"/>
    </row>
    <row r="2267" spans="1:2" x14ac:dyDescent="0.25">
      <c r="A2267" s="67"/>
      <c r="B2267" s="67"/>
    </row>
    <row r="2268" spans="1:2" x14ac:dyDescent="0.25">
      <c r="A2268" s="67"/>
      <c r="B2268" s="67"/>
    </row>
    <row r="2269" spans="1:2" x14ac:dyDescent="0.25">
      <c r="A2269" s="67"/>
      <c r="B2269" s="67"/>
    </row>
    <row r="2270" spans="1:2" x14ac:dyDescent="0.25">
      <c r="A2270" s="67"/>
      <c r="B2270" s="67"/>
    </row>
    <row r="2271" spans="1:2" x14ac:dyDescent="0.25">
      <c r="A2271" s="67"/>
      <c r="B2271" s="67"/>
    </row>
    <row r="2272" spans="1:2" x14ac:dyDescent="0.25">
      <c r="A2272" s="67"/>
      <c r="B2272" s="67"/>
    </row>
    <row r="2273" spans="1:2" x14ac:dyDescent="0.25">
      <c r="A2273" s="67"/>
      <c r="B2273" s="67"/>
    </row>
    <row r="2274" spans="1:2" x14ac:dyDescent="0.25">
      <c r="A2274" s="67"/>
      <c r="B2274" s="67"/>
    </row>
    <row r="2275" spans="1:2" x14ac:dyDescent="0.25">
      <c r="A2275" s="67"/>
      <c r="B2275" s="67"/>
    </row>
    <row r="2276" spans="1:2" x14ac:dyDescent="0.25">
      <c r="A2276" s="67"/>
      <c r="B2276" s="67"/>
    </row>
    <row r="2277" spans="1:2" x14ac:dyDescent="0.25">
      <c r="A2277" s="67"/>
      <c r="B2277" s="67"/>
    </row>
    <row r="2278" spans="1:2" x14ac:dyDescent="0.25">
      <c r="A2278" s="67"/>
      <c r="B2278" s="67"/>
    </row>
    <row r="2279" spans="1:2" x14ac:dyDescent="0.25">
      <c r="A2279" s="67"/>
      <c r="B2279" s="67"/>
    </row>
    <row r="2280" spans="1:2" x14ac:dyDescent="0.25">
      <c r="A2280" s="67"/>
      <c r="B2280" s="67"/>
    </row>
    <row r="2281" spans="1:2" x14ac:dyDescent="0.25">
      <c r="A2281" s="67"/>
      <c r="B2281" s="67"/>
    </row>
    <row r="2282" spans="1:2" x14ac:dyDescent="0.25">
      <c r="A2282" s="67"/>
      <c r="B2282" s="67"/>
    </row>
    <row r="2283" spans="1:2" x14ac:dyDescent="0.25">
      <c r="A2283" s="67"/>
      <c r="B2283" s="67"/>
    </row>
    <row r="2284" spans="1:2" x14ac:dyDescent="0.25">
      <c r="A2284" s="67"/>
      <c r="B2284" s="67"/>
    </row>
    <row r="2285" spans="1:2" x14ac:dyDescent="0.25">
      <c r="A2285" s="67"/>
      <c r="B2285" s="67"/>
    </row>
    <row r="2286" spans="1:2" x14ac:dyDescent="0.25">
      <c r="A2286" s="67"/>
      <c r="B2286" s="67"/>
    </row>
    <row r="2287" spans="1:2" x14ac:dyDescent="0.25">
      <c r="A2287" s="67"/>
      <c r="B2287" s="67"/>
    </row>
    <row r="2288" spans="1:2" x14ac:dyDescent="0.25">
      <c r="A2288" s="67"/>
      <c r="B2288" s="67"/>
    </row>
    <row r="2289" spans="1:2" x14ac:dyDescent="0.25">
      <c r="A2289" s="67"/>
      <c r="B2289" s="67"/>
    </row>
    <row r="2290" spans="1:2" x14ac:dyDescent="0.25">
      <c r="A2290" s="67"/>
      <c r="B2290" s="67"/>
    </row>
    <row r="2291" spans="1:2" x14ac:dyDescent="0.25">
      <c r="A2291" s="67"/>
      <c r="B2291" s="67"/>
    </row>
    <row r="2292" spans="1:2" x14ac:dyDescent="0.25">
      <c r="A2292" s="67"/>
      <c r="B2292" s="67"/>
    </row>
    <row r="2293" spans="1:2" x14ac:dyDescent="0.25">
      <c r="A2293" s="67"/>
      <c r="B2293" s="67"/>
    </row>
    <row r="2294" spans="1:2" x14ac:dyDescent="0.25">
      <c r="A2294" s="67"/>
      <c r="B2294" s="67"/>
    </row>
    <row r="2295" spans="1:2" x14ac:dyDescent="0.25">
      <c r="A2295" s="67"/>
      <c r="B2295" s="67"/>
    </row>
    <row r="2296" spans="1:2" x14ac:dyDescent="0.25">
      <c r="A2296" s="67"/>
      <c r="B2296" s="67"/>
    </row>
    <row r="2297" spans="1:2" x14ac:dyDescent="0.25">
      <c r="A2297" s="67"/>
      <c r="B2297" s="67"/>
    </row>
    <row r="2298" spans="1:2" x14ac:dyDescent="0.25">
      <c r="A2298" s="67"/>
      <c r="B2298" s="67"/>
    </row>
    <row r="2299" spans="1:2" x14ac:dyDescent="0.25">
      <c r="A2299" s="67"/>
      <c r="B2299" s="67"/>
    </row>
    <row r="2300" spans="1:2" x14ac:dyDescent="0.25">
      <c r="A2300" s="67"/>
      <c r="B2300" s="67"/>
    </row>
    <row r="2301" spans="1:2" x14ac:dyDescent="0.25">
      <c r="A2301" s="67"/>
      <c r="B2301" s="67"/>
    </row>
    <row r="2302" spans="1:2" x14ac:dyDescent="0.25">
      <c r="A2302" s="67"/>
      <c r="B2302" s="67"/>
    </row>
    <row r="2303" spans="1:2" x14ac:dyDescent="0.25">
      <c r="A2303" s="67"/>
      <c r="B2303" s="67"/>
    </row>
    <row r="2304" spans="1:2" x14ac:dyDescent="0.25">
      <c r="A2304" s="67"/>
      <c r="B2304" s="67"/>
    </row>
    <row r="2305" spans="1:2" x14ac:dyDescent="0.25">
      <c r="A2305" s="67"/>
      <c r="B2305" s="67"/>
    </row>
    <row r="2306" spans="1:2" x14ac:dyDescent="0.25">
      <c r="A2306" s="67"/>
      <c r="B2306" s="67"/>
    </row>
    <row r="2307" spans="1:2" x14ac:dyDescent="0.25">
      <c r="A2307" s="67"/>
      <c r="B2307" s="67"/>
    </row>
    <row r="2308" spans="1:2" x14ac:dyDescent="0.25">
      <c r="A2308" s="67"/>
      <c r="B2308" s="67"/>
    </row>
    <row r="2309" spans="1:2" x14ac:dyDescent="0.25">
      <c r="A2309" s="67"/>
      <c r="B2309" s="67"/>
    </row>
    <row r="2310" spans="1:2" x14ac:dyDescent="0.25">
      <c r="A2310" s="67"/>
      <c r="B2310" s="67"/>
    </row>
    <row r="2311" spans="1:2" x14ac:dyDescent="0.25">
      <c r="A2311" s="67"/>
      <c r="B2311" s="67"/>
    </row>
    <row r="2312" spans="1:2" x14ac:dyDescent="0.25">
      <c r="A2312" s="67"/>
      <c r="B2312" s="67"/>
    </row>
    <row r="2313" spans="1:2" x14ac:dyDescent="0.25">
      <c r="A2313" s="67"/>
      <c r="B2313" s="67"/>
    </row>
    <row r="2314" spans="1:2" x14ac:dyDescent="0.25">
      <c r="A2314" s="67"/>
      <c r="B2314" s="67"/>
    </row>
    <row r="2315" spans="1:2" x14ac:dyDescent="0.25">
      <c r="A2315" s="67"/>
      <c r="B2315" s="67"/>
    </row>
    <row r="2316" spans="1:2" x14ac:dyDescent="0.25">
      <c r="A2316" s="67"/>
      <c r="B2316" s="67"/>
    </row>
    <row r="2317" spans="1:2" x14ac:dyDescent="0.25">
      <c r="A2317" s="67"/>
      <c r="B2317" s="67"/>
    </row>
    <row r="2318" spans="1:2" x14ac:dyDescent="0.25">
      <c r="A2318" s="67"/>
      <c r="B2318" s="67"/>
    </row>
    <row r="2319" spans="1:2" x14ac:dyDescent="0.25">
      <c r="A2319" s="67"/>
      <c r="B2319" s="67"/>
    </row>
    <row r="2320" spans="1:2" x14ac:dyDescent="0.25">
      <c r="A2320" s="67"/>
      <c r="B2320" s="67"/>
    </row>
    <row r="2321" spans="1:2" x14ac:dyDescent="0.25">
      <c r="A2321" s="67"/>
      <c r="B2321" s="67"/>
    </row>
    <row r="2322" spans="1:2" x14ac:dyDescent="0.25">
      <c r="A2322" s="67"/>
      <c r="B2322" s="67"/>
    </row>
    <row r="2323" spans="1:2" x14ac:dyDescent="0.25">
      <c r="A2323" s="67"/>
      <c r="B2323" s="67"/>
    </row>
    <row r="2324" spans="1:2" x14ac:dyDescent="0.25">
      <c r="A2324" s="67"/>
      <c r="B2324" s="67"/>
    </row>
    <row r="2325" spans="1:2" x14ac:dyDescent="0.25">
      <c r="A2325" s="67"/>
      <c r="B2325" s="67"/>
    </row>
    <row r="2326" spans="1:2" x14ac:dyDescent="0.25">
      <c r="A2326" s="67"/>
      <c r="B2326" s="67"/>
    </row>
    <row r="2327" spans="1:2" x14ac:dyDescent="0.25">
      <c r="A2327" s="67"/>
      <c r="B2327" s="67"/>
    </row>
    <row r="2328" spans="1:2" x14ac:dyDescent="0.25">
      <c r="A2328" s="67"/>
      <c r="B2328" s="67"/>
    </row>
    <row r="2329" spans="1:2" x14ac:dyDescent="0.25">
      <c r="A2329" s="67"/>
      <c r="B2329" s="67"/>
    </row>
    <row r="2330" spans="1:2" x14ac:dyDescent="0.25">
      <c r="A2330" s="67"/>
      <c r="B2330" s="67"/>
    </row>
    <row r="2331" spans="1:2" x14ac:dyDescent="0.25">
      <c r="A2331" s="67"/>
      <c r="B2331" s="67"/>
    </row>
    <row r="2332" spans="1:2" x14ac:dyDescent="0.25">
      <c r="A2332" s="67"/>
      <c r="B2332" s="67"/>
    </row>
    <row r="2333" spans="1:2" x14ac:dyDescent="0.25">
      <c r="A2333" s="67"/>
      <c r="B2333" s="67"/>
    </row>
    <row r="2334" spans="1:2" x14ac:dyDescent="0.25">
      <c r="A2334" s="67"/>
      <c r="B2334" s="67"/>
    </row>
    <row r="2335" spans="1:2" x14ac:dyDescent="0.25">
      <c r="A2335" s="67"/>
      <c r="B2335" s="67"/>
    </row>
    <row r="2336" spans="1:2" x14ac:dyDescent="0.25">
      <c r="A2336" s="67"/>
      <c r="B2336" s="67"/>
    </row>
    <row r="2337" spans="1:2" x14ac:dyDescent="0.25">
      <c r="A2337" s="67"/>
      <c r="B2337" s="67"/>
    </row>
    <row r="2338" spans="1:2" x14ac:dyDescent="0.25">
      <c r="A2338" s="67"/>
      <c r="B2338" s="67"/>
    </row>
    <row r="2339" spans="1:2" x14ac:dyDescent="0.25">
      <c r="A2339" s="67"/>
      <c r="B2339" s="67"/>
    </row>
    <row r="2340" spans="1:2" x14ac:dyDescent="0.25">
      <c r="A2340" s="67"/>
      <c r="B2340" s="67"/>
    </row>
    <row r="2341" spans="1:2" x14ac:dyDescent="0.25">
      <c r="A2341" s="67"/>
      <c r="B2341" s="67"/>
    </row>
    <row r="2342" spans="1:2" x14ac:dyDescent="0.25">
      <c r="A2342" s="67"/>
      <c r="B2342" s="67"/>
    </row>
    <row r="2343" spans="1:2" x14ac:dyDescent="0.25">
      <c r="A2343" s="67"/>
      <c r="B2343" s="67"/>
    </row>
    <row r="2344" spans="1:2" x14ac:dyDescent="0.25">
      <c r="A2344" s="67"/>
      <c r="B2344" s="67"/>
    </row>
    <row r="2345" spans="1:2" x14ac:dyDescent="0.25">
      <c r="A2345" s="67"/>
      <c r="B2345" s="67"/>
    </row>
    <row r="2346" spans="1:2" x14ac:dyDescent="0.25">
      <c r="A2346" s="67"/>
      <c r="B2346" s="67"/>
    </row>
    <row r="2347" spans="1:2" x14ac:dyDescent="0.25">
      <c r="A2347" s="67"/>
      <c r="B2347" s="67"/>
    </row>
    <row r="2348" spans="1:2" x14ac:dyDescent="0.25">
      <c r="A2348" s="67"/>
      <c r="B2348" s="67"/>
    </row>
    <row r="2349" spans="1:2" x14ac:dyDescent="0.25">
      <c r="A2349" s="67"/>
      <c r="B2349" s="67"/>
    </row>
    <row r="2350" spans="1:2" x14ac:dyDescent="0.25">
      <c r="A2350" s="67"/>
      <c r="B2350" s="67"/>
    </row>
    <row r="2351" spans="1:2" x14ac:dyDescent="0.25">
      <c r="A2351" s="67"/>
      <c r="B2351" s="67"/>
    </row>
    <row r="2352" spans="1:2" x14ac:dyDescent="0.25">
      <c r="A2352" s="67"/>
      <c r="B2352" s="67"/>
    </row>
    <row r="2353" spans="1:2" x14ac:dyDescent="0.25">
      <c r="A2353" s="67"/>
      <c r="B2353" s="67"/>
    </row>
    <row r="2354" spans="1:2" x14ac:dyDescent="0.25">
      <c r="A2354" s="67"/>
      <c r="B2354" s="67"/>
    </row>
    <row r="2355" spans="1:2" x14ac:dyDescent="0.25">
      <c r="A2355" s="67"/>
      <c r="B2355" s="67"/>
    </row>
    <row r="2356" spans="1:2" x14ac:dyDescent="0.25">
      <c r="A2356" s="67"/>
      <c r="B2356" s="67"/>
    </row>
    <row r="2357" spans="1:2" x14ac:dyDescent="0.25">
      <c r="A2357" s="67"/>
      <c r="B2357" s="67"/>
    </row>
    <row r="2358" spans="1:2" x14ac:dyDescent="0.25">
      <c r="A2358" s="67"/>
      <c r="B2358" s="67"/>
    </row>
    <row r="2359" spans="1:2" x14ac:dyDescent="0.25">
      <c r="A2359" s="67"/>
      <c r="B2359" s="67"/>
    </row>
    <row r="2360" spans="1:2" x14ac:dyDescent="0.25">
      <c r="A2360" s="67"/>
      <c r="B2360" s="67"/>
    </row>
    <row r="2361" spans="1:2" x14ac:dyDescent="0.25">
      <c r="A2361" s="67"/>
      <c r="B2361" s="67"/>
    </row>
    <row r="2362" spans="1:2" x14ac:dyDescent="0.25">
      <c r="A2362" s="67"/>
      <c r="B2362" s="67"/>
    </row>
    <row r="2363" spans="1:2" x14ac:dyDescent="0.25">
      <c r="A2363" s="67"/>
      <c r="B2363" s="67"/>
    </row>
    <row r="2364" spans="1:2" x14ac:dyDescent="0.25">
      <c r="A2364" s="67"/>
      <c r="B2364" s="67"/>
    </row>
    <row r="2365" spans="1:2" x14ac:dyDescent="0.25">
      <c r="A2365" s="67"/>
      <c r="B2365" s="67"/>
    </row>
    <row r="2366" spans="1:2" x14ac:dyDescent="0.25">
      <c r="A2366" s="67"/>
      <c r="B2366" s="67"/>
    </row>
    <row r="2367" spans="1:2" x14ac:dyDescent="0.25">
      <c r="A2367" s="67"/>
      <c r="B2367" s="67"/>
    </row>
    <row r="2368" spans="1:2" x14ac:dyDescent="0.25">
      <c r="A2368" s="67"/>
      <c r="B2368" s="67"/>
    </row>
    <row r="2369" spans="1:2" x14ac:dyDescent="0.25">
      <c r="A2369" s="67"/>
      <c r="B2369" s="67"/>
    </row>
    <row r="2370" spans="1:2" x14ac:dyDescent="0.25">
      <c r="A2370" s="67"/>
      <c r="B2370" s="67"/>
    </row>
    <row r="2371" spans="1:2" x14ac:dyDescent="0.25">
      <c r="A2371" s="67"/>
      <c r="B2371" s="67"/>
    </row>
    <row r="2372" spans="1:2" x14ac:dyDescent="0.25">
      <c r="A2372" s="67"/>
      <c r="B2372" s="67"/>
    </row>
    <row r="2373" spans="1:2" x14ac:dyDescent="0.25">
      <c r="A2373" s="67"/>
      <c r="B2373" s="67"/>
    </row>
    <row r="2374" spans="1:2" x14ac:dyDescent="0.25">
      <c r="A2374" s="67"/>
      <c r="B2374" s="67"/>
    </row>
    <row r="2375" spans="1:2" x14ac:dyDescent="0.25">
      <c r="A2375" s="67"/>
      <c r="B2375" s="67"/>
    </row>
    <row r="2376" spans="1:2" x14ac:dyDescent="0.25">
      <c r="A2376" s="67"/>
      <c r="B2376" s="67"/>
    </row>
    <row r="2377" spans="1:2" x14ac:dyDescent="0.25">
      <c r="A2377" s="67"/>
      <c r="B2377" s="67"/>
    </row>
    <row r="2378" spans="1:2" x14ac:dyDescent="0.25">
      <c r="A2378" s="67"/>
      <c r="B2378" s="67"/>
    </row>
    <row r="2379" spans="1:2" x14ac:dyDescent="0.25">
      <c r="A2379" s="67"/>
      <c r="B2379" s="67"/>
    </row>
    <row r="2380" spans="1:2" x14ac:dyDescent="0.25">
      <c r="A2380" s="67"/>
      <c r="B2380" s="67"/>
    </row>
    <row r="2381" spans="1:2" x14ac:dyDescent="0.25">
      <c r="A2381" s="67"/>
      <c r="B2381" s="67"/>
    </row>
    <row r="2382" spans="1:2" x14ac:dyDescent="0.25">
      <c r="A2382" s="67"/>
      <c r="B2382" s="67"/>
    </row>
    <row r="2383" spans="1:2" x14ac:dyDescent="0.25">
      <c r="A2383" s="67"/>
      <c r="B2383" s="67"/>
    </row>
    <row r="2384" spans="1:2" x14ac:dyDescent="0.25">
      <c r="A2384" s="67"/>
      <c r="B2384" s="67"/>
    </row>
    <row r="2385" spans="1:2" x14ac:dyDescent="0.25">
      <c r="A2385" s="67"/>
      <c r="B2385" s="67"/>
    </row>
    <row r="2386" spans="1:2" x14ac:dyDescent="0.25">
      <c r="A2386" s="67"/>
      <c r="B2386" s="67"/>
    </row>
    <row r="2387" spans="1:2" x14ac:dyDescent="0.25">
      <c r="A2387" s="67"/>
      <c r="B2387" s="67"/>
    </row>
    <row r="2388" spans="1:2" x14ac:dyDescent="0.25">
      <c r="A2388" s="67"/>
      <c r="B2388" s="67"/>
    </row>
    <row r="2389" spans="1:2" x14ac:dyDescent="0.25">
      <c r="A2389" s="67"/>
      <c r="B2389" s="67"/>
    </row>
    <row r="2390" spans="1:2" x14ac:dyDescent="0.25">
      <c r="A2390" s="67"/>
      <c r="B2390" s="67"/>
    </row>
    <row r="2391" spans="1:2" x14ac:dyDescent="0.25">
      <c r="A2391" s="67"/>
      <c r="B2391" s="67"/>
    </row>
    <row r="2392" spans="1:2" x14ac:dyDescent="0.25">
      <c r="A2392" s="67"/>
      <c r="B2392" s="67"/>
    </row>
    <row r="2393" spans="1:2" x14ac:dyDescent="0.25">
      <c r="A2393" s="67"/>
      <c r="B2393" s="67"/>
    </row>
    <row r="2394" spans="1:2" x14ac:dyDescent="0.25">
      <c r="A2394" s="67"/>
      <c r="B2394" s="67"/>
    </row>
    <row r="2395" spans="1:2" x14ac:dyDescent="0.25">
      <c r="A2395" s="67"/>
      <c r="B2395" s="67"/>
    </row>
    <row r="2396" spans="1:2" x14ac:dyDescent="0.25">
      <c r="A2396" s="67"/>
      <c r="B2396" s="67"/>
    </row>
    <row r="2397" spans="1:2" x14ac:dyDescent="0.25">
      <c r="A2397" s="67"/>
      <c r="B2397" s="67"/>
    </row>
    <row r="2398" spans="1:2" x14ac:dyDescent="0.25">
      <c r="A2398" s="67"/>
      <c r="B2398" s="67"/>
    </row>
    <row r="2399" spans="1:2" x14ac:dyDescent="0.25">
      <c r="A2399" s="67"/>
      <c r="B2399" s="67"/>
    </row>
    <row r="2400" spans="1:2" x14ac:dyDescent="0.25">
      <c r="A2400" s="67"/>
      <c r="B2400" s="67"/>
    </row>
    <row r="2401" spans="1:2" x14ac:dyDescent="0.25">
      <c r="A2401" s="67"/>
      <c r="B2401" s="67"/>
    </row>
    <row r="2402" spans="1:2" x14ac:dyDescent="0.25">
      <c r="A2402" s="67"/>
      <c r="B2402" s="67"/>
    </row>
    <row r="2403" spans="1:2" x14ac:dyDescent="0.25">
      <c r="A2403" s="67"/>
      <c r="B2403" s="67"/>
    </row>
    <row r="2404" spans="1:2" x14ac:dyDescent="0.25">
      <c r="A2404" s="67"/>
      <c r="B2404" s="67"/>
    </row>
    <row r="2405" spans="1:2" x14ac:dyDescent="0.25">
      <c r="A2405" s="67"/>
      <c r="B2405" s="67"/>
    </row>
    <row r="2406" spans="1:2" x14ac:dyDescent="0.25">
      <c r="A2406" s="67"/>
      <c r="B2406" s="67"/>
    </row>
    <row r="2407" spans="1:2" x14ac:dyDescent="0.25">
      <c r="A2407" s="67"/>
      <c r="B2407" s="67"/>
    </row>
    <row r="2408" spans="1:2" x14ac:dyDescent="0.25">
      <c r="A2408" s="67"/>
      <c r="B2408" s="67"/>
    </row>
    <row r="2409" spans="1:2" x14ac:dyDescent="0.25">
      <c r="A2409" s="67"/>
      <c r="B2409" s="67"/>
    </row>
    <row r="2410" spans="1:2" x14ac:dyDescent="0.25">
      <c r="A2410" s="67"/>
      <c r="B2410" s="67"/>
    </row>
    <row r="2411" spans="1:2" x14ac:dyDescent="0.25">
      <c r="A2411" s="67"/>
      <c r="B2411" s="67"/>
    </row>
    <row r="2412" spans="1:2" x14ac:dyDescent="0.25">
      <c r="A2412" s="67"/>
      <c r="B2412" s="67"/>
    </row>
    <row r="2413" spans="1:2" x14ac:dyDescent="0.25">
      <c r="A2413" s="67"/>
      <c r="B2413" s="67"/>
    </row>
    <row r="2414" spans="1:2" x14ac:dyDescent="0.25">
      <c r="A2414" s="67"/>
      <c r="B2414" s="67"/>
    </row>
    <row r="2415" spans="1:2" x14ac:dyDescent="0.25">
      <c r="A2415" s="67"/>
      <c r="B2415" s="67"/>
    </row>
    <row r="2416" spans="1:2" x14ac:dyDescent="0.25">
      <c r="A2416" s="67"/>
      <c r="B2416" s="67"/>
    </row>
    <row r="2417" spans="1:2" x14ac:dyDescent="0.25">
      <c r="A2417" s="67"/>
      <c r="B2417" s="67"/>
    </row>
    <row r="2418" spans="1:2" x14ac:dyDescent="0.25">
      <c r="A2418" s="67"/>
      <c r="B2418" s="67"/>
    </row>
    <row r="2419" spans="1:2" x14ac:dyDescent="0.25">
      <c r="A2419" s="67"/>
      <c r="B2419" s="67"/>
    </row>
    <row r="2420" spans="1:2" x14ac:dyDescent="0.25">
      <c r="A2420" s="67"/>
      <c r="B2420" s="67"/>
    </row>
    <row r="2421" spans="1:2" x14ac:dyDescent="0.25">
      <c r="A2421" s="67"/>
      <c r="B2421" s="67"/>
    </row>
    <row r="2422" spans="1:2" x14ac:dyDescent="0.25">
      <c r="A2422" s="67"/>
      <c r="B2422" s="67"/>
    </row>
    <row r="2423" spans="1:2" x14ac:dyDescent="0.25">
      <c r="A2423" s="67"/>
      <c r="B2423" s="67"/>
    </row>
    <row r="2424" spans="1:2" x14ac:dyDescent="0.25">
      <c r="A2424" s="67"/>
      <c r="B2424" s="67"/>
    </row>
    <row r="2425" spans="1:2" x14ac:dyDescent="0.25">
      <c r="A2425" s="67"/>
      <c r="B2425" s="67"/>
    </row>
    <row r="2426" spans="1:2" x14ac:dyDescent="0.25">
      <c r="A2426" s="67"/>
      <c r="B2426" s="67"/>
    </row>
    <row r="2427" spans="1:2" x14ac:dyDescent="0.25">
      <c r="A2427" s="67"/>
      <c r="B2427" s="67"/>
    </row>
    <row r="2428" spans="1:2" x14ac:dyDescent="0.25">
      <c r="A2428" s="67"/>
      <c r="B2428" s="67"/>
    </row>
    <row r="2429" spans="1:2" x14ac:dyDescent="0.25">
      <c r="A2429" s="67"/>
      <c r="B2429" s="67"/>
    </row>
    <row r="2430" spans="1:2" x14ac:dyDescent="0.25">
      <c r="A2430" s="67"/>
      <c r="B2430" s="67"/>
    </row>
    <row r="2431" spans="1:2" x14ac:dyDescent="0.25">
      <c r="A2431" s="67"/>
      <c r="B2431" s="67"/>
    </row>
    <row r="2432" spans="1:2" x14ac:dyDescent="0.25">
      <c r="A2432" s="67"/>
      <c r="B2432" s="67"/>
    </row>
    <row r="2433" spans="1:2" x14ac:dyDescent="0.25">
      <c r="A2433" s="67"/>
      <c r="B2433" s="67"/>
    </row>
    <row r="2434" spans="1:2" x14ac:dyDescent="0.25">
      <c r="A2434" s="67"/>
      <c r="B2434" s="67"/>
    </row>
    <row r="2435" spans="1:2" x14ac:dyDescent="0.25">
      <c r="A2435" s="67"/>
      <c r="B2435" s="67"/>
    </row>
    <row r="2436" spans="1:2" x14ac:dyDescent="0.25">
      <c r="A2436" s="67"/>
      <c r="B2436" s="67"/>
    </row>
    <row r="2437" spans="1:2" x14ac:dyDescent="0.25">
      <c r="A2437" s="67"/>
      <c r="B2437" s="67"/>
    </row>
    <row r="2438" spans="1:2" x14ac:dyDescent="0.25">
      <c r="A2438" s="67"/>
      <c r="B2438" s="67"/>
    </row>
    <row r="2439" spans="1:2" x14ac:dyDescent="0.25">
      <c r="A2439" s="67"/>
      <c r="B2439" s="67"/>
    </row>
    <row r="2440" spans="1:2" x14ac:dyDescent="0.25">
      <c r="A2440" s="67"/>
      <c r="B2440" s="67"/>
    </row>
    <row r="2441" spans="1:2" x14ac:dyDescent="0.25">
      <c r="A2441" s="67"/>
      <c r="B2441" s="67"/>
    </row>
    <row r="2442" spans="1:2" x14ac:dyDescent="0.25">
      <c r="A2442" s="67"/>
      <c r="B2442" s="67"/>
    </row>
    <row r="2443" spans="1:2" x14ac:dyDescent="0.25">
      <c r="A2443" s="67"/>
      <c r="B2443" s="67"/>
    </row>
    <row r="2444" spans="1:2" x14ac:dyDescent="0.25">
      <c r="A2444" s="67"/>
      <c r="B2444" s="67"/>
    </row>
    <row r="2445" spans="1:2" x14ac:dyDescent="0.25">
      <c r="A2445" s="67"/>
      <c r="B2445" s="67"/>
    </row>
    <row r="2446" spans="1:2" x14ac:dyDescent="0.25">
      <c r="A2446" s="67"/>
      <c r="B2446" s="67"/>
    </row>
    <row r="2447" spans="1:2" x14ac:dyDescent="0.25">
      <c r="A2447" s="67"/>
      <c r="B2447" s="67"/>
    </row>
    <row r="2448" spans="1:2" x14ac:dyDescent="0.25">
      <c r="A2448" s="67"/>
      <c r="B2448" s="67"/>
    </row>
    <row r="2449" spans="1:2" x14ac:dyDescent="0.25">
      <c r="A2449" s="67"/>
      <c r="B2449" s="67"/>
    </row>
    <row r="2450" spans="1:2" x14ac:dyDescent="0.25">
      <c r="A2450" s="67"/>
      <c r="B2450" s="67"/>
    </row>
    <row r="2451" spans="1:2" x14ac:dyDescent="0.25">
      <c r="A2451" s="67"/>
      <c r="B2451" s="67"/>
    </row>
    <row r="2452" spans="1:2" x14ac:dyDescent="0.25">
      <c r="A2452" s="67"/>
      <c r="B2452" s="67"/>
    </row>
    <row r="2453" spans="1:2" x14ac:dyDescent="0.25">
      <c r="A2453" s="67"/>
      <c r="B2453" s="67"/>
    </row>
    <row r="2454" spans="1:2" x14ac:dyDescent="0.25">
      <c r="A2454" s="67"/>
      <c r="B2454" s="67"/>
    </row>
    <row r="2455" spans="1:2" x14ac:dyDescent="0.25">
      <c r="A2455" s="67"/>
      <c r="B2455" s="67"/>
    </row>
    <row r="2456" spans="1:2" x14ac:dyDescent="0.25">
      <c r="A2456" s="67"/>
      <c r="B2456" s="67"/>
    </row>
    <row r="2457" spans="1:2" x14ac:dyDescent="0.25">
      <c r="A2457" s="67"/>
      <c r="B2457" s="67"/>
    </row>
    <row r="2458" spans="1:2" x14ac:dyDescent="0.25">
      <c r="A2458" s="67"/>
      <c r="B2458" s="67"/>
    </row>
    <row r="2459" spans="1:2" x14ac:dyDescent="0.25">
      <c r="A2459" s="67"/>
      <c r="B2459" s="67"/>
    </row>
    <row r="2460" spans="1:2" x14ac:dyDescent="0.25">
      <c r="A2460" s="67"/>
      <c r="B2460" s="67"/>
    </row>
    <row r="2461" spans="1:2" x14ac:dyDescent="0.25">
      <c r="A2461" s="67"/>
      <c r="B2461" s="67"/>
    </row>
    <row r="2462" spans="1:2" x14ac:dyDescent="0.25">
      <c r="A2462" s="67"/>
      <c r="B2462" s="67"/>
    </row>
    <row r="2463" spans="1:2" x14ac:dyDescent="0.25">
      <c r="A2463" s="67"/>
      <c r="B2463" s="67"/>
    </row>
    <row r="2464" spans="1:2" x14ac:dyDescent="0.25">
      <c r="A2464" s="67"/>
      <c r="B2464" s="67"/>
    </row>
    <row r="2465" spans="1:2" x14ac:dyDescent="0.25">
      <c r="A2465" s="67"/>
      <c r="B2465" s="67"/>
    </row>
    <row r="2466" spans="1:2" x14ac:dyDescent="0.25">
      <c r="A2466" s="67"/>
      <c r="B2466" s="67"/>
    </row>
    <row r="2467" spans="1:2" x14ac:dyDescent="0.25">
      <c r="A2467" s="67"/>
      <c r="B2467" s="67"/>
    </row>
    <row r="2468" spans="1:2" x14ac:dyDescent="0.25">
      <c r="A2468" s="67"/>
      <c r="B2468" s="67"/>
    </row>
    <row r="2469" spans="1:2" x14ac:dyDescent="0.25">
      <c r="A2469" s="67"/>
      <c r="B2469" s="67"/>
    </row>
    <row r="2470" spans="1:2" x14ac:dyDescent="0.25">
      <c r="A2470" s="67"/>
      <c r="B2470" s="67"/>
    </row>
    <row r="2471" spans="1:2" x14ac:dyDescent="0.25">
      <c r="A2471" s="67"/>
      <c r="B2471" s="67"/>
    </row>
    <row r="2472" spans="1:2" x14ac:dyDescent="0.25">
      <c r="A2472" s="67"/>
      <c r="B2472" s="67"/>
    </row>
    <row r="2473" spans="1:2" x14ac:dyDescent="0.25">
      <c r="A2473" s="67"/>
      <c r="B2473" s="67"/>
    </row>
    <row r="2474" spans="1:2" x14ac:dyDescent="0.25">
      <c r="A2474" s="67"/>
      <c r="B2474" s="67"/>
    </row>
    <row r="2475" spans="1:2" x14ac:dyDescent="0.25">
      <c r="A2475" s="67"/>
      <c r="B2475" s="67"/>
    </row>
    <row r="2476" spans="1:2" x14ac:dyDescent="0.25">
      <c r="A2476" s="67"/>
      <c r="B2476" s="67"/>
    </row>
    <row r="2477" spans="1:2" x14ac:dyDescent="0.25">
      <c r="A2477" s="67"/>
      <c r="B2477" s="67"/>
    </row>
    <row r="2478" spans="1:2" x14ac:dyDescent="0.25">
      <c r="A2478" s="67"/>
      <c r="B2478" s="67"/>
    </row>
    <row r="2479" spans="1:2" x14ac:dyDescent="0.25">
      <c r="A2479" s="67"/>
      <c r="B2479" s="67"/>
    </row>
    <row r="2480" spans="1:2" x14ac:dyDescent="0.25">
      <c r="A2480" s="67"/>
      <c r="B2480" s="67"/>
    </row>
    <row r="2481" spans="1:2" x14ac:dyDescent="0.25">
      <c r="A2481" s="67"/>
      <c r="B2481" s="67"/>
    </row>
    <row r="2482" spans="1:2" x14ac:dyDescent="0.25">
      <c r="A2482" s="67"/>
      <c r="B2482" s="67"/>
    </row>
    <row r="2483" spans="1:2" x14ac:dyDescent="0.25">
      <c r="A2483" s="67"/>
      <c r="B2483" s="67"/>
    </row>
    <row r="2484" spans="1:2" x14ac:dyDescent="0.25">
      <c r="A2484" s="67"/>
      <c r="B2484" s="67"/>
    </row>
    <row r="2485" spans="1:2" x14ac:dyDescent="0.25">
      <c r="A2485" s="67"/>
      <c r="B2485" s="67"/>
    </row>
    <row r="2486" spans="1:2" x14ac:dyDescent="0.25">
      <c r="A2486" s="67"/>
      <c r="B2486" s="67"/>
    </row>
    <row r="2487" spans="1:2" x14ac:dyDescent="0.25">
      <c r="A2487" s="67"/>
      <c r="B2487" s="67"/>
    </row>
    <row r="2488" spans="1:2" x14ac:dyDescent="0.25">
      <c r="A2488" s="67"/>
      <c r="B2488" s="67"/>
    </row>
    <row r="2489" spans="1:2" x14ac:dyDescent="0.25">
      <c r="A2489" s="67"/>
      <c r="B2489" s="67"/>
    </row>
    <row r="2490" spans="1:2" x14ac:dyDescent="0.25">
      <c r="A2490" s="67"/>
      <c r="B2490" s="67"/>
    </row>
    <row r="2491" spans="1:2" x14ac:dyDescent="0.25">
      <c r="A2491" s="67"/>
      <c r="B2491" s="67"/>
    </row>
    <row r="2492" spans="1:2" x14ac:dyDescent="0.25">
      <c r="A2492" s="67"/>
      <c r="B2492" s="67"/>
    </row>
    <row r="2493" spans="1:2" x14ac:dyDescent="0.25">
      <c r="A2493" s="67"/>
      <c r="B2493" s="67"/>
    </row>
    <row r="2494" spans="1:2" x14ac:dyDescent="0.25">
      <c r="A2494" s="67"/>
      <c r="B2494" s="67"/>
    </row>
    <row r="2495" spans="1:2" x14ac:dyDescent="0.25">
      <c r="A2495" s="67"/>
      <c r="B2495" s="67"/>
    </row>
    <row r="2496" spans="1:2" x14ac:dyDescent="0.25">
      <c r="A2496" s="67"/>
      <c r="B2496" s="67"/>
    </row>
    <row r="2497" spans="1:2" x14ac:dyDescent="0.25">
      <c r="A2497" s="67"/>
      <c r="B2497" s="67"/>
    </row>
    <row r="2498" spans="1:2" x14ac:dyDescent="0.25">
      <c r="A2498" s="67"/>
      <c r="B2498" s="67"/>
    </row>
    <row r="2499" spans="1:2" x14ac:dyDescent="0.25">
      <c r="A2499" s="67"/>
      <c r="B2499" s="67"/>
    </row>
    <row r="2500" spans="1:2" x14ac:dyDescent="0.25">
      <c r="A2500" s="67"/>
      <c r="B2500" s="67"/>
    </row>
    <row r="2501" spans="1:2" x14ac:dyDescent="0.25">
      <c r="A2501" s="67"/>
      <c r="B2501" s="67"/>
    </row>
    <row r="2502" spans="1:2" x14ac:dyDescent="0.25">
      <c r="A2502" s="67"/>
      <c r="B2502" s="67"/>
    </row>
    <row r="2503" spans="1:2" x14ac:dyDescent="0.25">
      <c r="A2503" s="67"/>
      <c r="B2503" s="67"/>
    </row>
    <row r="2504" spans="1:2" x14ac:dyDescent="0.25">
      <c r="A2504" s="67"/>
      <c r="B2504" s="67"/>
    </row>
    <row r="2505" spans="1:2" x14ac:dyDescent="0.25">
      <c r="A2505" s="67"/>
      <c r="B2505" s="67"/>
    </row>
    <row r="2506" spans="1:2" x14ac:dyDescent="0.25">
      <c r="A2506" s="67"/>
      <c r="B2506" s="67"/>
    </row>
    <row r="2507" spans="1:2" x14ac:dyDescent="0.25">
      <c r="A2507" s="67"/>
      <c r="B2507" s="67"/>
    </row>
    <row r="2508" spans="1:2" x14ac:dyDescent="0.25">
      <c r="A2508" s="67"/>
      <c r="B2508" s="67"/>
    </row>
    <row r="2509" spans="1:2" x14ac:dyDescent="0.25">
      <c r="A2509" s="67"/>
      <c r="B2509" s="67"/>
    </row>
    <row r="2510" spans="1:2" x14ac:dyDescent="0.25">
      <c r="A2510" s="67"/>
      <c r="B2510" s="67"/>
    </row>
    <row r="2511" spans="1:2" x14ac:dyDescent="0.25">
      <c r="A2511" s="67"/>
      <c r="B2511" s="67"/>
    </row>
    <row r="2512" spans="1:2" x14ac:dyDescent="0.25">
      <c r="A2512" s="67"/>
      <c r="B2512" s="67"/>
    </row>
    <row r="2513" spans="1:2" x14ac:dyDescent="0.25">
      <c r="A2513" s="67"/>
      <c r="B2513" s="67"/>
    </row>
    <row r="2514" spans="1:2" x14ac:dyDescent="0.25">
      <c r="A2514" s="67"/>
      <c r="B2514" s="67"/>
    </row>
    <row r="2515" spans="1:2" x14ac:dyDescent="0.25">
      <c r="A2515" s="67"/>
      <c r="B2515" s="67"/>
    </row>
    <row r="2516" spans="1:2" x14ac:dyDescent="0.25">
      <c r="A2516" s="67"/>
      <c r="B2516" s="67"/>
    </row>
    <row r="2517" spans="1:2" x14ac:dyDescent="0.25">
      <c r="A2517" s="67"/>
      <c r="B2517" s="67"/>
    </row>
    <row r="2518" spans="1:2" x14ac:dyDescent="0.25">
      <c r="A2518" s="67"/>
      <c r="B2518" s="67"/>
    </row>
    <row r="2519" spans="1:2" x14ac:dyDescent="0.25">
      <c r="A2519" s="67"/>
      <c r="B2519" s="67"/>
    </row>
    <row r="2520" spans="1:2" x14ac:dyDescent="0.25">
      <c r="A2520" s="67"/>
      <c r="B2520" s="67"/>
    </row>
    <row r="2521" spans="1:2" x14ac:dyDescent="0.25">
      <c r="A2521" s="67"/>
      <c r="B2521" s="67"/>
    </row>
    <row r="2522" spans="1:2" x14ac:dyDescent="0.25">
      <c r="A2522" s="67"/>
      <c r="B2522" s="67"/>
    </row>
    <row r="2523" spans="1:2" x14ac:dyDescent="0.25">
      <c r="A2523" s="67"/>
      <c r="B2523" s="67"/>
    </row>
    <row r="2524" spans="1:2" x14ac:dyDescent="0.25">
      <c r="A2524" s="67"/>
      <c r="B2524" s="67"/>
    </row>
    <row r="2525" spans="1:2" x14ac:dyDescent="0.25">
      <c r="A2525" s="67"/>
      <c r="B2525" s="67"/>
    </row>
    <row r="2526" spans="1:2" x14ac:dyDescent="0.25">
      <c r="A2526" s="67"/>
      <c r="B2526" s="67"/>
    </row>
    <row r="2527" spans="1:2" x14ac:dyDescent="0.25">
      <c r="A2527" s="67"/>
      <c r="B2527" s="67"/>
    </row>
    <row r="2528" spans="1:2" x14ac:dyDescent="0.25">
      <c r="A2528" s="67"/>
      <c r="B2528" s="67"/>
    </row>
    <row r="2529" spans="1:2" x14ac:dyDescent="0.25">
      <c r="A2529" s="67"/>
      <c r="B2529" s="67"/>
    </row>
    <row r="2530" spans="1:2" x14ac:dyDescent="0.25">
      <c r="A2530" s="67"/>
      <c r="B2530" s="67"/>
    </row>
    <row r="2531" spans="1:2" x14ac:dyDescent="0.25">
      <c r="A2531" s="67"/>
      <c r="B2531" s="67"/>
    </row>
    <row r="2532" spans="1:2" x14ac:dyDescent="0.25">
      <c r="A2532" s="67"/>
      <c r="B2532" s="67"/>
    </row>
    <row r="2533" spans="1:2" x14ac:dyDescent="0.25">
      <c r="A2533" s="67"/>
      <c r="B2533" s="67"/>
    </row>
    <row r="2534" spans="1:2" x14ac:dyDescent="0.25">
      <c r="A2534" s="67"/>
      <c r="B2534" s="67"/>
    </row>
    <row r="2535" spans="1:2" x14ac:dyDescent="0.25">
      <c r="A2535" s="67"/>
      <c r="B2535" s="67"/>
    </row>
    <row r="2536" spans="1:2" x14ac:dyDescent="0.25">
      <c r="A2536" s="67"/>
      <c r="B2536" s="67"/>
    </row>
    <row r="2537" spans="1:2" x14ac:dyDescent="0.25">
      <c r="A2537" s="67"/>
      <c r="B2537" s="67"/>
    </row>
    <row r="2538" spans="1:2" x14ac:dyDescent="0.25">
      <c r="A2538" s="67"/>
      <c r="B2538" s="67"/>
    </row>
    <row r="2539" spans="1:2" x14ac:dyDescent="0.25">
      <c r="A2539" s="67"/>
      <c r="B2539" s="67"/>
    </row>
    <row r="2540" spans="1:2" x14ac:dyDescent="0.25">
      <c r="A2540" s="67"/>
      <c r="B2540" s="67"/>
    </row>
    <row r="2541" spans="1:2" x14ac:dyDescent="0.25">
      <c r="A2541" s="67"/>
      <c r="B2541" s="67"/>
    </row>
    <row r="2542" spans="1:2" x14ac:dyDescent="0.25">
      <c r="A2542" s="67"/>
      <c r="B2542" s="67"/>
    </row>
    <row r="2543" spans="1:2" x14ac:dyDescent="0.25">
      <c r="A2543" s="67"/>
      <c r="B2543" s="67"/>
    </row>
    <row r="2544" spans="1:2" x14ac:dyDescent="0.25">
      <c r="A2544" s="67"/>
      <c r="B2544" s="67"/>
    </row>
    <row r="2545" spans="1:2" x14ac:dyDescent="0.25">
      <c r="A2545" s="67"/>
      <c r="B2545" s="67"/>
    </row>
    <row r="2546" spans="1:2" x14ac:dyDescent="0.25">
      <c r="A2546" s="67"/>
      <c r="B2546" s="67"/>
    </row>
    <row r="2547" spans="1:2" x14ac:dyDescent="0.25">
      <c r="A2547" s="67"/>
      <c r="B2547" s="67"/>
    </row>
    <row r="2548" spans="1:2" x14ac:dyDescent="0.25">
      <c r="A2548" s="67"/>
      <c r="B2548" s="67"/>
    </row>
    <row r="2549" spans="1:2" x14ac:dyDescent="0.25">
      <c r="A2549" s="67"/>
      <c r="B2549" s="67"/>
    </row>
    <row r="2550" spans="1:2" x14ac:dyDescent="0.25">
      <c r="A2550" s="67"/>
      <c r="B2550" s="67"/>
    </row>
    <row r="2551" spans="1:2" x14ac:dyDescent="0.25">
      <c r="A2551" s="67"/>
      <c r="B2551" s="67"/>
    </row>
    <row r="2552" spans="1:2" x14ac:dyDescent="0.25">
      <c r="A2552" s="67"/>
      <c r="B2552" s="67"/>
    </row>
    <row r="2553" spans="1:2" x14ac:dyDescent="0.25">
      <c r="A2553" s="67"/>
      <c r="B2553" s="67"/>
    </row>
    <row r="2554" spans="1:2" x14ac:dyDescent="0.25">
      <c r="A2554" s="67"/>
      <c r="B2554" s="67"/>
    </row>
    <row r="2555" spans="1:2" x14ac:dyDescent="0.25">
      <c r="A2555" s="67"/>
      <c r="B2555" s="67"/>
    </row>
    <row r="2556" spans="1:2" x14ac:dyDescent="0.25">
      <c r="A2556" s="67"/>
      <c r="B2556" s="67"/>
    </row>
    <row r="2557" spans="1:2" x14ac:dyDescent="0.25">
      <c r="A2557" s="67"/>
      <c r="B2557" s="67"/>
    </row>
    <row r="2558" spans="1:2" x14ac:dyDescent="0.25">
      <c r="A2558" s="67"/>
      <c r="B2558" s="67"/>
    </row>
    <row r="2559" spans="1:2" x14ac:dyDescent="0.25">
      <c r="A2559" s="67"/>
      <c r="B2559" s="67"/>
    </row>
    <row r="2560" spans="1:2" x14ac:dyDescent="0.25">
      <c r="A2560" s="67"/>
      <c r="B2560" s="67"/>
    </row>
    <row r="2561" spans="1:2" x14ac:dyDescent="0.25">
      <c r="A2561" s="67"/>
      <c r="B2561" s="67"/>
    </row>
    <row r="2562" spans="1:2" x14ac:dyDescent="0.25">
      <c r="A2562" s="67"/>
      <c r="B2562" s="67"/>
    </row>
    <row r="2563" spans="1:2" x14ac:dyDescent="0.25">
      <c r="A2563" s="67"/>
      <c r="B2563" s="67"/>
    </row>
    <row r="2564" spans="1:2" x14ac:dyDescent="0.25">
      <c r="A2564" s="67"/>
      <c r="B2564" s="67"/>
    </row>
    <row r="2565" spans="1:2" x14ac:dyDescent="0.25">
      <c r="A2565" s="67"/>
      <c r="B2565" s="67"/>
    </row>
    <row r="2566" spans="1:2" x14ac:dyDescent="0.25">
      <c r="A2566" s="67"/>
      <c r="B2566" s="67"/>
    </row>
    <row r="2567" spans="1:2" x14ac:dyDescent="0.25">
      <c r="A2567" s="67"/>
      <c r="B2567" s="67"/>
    </row>
    <row r="2568" spans="1:2" x14ac:dyDescent="0.25">
      <c r="A2568" s="67"/>
      <c r="B2568" s="67"/>
    </row>
    <row r="2569" spans="1:2" x14ac:dyDescent="0.25">
      <c r="A2569" s="67"/>
      <c r="B2569" s="67"/>
    </row>
    <row r="2570" spans="1:2" x14ac:dyDescent="0.25">
      <c r="A2570" s="67"/>
      <c r="B2570" s="67"/>
    </row>
    <row r="2571" spans="1:2" x14ac:dyDescent="0.25">
      <c r="A2571" s="67"/>
      <c r="B2571" s="67"/>
    </row>
    <row r="2572" spans="1:2" x14ac:dyDescent="0.25">
      <c r="A2572" s="67"/>
      <c r="B2572" s="67"/>
    </row>
    <row r="2573" spans="1:2" x14ac:dyDescent="0.25">
      <c r="A2573" s="67"/>
      <c r="B2573" s="67"/>
    </row>
    <row r="2574" spans="1:2" x14ac:dyDescent="0.25">
      <c r="A2574" s="67"/>
      <c r="B2574" s="67"/>
    </row>
    <row r="2575" spans="1:2" x14ac:dyDescent="0.25">
      <c r="A2575" s="67"/>
      <c r="B2575" s="67"/>
    </row>
    <row r="2576" spans="1:2" x14ac:dyDescent="0.25">
      <c r="A2576" s="67"/>
      <c r="B2576" s="67"/>
    </row>
    <row r="2577" spans="1:2" x14ac:dyDescent="0.25">
      <c r="A2577" s="67"/>
      <c r="B2577" s="67"/>
    </row>
    <row r="2578" spans="1:2" x14ac:dyDescent="0.25">
      <c r="A2578" s="67"/>
      <c r="B2578" s="67"/>
    </row>
    <row r="2579" spans="1:2" x14ac:dyDescent="0.25">
      <c r="A2579" s="67"/>
      <c r="B2579" s="67"/>
    </row>
    <row r="2580" spans="1:2" x14ac:dyDescent="0.25">
      <c r="A2580" s="67"/>
      <c r="B2580" s="67"/>
    </row>
    <row r="2581" spans="1:2" x14ac:dyDescent="0.25">
      <c r="A2581" s="67"/>
      <c r="B2581" s="67"/>
    </row>
    <row r="2582" spans="1:2" x14ac:dyDescent="0.25">
      <c r="A2582" s="67"/>
      <c r="B2582" s="67"/>
    </row>
    <row r="2583" spans="1:2" x14ac:dyDescent="0.25">
      <c r="A2583" s="67"/>
      <c r="B2583" s="67"/>
    </row>
    <row r="2584" spans="1:2" x14ac:dyDescent="0.25">
      <c r="A2584" s="67"/>
      <c r="B2584" s="67"/>
    </row>
    <row r="2585" spans="1:2" x14ac:dyDescent="0.25">
      <c r="A2585" s="67"/>
      <c r="B2585" s="67"/>
    </row>
    <row r="2586" spans="1:2" x14ac:dyDescent="0.25">
      <c r="A2586" s="67"/>
      <c r="B2586" s="67"/>
    </row>
    <row r="2587" spans="1:2" x14ac:dyDescent="0.25">
      <c r="A2587" s="67"/>
      <c r="B2587" s="67"/>
    </row>
    <row r="2588" spans="1:2" x14ac:dyDescent="0.25">
      <c r="A2588" s="67"/>
      <c r="B2588" s="67"/>
    </row>
    <row r="2589" spans="1:2" x14ac:dyDescent="0.25">
      <c r="A2589" s="67"/>
      <c r="B2589" s="67"/>
    </row>
    <row r="2590" spans="1:2" x14ac:dyDescent="0.25">
      <c r="A2590" s="67"/>
      <c r="B2590" s="67"/>
    </row>
    <row r="2591" spans="1:2" x14ac:dyDescent="0.25">
      <c r="A2591" s="67"/>
      <c r="B2591" s="67"/>
    </row>
    <row r="2592" spans="1:2" x14ac:dyDescent="0.25">
      <c r="A2592" s="67"/>
      <c r="B2592" s="67"/>
    </row>
    <row r="2593" spans="1:2" x14ac:dyDescent="0.25">
      <c r="A2593" s="67"/>
      <c r="B2593" s="67"/>
    </row>
    <row r="2594" spans="1:2" x14ac:dyDescent="0.25">
      <c r="A2594" s="67"/>
      <c r="B2594" s="67"/>
    </row>
    <row r="2595" spans="1:2" x14ac:dyDescent="0.25">
      <c r="A2595" s="67"/>
      <c r="B2595" s="67"/>
    </row>
    <row r="2596" spans="1:2" x14ac:dyDescent="0.25">
      <c r="A2596" s="67"/>
      <c r="B2596" s="67"/>
    </row>
    <row r="2597" spans="1:2" x14ac:dyDescent="0.25">
      <c r="A2597" s="67"/>
      <c r="B2597" s="67"/>
    </row>
    <row r="2598" spans="1:2" x14ac:dyDescent="0.25">
      <c r="A2598" s="67"/>
      <c r="B2598" s="67"/>
    </row>
    <row r="2599" spans="1:2" x14ac:dyDescent="0.25">
      <c r="A2599" s="67"/>
      <c r="B2599" s="67"/>
    </row>
    <row r="2600" spans="1:2" x14ac:dyDescent="0.25">
      <c r="A2600" s="67"/>
      <c r="B2600" s="67"/>
    </row>
    <row r="2601" spans="1:2" x14ac:dyDescent="0.25">
      <c r="A2601" s="67"/>
      <c r="B2601" s="67"/>
    </row>
    <row r="2602" spans="1:2" x14ac:dyDescent="0.25">
      <c r="A2602" s="67"/>
      <c r="B2602" s="67"/>
    </row>
    <row r="2603" spans="1:2" x14ac:dyDescent="0.25">
      <c r="A2603" s="67"/>
      <c r="B2603" s="67"/>
    </row>
    <row r="2604" spans="1:2" x14ac:dyDescent="0.25">
      <c r="A2604" s="67"/>
      <c r="B2604" s="67"/>
    </row>
    <row r="2605" spans="1:2" x14ac:dyDescent="0.25">
      <c r="A2605" s="67"/>
      <c r="B2605" s="67"/>
    </row>
    <row r="2606" spans="1:2" x14ac:dyDescent="0.25">
      <c r="A2606" s="67"/>
      <c r="B2606" s="67"/>
    </row>
    <row r="2607" spans="1:2" x14ac:dyDescent="0.25">
      <c r="A2607" s="67"/>
      <c r="B2607" s="67"/>
    </row>
    <row r="2608" spans="1:2" x14ac:dyDescent="0.25">
      <c r="A2608" s="67"/>
      <c r="B2608" s="67"/>
    </row>
    <row r="2609" spans="1:2" x14ac:dyDescent="0.25">
      <c r="A2609" s="67"/>
      <c r="B2609" s="67"/>
    </row>
    <row r="2610" spans="1:2" x14ac:dyDescent="0.25">
      <c r="A2610" s="67"/>
      <c r="B2610" s="67"/>
    </row>
    <row r="2611" spans="1:2" x14ac:dyDescent="0.25">
      <c r="A2611" s="67"/>
      <c r="B2611" s="67"/>
    </row>
    <row r="2612" spans="1:2" x14ac:dyDescent="0.25">
      <c r="A2612" s="67"/>
      <c r="B2612" s="67"/>
    </row>
    <row r="2613" spans="1:2" x14ac:dyDescent="0.25">
      <c r="A2613" s="67"/>
      <c r="B2613" s="67"/>
    </row>
    <row r="2614" spans="1:2" x14ac:dyDescent="0.25">
      <c r="A2614" s="67"/>
      <c r="B2614" s="67"/>
    </row>
    <row r="2615" spans="1:2" x14ac:dyDescent="0.25">
      <c r="A2615" s="67"/>
      <c r="B2615" s="67"/>
    </row>
    <row r="2616" spans="1:2" x14ac:dyDescent="0.25">
      <c r="A2616" s="67"/>
      <c r="B2616" s="67"/>
    </row>
    <row r="2617" spans="1:2" x14ac:dyDescent="0.25">
      <c r="A2617" s="67"/>
      <c r="B2617" s="67"/>
    </row>
    <row r="2618" spans="1:2" x14ac:dyDescent="0.25">
      <c r="A2618" s="67"/>
      <c r="B2618" s="67"/>
    </row>
    <row r="2619" spans="1:2" x14ac:dyDescent="0.25">
      <c r="A2619" s="67"/>
      <c r="B2619" s="67"/>
    </row>
    <row r="2620" spans="1:2" x14ac:dyDescent="0.25">
      <c r="A2620" s="67"/>
      <c r="B2620" s="67"/>
    </row>
    <row r="2621" spans="1:2" x14ac:dyDescent="0.25">
      <c r="A2621" s="67"/>
      <c r="B2621" s="67"/>
    </row>
    <row r="2622" spans="1:2" x14ac:dyDescent="0.25">
      <c r="A2622" s="67"/>
      <c r="B2622" s="67"/>
    </row>
    <row r="2623" spans="1:2" x14ac:dyDescent="0.25">
      <c r="A2623" s="67"/>
      <c r="B2623" s="67"/>
    </row>
    <row r="2624" spans="1:2" x14ac:dyDescent="0.25">
      <c r="A2624" s="67"/>
      <c r="B2624" s="67"/>
    </row>
    <row r="2625" spans="1:2" x14ac:dyDescent="0.25">
      <c r="A2625" s="67"/>
      <c r="B2625" s="67"/>
    </row>
    <row r="2626" spans="1:2" x14ac:dyDescent="0.25">
      <c r="A2626" s="67"/>
      <c r="B2626" s="67"/>
    </row>
    <row r="2627" spans="1:2" x14ac:dyDescent="0.25">
      <c r="A2627" s="67"/>
      <c r="B2627" s="67"/>
    </row>
    <row r="2628" spans="1:2" x14ac:dyDescent="0.25">
      <c r="A2628" s="67"/>
      <c r="B2628" s="67"/>
    </row>
    <row r="2629" spans="1:2" x14ac:dyDescent="0.25">
      <c r="A2629" s="67"/>
      <c r="B2629" s="67"/>
    </row>
    <row r="2630" spans="1:2" x14ac:dyDescent="0.25">
      <c r="A2630" s="67"/>
      <c r="B2630" s="67"/>
    </row>
    <row r="2631" spans="1:2" x14ac:dyDescent="0.25">
      <c r="A2631" s="67"/>
      <c r="B2631" s="67"/>
    </row>
    <row r="2632" spans="1:2" x14ac:dyDescent="0.25">
      <c r="A2632" s="67"/>
      <c r="B2632" s="67"/>
    </row>
    <row r="2633" spans="1:2" x14ac:dyDescent="0.25">
      <c r="A2633" s="67"/>
      <c r="B2633" s="67"/>
    </row>
    <row r="2634" spans="1:2" x14ac:dyDescent="0.25">
      <c r="A2634" s="67"/>
      <c r="B2634" s="67"/>
    </row>
    <row r="2635" spans="1:2" x14ac:dyDescent="0.25">
      <c r="A2635" s="67"/>
      <c r="B2635" s="67"/>
    </row>
    <row r="2636" spans="1:2" x14ac:dyDescent="0.25">
      <c r="A2636" s="67"/>
      <c r="B2636" s="67"/>
    </row>
    <row r="2637" spans="1:2" x14ac:dyDescent="0.25">
      <c r="A2637" s="67"/>
      <c r="B2637" s="67"/>
    </row>
    <row r="2638" spans="1:2" x14ac:dyDescent="0.25">
      <c r="A2638" s="67"/>
      <c r="B2638" s="67"/>
    </row>
    <row r="2639" spans="1:2" x14ac:dyDescent="0.25">
      <c r="A2639" s="67"/>
      <c r="B2639" s="67"/>
    </row>
    <row r="2640" spans="1:2" x14ac:dyDescent="0.25">
      <c r="A2640" s="67"/>
      <c r="B2640" s="67"/>
    </row>
    <row r="2641" spans="1:2" x14ac:dyDescent="0.25">
      <c r="A2641" s="67"/>
      <c r="B2641" s="67"/>
    </row>
    <row r="2642" spans="1:2" x14ac:dyDescent="0.25">
      <c r="A2642" s="67"/>
      <c r="B2642" s="67"/>
    </row>
    <row r="2643" spans="1:2" x14ac:dyDescent="0.25">
      <c r="A2643" s="67"/>
      <c r="B2643" s="67"/>
    </row>
    <row r="2644" spans="1:2" x14ac:dyDescent="0.25">
      <c r="A2644" s="67"/>
      <c r="B2644" s="67"/>
    </row>
    <row r="2645" spans="1:2" x14ac:dyDescent="0.25">
      <c r="A2645" s="67"/>
      <c r="B2645" s="67"/>
    </row>
    <row r="2646" spans="1:2" x14ac:dyDescent="0.25">
      <c r="A2646" s="67"/>
      <c r="B2646" s="67"/>
    </row>
    <row r="2647" spans="1:2" x14ac:dyDescent="0.25">
      <c r="A2647" s="67"/>
      <c r="B2647" s="67"/>
    </row>
    <row r="2648" spans="1:2" x14ac:dyDescent="0.25">
      <c r="A2648" s="67"/>
      <c r="B2648" s="67"/>
    </row>
    <row r="2649" spans="1:2" x14ac:dyDescent="0.25">
      <c r="A2649" s="67"/>
      <c r="B2649" s="67"/>
    </row>
    <row r="2650" spans="1:2" x14ac:dyDescent="0.25">
      <c r="A2650" s="67"/>
      <c r="B2650" s="67"/>
    </row>
    <row r="2651" spans="1:2" x14ac:dyDescent="0.25">
      <c r="A2651" s="67"/>
      <c r="B2651" s="67"/>
    </row>
    <row r="2652" spans="1:2" x14ac:dyDescent="0.25">
      <c r="A2652" s="67"/>
      <c r="B2652" s="67"/>
    </row>
    <row r="2653" spans="1:2" x14ac:dyDescent="0.25">
      <c r="A2653" s="67"/>
      <c r="B2653" s="67"/>
    </row>
    <row r="2654" spans="1:2" x14ac:dyDescent="0.25">
      <c r="A2654" s="67"/>
      <c r="B2654" s="67"/>
    </row>
    <row r="2655" spans="1:2" x14ac:dyDescent="0.25">
      <c r="A2655" s="67"/>
      <c r="B2655" s="67"/>
    </row>
    <row r="2656" spans="1:2" x14ac:dyDescent="0.25">
      <c r="A2656" s="67"/>
      <c r="B2656" s="67"/>
    </row>
    <row r="2657" spans="1:2" x14ac:dyDescent="0.25">
      <c r="A2657" s="67"/>
      <c r="B2657" s="67"/>
    </row>
    <row r="2658" spans="1:2" x14ac:dyDescent="0.25">
      <c r="A2658" s="67"/>
      <c r="B2658" s="67"/>
    </row>
    <row r="2659" spans="1:2" x14ac:dyDescent="0.25">
      <c r="A2659" s="67"/>
      <c r="B2659" s="67"/>
    </row>
    <row r="2660" spans="1:2" x14ac:dyDescent="0.25">
      <c r="A2660" s="67"/>
      <c r="B2660" s="67"/>
    </row>
    <row r="2661" spans="1:2" x14ac:dyDescent="0.25">
      <c r="A2661" s="67"/>
      <c r="B2661" s="67"/>
    </row>
    <row r="2662" spans="1:2" x14ac:dyDescent="0.25">
      <c r="A2662" s="67"/>
      <c r="B2662" s="67"/>
    </row>
    <row r="2663" spans="1:2" x14ac:dyDescent="0.25">
      <c r="A2663" s="67"/>
      <c r="B2663" s="67"/>
    </row>
    <row r="2664" spans="1:2" x14ac:dyDescent="0.25">
      <c r="A2664" s="67"/>
      <c r="B2664" s="67"/>
    </row>
    <row r="2665" spans="1:2" x14ac:dyDescent="0.25">
      <c r="A2665" s="67"/>
      <c r="B2665" s="67"/>
    </row>
    <row r="2666" spans="1:2" x14ac:dyDescent="0.25">
      <c r="A2666" s="67"/>
      <c r="B2666" s="67"/>
    </row>
    <row r="2667" spans="1:2" x14ac:dyDescent="0.25">
      <c r="A2667" s="67"/>
      <c r="B2667" s="67"/>
    </row>
    <row r="2668" spans="1:2" x14ac:dyDescent="0.25">
      <c r="A2668" s="67"/>
      <c r="B2668" s="67"/>
    </row>
    <row r="2669" spans="1:2" x14ac:dyDescent="0.25">
      <c r="A2669" s="67"/>
      <c r="B2669" s="67"/>
    </row>
    <row r="2670" spans="1:2" x14ac:dyDescent="0.25">
      <c r="A2670" s="67"/>
      <c r="B2670" s="67"/>
    </row>
    <row r="2671" spans="1:2" x14ac:dyDescent="0.25">
      <c r="A2671" s="67"/>
      <c r="B2671" s="67"/>
    </row>
    <row r="2672" spans="1:2" x14ac:dyDescent="0.25">
      <c r="A2672" s="67"/>
      <c r="B2672" s="67"/>
    </row>
    <row r="2673" spans="1:2" x14ac:dyDescent="0.25">
      <c r="A2673" s="67"/>
      <c r="B2673" s="67"/>
    </row>
    <row r="2674" spans="1:2" x14ac:dyDescent="0.25">
      <c r="A2674" s="67"/>
      <c r="B2674" s="67"/>
    </row>
    <row r="2675" spans="1:2" x14ac:dyDescent="0.25">
      <c r="A2675" s="67"/>
      <c r="B2675" s="67"/>
    </row>
    <row r="2676" spans="1:2" x14ac:dyDescent="0.25">
      <c r="A2676" s="67"/>
      <c r="B2676" s="67"/>
    </row>
    <row r="2677" spans="1:2" x14ac:dyDescent="0.25">
      <c r="A2677" s="67"/>
      <c r="B2677" s="67"/>
    </row>
    <row r="2678" spans="1:2" x14ac:dyDescent="0.25">
      <c r="A2678" s="67"/>
      <c r="B2678" s="67"/>
    </row>
    <row r="2679" spans="1:2" x14ac:dyDescent="0.25">
      <c r="A2679" s="67"/>
      <c r="B2679" s="67"/>
    </row>
    <row r="2680" spans="1:2" x14ac:dyDescent="0.25">
      <c r="A2680" s="67"/>
      <c r="B2680" s="67"/>
    </row>
    <row r="2681" spans="1:2" x14ac:dyDescent="0.25">
      <c r="A2681" s="67"/>
      <c r="B2681" s="67"/>
    </row>
    <row r="2682" spans="1:2" x14ac:dyDescent="0.25">
      <c r="A2682" s="67"/>
      <c r="B2682" s="67"/>
    </row>
    <row r="2683" spans="1:2" x14ac:dyDescent="0.25">
      <c r="A2683" s="67"/>
      <c r="B2683" s="67"/>
    </row>
    <row r="2684" spans="1:2" x14ac:dyDescent="0.25">
      <c r="A2684" s="67"/>
      <c r="B2684" s="67"/>
    </row>
    <row r="2685" spans="1:2" x14ac:dyDescent="0.25">
      <c r="A2685" s="67"/>
      <c r="B2685" s="67"/>
    </row>
    <row r="2686" spans="1:2" x14ac:dyDescent="0.25">
      <c r="A2686" s="67"/>
      <c r="B2686" s="67"/>
    </row>
    <row r="2687" spans="1:2" x14ac:dyDescent="0.25">
      <c r="A2687" s="67"/>
      <c r="B2687" s="67"/>
    </row>
    <row r="2688" spans="1:2" x14ac:dyDescent="0.25">
      <c r="A2688" s="67"/>
      <c r="B2688" s="67"/>
    </row>
    <row r="2689" spans="1:2" x14ac:dyDescent="0.25">
      <c r="A2689" s="67"/>
      <c r="B2689" s="67"/>
    </row>
    <row r="2690" spans="1:2" x14ac:dyDescent="0.25">
      <c r="A2690" s="67"/>
      <c r="B2690" s="67"/>
    </row>
    <row r="2691" spans="1:2" x14ac:dyDescent="0.25">
      <c r="A2691" s="67"/>
      <c r="B2691" s="67"/>
    </row>
    <row r="2692" spans="1:2" x14ac:dyDescent="0.25">
      <c r="A2692" s="67"/>
      <c r="B2692" s="67"/>
    </row>
    <row r="2693" spans="1:2" x14ac:dyDescent="0.25">
      <c r="A2693" s="67"/>
      <c r="B2693" s="67"/>
    </row>
    <row r="2694" spans="1:2" x14ac:dyDescent="0.25">
      <c r="A2694" s="67"/>
      <c r="B2694" s="67"/>
    </row>
    <row r="2695" spans="1:2" x14ac:dyDescent="0.25">
      <c r="A2695" s="67"/>
      <c r="B2695" s="67"/>
    </row>
    <row r="2696" spans="1:2" x14ac:dyDescent="0.25">
      <c r="A2696" s="67"/>
      <c r="B2696" s="67"/>
    </row>
    <row r="2697" spans="1:2" x14ac:dyDescent="0.25">
      <c r="A2697" s="67"/>
      <c r="B2697" s="67"/>
    </row>
    <row r="2698" spans="1:2" x14ac:dyDescent="0.25">
      <c r="A2698" s="67"/>
      <c r="B2698" s="67"/>
    </row>
    <row r="2699" spans="1:2" x14ac:dyDescent="0.25">
      <c r="A2699" s="67"/>
      <c r="B2699" s="67"/>
    </row>
    <row r="2700" spans="1:2" x14ac:dyDescent="0.25">
      <c r="A2700" s="67"/>
      <c r="B2700" s="67"/>
    </row>
    <row r="2701" spans="1:2" x14ac:dyDescent="0.25">
      <c r="A2701" s="67"/>
      <c r="B2701" s="67"/>
    </row>
    <row r="2702" spans="1:2" x14ac:dyDescent="0.25">
      <c r="A2702" s="67"/>
      <c r="B2702" s="67"/>
    </row>
    <row r="2703" spans="1:2" x14ac:dyDescent="0.25">
      <c r="A2703" s="67"/>
      <c r="B2703" s="67"/>
    </row>
    <row r="2704" spans="1:2" x14ac:dyDescent="0.25">
      <c r="A2704" s="67"/>
      <c r="B2704" s="67"/>
    </row>
    <row r="2705" spans="1:2" x14ac:dyDescent="0.25">
      <c r="A2705" s="67"/>
      <c r="B2705" s="67"/>
    </row>
    <row r="2706" spans="1:2" x14ac:dyDescent="0.25">
      <c r="A2706" s="67"/>
      <c r="B2706" s="67"/>
    </row>
    <row r="2707" spans="1:2" x14ac:dyDescent="0.25">
      <c r="A2707" s="67"/>
      <c r="B2707" s="67"/>
    </row>
    <row r="2708" spans="1:2" x14ac:dyDescent="0.25">
      <c r="A2708" s="67"/>
      <c r="B2708" s="67"/>
    </row>
    <row r="2709" spans="1:2" x14ac:dyDescent="0.25">
      <c r="A2709" s="67"/>
      <c r="B2709" s="67"/>
    </row>
    <row r="2710" spans="1:2" x14ac:dyDescent="0.25">
      <c r="A2710" s="67"/>
      <c r="B2710" s="67"/>
    </row>
    <row r="2711" spans="1:2" x14ac:dyDescent="0.25">
      <c r="A2711" s="67"/>
      <c r="B2711" s="67"/>
    </row>
    <row r="2712" spans="1:2" x14ac:dyDescent="0.25">
      <c r="A2712" s="67"/>
      <c r="B2712" s="67"/>
    </row>
    <row r="2713" spans="1:2" x14ac:dyDescent="0.25">
      <c r="A2713" s="67"/>
      <c r="B2713" s="67"/>
    </row>
    <row r="2714" spans="1:2" x14ac:dyDescent="0.25">
      <c r="A2714" s="67"/>
      <c r="B2714" s="67"/>
    </row>
    <row r="2715" spans="1:2" x14ac:dyDescent="0.25">
      <c r="A2715" s="67"/>
      <c r="B2715" s="67"/>
    </row>
    <row r="2716" spans="1:2" x14ac:dyDescent="0.25">
      <c r="A2716" s="67"/>
      <c r="B2716" s="67"/>
    </row>
    <row r="2717" spans="1:2" x14ac:dyDescent="0.25">
      <c r="A2717" s="67"/>
      <c r="B2717" s="67"/>
    </row>
    <row r="2718" spans="1:2" x14ac:dyDescent="0.25">
      <c r="A2718" s="67"/>
      <c r="B2718" s="67"/>
    </row>
    <row r="2719" spans="1:2" x14ac:dyDescent="0.25">
      <c r="A2719" s="67"/>
      <c r="B2719" s="67"/>
    </row>
    <row r="2720" spans="1:2" x14ac:dyDescent="0.25">
      <c r="A2720" s="67"/>
      <c r="B2720" s="67"/>
    </row>
    <row r="2721" spans="1:2" x14ac:dyDescent="0.25">
      <c r="A2721" s="67"/>
      <c r="B2721" s="67"/>
    </row>
    <row r="2722" spans="1:2" x14ac:dyDescent="0.25">
      <c r="A2722" s="67"/>
      <c r="B2722" s="67"/>
    </row>
    <row r="2723" spans="1:2" x14ac:dyDescent="0.25">
      <c r="A2723" s="67"/>
      <c r="B2723" s="67"/>
    </row>
    <row r="2724" spans="1:2" x14ac:dyDescent="0.25">
      <c r="A2724" s="67"/>
      <c r="B2724" s="67"/>
    </row>
    <row r="2725" spans="1:2" x14ac:dyDescent="0.25">
      <c r="A2725" s="67"/>
      <c r="B2725" s="67"/>
    </row>
    <row r="2726" spans="1:2" x14ac:dyDescent="0.25">
      <c r="A2726" s="67"/>
      <c r="B2726" s="67"/>
    </row>
    <row r="2727" spans="1:2" x14ac:dyDescent="0.25">
      <c r="A2727" s="67"/>
      <c r="B2727" s="67"/>
    </row>
    <row r="2728" spans="1:2" x14ac:dyDescent="0.25">
      <c r="A2728" s="67"/>
      <c r="B2728" s="67"/>
    </row>
    <row r="2729" spans="1:2" x14ac:dyDescent="0.25">
      <c r="A2729" s="67"/>
      <c r="B2729" s="67"/>
    </row>
    <row r="2730" spans="1:2" x14ac:dyDescent="0.25">
      <c r="A2730" s="67"/>
      <c r="B2730" s="67"/>
    </row>
    <row r="2731" spans="1:2" x14ac:dyDescent="0.25">
      <c r="A2731" s="67"/>
      <c r="B2731" s="67"/>
    </row>
    <row r="2732" spans="1:2" x14ac:dyDescent="0.25">
      <c r="A2732" s="67"/>
      <c r="B2732" s="67"/>
    </row>
    <row r="2733" spans="1:2" x14ac:dyDescent="0.25">
      <c r="A2733" s="67"/>
      <c r="B2733" s="67"/>
    </row>
    <row r="2734" spans="1:2" x14ac:dyDescent="0.25">
      <c r="A2734" s="67"/>
      <c r="B2734" s="67"/>
    </row>
    <row r="2735" spans="1:2" x14ac:dyDescent="0.25">
      <c r="A2735" s="67"/>
      <c r="B2735" s="67"/>
    </row>
    <row r="2736" spans="1:2" x14ac:dyDescent="0.25">
      <c r="A2736" s="67"/>
      <c r="B2736" s="67"/>
    </row>
    <row r="2737" spans="1:2" x14ac:dyDescent="0.25">
      <c r="A2737" s="67"/>
      <c r="B2737" s="67"/>
    </row>
    <row r="2738" spans="1:2" x14ac:dyDescent="0.25">
      <c r="A2738" s="67"/>
      <c r="B2738" s="67"/>
    </row>
    <row r="2739" spans="1:2" x14ac:dyDescent="0.25">
      <c r="A2739" s="67"/>
      <c r="B2739" s="67"/>
    </row>
    <row r="2740" spans="1:2" x14ac:dyDescent="0.25">
      <c r="A2740" s="67"/>
      <c r="B2740" s="67"/>
    </row>
    <row r="2741" spans="1:2" x14ac:dyDescent="0.25">
      <c r="A2741" s="67"/>
      <c r="B2741" s="67"/>
    </row>
    <row r="2742" spans="1:2" x14ac:dyDescent="0.25">
      <c r="A2742" s="67"/>
      <c r="B2742" s="67"/>
    </row>
    <row r="2743" spans="1:2" x14ac:dyDescent="0.25">
      <c r="A2743" s="67"/>
      <c r="B2743" s="67"/>
    </row>
    <row r="2744" spans="1:2" x14ac:dyDescent="0.25">
      <c r="A2744" s="67"/>
      <c r="B2744" s="67"/>
    </row>
    <row r="2745" spans="1:2" x14ac:dyDescent="0.25">
      <c r="A2745" s="67"/>
      <c r="B2745" s="67"/>
    </row>
    <row r="2746" spans="1:2" x14ac:dyDescent="0.25">
      <c r="A2746" s="67"/>
      <c r="B2746" s="67"/>
    </row>
    <row r="2747" spans="1:2" x14ac:dyDescent="0.25">
      <c r="A2747" s="67"/>
      <c r="B2747" s="67"/>
    </row>
    <row r="2748" spans="1:2" x14ac:dyDescent="0.25">
      <c r="A2748" s="67"/>
      <c r="B2748" s="67"/>
    </row>
    <row r="2749" spans="1:2" x14ac:dyDescent="0.25">
      <c r="A2749" s="67"/>
      <c r="B2749" s="67"/>
    </row>
    <row r="2750" spans="1:2" x14ac:dyDescent="0.25">
      <c r="A2750" s="67"/>
      <c r="B2750" s="67"/>
    </row>
    <row r="2751" spans="1:2" x14ac:dyDescent="0.25">
      <c r="A2751" s="67"/>
      <c r="B2751" s="67"/>
    </row>
    <row r="2752" spans="1:2" x14ac:dyDescent="0.25">
      <c r="A2752" s="67"/>
      <c r="B2752" s="67"/>
    </row>
    <row r="2753" spans="1:2" x14ac:dyDescent="0.25">
      <c r="A2753" s="67"/>
      <c r="B2753" s="67"/>
    </row>
    <row r="2754" spans="1:2" x14ac:dyDescent="0.25">
      <c r="A2754" s="67"/>
      <c r="B2754" s="67"/>
    </row>
    <row r="2755" spans="1:2" x14ac:dyDescent="0.25">
      <c r="A2755" s="67"/>
      <c r="B2755" s="67"/>
    </row>
    <row r="2756" spans="1:2" x14ac:dyDescent="0.25">
      <c r="A2756" s="67"/>
      <c r="B2756" s="67"/>
    </row>
    <row r="2757" spans="1:2" x14ac:dyDescent="0.25">
      <c r="A2757" s="67"/>
      <c r="B2757" s="67"/>
    </row>
    <row r="2758" spans="1:2" x14ac:dyDescent="0.25">
      <c r="A2758" s="67"/>
      <c r="B2758" s="67"/>
    </row>
    <row r="2759" spans="1:2" x14ac:dyDescent="0.25">
      <c r="A2759" s="67"/>
      <c r="B2759" s="67"/>
    </row>
    <row r="2760" spans="1:2" x14ac:dyDescent="0.25">
      <c r="A2760" s="67"/>
      <c r="B2760" s="67"/>
    </row>
    <row r="2761" spans="1:2" x14ac:dyDescent="0.25">
      <c r="A2761" s="67"/>
      <c r="B2761" s="67"/>
    </row>
    <row r="2762" spans="1:2" x14ac:dyDescent="0.25">
      <c r="A2762" s="67"/>
      <c r="B2762" s="67"/>
    </row>
    <row r="2763" spans="1:2" x14ac:dyDescent="0.25">
      <c r="A2763" s="67"/>
      <c r="B2763" s="67"/>
    </row>
    <row r="2764" spans="1:2" x14ac:dyDescent="0.25">
      <c r="A2764" s="67"/>
      <c r="B2764" s="67"/>
    </row>
    <row r="2765" spans="1:2" x14ac:dyDescent="0.25">
      <c r="A2765" s="67"/>
      <c r="B2765" s="67"/>
    </row>
    <row r="2766" spans="1:2" x14ac:dyDescent="0.25">
      <c r="A2766" s="67"/>
      <c r="B2766" s="67"/>
    </row>
    <row r="2767" spans="1:2" x14ac:dyDescent="0.25">
      <c r="A2767" s="67"/>
      <c r="B2767" s="67"/>
    </row>
    <row r="2768" spans="1:2" x14ac:dyDescent="0.25">
      <c r="A2768" s="67"/>
      <c r="B2768" s="67"/>
    </row>
    <row r="2769" spans="1:2" x14ac:dyDescent="0.25">
      <c r="A2769" s="67"/>
      <c r="B2769" s="67"/>
    </row>
    <row r="2770" spans="1:2" x14ac:dyDescent="0.25">
      <c r="A2770" s="67"/>
      <c r="B2770" s="67"/>
    </row>
    <row r="2771" spans="1:2" x14ac:dyDescent="0.25">
      <c r="A2771" s="67"/>
      <c r="B2771" s="67"/>
    </row>
    <row r="2772" spans="1:2" x14ac:dyDescent="0.25">
      <c r="A2772" s="67"/>
      <c r="B2772" s="67"/>
    </row>
    <row r="2773" spans="1:2" x14ac:dyDescent="0.25">
      <c r="A2773" s="67"/>
      <c r="B2773" s="67"/>
    </row>
    <row r="2774" spans="1:2" x14ac:dyDescent="0.25">
      <c r="A2774" s="67"/>
      <c r="B2774" s="67"/>
    </row>
    <row r="2775" spans="1:2" x14ac:dyDescent="0.25">
      <c r="A2775" s="67"/>
      <c r="B2775" s="67"/>
    </row>
    <row r="2776" spans="1:2" x14ac:dyDescent="0.25">
      <c r="A2776" s="67"/>
      <c r="B2776" s="67"/>
    </row>
    <row r="2777" spans="1:2" x14ac:dyDescent="0.25">
      <c r="A2777" s="67"/>
      <c r="B2777" s="67"/>
    </row>
    <row r="2778" spans="1:2" x14ac:dyDescent="0.25">
      <c r="A2778" s="67"/>
      <c r="B2778" s="67"/>
    </row>
    <row r="2779" spans="1:2" x14ac:dyDescent="0.25">
      <c r="A2779" s="67"/>
      <c r="B2779" s="67"/>
    </row>
    <row r="2780" spans="1:2" x14ac:dyDescent="0.25">
      <c r="A2780" s="67"/>
      <c r="B2780" s="67"/>
    </row>
    <row r="2781" spans="1:2" x14ac:dyDescent="0.25">
      <c r="A2781" s="67"/>
      <c r="B2781" s="67"/>
    </row>
    <row r="2782" spans="1:2" x14ac:dyDescent="0.25">
      <c r="A2782" s="67"/>
      <c r="B2782" s="67"/>
    </row>
    <row r="2783" spans="1:2" x14ac:dyDescent="0.25">
      <c r="A2783" s="67"/>
      <c r="B2783" s="67"/>
    </row>
    <row r="2784" spans="1:2" x14ac:dyDescent="0.25">
      <c r="A2784" s="67"/>
      <c r="B2784" s="67"/>
    </row>
    <row r="2785" spans="1:2" x14ac:dyDescent="0.25">
      <c r="A2785" s="67"/>
      <c r="B2785" s="67"/>
    </row>
    <row r="2786" spans="1:2" x14ac:dyDescent="0.25">
      <c r="A2786" s="67"/>
      <c r="B2786" s="67"/>
    </row>
    <row r="2787" spans="1:2" x14ac:dyDescent="0.25">
      <c r="A2787" s="67"/>
      <c r="B2787" s="67"/>
    </row>
    <row r="2788" spans="1:2" x14ac:dyDescent="0.25">
      <c r="A2788" s="67"/>
      <c r="B2788" s="67"/>
    </row>
    <row r="2789" spans="1:2" x14ac:dyDescent="0.25">
      <c r="A2789" s="67"/>
      <c r="B2789" s="67"/>
    </row>
    <row r="2790" spans="1:2" x14ac:dyDescent="0.25">
      <c r="A2790" s="67"/>
      <c r="B2790" s="67"/>
    </row>
    <row r="2791" spans="1:2" x14ac:dyDescent="0.25">
      <c r="A2791" s="67"/>
      <c r="B2791" s="67"/>
    </row>
    <row r="2792" spans="1:2" x14ac:dyDescent="0.25">
      <c r="A2792" s="67"/>
      <c r="B2792" s="67"/>
    </row>
    <row r="2793" spans="1:2" x14ac:dyDescent="0.25">
      <c r="A2793" s="67"/>
      <c r="B2793" s="67"/>
    </row>
    <row r="2794" spans="1:2" x14ac:dyDescent="0.25">
      <c r="A2794" s="67"/>
      <c r="B2794" s="67"/>
    </row>
    <row r="2795" spans="1:2" x14ac:dyDescent="0.25">
      <c r="A2795" s="67"/>
      <c r="B2795" s="67"/>
    </row>
    <row r="2796" spans="1:2" x14ac:dyDescent="0.25">
      <c r="A2796" s="67"/>
      <c r="B2796" s="67"/>
    </row>
    <row r="2797" spans="1:2" x14ac:dyDescent="0.25">
      <c r="A2797" s="67"/>
      <c r="B2797" s="67"/>
    </row>
    <row r="2798" spans="1:2" x14ac:dyDescent="0.25">
      <c r="A2798" s="67"/>
      <c r="B2798" s="67"/>
    </row>
    <row r="2799" spans="1:2" x14ac:dyDescent="0.25">
      <c r="A2799" s="67"/>
      <c r="B2799" s="67"/>
    </row>
    <row r="2800" spans="1:2" x14ac:dyDescent="0.25">
      <c r="A2800" s="67"/>
      <c r="B2800" s="67"/>
    </row>
    <row r="2801" spans="1:2" x14ac:dyDescent="0.25">
      <c r="A2801" s="67"/>
      <c r="B2801" s="67"/>
    </row>
    <row r="2802" spans="1:2" x14ac:dyDescent="0.25">
      <c r="A2802" s="67"/>
      <c r="B2802" s="67"/>
    </row>
    <row r="2803" spans="1:2" x14ac:dyDescent="0.25">
      <c r="A2803" s="67"/>
      <c r="B2803" s="67"/>
    </row>
    <row r="2804" spans="1:2" x14ac:dyDescent="0.25">
      <c r="A2804" s="67"/>
      <c r="B2804" s="67"/>
    </row>
    <row r="2805" spans="1:2" x14ac:dyDescent="0.25">
      <c r="A2805" s="67"/>
      <c r="B2805" s="67"/>
    </row>
    <row r="2806" spans="1:2" x14ac:dyDescent="0.25">
      <c r="A2806" s="67"/>
      <c r="B2806" s="67"/>
    </row>
    <row r="2807" spans="1:2" x14ac:dyDescent="0.25">
      <c r="A2807" s="67"/>
      <c r="B2807" s="67"/>
    </row>
    <row r="2808" spans="1:2" x14ac:dyDescent="0.25">
      <c r="A2808" s="67"/>
      <c r="B2808" s="67"/>
    </row>
    <row r="2809" spans="1:2" x14ac:dyDescent="0.25">
      <c r="A2809" s="67"/>
      <c r="B2809" s="67"/>
    </row>
    <row r="2810" spans="1:2" x14ac:dyDescent="0.25">
      <c r="A2810" s="67"/>
      <c r="B2810" s="67"/>
    </row>
    <row r="2811" spans="1:2" x14ac:dyDescent="0.25">
      <c r="A2811" s="67"/>
      <c r="B2811" s="67"/>
    </row>
    <row r="2812" spans="1:2" x14ac:dyDescent="0.25">
      <c r="A2812" s="67"/>
      <c r="B2812" s="67"/>
    </row>
    <row r="2813" spans="1:2" x14ac:dyDescent="0.25">
      <c r="A2813" s="67"/>
      <c r="B2813" s="67"/>
    </row>
    <row r="2814" spans="1:2" x14ac:dyDescent="0.25">
      <c r="A2814" s="67"/>
      <c r="B2814" s="67"/>
    </row>
    <row r="2815" spans="1:2" x14ac:dyDescent="0.25">
      <c r="A2815" s="67"/>
      <c r="B2815" s="67"/>
    </row>
    <row r="2816" spans="1:2" x14ac:dyDescent="0.25">
      <c r="A2816" s="67"/>
      <c r="B2816" s="67"/>
    </row>
    <row r="2817" spans="1:2" x14ac:dyDescent="0.25">
      <c r="A2817" s="67"/>
      <c r="B2817" s="67"/>
    </row>
    <row r="2818" spans="1:2" x14ac:dyDescent="0.25">
      <c r="A2818" s="67"/>
      <c r="B2818" s="67"/>
    </row>
    <row r="2819" spans="1:2" x14ac:dyDescent="0.25">
      <c r="A2819" s="67"/>
      <c r="B2819" s="67"/>
    </row>
    <row r="2820" spans="1:2" x14ac:dyDescent="0.25">
      <c r="A2820" s="67"/>
      <c r="B2820" s="67"/>
    </row>
    <row r="2821" spans="1:2" x14ac:dyDescent="0.25">
      <c r="A2821" s="67"/>
      <c r="B2821" s="67"/>
    </row>
    <row r="2822" spans="1:2" x14ac:dyDescent="0.25">
      <c r="A2822" s="67"/>
      <c r="B2822" s="67"/>
    </row>
    <row r="2823" spans="1:2" x14ac:dyDescent="0.25">
      <c r="A2823" s="67"/>
      <c r="B2823" s="67"/>
    </row>
    <row r="2824" spans="1:2" x14ac:dyDescent="0.25">
      <c r="A2824" s="67"/>
      <c r="B2824" s="67"/>
    </row>
    <row r="2825" spans="1:2" x14ac:dyDescent="0.25">
      <c r="A2825" s="67"/>
      <c r="B2825" s="67"/>
    </row>
    <row r="2826" spans="1:2" x14ac:dyDescent="0.25">
      <c r="A2826" s="67"/>
      <c r="B2826" s="67"/>
    </row>
    <row r="2827" spans="1:2" x14ac:dyDescent="0.25">
      <c r="A2827" s="67"/>
      <c r="B2827" s="67"/>
    </row>
    <row r="2828" spans="1:2" x14ac:dyDescent="0.25">
      <c r="A2828" s="67"/>
      <c r="B2828" s="67"/>
    </row>
    <row r="2829" spans="1:2" x14ac:dyDescent="0.25">
      <c r="A2829" s="67"/>
      <c r="B2829" s="67"/>
    </row>
    <row r="2830" spans="1:2" x14ac:dyDescent="0.25">
      <c r="A2830" s="67"/>
      <c r="B2830" s="67"/>
    </row>
    <row r="2831" spans="1:2" x14ac:dyDescent="0.25">
      <c r="A2831" s="67"/>
      <c r="B2831" s="67"/>
    </row>
    <row r="2832" spans="1:2" x14ac:dyDescent="0.25">
      <c r="A2832" s="67"/>
      <c r="B2832" s="67"/>
    </row>
    <row r="2833" spans="1:2" x14ac:dyDescent="0.25">
      <c r="A2833" s="67"/>
      <c r="B2833" s="67"/>
    </row>
    <row r="2834" spans="1:2" x14ac:dyDescent="0.25">
      <c r="A2834" s="67"/>
      <c r="B2834" s="67"/>
    </row>
    <row r="2835" spans="1:2" x14ac:dyDescent="0.25">
      <c r="A2835" s="67"/>
      <c r="B2835" s="67"/>
    </row>
    <row r="2836" spans="1:2" x14ac:dyDescent="0.25">
      <c r="A2836" s="67"/>
      <c r="B2836" s="67"/>
    </row>
    <row r="2837" spans="1:2" x14ac:dyDescent="0.25">
      <c r="A2837" s="67"/>
      <c r="B2837" s="67"/>
    </row>
    <row r="2838" spans="1:2" x14ac:dyDescent="0.25">
      <c r="A2838" s="67"/>
      <c r="B2838" s="67"/>
    </row>
    <row r="2839" spans="1:2" x14ac:dyDescent="0.25">
      <c r="A2839" s="67"/>
      <c r="B2839" s="67"/>
    </row>
    <row r="2840" spans="1:2" x14ac:dyDescent="0.25">
      <c r="A2840" s="67"/>
      <c r="B2840" s="67"/>
    </row>
    <row r="2841" spans="1:2" x14ac:dyDescent="0.25">
      <c r="A2841" s="67"/>
      <c r="B2841" s="67"/>
    </row>
    <row r="2842" spans="1:2" x14ac:dyDescent="0.25">
      <c r="A2842" s="67"/>
      <c r="B2842" s="67"/>
    </row>
    <row r="2843" spans="1:2" x14ac:dyDescent="0.25">
      <c r="A2843" s="67"/>
      <c r="B2843" s="67"/>
    </row>
    <row r="2844" spans="1:2" x14ac:dyDescent="0.25">
      <c r="A2844" s="67"/>
      <c r="B2844" s="67"/>
    </row>
    <row r="2845" spans="1:2" x14ac:dyDescent="0.25">
      <c r="A2845" s="67"/>
      <c r="B2845" s="67"/>
    </row>
    <row r="2846" spans="1:2" x14ac:dyDescent="0.25">
      <c r="A2846" s="67"/>
      <c r="B2846" s="67"/>
    </row>
    <row r="2847" spans="1:2" x14ac:dyDescent="0.25">
      <c r="A2847" s="67"/>
      <c r="B2847" s="67"/>
    </row>
    <row r="2848" spans="1:2" x14ac:dyDescent="0.25">
      <c r="A2848" s="67"/>
      <c r="B2848" s="67"/>
    </row>
    <row r="2849" spans="1:2" x14ac:dyDescent="0.25">
      <c r="A2849" s="67"/>
      <c r="B2849" s="67"/>
    </row>
    <row r="2850" spans="1:2" x14ac:dyDescent="0.25">
      <c r="A2850" s="67"/>
      <c r="B2850" s="67"/>
    </row>
    <row r="2851" spans="1:2" x14ac:dyDescent="0.25">
      <c r="A2851" s="67"/>
      <c r="B2851" s="67"/>
    </row>
    <row r="2852" spans="1:2" x14ac:dyDescent="0.25">
      <c r="A2852" s="67"/>
      <c r="B2852" s="67"/>
    </row>
    <row r="2853" spans="1:2" x14ac:dyDescent="0.25">
      <c r="A2853" s="67"/>
      <c r="B2853" s="67"/>
    </row>
    <row r="2854" spans="1:2" x14ac:dyDescent="0.25">
      <c r="A2854" s="67"/>
      <c r="B2854" s="67"/>
    </row>
    <row r="2855" spans="1:2" x14ac:dyDescent="0.25">
      <c r="A2855" s="67"/>
      <c r="B2855" s="67"/>
    </row>
    <row r="2856" spans="1:2" x14ac:dyDescent="0.25">
      <c r="A2856" s="67"/>
      <c r="B2856" s="67"/>
    </row>
    <row r="2857" spans="1:2" x14ac:dyDescent="0.25">
      <c r="A2857" s="67"/>
      <c r="B2857" s="67"/>
    </row>
    <row r="2858" spans="1:2" x14ac:dyDescent="0.25">
      <c r="A2858" s="67"/>
      <c r="B2858" s="67"/>
    </row>
    <row r="2859" spans="1:2" x14ac:dyDescent="0.25">
      <c r="A2859" s="67"/>
      <c r="B2859" s="67"/>
    </row>
    <row r="2860" spans="1:2" x14ac:dyDescent="0.25">
      <c r="A2860" s="67"/>
      <c r="B2860" s="67"/>
    </row>
    <row r="2861" spans="1:2" x14ac:dyDescent="0.25">
      <c r="A2861" s="67"/>
      <c r="B2861" s="67"/>
    </row>
    <row r="2862" spans="1:2" x14ac:dyDescent="0.25">
      <c r="A2862" s="67"/>
      <c r="B2862" s="67"/>
    </row>
    <row r="2863" spans="1:2" x14ac:dyDescent="0.25">
      <c r="A2863" s="67"/>
      <c r="B2863" s="67"/>
    </row>
    <row r="2864" spans="1:2" x14ac:dyDescent="0.25">
      <c r="A2864" s="67"/>
      <c r="B2864" s="67"/>
    </row>
    <row r="2865" spans="1:2" x14ac:dyDescent="0.25">
      <c r="A2865" s="67"/>
      <c r="B2865" s="67"/>
    </row>
    <row r="2866" spans="1:2" x14ac:dyDescent="0.25">
      <c r="A2866" s="67"/>
      <c r="B2866" s="67"/>
    </row>
    <row r="2867" spans="1:2" x14ac:dyDescent="0.25">
      <c r="A2867" s="67"/>
      <c r="B2867" s="67"/>
    </row>
    <row r="2868" spans="1:2" x14ac:dyDescent="0.25">
      <c r="A2868" s="67"/>
      <c r="B2868" s="67"/>
    </row>
    <row r="2869" spans="1:2" x14ac:dyDescent="0.25">
      <c r="A2869" s="67"/>
      <c r="B2869" s="67"/>
    </row>
    <row r="2870" spans="1:2" x14ac:dyDescent="0.25">
      <c r="A2870" s="67"/>
      <c r="B2870" s="67"/>
    </row>
    <row r="2871" spans="1:2" x14ac:dyDescent="0.25">
      <c r="A2871" s="67"/>
      <c r="B2871" s="67"/>
    </row>
    <row r="2872" spans="1:2" x14ac:dyDescent="0.25">
      <c r="A2872" s="67"/>
      <c r="B2872" s="67"/>
    </row>
    <row r="2873" spans="1:2" x14ac:dyDescent="0.25">
      <c r="A2873" s="67"/>
      <c r="B2873" s="67"/>
    </row>
    <row r="2874" spans="1:2" x14ac:dyDescent="0.25">
      <c r="A2874" s="67"/>
      <c r="B2874" s="67"/>
    </row>
    <row r="2875" spans="1:2" x14ac:dyDescent="0.25">
      <c r="A2875" s="67"/>
      <c r="B2875" s="67"/>
    </row>
    <row r="2876" spans="1:2" x14ac:dyDescent="0.25">
      <c r="A2876" s="67"/>
      <c r="B2876" s="67"/>
    </row>
    <row r="2877" spans="1:2" x14ac:dyDescent="0.25">
      <c r="A2877" s="67"/>
      <c r="B2877" s="67"/>
    </row>
    <row r="2878" spans="1:2" x14ac:dyDescent="0.25">
      <c r="A2878" s="67"/>
      <c r="B2878" s="67"/>
    </row>
    <row r="2879" spans="1:2" x14ac:dyDescent="0.25">
      <c r="A2879" s="67"/>
      <c r="B2879" s="67"/>
    </row>
    <row r="2880" spans="1:2" x14ac:dyDescent="0.25">
      <c r="A2880" s="67"/>
      <c r="B2880" s="67"/>
    </row>
    <row r="2881" spans="1:2" x14ac:dyDescent="0.25">
      <c r="A2881" s="67"/>
      <c r="B2881" s="67"/>
    </row>
    <row r="2882" spans="1:2" x14ac:dyDescent="0.25">
      <c r="A2882" s="67"/>
      <c r="B2882" s="67"/>
    </row>
    <row r="2883" spans="1:2" x14ac:dyDescent="0.25">
      <c r="A2883" s="67"/>
      <c r="B2883" s="67"/>
    </row>
    <row r="2884" spans="1:2" x14ac:dyDescent="0.25">
      <c r="A2884" s="67"/>
      <c r="B2884" s="67"/>
    </row>
    <row r="2885" spans="1:2" x14ac:dyDescent="0.25">
      <c r="A2885" s="67"/>
      <c r="B2885" s="67"/>
    </row>
    <row r="2886" spans="1:2" x14ac:dyDescent="0.25">
      <c r="A2886" s="67"/>
      <c r="B2886" s="67"/>
    </row>
    <row r="2887" spans="1:2" x14ac:dyDescent="0.25">
      <c r="A2887" s="67"/>
      <c r="B2887" s="67"/>
    </row>
    <row r="2888" spans="1:2" x14ac:dyDescent="0.25">
      <c r="A2888" s="67"/>
      <c r="B2888" s="67"/>
    </row>
    <row r="2889" spans="1:2" x14ac:dyDescent="0.25">
      <c r="A2889" s="67"/>
      <c r="B2889" s="67"/>
    </row>
    <row r="2890" spans="1:2" x14ac:dyDescent="0.25">
      <c r="A2890" s="67"/>
      <c r="B2890" s="67"/>
    </row>
    <row r="2891" spans="1:2" x14ac:dyDescent="0.25">
      <c r="A2891" s="67"/>
      <c r="B2891" s="67"/>
    </row>
    <row r="2892" spans="1:2" x14ac:dyDescent="0.25">
      <c r="A2892" s="67"/>
      <c r="B2892" s="67"/>
    </row>
    <row r="2893" spans="1:2" x14ac:dyDescent="0.25">
      <c r="A2893" s="67"/>
      <c r="B2893" s="67"/>
    </row>
    <row r="2894" spans="1:2" x14ac:dyDescent="0.25">
      <c r="A2894" s="67"/>
      <c r="B2894" s="67"/>
    </row>
    <row r="2895" spans="1:2" x14ac:dyDescent="0.25">
      <c r="A2895" s="67"/>
      <c r="B2895" s="67"/>
    </row>
    <row r="2896" spans="1:2" x14ac:dyDescent="0.25">
      <c r="A2896" s="67"/>
      <c r="B2896" s="67"/>
    </row>
    <row r="2897" spans="1:2" x14ac:dyDescent="0.25">
      <c r="A2897" s="67"/>
      <c r="B2897" s="67"/>
    </row>
    <row r="2898" spans="1:2" x14ac:dyDescent="0.25">
      <c r="A2898" s="67"/>
      <c r="B2898" s="67"/>
    </row>
    <row r="2899" spans="1:2" x14ac:dyDescent="0.25">
      <c r="A2899" s="67"/>
      <c r="B2899" s="67"/>
    </row>
    <row r="2900" spans="1:2" x14ac:dyDescent="0.25">
      <c r="A2900" s="67"/>
      <c r="B2900" s="67"/>
    </row>
    <row r="2901" spans="1:2" x14ac:dyDescent="0.25">
      <c r="A2901" s="67"/>
      <c r="B2901" s="67"/>
    </row>
    <row r="2902" spans="1:2" x14ac:dyDescent="0.25">
      <c r="A2902" s="67"/>
      <c r="B2902" s="67"/>
    </row>
    <row r="2903" spans="1:2" x14ac:dyDescent="0.25">
      <c r="A2903" s="67"/>
      <c r="B2903" s="67"/>
    </row>
    <row r="2904" spans="1:2" x14ac:dyDescent="0.25">
      <c r="A2904" s="67"/>
      <c r="B2904" s="67"/>
    </row>
    <row r="2905" spans="1:2" x14ac:dyDescent="0.25">
      <c r="A2905" s="67"/>
      <c r="B2905" s="67"/>
    </row>
    <row r="2906" spans="1:2" x14ac:dyDescent="0.25">
      <c r="A2906" s="67"/>
      <c r="B2906" s="67"/>
    </row>
    <row r="2907" spans="1:2" x14ac:dyDescent="0.25">
      <c r="A2907" s="67"/>
      <c r="B2907" s="67"/>
    </row>
    <row r="2908" spans="1:2" x14ac:dyDescent="0.25">
      <c r="A2908" s="67"/>
      <c r="B2908" s="67"/>
    </row>
    <row r="2909" spans="1:2" x14ac:dyDescent="0.25">
      <c r="A2909" s="67"/>
      <c r="B2909" s="67"/>
    </row>
    <row r="2910" spans="1:2" x14ac:dyDescent="0.25">
      <c r="A2910" s="67"/>
      <c r="B2910" s="67"/>
    </row>
    <row r="2911" spans="1:2" x14ac:dyDescent="0.25">
      <c r="A2911" s="67"/>
      <c r="B2911" s="67"/>
    </row>
    <row r="2912" spans="1:2" x14ac:dyDescent="0.25">
      <c r="A2912" s="67"/>
      <c r="B2912" s="67"/>
    </row>
    <row r="2913" spans="1:2" x14ac:dyDescent="0.25">
      <c r="A2913" s="67"/>
      <c r="B2913" s="67"/>
    </row>
    <row r="2914" spans="1:2" x14ac:dyDescent="0.25">
      <c r="A2914" s="67"/>
      <c r="B2914" s="67"/>
    </row>
    <row r="2915" spans="1:2" x14ac:dyDescent="0.25">
      <c r="A2915" s="67"/>
      <c r="B2915" s="67"/>
    </row>
    <row r="2916" spans="1:2" x14ac:dyDescent="0.25">
      <c r="A2916" s="67"/>
      <c r="B2916" s="67"/>
    </row>
    <row r="2917" spans="1:2" x14ac:dyDescent="0.25">
      <c r="A2917" s="67"/>
      <c r="B2917" s="67"/>
    </row>
    <row r="2918" spans="1:2" x14ac:dyDescent="0.25">
      <c r="A2918" s="67"/>
      <c r="B2918" s="67"/>
    </row>
    <row r="2919" spans="1:2" x14ac:dyDescent="0.25">
      <c r="A2919" s="67"/>
      <c r="B2919" s="67"/>
    </row>
    <row r="2920" spans="1:2" x14ac:dyDescent="0.25">
      <c r="A2920" s="67"/>
      <c r="B2920" s="67"/>
    </row>
    <row r="2921" spans="1:2" x14ac:dyDescent="0.25">
      <c r="A2921" s="67"/>
      <c r="B2921" s="67"/>
    </row>
    <row r="2922" spans="1:2" x14ac:dyDescent="0.25">
      <c r="A2922" s="67"/>
      <c r="B2922" s="67"/>
    </row>
    <row r="2923" spans="1:2" x14ac:dyDescent="0.25">
      <c r="A2923" s="67"/>
      <c r="B2923" s="67"/>
    </row>
    <row r="2924" spans="1:2" x14ac:dyDescent="0.25">
      <c r="A2924" s="67"/>
      <c r="B2924" s="67"/>
    </row>
    <row r="2925" spans="1:2" x14ac:dyDescent="0.25">
      <c r="A2925" s="67"/>
      <c r="B2925" s="67"/>
    </row>
    <row r="2926" spans="1:2" x14ac:dyDescent="0.25">
      <c r="A2926" s="67"/>
      <c r="B2926" s="67"/>
    </row>
    <row r="2927" spans="1:2" x14ac:dyDescent="0.25">
      <c r="A2927" s="67"/>
      <c r="B2927" s="67"/>
    </row>
    <row r="2928" spans="1:2" x14ac:dyDescent="0.25">
      <c r="A2928" s="67"/>
      <c r="B2928" s="67"/>
    </row>
    <row r="2929" spans="1:2" x14ac:dyDescent="0.25">
      <c r="A2929" s="67"/>
      <c r="B2929" s="67"/>
    </row>
    <row r="2930" spans="1:2" x14ac:dyDescent="0.25">
      <c r="A2930" s="67"/>
      <c r="B2930" s="67"/>
    </row>
    <row r="2931" spans="1:2" x14ac:dyDescent="0.25">
      <c r="A2931" s="67"/>
      <c r="B2931" s="67"/>
    </row>
    <row r="2932" spans="1:2" x14ac:dyDescent="0.25">
      <c r="A2932" s="67"/>
      <c r="B2932" s="67"/>
    </row>
    <row r="2933" spans="1:2" x14ac:dyDescent="0.25">
      <c r="A2933" s="67"/>
      <c r="B2933" s="67"/>
    </row>
    <row r="2934" spans="1:2" x14ac:dyDescent="0.25">
      <c r="A2934" s="67"/>
      <c r="B2934" s="67"/>
    </row>
    <row r="2935" spans="1:2" x14ac:dyDescent="0.25">
      <c r="A2935" s="67"/>
      <c r="B2935" s="67"/>
    </row>
    <row r="2936" spans="1:2" x14ac:dyDescent="0.25">
      <c r="A2936" s="67"/>
      <c r="B2936" s="67"/>
    </row>
    <row r="2937" spans="1:2" x14ac:dyDescent="0.25">
      <c r="A2937" s="67"/>
      <c r="B2937" s="67"/>
    </row>
    <row r="2938" spans="1:2" x14ac:dyDescent="0.25">
      <c r="A2938" s="67"/>
      <c r="B2938" s="67"/>
    </row>
    <row r="2939" spans="1:2" x14ac:dyDescent="0.25">
      <c r="A2939" s="67"/>
      <c r="B2939" s="67"/>
    </row>
    <row r="2940" spans="1:2" x14ac:dyDescent="0.25">
      <c r="A2940" s="67"/>
      <c r="B2940" s="67"/>
    </row>
    <row r="2941" spans="1:2" x14ac:dyDescent="0.25">
      <c r="A2941" s="67"/>
      <c r="B2941" s="67"/>
    </row>
    <row r="2942" spans="1:2" x14ac:dyDescent="0.25">
      <c r="A2942" s="67"/>
      <c r="B2942" s="67"/>
    </row>
    <row r="2943" spans="1:2" x14ac:dyDescent="0.25">
      <c r="A2943" s="67"/>
      <c r="B2943" s="67"/>
    </row>
    <row r="2944" spans="1:2" x14ac:dyDescent="0.25">
      <c r="A2944" s="67"/>
      <c r="B2944" s="67"/>
    </row>
    <row r="2945" spans="1:2" x14ac:dyDescent="0.25">
      <c r="A2945" s="67"/>
      <c r="B2945" s="67"/>
    </row>
    <row r="2946" spans="1:2" x14ac:dyDescent="0.25">
      <c r="A2946" s="67"/>
      <c r="B2946" s="67"/>
    </row>
    <row r="2947" spans="1:2" x14ac:dyDescent="0.25">
      <c r="A2947" s="67"/>
      <c r="B2947" s="67"/>
    </row>
    <row r="2948" spans="1:2" x14ac:dyDescent="0.25">
      <c r="A2948" s="67"/>
      <c r="B2948" s="67"/>
    </row>
    <row r="2949" spans="1:2" x14ac:dyDescent="0.25">
      <c r="A2949" s="67"/>
      <c r="B2949" s="67"/>
    </row>
    <row r="2950" spans="1:2" x14ac:dyDescent="0.25">
      <c r="A2950" s="67"/>
      <c r="B2950" s="67"/>
    </row>
    <row r="2951" spans="1:2" x14ac:dyDescent="0.25">
      <c r="A2951" s="67"/>
      <c r="B2951" s="67"/>
    </row>
    <row r="2952" spans="1:2" x14ac:dyDescent="0.25">
      <c r="A2952" s="67"/>
      <c r="B2952" s="67"/>
    </row>
    <row r="2953" spans="1:2" x14ac:dyDescent="0.25">
      <c r="A2953" s="67"/>
      <c r="B2953" s="67"/>
    </row>
    <row r="2954" spans="1:2" x14ac:dyDescent="0.25">
      <c r="A2954" s="67"/>
      <c r="B2954" s="67"/>
    </row>
    <row r="2955" spans="1:2" x14ac:dyDescent="0.25">
      <c r="A2955" s="67"/>
      <c r="B2955" s="67"/>
    </row>
    <row r="2956" spans="1:2" x14ac:dyDescent="0.25">
      <c r="A2956" s="67"/>
      <c r="B2956" s="67"/>
    </row>
    <row r="2957" spans="1:2" x14ac:dyDescent="0.25">
      <c r="A2957" s="67"/>
      <c r="B2957" s="67"/>
    </row>
    <row r="2958" spans="1:2" x14ac:dyDescent="0.25">
      <c r="A2958" s="67"/>
      <c r="B2958" s="67"/>
    </row>
    <row r="2959" spans="1:2" x14ac:dyDescent="0.25">
      <c r="A2959" s="67"/>
      <c r="B2959" s="67"/>
    </row>
    <row r="2960" spans="1:2" x14ac:dyDescent="0.25">
      <c r="A2960" s="67"/>
      <c r="B2960" s="67"/>
    </row>
    <row r="2961" spans="1:2" x14ac:dyDescent="0.25">
      <c r="A2961" s="67"/>
      <c r="B2961" s="67"/>
    </row>
    <row r="2962" spans="1:2" x14ac:dyDescent="0.25">
      <c r="A2962" s="67"/>
      <c r="B2962" s="67"/>
    </row>
    <row r="2963" spans="1:2" x14ac:dyDescent="0.25">
      <c r="A2963" s="67"/>
      <c r="B2963" s="67"/>
    </row>
    <row r="2964" spans="1:2" x14ac:dyDescent="0.25">
      <c r="A2964" s="67"/>
      <c r="B2964" s="67"/>
    </row>
    <row r="2965" spans="1:2" x14ac:dyDescent="0.25">
      <c r="A2965" s="67"/>
      <c r="B2965" s="67"/>
    </row>
    <row r="2966" spans="1:2" x14ac:dyDescent="0.25">
      <c r="A2966" s="67"/>
      <c r="B2966" s="67"/>
    </row>
    <row r="2967" spans="1:2" x14ac:dyDescent="0.25">
      <c r="A2967" s="67"/>
      <c r="B2967" s="67"/>
    </row>
    <row r="2968" spans="1:2" x14ac:dyDescent="0.25">
      <c r="A2968" s="67"/>
      <c r="B2968" s="67"/>
    </row>
    <row r="2969" spans="1:2" x14ac:dyDescent="0.25">
      <c r="A2969" s="67"/>
      <c r="B2969" s="67"/>
    </row>
    <row r="2970" spans="1:2" x14ac:dyDescent="0.25">
      <c r="A2970" s="67"/>
      <c r="B2970" s="67"/>
    </row>
    <row r="2971" spans="1:2" x14ac:dyDescent="0.25">
      <c r="A2971" s="67"/>
      <c r="B2971" s="67"/>
    </row>
    <row r="2972" spans="1:2" x14ac:dyDescent="0.25">
      <c r="A2972" s="67"/>
      <c r="B2972" s="67"/>
    </row>
    <row r="2973" spans="1:2" x14ac:dyDescent="0.25">
      <c r="A2973" s="67"/>
      <c r="B2973" s="67"/>
    </row>
    <row r="2974" spans="1:2" x14ac:dyDescent="0.25">
      <c r="A2974" s="67"/>
      <c r="B2974" s="67"/>
    </row>
    <row r="2975" spans="1:2" x14ac:dyDescent="0.25">
      <c r="A2975" s="67"/>
      <c r="B2975" s="67"/>
    </row>
    <row r="2976" spans="1:2" x14ac:dyDescent="0.25">
      <c r="A2976" s="67"/>
      <c r="B2976" s="67"/>
    </row>
    <row r="2977" spans="1:2" x14ac:dyDescent="0.25">
      <c r="A2977" s="67"/>
      <c r="B2977" s="67"/>
    </row>
    <row r="2978" spans="1:2" x14ac:dyDescent="0.25">
      <c r="A2978" s="67"/>
      <c r="B2978" s="67"/>
    </row>
    <row r="2979" spans="1:2" x14ac:dyDescent="0.25">
      <c r="A2979" s="67"/>
      <c r="B2979" s="67"/>
    </row>
    <row r="2980" spans="1:2" x14ac:dyDescent="0.25">
      <c r="A2980" s="67"/>
      <c r="B2980" s="67"/>
    </row>
    <row r="2981" spans="1:2" x14ac:dyDescent="0.25">
      <c r="A2981" s="67"/>
      <c r="B2981" s="67"/>
    </row>
    <row r="2982" spans="1:2" x14ac:dyDescent="0.25">
      <c r="A2982" s="67"/>
      <c r="B2982" s="67"/>
    </row>
    <row r="2983" spans="1:2" x14ac:dyDescent="0.25">
      <c r="A2983" s="67"/>
      <c r="B2983" s="67"/>
    </row>
    <row r="2984" spans="1:2" x14ac:dyDescent="0.25">
      <c r="A2984" s="67"/>
      <c r="B2984" s="67"/>
    </row>
    <row r="2985" spans="1:2" x14ac:dyDescent="0.25">
      <c r="A2985" s="67"/>
      <c r="B2985" s="67"/>
    </row>
    <row r="2986" spans="1:2" x14ac:dyDescent="0.25">
      <c r="A2986" s="67"/>
      <c r="B2986" s="67"/>
    </row>
    <row r="2987" spans="1:2" x14ac:dyDescent="0.25">
      <c r="A2987" s="67"/>
      <c r="B2987" s="67"/>
    </row>
    <row r="2988" spans="1:2" x14ac:dyDescent="0.25">
      <c r="A2988" s="67"/>
      <c r="B2988" s="67"/>
    </row>
    <row r="2989" spans="1:2" x14ac:dyDescent="0.25">
      <c r="A2989" s="67"/>
      <c r="B2989" s="67"/>
    </row>
    <row r="2990" spans="1:2" x14ac:dyDescent="0.25">
      <c r="A2990" s="67"/>
      <c r="B2990" s="67"/>
    </row>
    <row r="2991" spans="1:2" x14ac:dyDescent="0.25">
      <c r="A2991" s="67"/>
      <c r="B2991" s="67"/>
    </row>
    <row r="2992" spans="1:2" x14ac:dyDescent="0.25">
      <c r="A2992" s="67"/>
      <c r="B2992" s="67"/>
    </row>
    <row r="2993" spans="1:2" x14ac:dyDescent="0.25">
      <c r="A2993" s="67"/>
      <c r="B2993" s="67"/>
    </row>
    <row r="2994" spans="1:2" x14ac:dyDescent="0.25">
      <c r="A2994" s="67"/>
      <c r="B2994" s="67"/>
    </row>
    <row r="2995" spans="1:2" x14ac:dyDescent="0.25">
      <c r="A2995" s="67"/>
      <c r="B2995" s="67"/>
    </row>
    <row r="2996" spans="1:2" x14ac:dyDescent="0.25">
      <c r="A2996" s="67"/>
      <c r="B2996" s="67"/>
    </row>
    <row r="2997" spans="1:2" x14ac:dyDescent="0.25">
      <c r="A2997" s="67"/>
      <c r="B2997" s="67"/>
    </row>
    <row r="2998" spans="1:2" x14ac:dyDescent="0.25">
      <c r="A2998" s="67"/>
      <c r="B2998" s="67"/>
    </row>
    <row r="2999" spans="1:2" x14ac:dyDescent="0.25">
      <c r="A2999" s="67"/>
      <c r="B2999" s="67"/>
    </row>
    <row r="3000" spans="1:2" x14ac:dyDescent="0.25">
      <c r="A3000" s="67"/>
      <c r="B3000" s="67"/>
    </row>
    <row r="3001" spans="1:2" x14ac:dyDescent="0.25">
      <c r="A3001" s="67"/>
      <c r="B3001" s="67"/>
    </row>
    <row r="3002" spans="1:2" x14ac:dyDescent="0.25">
      <c r="A3002" s="67"/>
      <c r="B3002" s="67"/>
    </row>
    <row r="3003" spans="1:2" x14ac:dyDescent="0.25">
      <c r="A3003" s="67"/>
      <c r="B3003" s="67"/>
    </row>
    <row r="3004" spans="1:2" x14ac:dyDescent="0.25">
      <c r="A3004" s="67"/>
      <c r="B3004" s="67"/>
    </row>
    <row r="3005" spans="1:2" x14ac:dyDescent="0.25">
      <c r="A3005" s="67"/>
      <c r="B3005" s="67"/>
    </row>
    <row r="3006" spans="1:2" x14ac:dyDescent="0.25">
      <c r="A3006" s="67"/>
      <c r="B3006" s="67"/>
    </row>
    <row r="3007" spans="1:2" x14ac:dyDescent="0.25">
      <c r="A3007" s="67"/>
      <c r="B3007" s="67"/>
    </row>
    <row r="3008" spans="1:2" x14ac:dyDescent="0.25">
      <c r="A3008" s="67"/>
      <c r="B3008" s="67"/>
    </row>
    <row r="3009" spans="1:2" x14ac:dyDescent="0.25">
      <c r="A3009" s="67"/>
      <c r="B3009" s="67"/>
    </row>
    <row r="3010" spans="1:2" x14ac:dyDescent="0.25">
      <c r="A3010" s="67"/>
      <c r="B3010" s="67"/>
    </row>
    <row r="3011" spans="1:2" x14ac:dyDescent="0.25">
      <c r="A3011" s="67"/>
      <c r="B3011" s="67"/>
    </row>
    <row r="3012" spans="1:2" x14ac:dyDescent="0.25">
      <c r="A3012" s="67"/>
      <c r="B3012" s="67"/>
    </row>
    <row r="3013" spans="1:2" x14ac:dyDescent="0.25">
      <c r="A3013" s="67"/>
      <c r="B3013" s="67"/>
    </row>
    <row r="3014" spans="1:2" x14ac:dyDescent="0.25">
      <c r="A3014" s="67"/>
      <c r="B3014" s="67"/>
    </row>
    <row r="3015" spans="1:2" x14ac:dyDescent="0.25">
      <c r="A3015" s="67"/>
      <c r="B3015" s="67"/>
    </row>
    <row r="3016" spans="1:2" x14ac:dyDescent="0.25">
      <c r="A3016" s="67"/>
      <c r="B3016" s="67"/>
    </row>
    <row r="3017" spans="1:2" x14ac:dyDescent="0.25">
      <c r="A3017" s="67"/>
      <c r="B3017" s="67"/>
    </row>
    <row r="3018" spans="1:2" x14ac:dyDescent="0.25">
      <c r="A3018" s="67"/>
      <c r="B3018" s="67"/>
    </row>
    <row r="3019" spans="1:2" x14ac:dyDescent="0.25">
      <c r="A3019" s="67"/>
      <c r="B3019" s="67"/>
    </row>
    <row r="3020" spans="1:2" x14ac:dyDescent="0.25">
      <c r="A3020" s="67"/>
      <c r="B3020" s="67"/>
    </row>
    <row r="3021" spans="1:2" x14ac:dyDescent="0.25">
      <c r="A3021" s="67"/>
      <c r="B3021" s="67"/>
    </row>
    <row r="3022" spans="1:2" x14ac:dyDescent="0.25">
      <c r="A3022" s="67"/>
      <c r="B3022" s="67"/>
    </row>
    <row r="3023" spans="1:2" x14ac:dyDescent="0.25">
      <c r="A3023" s="67"/>
      <c r="B3023" s="67"/>
    </row>
    <row r="3024" spans="1:2" x14ac:dyDescent="0.25">
      <c r="A3024" s="67"/>
      <c r="B3024" s="67"/>
    </row>
    <row r="3025" spans="1:2" x14ac:dyDescent="0.25">
      <c r="A3025" s="67"/>
      <c r="B3025" s="67"/>
    </row>
    <row r="3026" spans="1:2" x14ac:dyDescent="0.25">
      <c r="A3026" s="67"/>
      <c r="B3026" s="67"/>
    </row>
    <row r="3027" spans="1:2" x14ac:dyDescent="0.25">
      <c r="A3027" s="67"/>
      <c r="B3027" s="67"/>
    </row>
    <row r="3028" spans="1:2" x14ac:dyDescent="0.25">
      <c r="A3028" s="67"/>
      <c r="B3028" s="67"/>
    </row>
    <row r="3029" spans="1:2" x14ac:dyDescent="0.25">
      <c r="A3029" s="67"/>
      <c r="B3029" s="67"/>
    </row>
    <row r="3030" spans="1:2" x14ac:dyDescent="0.25">
      <c r="A3030" s="67"/>
      <c r="B3030" s="67"/>
    </row>
    <row r="3031" spans="1:2" x14ac:dyDescent="0.25">
      <c r="A3031" s="67"/>
      <c r="B3031" s="67"/>
    </row>
    <row r="3032" spans="1:2" x14ac:dyDescent="0.25">
      <c r="A3032" s="67"/>
      <c r="B3032" s="67"/>
    </row>
    <row r="3033" spans="1:2" x14ac:dyDescent="0.25">
      <c r="A3033" s="67"/>
      <c r="B3033" s="67"/>
    </row>
    <row r="3034" spans="1:2" x14ac:dyDescent="0.25">
      <c r="A3034" s="67"/>
      <c r="B3034" s="67"/>
    </row>
    <row r="3035" spans="1:2" x14ac:dyDescent="0.25">
      <c r="A3035" s="67"/>
      <c r="B3035" s="67"/>
    </row>
    <row r="3036" spans="1:2" x14ac:dyDescent="0.25">
      <c r="A3036" s="67"/>
      <c r="B3036" s="67"/>
    </row>
    <row r="3037" spans="1:2" x14ac:dyDescent="0.25">
      <c r="A3037" s="67"/>
      <c r="B3037" s="67"/>
    </row>
    <row r="3038" spans="1:2" x14ac:dyDescent="0.25">
      <c r="A3038" s="67"/>
      <c r="B3038" s="67"/>
    </row>
    <row r="3039" spans="1:2" x14ac:dyDescent="0.25">
      <c r="A3039" s="67"/>
      <c r="B3039" s="67"/>
    </row>
    <row r="3040" spans="1:2" x14ac:dyDescent="0.25">
      <c r="A3040" s="67"/>
      <c r="B3040" s="67"/>
    </row>
    <row r="3041" spans="1:2" x14ac:dyDescent="0.25">
      <c r="A3041" s="67"/>
      <c r="B3041" s="67"/>
    </row>
    <row r="3042" spans="1:2" x14ac:dyDescent="0.25">
      <c r="A3042" s="67"/>
      <c r="B3042" s="67"/>
    </row>
    <row r="3043" spans="1:2" x14ac:dyDescent="0.25">
      <c r="A3043" s="67"/>
      <c r="B3043" s="67"/>
    </row>
    <row r="3044" spans="1:2" x14ac:dyDescent="0.25">
      <c r="A3044" s="67"/>
      <c r="B3044" s="67"/>
    </row>
    <row r="3045" spans="1:2" x14ac:dyDescent="0.25">
      <c r="A3045" s="67"/>
      <c r="B3045" s="67"/>
    </row>
    <row r="3046" spans="1:2" x14ac:dyDescent="0.25">
      <c r="A3046" s="67"/>
      <c r="B3046" s="67"/>
    </row>
    <row r="3047" spans="1:2" x14ac:dyDescent="0.25">
      <c r="A3047" s="67"/>
      <c r="B3047" s="67"/>
    </row>
    <row r="3048" spans="1:2" x14ac:dyDescent="0.25">
      <c r="A3048" s="67"/>
      <c r="B3048" s="67"/>
    </row>
    <row r="3049" spans="1:2" x14ac:dyDescent="0.25">
      <c r="A3049" s="67"/>
      <c r="B3049" s="67"/>
    </row>
    <row r="3050" spans="1:2" x14ac:dyDescent="0.25">
      <c r="A3050" s="67"/>
      <c r="B3050" s="67"/>
    </row>
    <row r="3051" spans="1:2" x14ac:dyDescent="0.25">
      <c r="A3051" s="67"/>
      <c r="B3051" s="67"/>
    </row>
    <row r="3052" spans="1:2" x14ac:dyDescent="0.25">
      <c r="A3052" s="67"/>
      <c r="B3052" s="67"/>
    </row>
    <row r="3053" spans="1:2" x14ac:dyDescent="0.25">
      <c r="A3053" s="67"/>
      <c r="B3053" s="67"/>
    </row>
    <row r="3054" spans="1:2" x14ac:dyDescent="0.25">
      <c r="A3054" s="67"/>
      <c r="B3054" s="67"/>
    </row>
    <row r="3055" spans="1:2" x14ac:dyDescent="0.25">
      <c r="A3055" s="67"/>
      <c r="B3055" s="67"/>
    </row>
    <row r="3056" spans="1:2" x14ac:dyDescent="0.25">
      <c r="A3056" s="67"/>
      <c r="B3056" s="67"/>
    </row>
    <row r="3057" spans="1:2" x14ac:dyDescent="0.25">
      <c r="A3057" s="67"/>
      <c r="B3057" s="67"/>
    </row>
    <row r="3058" spans="1:2" x14ac:dyDescent="0.25">
      <c r="A3058" s="67"/>
      <c r="B3058" s="67"/>
    </row>
    <row r="3059" spans="1:2" x14ac:dyDescent="0.25">
      <c r="A3059" s="67"/>
      <c r="B3059" s="67"/>
    </row>
    <row r="3060" spans="1:2" x14ac:dyDescent="0.25">
      <c r="A3060" s="67"/>
      <c r="B3060" s="67"/>
    </row>
    <row r="3061" spans="1:2" x14ac:dyDescent="0.25">
      <c r="A3061" s="67"/>
      <c r="B3061" s="67"/>
    </row>
    <row r="3062" spans="1:2" x14ac:dyDescent="0.25">
      <c r="A3062" s="67"/>
      <c r="B3062" s="67"/>
    </row>
    <row r="3063" spans="1:2" x14ac:dyDescent="0.25">
      <c r="A3063" s="67"/>
      <c r="B3063" s="67"/>
    </row>
    <row r="3064" spans="1:2" x14ac:dyDescent="0.25">
      <c r="A3064" s="67"/>
      <c r="B3064" s="67"/>
    </row>
    <row r="3065" spans="1:2" x14ac:dyDescent="0.25">
      <c r="A3065" s="67"/>
      <c r="B3065" s="67"/>
    </row>
    <row r="3066" spans="1:2" x14ac:dyDescent="0.25">
      <c r="A3066" s="67"/>
      <c r="B3066" s="67"/>
    </row>
    <row r="3067" spans="1:2" x14ac:dyDescent="0.25">
      <c r="A3067" s="67"/>
      <c r="B3067" s="67"/>
    </row>
    <row r="3068" spans="1:2" x14ac:dyDescent="0.25">
      <c r="A3068" s="67"/>
      <c r="B3068" s="67"/>
    </row>
    <row r="3069" spans="1:2" x14ac:dyDescent="0.25">
      <c r="A3069" s="67"/>
      <c r="B3069" s="67"/>
    </row>
    <row r="3070" spans="1:2" x14ac:dyDescent="0.25">
      <c r="A3070" s="67"/>
      <c r="B3070" s="67"/>
    </row>
    <row r="3071" spans="1:2" x14ac:dyDescent="0.25">
      <c r="A3071" s="67"/>
      <c r="B3071" s="67"/>
    </row>
    <row r="3072" spans="1:2" x14ac:dyDescent="0.25">
      <c r="A3072" s="67"/>
      <c r="B3072" s="67"/>
    </row>
    <row r="3073" spans="1:2" x14ac:dyDescent="0.25">
      <c r="A3073" s="67"/>
      <c r="B3073" s="67"/>
    </row>
    <row r="3074" spans="1:2" x14ac:dyDescent="0.25">
      <c r="A3074" s="67"/>
      <c r="B3074" s="67"/>
    </row>
    <row r="3075" spans="1:2" x14ac:dyDescent="0.25">
      <c r="A3075" s="67"/>
      <c r="B3075" s="67"/>
    </row>
    <row r="3076" spans="1:2" x14ac:dyDescent="0.25">
      <c r="A3076" s="67"/>
      <c r="B3076" s="67"/>
    </row>
    <row r="3077" spans="1:2" x14ac:dyDescent="0.25">
      <c r="A3077" s="67"/>
      <c r="B3077" s="67"/>
    </row>
    <row r="3078" spans="1:2" x14ac:dyDescent="0.25">
      <c r="A3078" s="67"/>
      <c r="B3078" s="67"/>
    </row>
    <row r="3079" spans="1:2" x14ac:dyDescent="0.25">
      <c r="A3079" s="67"/>
      <c r="B3079" s="67"/>
    </row>
    <row r="3080" spans="1:2" x14ac:dyDescent="0.25">
      <c r="A3080" s="67"/>
      <c r="B3080" s="67"/>
    </row>
    <row r="3081" spans="1:2" x14ac:dyDescent="0.25">
      <c r="A3081" s="67"/>
      <c r="B3081" s="67"/>
    </row>
    <row r="3082" spans="1:2" x14ac:dyDescent="0.25">
      <c r="A3082" s="67"/>
      <c r="B3082" s="67"/>
    </row>
    <row r="3083" spans="1:2" x14ac:dyDescent="0.25">
      <c r="A3083" s="67"/>
      <c r="B3083" s="67"/>
    </row>
    <row r="3084" spans="1:2" x14ac:dyDescent="0.25">
      <c r="A3084" s="67"/>
      <c r="B3084" s="67"/>
    </row>
    <row r="3085" spans="1:2" x14ac:dyDescent="0.25">
      <c r="A3085" s="67"/>
      <c r="B3085" s="67"/>
    </row>
    <row r="3086" spans="1:2" x14ac:dyDescent="0.25">
      <c r="A3086" s="67"/>
      <c r="B3086" s="67"/>
    </row>
    <row r="3087" spans="1:2" x14ac:dyDescent="0.25">
      <c r="A3087" s="67"/>
      <c r="B3087" s="67"/>
    </row>
    <row r="3088" spans="1:2" x14ac:dyDescent="0.25">
      <c r="A3088" s="67"/>
      <c r="B3088" s="67"/>
    </row>
    <row r="3089" spans="1:2" x14ac:dyDescent="0.25">
      <c r="A3089" s="67"/>
      <c r="B3089" s="67"/>
    </row>
    <row r="3090" spans="1:2" x14ac:dyDescent="0.25">
      <c r="A3090" s="67"/>
      <c r="B3090" s="67"/>
    </row>
    <row r="3091" spans="1:2" x14ac:dyDescent="0.25">
      <c r="A3091" s="67"/>
      <c r="B3091" s="67"/>
    </row>
    <row r="3092" spans="1:2" x14ac:dyDescent="0.25">
      <c r="A3092" s="67"/>
      <c r="B3092" s="67"/>
    </row>
    <row r="3093" spans="1:2" x14ac:dyDescent="0.25">
      <c r="A3093" s="67"/>
      <c r="B3093" s="67"/>
    </row>
    <row r="3094" spans="1:2" x14ac:dyDescent="0.25">
      <c r="A3094" s="67"/>
      <c r="B3094" s="67"/>
    </row>
    <row r="3095" spans="1:2" x14ac:dyDescent="0.25">
      <c r="A3095" s="67"/>
      <c r="B3095" s="67"/>
    </row>
    <row r="3096" spans="1:2" x14ac:dyDescent="0.25">
      <c r="A3096" s="67"/>
      <c r="B3096" s="67"/>
    </row>
    <row r="3097" spans="1:2" x14ac:dyDescent="0.25">
      <c r="A3097" s="67"/>
      <c r="B3097" s="67"/>
    </row>
    <row r="3098" spans="1:2" x14ac:dyDescent="0.25">
      <c r="A3098" s="67"/>
      <c r="B3098" s="67"/>
    </row>
    <row r="3099" spans="1:2" x14ac:dyDescent="0.25">
      <c r="A3099" s="67"/>
      <c r="B3099" s="67"/>
    </row>
    <row r="3100" spans="1:2" x14ac:dyDescent="0.25">
      <c r="A3100" s="67"/>
      <c r="B3100" s="67"/>
    </row>
    <row r="3101" spans="1:2" x14ac:dyDescent="0.25">
      <c r="A3101" s="67"/>
      <c r="B3101" s="67"/>
    </row>
    <row r="3102" spans="1:2" x14ac:dyDescent="0.25">
      <c r="A3102" s="67"/>
      <c r="B3102" s="67"/>
    </row>
    <row r="3103" spans="1:2" x14ac:dyDescent="0.25">
      <c r="A3103" s="67"/>
      <c r="B3103" s="67"/>
    </row>
    <row r="3104" spans="1:2" x14ac:dyDescent="0.25">
      <c r="A3104" s="67"/>
      <c r="B3104" s="67"/>
    </row>
    <row r="3105" spans="1:2" x14ac:dyDescent="0.25">
      <c r="A3105" s="67"/>
      <c r="B3105" s="67"/>
    </row>
    <row r="3106" spans="1:2" x14ac:dyDescent="0.25">
      <c r="A3106" s="67"/>
      <c r="B3106" s="67"/>
    </row>
    <row r="3107" spans="1:2" x14ac:dyDescent="0.25">
      <c r="A3107" s="67"/>
      <c r="B3107" s="67"/>
    </row>
    <row r="3108" spans="1:2" x14ac:dyDescent="0.25">
      <c r="A3108" s="67"/>
      <c r="B3108" s="67"/>
    </row>
    <row r="3109" spans="1:2" x14ac:dyDescent="0.25">
      <c r="A3109" s="67"/>
      <c r="B3109" s="67"/>
    </row>
    <row r="3110" spans="1:2" x14ac:dyDescent="0.25">
      <c r="A3110" s="67"/>
      <c r="B3110" s="67"/>
    </row>
    <row r="3111" spans="1:2" x14ac:dyDescent="0.25">
      <c r="A3111" s="67"/>
      <c r="B3111" s="67"/>
    </row>
    <row r="3112" spans="1:2" x14ac:dyDescent="0.25">
      <c r="A3112" s="67"/>
      <c r="B3112" s="67"/>
    </row>
    <row r="3113" spans="1:2" x14ac:dyDescent="0.25">
      <c r="A3113" s="67"/>
      <c r="B3113" s="67"/>
    </row>
    <row r="3114" spans="1:2" x14ac:dyDescent="0.25">
      <c r="A3114" s="67"/>
      <c r="B3114" s="67"/>
    </row>
    <row r="3115" spans="1:2" x14ac:dyDescent="0.25">
      <c r="A3115" s="67"/>
      <c r="B3115" s="67"/>
    </row>
    <row r="3116" spans="1:2" x14ac:dyDescent="0.25">
      <c r="A3116" s="67"/>
      <c r="B3116" s="67"/>
    </row>
    <row r="3117" spans="1:2" x14ac:dyDescent="0.25">
      <c r="A3117" s="67"/>
      <c r="B3117" s="67"/>
    </row>
    <row r="3118" spans="1:2" x14ac:dyDescent="0.25">
      <c r="A3118" s="67"/>
      <c r="B3118" s="67"/>
    </row>
    <row r="3119" spans="1:2" x14ac:dyDescent="0.25">
      <c r="A3119" s="67"/>
      <c r="B3119" s="67"/>
    </row>
    <row r="3120" spans="1:2" x14ac:dyDescent="0.25">
      <c r="A3120" s="67"/>
      <c r="B3120" s="67"/>
    </row>
    <row r="3121" spans="1:2" x14ac:dyDescent="0.25">
      <c r="A3121" s="67"/>
      <c r="B3121" s="67"/>
    </row>
    <row r="3122" spans="1:2" x14ac:dyDescent="0.25">
      <c r="A3122" s="67"/>
      <c r="B3122" s="67"/>
    </row>
    <row r="3123" spans="1:2" x14ac:dyDescent="0.25">
      <c r="A3123" s="67"/>
      <c r="B3123" s="67"/>
    </row>
    <row r="3124" spans="1:2" x14ac:dyDescent="0.25">
      <c r="A3124" s="67"/>
      <c r="B3124" s="67"/>
    </row>
    <row r="3125" spans="1:2" x14ac:dyDescent="0.25">
      <c r="A3125" s="67"/>
      <c r="B3125" s="67"/>
    </row>
    <row r="3126" spans="1:2" x14ac:dyDescent="0.25">
      <c r="A3126" s="67"/>
      <c r="B3126" s="67"/>
    </row>
    <row r="3127" spans="1:2" x14ac:dyDescent="0.25">
      <c r="A3127" s="67"/>
      <c r="B3127" s="67"/>
    </row>
    <row r="3128" spans="1:2" x14ac:dyDescent="0.25">
      <c r="A3128" s="67"/>
      <c r="B3128" s="67"/>
    </row>
    <row r="3129" spans="1:2" x14ac:dyDescent="0.25">
      <c r="A3129" s="67"/>
      <c r="B3129" s="67"/>
    </row>
    <row r="3130" spans="1:2" x14ac:dyDescent="0.25">
      <c r="A3130" s="67"/>
      <c r="B3130" s="67"/>
    </row>
    <row r="3131" spans="1:2" x14ac:dyDescent="0.25">
      <c r="A3131" s="67"/>
      <c r="B3131" s="67"/>
    </row>
    <row r="3132" spans="1:2" x14ac:dyDescent="0.25">
      <c r="A3132" s="67"/>
      <c r="B3132" s="67"/>
    </row>
    <row r="3133" spans="1:2" x14ac:dyDescent="0.25">
      <c r="A3133" s="67"/>
      <c r="B3133" s="67"/>
    </row>
    <row r="3134" spans="1:2" x14ac:dyDescent="0.25">
      <c r="A3134" s="67"/>
      <c r="B3134" s="67"/>
    </row>
    <row r="3135" spans="1:2" x14ac:dyDescent="0.25">
      <c r="A3135" s="67"/>
      <c r="B3135" s="67"/>
    </row>
    <row r="3136" spans="1:2" x14ac:dyDescent="0.25">
      <c r="A3136" s="67"/>
      <c r="B3136" s="67"/>
    </row>
    <row r="3137" spans="1:2" x14ac:dyDescent="0.25">
      <c r="A3137" s="67"/>
      <c r="B3137" s="67"/>
    </row>
    <row r="3138" spans="1:2" x14ac:dyDescent="0.25">
      <c r="A3138" s="67"/>
      <c r="B3138" s="67"/>
    </row>
    <row r="3139" spans="1:2" x14ac:dyDescent="0.25">
      <c r="A3139" s="67"/>
      <c r="B3139" s="67"/>
    </row>
    <row r="3140" spans="1:2" x14ac:dyDescent="0.25">
      <c r="A3140" s="67"/>
      <c r="B3140" s="67"/>
    </row>
    <row r="3141" spans="1:2" x14ac:dyDescent="0.25">
      <c r="A3141" s="67"/>
      <c r="B3141" s="67"/>
    </row>
    <row r="3142" spans="1:2" x14ac:dyDescent="0.25">
      <c r="A3142" s="67"/>
      <c r="B3142" s="67"/>
    </row>
    <row r="3143" spans="1:2" x14ac:dyDescent="0.25">
      <c r="A3143" s="67"/>
      <c r="B3143" s="67"/>
    </row>
    <row r="3144" spans="1:2" x14ac:dyDescent="0.25">
      <c r="A3144" s="67"/>
      <c r="B3144" s="67"/>
    </row>
    <row r="3145" spans="1:2" x14ac:dyDescent="0.25">
      <c r="A3145" s="67"/>
      <c r="B3145" s="67"/>
    </row>
    <row r="3146" spans="1:2" x14ac:dyDescent="0.25">
      <c r="A3146" s="67"/>
      <c r="B3146" s="67"/>
    </row>
    <row r="3147" spans="1:2" x14ac:dyDescent="0.25">
      <c r="A3147" s="67"/>
      <c r="B3147" s="67"/>
    </row>
    <row r="3148" spans="1:2" x14ac:dyDescent="0.25">
      <c r="A3148" s="67"/>
      <c r="B3148" s="67"/>
    </row>
    <row r="3149" spans="1:2" x14ac:dyDescent="0.25">
      <c r="A3149" s="67"/>
      <c r="B3149" s="67"/>
    </row>
    <row r="3150" spans="1:2" x14ac:dyDescent="0.25">
      <c r="A3150" s="67"/>
      <c r="B3150" s="67"/>
    </row>
    <row r="3151" spans="1:2" x14ac:dyDescent="0.25">
      <c r="A3151" s="67"/>
      <c r="B3151" s="67"/>
    </row>
    <row r="3152" spans="1:2" x14ac:dyDescent="0.25">
      <c r="A3152" s="67"/>
      <c r="B3152" s="67"/>
    </row>
    <row r="3153" spans="1:2" x14ac:dyDescent="0.25">
      <c r="A3153" s="67"/>
      <c r="B3153" s="67"/>
    </row>
    <row r="3154" spans="1:2" x14ac:dyDescent="0.25">
      <c r="A3154" s="67"/>
      <c r="B3154" s="67"/>
    </row>
    <row r="3155" spans="1:2" x14ac:dyDescent="0.25">
      <c r="A3155" s="67"/>
      <c r="B3155" s="67"/>
    </row>
    <row r="3156" spans="1:2" x14ac:dyDescent="0.25">
      <c r="A3156" s="67"/>
      <c r="B3156" s="67"/>
    </row>
    <row r="3157" spans="1:2" x14ac:dyDescent="0.25">
      <c r="A3157" s="67"/>
      <c r="B3157" s="67"/>
    </row>
    <row r="3158" spans="1:2" x14ac:dyDescent="0.25">
      <c r="A3158" s="67"/>
      <c r="B3158" s="67"/>
    </row>
    <row r="3159" spans="1:2" x14ac:dyDescent="0.25">
      <c r="A3159" s="67"/>
      <c r="B3159" s="67"/>
    </row>
    <row r="3160" spans="1:2" x14ac:dyDescent="0.25">
      <c r="A3160" s="67"/>
      <c r="B3160" s="67"/>
    </row>
    <row r="3161" spans="1:2" x14ac:dyDescent="0.25">
      <c r="A3161" s="67"/>
      <c r="B3161" s="67"/>
    </row>
    <row r="3162" spans="1:2" x14ac:dyDescent="0.25">
      <c r="A3162" s="67"/>
      <c r="B3162" s="67"/>
    </row>
    <row r="3163" spans="1:2" x14ac:dyDescent="0.25">
      <c r="A3163" s="67"/>
      <c r="B3163" s="67"/>
    </row>
    <row r="3164" spans="1:2" x14ac:dyDescent="0.25">
      <c r="A3164" s="67"/>
      <c r="B3164" s="67"/>
    </row>
    <row r="3165" spans="1:2" x14ac:dyDescent="0.25">
      <c r="A3165" s="67"/>
      <c r="B3165" s="67"/>
    </row>
    <row r="3166" spans="1:2" x14ac:dyDescent="0.25">
      <c r="A3166" s="67"/>
      <c r="B3166" s="67"/>
    </row>
    <row r="3167" spans="1:2" x14ac:dyDescent="0.25">
      <c r="A3167" s="67"/>
      <c r="B3167" s="67"/>
    </row>
    <row r="3168" spans="1:2" x14ac:dyDescent="0.25">
      <c r="A3168" s="67"/>
      <c r="B3168" s="67"/>
    </row>
    <row r="3169" spans="1:2" x14ac:dyDescent="0.25">
      <c r="A3169" s="67"/>
      <c r="B3169" s="67"/>
    </row>
    <row r="3170" spans="1:2" x14ac:dyDescent="0.25">
      <c r="A3170" s="67"/>
      <c r="B3170" s="67"/>
    </row>
    <row r="3171" spans="1:2" x14ac:dyDescent="0.25">
      <c r="A3171" s="67"/>
      <c r="B3171" s="67"/>
    </row>
    <row r="3172" spans="1:2" x14ac:dyDescent="0.25">
      <c r="A3172" s="67"/>
      <c r="B3172" s="67"/>
    </row>
    <row r="3173" spans="1:2" x14ac:dyDescent="0.25">
      <c r="A3173" s="67"/>
      <c r="B3173" s="67"/>
    </row>
    <row r="3174" spans="1:2" x14ac:dyDescent="0.25">
      <c r="A3174" s="67"/>
      <c r="B3174" s="67"/>
    </row>
    <row r="3175" spans="1:2" x14ac:dyDescent="0.25">
      <c r="A3175" s="67"/>
      <c r="B3175" s="67"/>
    </row>
    <row r="3176" spans="1:2" x14ac:dyDescent="0.25">
      <c r="A3176" s="67"/>
      <c r="B3176" s="67"/>
    </row>
    <row r="3177" spans="1:2" x14ac:dyDescent="0.25">
      <c r="A3177" s="67"/>
      <c r="B3177" s="67"/>
    </row>
    <row r="3178" spans="1:2" x14ac:dyDescent="0.25">
      <c r="A3178" s="67"/>
      <c r="B3178" s="67"/>
    </row>
    <row r="3179" spans="1:2" x14ac:dyDescent="0.25">
      <c r="A3179" s="67"/>
      <c r="B3179" s="67"/>
    </row>
    <row r="3180" spans="1:2" x14ac:dyDescent="0.25">
      <c r="A3180" s="67"/>
      <c r="B3180" s="67"/>
    </row>
    <row r="3181" spans="1:2" x14ac:dyDescent="0.25">
      <c r="A3181" s="67"/>
      <c r="B3181" s="67"/>
    </row>
    <row r="3182" spans="1:2" x14ac:dyDescent="0.25">
      <c r="A3182" s="67"/>
      <c r="B3182" s="67"/>
    </row>
    <row r="3183" spans="1:2" x14ac:dyDescent="0.25">
      <c r="A3183" s="67"/>
      <c r="B3183" s="67"/>
    </row>
    <row r="3184" spans="1:2" x14ac:dyDescent="0.25">
      <c r="A3184" s="67"/>
      <c r="B3184" s="67"/>
    </row>
    <row r="3185" spans="1:2" x14ac:dyDescent="0.25">
      <c r="A3185" s="67"/>
      <c r="B3185" s="67"/>
    </row>
    <row r="3186" spans="1:2" x14ac:dyDescent="0.25">
      <c r="A3186" s="67"/>
      <c r="B3186" s="67"/>
    </row>
    <row r="3187" spans="1:2" x14ac:dyDescent="0.25">
      <c r="A3187" s="67"/>
      <c r="B3187" s="67"/>
    </row>
    <row r="3188" spans="1:2" x14ac:dyDescent="0.25">
      <c r="A3188" s="67"/>
      <c r="B3188" s="67"/>
    </row>
    <row r="3189" spans="1:2" x14ac:dyDescent="0.25">
      <c r="A3189" s="67"/>
      <c r="B3189" s="67"/>
    </row>
    <row r="3190" spans="1:2" x14ac:dyDescent="0.25">
      <c r="A3190" s="67"/>
      <c r="B3190" s="67"/>
    </row>
    <row r="3191" spans="1:2" x14ac:dyDescent="0.25">
      <c r="A3191" s="67"/>
      <c r="B3191" s="67"/>
    </row>
    <row r="3192" spans="1:2" x14ac:dyDescent="0.25">
      <c r="A3192" s="67"/>
      <c r="B3192" s="67"/>
    </row>
    <row r="3193" spans="1:2" x14ac:dyDescent="0.25">
      <c r="A3193" s="67"/>
      <c r="B3193" s="67"/>
    </row>
    <row r="3194" spans="1:2" x14ac:dyDescent="0.25">
      <c r="A3194" s="67"/>
      <c r="B3194" s="67"/>
    </row>
    <row r="3195" spans="1:2" x14ac:dyDescent="0.25">
      <c r="A3195" s="67"/>
      <c r="B3195" s="67"/>
    </row>
    <row r="3196" spans="1:2" x14ac:dyDescent="0.25">
      <c r="A3196" s="67"/>
      <c r="B3196" s="67"/>
    </row>
    <row r="3197" spans="1:2" x14ac:dyDescent="0.25">
      <c r="A3197" s="67"/>
      <c r="B3197" s="67"/>
    </row>
    <row r="3198" spans="1:2" x14ac:dyDescent="0.25">
      <c r="A3198" s="67"/>
      <c r="B3198" s="67"/>
    </row>
    <row r="3199" spans="1:2" x14ac:dyDescent="0.25">
      <c r="A3199" s="67"/>
      <c r="B3199" s="67"/>
    </row>
    <row r="3200" spans="1:2" x14ac:dyDescent="0.25">
      <c r="A3200" s="67"/>
      <c r="B3200" s="67"/>
    </row>
    <row r="3201" spans="1:2" x14ac:dyDescent="0.25">
      <c r="A3201" s="67"/>
      <c r="B3201" s="67"/>
    </row>
    <row r="3202" spans="1:2" x14ac:dyDescent="0.25">
      <c r="A3202" s="67"/>
      <c r="B3202" s="67"/>
    </row>
    <row r="3203" spans="1:2" x14ac:dyDescent="0.25">
      <c r="A3203" s="67"/>
      <c r="B3203" s="67"/>
    </row>
    <row r="3204" spans="1:2" x14ac:dyDescent="0.25">
      <c r="A3204" s="67"/>
      <c r="B3204" s="67"/>
    </row>
    <row r="3205" spans="1:2" x14ac:dyDescent="0.25">
      <c r="A3205" s="67"/>
      <c r="B3205" s="67"/>
    </row>
    <row r="3206" spans="1:2" x14ac:dyDescent="0.25">
      <c r="A3206" s="67"/>
      <c r="B3206" s="67"/>
    </row>
    <row r="3207" spans="1:2" x14ac:dyDescent="0.25">
      <c r="A3207" s="67"/>
      <c r="B3207" s="67"/>
    </row>
    <row r="3208" spans="1:2" x14ac:dyDescent="0.25">
      <c r="A3208" s="67"/>
      <c r="B3208" s="67"/>
    </row>
    <row r="3209" spans="1:2" x14ac:dyDescent="0.25">
      <c r="A3209" s="67"/>
      <c r="B3209" s="67"/>
    </row>
    <row r="3210" spans="1:2" x14ac:dyDescent="0.25">
      <c r="A3210" s="67"/>
      <c r="B3210" s="67"/>
    </row>
    <row r="3211" spans="1:2" x14ac:dyDescent="0.25">
      <c r="A3211" s="67"/>
      <c r="B3211" s="67"/>
    </row>
    <row r="3212" spans="1:2" x14ac:dyDescent="0.25">
      <c r="A3212" s="67"/>
      <c r="B3212" s="67"/>
    </row>
    <row r="3213" spans="1:2" x14ac:dyDescent="0.25">
      <c r="A3213" s="67"/>
      <c r="B3213" s="67"/>
    </row>
    <row r="3214" spans="1:2" x14ac:dyDescent="0.25">
      <c r="A3214" s="67"/>
      <c r="B3214" s="67"/>
    </row>
    <row r="3215" spans="1:2" x14ac:dyDescent="0.25">
      <c r="A3215" s="67"/>
      <c r="B3215" s="67"/>
    </row>
    <row r="3216" spans="1:2" x14ac:dyDescent="0.25">
      <c r="A3216" s="67"/>
      <c r="B3216" s="67"/>
    </row>
    <row r="3217" spans="1:2" x14ac:dyDescent="0.25">
      <c r="A3217" s="67"/>
      <c r="B3217" s="67"/>
    </row>
    <row r="3218" spans="1:2" x14ac:dyDescent="0.25">
      <c r="A3218" s="67"/>
      <c r="B3218" s="67"/>
    </row>
    <row r="3219" spans="1:2" x14ac:dyDescent="0.25">
      <c r="A3219" s="67"/>
      <c r="B3219" s="67"/>
    </row>
    <row r="3220" spans="1:2" x14ac:dyDescent="0.25">
      <c r="A3220" s="67"/>
      <c r="B3220" s="67"/>
    </row>
    <row r="3221" spans="1:2" x14ac:dyDescent="0.25">
      <c r="A3221" s="67"/>
      <c r="B3221" s="67"/>
    </row>
    <row r="3222" spans="1:2" x14ac:dyDescent="0.25">
      <c r="A3222" s="67"/>
      <c r="B3222" s="67"/>
    </row>
    <row r="3223" spans="1:2" x14ac:dyDescent="0.25">
      <c r="A3223" s="67"/>
      <c r="B3223" s="67"/>
    </row>
    <row r="3224" spans="1:2" x14ac:dyDescent="0.25">
      <c r="A3224" s="67"/>
      <c r="B3224" s="67"/>
    </row>
    <row r="3225" spans="1:2" x14ac:dyDescent="0.25">
      <c r="A3225" s="67"/>
      <c r="B3225" s="67"/>
    </row>
    <row r="3226" spans="1:2" x14ac:dyDescent="0.25">
      <c r="A3226" s="67"/>
      <c r="B3226" s="67"/>
    </row>
    <row r="3227" spans="1:2" x14ac:dyDescent="0.25">
      <c r="A3227" s="67"/>
      <c r="B3227" s="67"/>
    </row>
    <row r="3228" spans="1:2" x14ac:dyDescent="0.25">
      <c r="A3228" s="67"/>
      <c r="B3228" s="67"/>
    </row>
    <row r="3229" spans="1:2" x14ac:dyDescent="0.25">
      <c r="A3229" s="67"/>
      <c r="B3229" s="67"/>
    </row>
    <row r="3230" spans="1:2" x14ac:dyDescent="0.25">
      <c r="A3230" s="67"/>
      <c r="B3230" s="67"/>
    </row>
    <row r="3231" spans="1:2" x14ac:dyDescent="0.25">
      <c r="A3231" s="67"/>
      <c r="B3231" s="67"/>
    </row>
    <row r="3232" spans="1:2" x14ac:dyDescent="0.25">
      <c r="A3232" s="67"/>
      <c r="B3232" s="67"/>
    </row>
    <row r="3233" spans="1:2" x14ac:dyDescent="0.25">
      <c r="A3233" s="67"/>
      <c r="B3233" s="67"/>
    </row>
    <row r="3234" spans="1:2" x14ac:dyDescent="0.25">
      <c r="A3234" s="67"/>
      <c r="B3234" s="67"/>
    </row>
    <row r="3235" spans="1:2" x14ac:dyDescent="0.25">
      <c r="A3235" s="67"/>
      <c r="B3235" s="67"/>
    </row>
    <row r="3236" spans="1:2" x14ac:dyDescent="0.25">
      <c r="A3236" s="67"/>
      <c r="B3236" s="67"/>
    </row>
    <row r="3237" spans="1:2" x14ac:dyDescent="0.25">
      <c r="A3237" s="67"/>
      <c r="B3237" s="67"/>
    </row>
    <row r="3238" spans="1:2" x14ac:dyDescent="0.25">
      <c r="A3238" s="67"/>
      <c r="B3238" s="67"/>
    </row>
    <row r="3239" spans="1:2" x14ac:dyDescent="0.25">
      <c r="A3239" s="67"/>
      <c r="B3239" s="67"/>
    </row>
    <row r="3240" spans="1:2" x14ac:dyDescent="0.25">
      <c r="A3240" s="67"/>
      <c r="B3240" s="67"/>
    </row>
    <row r="3241" spans="1:2" x14ac:dyDescent="0.25">
      <c r="A3241" s="67"/>
      <c r="B3241" s="67"/>
    </row>
    <row r="3242" spans="1:2" x14ac:dyDescent="0.25">
      <c r="A3242" s="67"/>
      <c r="B3242" s="67"/>
    </row>
    <row r="3243" spans="1:2" x14ac:dyDescent="0.25">
      <c r="A3243" s="67"/>
      <c r="B3243" s="67"/>
    </row>
    <row r="3244" spans="1:2" x14ac:dyDescent="0.25">
      <c r="A3244" s="67"/>
      <c r="B3244" s="67"/>
    </row>
    <row r="3245" spans="1:2" x14ac:dyDescent="0.25">
      <c r="A3245" s="67"/>
      <c r="B3245" s="67"/>
    </row>
    <row r="3246" spans="1:2" x14ac:dyDescent="0.25">
      <c r="A3246" s="67"/>
      <c r="B3246" s="67"/>
    </row>
    <row r="3247" spans="1:2" x14ac:dyDescent="0.25">
      <c r="A3247" s="67"/>
      <c r="B3247" s="67"/>
    </row>
    <row r="3248" spans="1:2" x14ac:dyDescent="0.25">
      <c r="A3248" s="67"/>
      <c r="B3248" s="67"/>
    </row>
    <row r="3249" spans="1:2" x14ac:dyDescent="0.25">
      <c r="A3249" s="67"/>
      <c r="B3249" s="67"/>
    </row>
    <row r="3250" spans="1:2" x14ac:dyDescent="0.25">
      <c r="A3250" s="67"/>
      <c r="B3250" s="67"/>
    </row>
    <row r="3251" spans="1:2" x14ac:dyDescent="0.25">
      <c r="A3251" s="67"/>
      <c r="B3251" s="67"/>
    </row>
    <row r="3252" spans="1:2" x14ac:dyDescent="0.25">
      <c r="A3252" s="67"/>
      <c r="B3252" s="67"/>
    </row>
    <row r="3253" spans="1:2" x14ac:dyDescent="0.25">
      <c r="A3253" s="67"/>
      <c r="B3253" s="67"/>
    </row>
    <row r="3254" spans="1:2" x14ac:dyDescent="0.25">
      <c r="A3254" s="67"/>
      <c r="B3254" s="67"/>
    </row>
    <row r="3255" spans="1:2" x14ac:dyDescent="0.25">
      <c r="A3255" s="67"/>
      <c r="B3255" s="67"/>
    </row>
    <row r="3256" spans="1:2" x14ac:dyDescent="0.25">
      <c r="A3256" s="67"/>
      <c r="B3256" s="67"/>
    </row>
    <row r="3257" spans="1:2" x14ac:dyDescent="0.25">
      <c r="A3257" s="67"/>
      <c r="B3257" s="67"/>
    </row>
    <row r="3258" spans="1:2" x14ac:dyDescent="0.25">
      <c r="A3258" s="67"/>
      <c r="B3258" s="67"/>
    </row>
    <row r="3259" spans="1:2" x14ac:dyDescent="0.25">
      <c r="A3259" s="67"/>
      <c r="B3259" s="67"/>
    </row>
    <row r="3260" spans="1:2" x14ac:dyDescent="0.25">
      <c r="A3260" s="67"/>
      <c r="B3260" s="67"/>
    </row>
    <row r="3261" spans="1:2" x14ac:dyDescent="0.25">
      <c r="A3261" s="67"/>
      <c r="B3261" s="67"/>
    </row>
    <row r="3262" spans="1:2" x14ac:dyDescent="0.25">
      <c r="A3262" s="67"/>
      <c r="B3262" s="67"/>
    </row>
    <row r="3263" spans="1:2" x14ac:dyDescent="0.25">
      <c r="A3263" s="67"/>
      <c r="B3263" s="67"/>
    </row>
    <row r="3264" spans="1:2" x14ac:dyDescent="0.25">
      <c r="A3264" s="67"/>
      <c r="B3264" s="67"/>
    </row>
    <row r="3265" spans="1:2" x14ac:dyDescent="0.25">
      <c r="A3265" s="67"/>
      <c r="B3265" s="67"/>
    </row>
    <row r="3266" spans="1:2" x14ac:dyDescent="0.25">
      <c r="A3266" s="67"/>
      <c r="B3266" s="67"/>
    </row>
    <row r="3267" spans="1:2" x14ac:dyDescent="0.25">
      <c r="A3267" s="67"/>
      <c r="B3267" s="67"/>
    </row>
    <row r="3268" spans="1:2" x14ac:dyDescent="0.25">
      <c r="A3268" s="67"/>
      <c r="B3268" s="67"/>
    </row>
    <row r="3269" spans="1:2" x14ac:dyDescent="0.25">
      <c r="A3269" s="67"/>
      <c r="B3269" s="67"/>
    </row>
    <row r="3270" spans="1:2" x14ac:dyDescent="0.25">
      <c r="A3270" s="67"/>
      <c r="B3270" s="67"/>
    </row>
    <row r="3271" spans="1:2" x14ac:dyDescent="0.25">
      <c r="A3271" s="67"/>
      <c r="B3271" s="67"/>
    </row>
    <row r="3272" spans="1:2" x14ac:dyDescent="0.25">
      <c r="A3272" s="67"/>
      <c r="B3272" s="67"/>
    </row>
    <row r="3273" spans="1:2" x14ac:dyDescent="0.25">
      <c r="A3273" s="67"/>
      <c r="B3273" s="67"/>
    </row>
    <row r="3274" spans="1:2" x14ac:dyDescent="0.25">
      <c r="A3274" s="67"/>
      <c r="B3274" s="67"/>
    </row>
    <row r="3275" spans="1:2" x14ac:dyDescent="0.25">
      <c r="A3275" s="67"/>
      <c r="B3275" s="67"/>
    </row>
    <row r="3276" spans="1:2" x14ac:dyDescent="0.25">
      <c r="A3276" s="67"/>
      <c r="B3276" s="67"/>
    </row>
    <row r="3277" spans="1:2" x14ac:dyDescent="0.25">
      <c r="A3277" s="67"/>
      <c r="B3277" s="67"/>
    </row>
    <row r="3278" spans="1:2" x14ac:dyDescent="0.25">
      <c r="A3278" s="67"/>
      <c r="B3278" s="67"/>
    </row>
    <row r="3279" spans="1:2" x14ac:dyDescent="0.25">
      <c r="A3279" s="67"/>
      <c r="B3279" s="67"/>
    </row>
    <row r="3280" spans="1:2" x14ac:dyDescent="0.25">
      <c r="A3280" s="67"/>
      <c r="B3280" s="67"/>
    </row>
    <row r="3281" spans="1:2" x14ac:dyDescent="0.25">
      <c r="A3281" s="67"/>
      <c r="B3281" s="67"/>
    </row>
    <row r="3282" spans="1:2" x14ac:dyDescent="0.25">
      <c r="A3282" s="67"/>
      <c r="B3282" s="67"/>
    </row>
    <row r="3283" spans="1:2" x14ac:dyDescent="0.25">
      <c r="A3283" s="67"/>
      <c r="B3283" s="67"/>
    </row>
    <row r="3284" spans="1:2" x14ac:dyDescent="0.25">
      <c r="A3284" s="67"/>
      <c r="B3284" s="67"/>
    </row>
    <row r="3285" spans="1:2" x14ac:dyDescent="0.25">
      <c r="A3285" s="67"/>
      <c r="B3285" s="67"/>
    </row>
    <row r="3286" spans="1:2" x14ac:dyDescent="0.25">
      <c r="A3286" s="67"/>
      <c r="B3286" s="67"/>
    </row>
    <row r="3287" spans="1:2" x14ac:dyDescent="0.25">
      <c r="A3287" s="67"/>
      <c r="B3287" s="67"/>
    </row>
    <row r="3288" spans="1:2" x14ac:dyDescent="0.25">
      <c r="A3288" s="67"/>
      <c r="B3288" s="67"/>
    </row>
    <row r="3289" spans="1:2" x14ac:dyDescent="0.25">
      <c r="A3289" s="67"/>
      <c r="B3289" s="67"/>
    </row>
    <row r="3290" spans="1:2" x14ac:dyDescent="0.25">
      <c r="A3290" s="67"/>
      <c r="B3290" s="67"/>
    </row>
    <row r="3291" spans="1:2" x14ac:dyDescent="0.25">
      <c r="A3291" s="67"/>
      <c r="B3291" s="67"/>
    </row>
    <row r="3292" spans="1:2" x14ac:dyDescent="0.25">
      <c r="A3292" s="67"/>
      <c r="B3292" s="67"/>
    </row>
    <row r="3293" spans="1:2" x14ac:dyDescent="0.25">
      <c r="A3293" s="67"/>
      <c r="B3293" s="67"/>
    </row>
    <row r="3294" spans="1:2" x14ac:dyDescent="0.25">
      <c r="A3294" s="67"/>
      <c r="B3294" s="67"/>
    </row>
    <row r="3295" spans="1:2" x14ac:dyDescent="0.25">
      <c r="A3295" s="67"/>
      <c r="B3295" s="67"/>
    </row>
    <row r="3296" spans="1:2" x14ac:dyDescent="0.25">
      <c r="A3296" s="67"/>
      <c r="B3296" s="67"/>
    </row>
    <row r="3297" spans="1:2" x14ac:dyDescent="0.25">
      <c r="A3297" s="67"/>
      <c r="B3297" s="67"/>
    </row>
    <row r="3298" spans="1:2" x14ac:dyDescent="0.25">
      <c r="A3298" s="67"/>
      <c r="B3298" s="67"/>
    </row>
    <row r="3299" spans="1:2" x14ac:dyDescent="0.25">
      <c r="A3299" s="67"/>
      <c r="B3299" s="67"/>
    </row>
    <row r="3300" spans="1:2" x14ac:dyDescent="0.25">
      <c r="A3300" s="67"/>
      <c r="B3300" s="67"/>
    </row>
    <row r="3301" spans="1:2" x14ac:dyDescent="0.25">
      <c r="A3301" s="67"/>
      <c r="B3301" s="67"/>
    </row>
    <row r="3302" spans="1:2" x14ac:dyDescent="0.25">
      <c r="A3302" s="67"/>
      <c r="B3302" s="67"/>
    </row>
    <row r="3303" spans="1:2" x14ac:dyDescent="0.25">
      <c r="A3303" s="67"/>
      <c r="B3303" s="67"/>
    </row>
    <row r="3304" spans="1:2" x14ac:dyDescent="0.25">
      <c r="A3304" s="67"/>
      <c r="B3304" s="67"/>
    </row>
    <row r="3305" spans="1:2" x14ac:dyDescent="0.25">
      <c r="A3305" s="67"/>
      <c r="B3305" s="67"/>
    </row>
    <row r="3306" spans="1:2" x14ac:dyDescent="0.25">
      <c r="A3306" s="67"/>
      <c r="B3306" s="67"/>
    </row>
    <row r="3307" spans="1:2" x14ac:dyDescent="0.25">
      <c r="A3307" s="67"/>
      <c r="B3307" s="67"/>
    </row>
    <row r="3308" spans="1:2" x14ac:dyDescent="0.25">
      <c r="A3308" s="67"/>
      <c r="B3308" s="67"/>
    </row>
    <row r="3309" spans="1:2" x14ac:dyDescent="0.25">
      <c r="A3309" s="67"/>
      <c r="B3309" s="67"/>
    </row>
    <row r="3310" spans="1:2" x14ac:dyDescent="0.25">
      <c r="A3310" s="67"/>
      <c r="B3310" s="67"/>
    </row>
    <row r="3311" spans="1:2" x14ac:dyDescent="0.25">
      <c r="A3311" s="67"/>
      <c r="B3311" s="67"/>
    </row>
    <row r="3312" spans="1:2" x14ac:dyDescent="0.25">
      <c r="A3312" s="67"/>
      <c r="B3312" s="67"/>
    </row>
    <row r="3313" spans="1:2" x14ac:dyDescent="0.25">
      <c r="A3313" s="67"/>
      <c r="B3313" s="67"/>
    </row>
    <row r="3314" spans="1:2" x14ac:dyDescent="0.25">
      <c r="A3314" s="67"/>
      <c r="B3314" s="67"/>
    </row>
    <row r="3315" spans="1:2" x14ac:dyDescent="0.25">
      <c r="A3315" s="67"/>
      <c r="B3315" s="67"/>
    </row>
    <row r="3316" spans="1:2" x14ac:dyDescent="0.25">
      <c r="A3316" s="67"/>
      <c r="B3316" s="67"/>
    </row>
    <row r="3317" spans="1:2" x14ac:dyDescent="0.25">
      <c r="A3317" s="67"/>
      <c r="B3317" s="67"/>
    </row>
    <row r="3318" spans="1:2" x14ac:dyDescent="0.25">
      <c r="A3318" s="67"/>
      <c r="B3318" s="67"/>
    </row>
    <row r="3319" spans="1:2" x14ac:dyDescent="0.25">
      <c r="A3319" s="67"/>
      <c r="B3319" s="67"/>
    </row>
    <row r="3320" spans="1:2" x14ac:dyDescent="0.25">
      <c r="A3320" s="67"/>
      <c r="B3320" s="67"/>
    </row>
    <row r="3321" spans="1:2" x14ac:dyDescent="0.25">
      <c r="A3321" s="67"/>
      <c r="B3321" s="67"/>
    </row>
    <row r="3322" spans="1:2" x14ac:dyDescent="0.25">
      <c r="A3322" s="67"/>
      <c r="B3322" s="67"/>
    </row>
    <row r="3323" spans="1:2" x14ac:dyDescent="0.25">
      <c r="A3323" s="67"/>
      <c r="B3323" s="67"/>
    </row>
    <row r="3324" spans="1:2" x14ac:dyDescent="0.25">
      <c r="A3324" s="67"/>
      <c r="B3324" s="67"/>
    </row>
    <row r="3325" spans="1:2" x14ac:dyDescent="0.25">
      <c r="A3325" s="67"/>
      <c r="B3325" s="67"/>
    </row>
    <row r="3326" spans="1:2" x14ac:dyDescent="0.25">
      <c r="A3326" s="67"/>
      <c r="B3326" s="67"/>
    </row>
    <row r="3327" spans="1:2" x14ac:dyDescent="0.25">
      <c r="A3327" s="67"/>
      <c r="B3327" s="67"/>
    </row>
    <row r="3328" spans="1:2" x14ac:dyDescent="0.25">
      <c r="A3328" s="67"/>
      <c r="B3328" s="67"/>
    </row>
    <row r="3329" spans="1:2" x14ac:dyDescent="0.25">
      <c r="A3329" s="67"/>
      <c r="B3329" s="67"/>
    </row>
    <row r="3330" spans="1:2" x14ac:dyDescent="0.25">
      <c r="A3330" s="67"/>
      <c r="B3330" s="67"/>
    </row>
    <row r="3331" spans="1:2" x14ac:dyDescent="0.25">
      <c r="A3331" s="67"/>
      <c r="B3331" s="67"/>
    </row>
    <row r="3332" spans="1:2" x14ac:dyDescent="0.25">
      <c r="A3332" s="67"/>
      <c r="B3332" s="67"/>
    </row>
    <row r="3333" spans="1:2" x14ac:dyDescent="0.25">
      <c r="A3333" s="67"/>
      <c r="B3333" s="67"/>
    </row>
    <row r="3334" spans="1:2" x14ac:dyDescent="0.25">
      <c r="A3334" s="67"/>
      <c r="B3334" s="67"/>
    </row>
    <row r="3335" spans="1:2" x14ac:dyDescent="0.25">
      <c r="A3335" s="67"/>
      <c r="B3335" s="67"/>
    </row>
    <row r="3336" spans="1:2" x14ac:dyDescent="0.25">
      <c r="A3336" s="67"/>
      <c r="B3336" s="67"/>
    </row>
    <row r="3337" spans="1:2" x14ac:dyDescent="0.25">
      <c r="A3337" s="67"/>
      <c r="B3337" s="67"/>
    </row>
    <row r="3338" spans="1:2" x14ac:dyDescent="0.25">
      <c r="A3338" s="67"/>
      <c r="B3338" s="67"/>
    </row>
    <row r="3339" spans="1:2" x14ac:dyDescent="0.25">
      <c r="A3339" s="67"/>
      <c r="B3339" s="67"/>
    </row>
    <row r="3340" spans="1:2" x14ac:dyDescent="0.25">
      <c r="A3340" s="67"/>
      <c r="B3340" s="67"/>
    </row>
    <row r="3341" spans="1:2" x14ac:dyDescent="0.25">
      <c r="A3341" s="67"/>
      <c r="B3341" s="67"/>
    </row>
    <row r="3342" spans="1:2" x14ac:dyDescent="0.25">
      <c r="A3342" s="67"/>
      <c r="B3342" s="67"/>
    </row>
    <row r="3343" spans="1:2" x14ac:dyDescent="0.25">
      <c r="A3343" s="67"/>
      <c r="B3343" s="67"/>
    </row>
    <row r="3344" spans="1:2" x14ac:dyDescent="0.25">
      <c r="A3344" s="67"/>
      <c r="B3344" s="67"/>
    </row>
    <row r="3345" spans="1:2" x14ac:dyDescent="0.25">
      <c r="A3345" s="67"/>
      <c r="B3345" s="67"/>
    </row>
    <row r="3346" spans="1:2" x14ac:dyDescent="0.25">
      <c r="A3346" s="67"/>
      <c r="B3346" s="67"/>
    </row>
    <row r="3347" spans="1:2" x14ac:dyDescent="0.25">
      <c r="A3347" s="67"/>
      <c r="B3347" s="67"/>
    </row>
    <row r="3348" spans="1:2" x14ac:dyDescent="0.25">
      <c r="A3348" s="67"/>
      <c r="B3348" s="67"/>
    </row>
    <row r="3349" spans="1:2" x14ac:dyDescent="0.25">
      <c r="A3349" s="67"/>
      <c r="B3349" s="67"/>
    </row>
    <row r="3350" spans="1:2" x14ac:dyDescent="0.25">
      <c r="A3350" s="67"/>
      <c r="B3350" s="67"/>
    </row>
    <row r="3351" spans="1:2" x14ac:dyDescent="0.25">
      <c r="A3351" s="67"/>
      <c r="B3351" s="67"/>
    </row>
    <row r="3352" spans="1:2" x14ac:dyDescent="0.25">
      <c r="A3352" s="67"/>
      <c r="B3352" s="67"/>
    </row>
    <row r="3353" spans="1:2" x14ac:dyDescent="0.25">
      <c r="A3353" s="67"/>
      <c r="B3353" s="67"/>
    </row>
    <row r="3354" spans="1:2" x14ac:dyDescent="0.25">
      <c r="A3354" s="67"/>
      <c r="B3354" s="67"/>
    </row>
    <row r="3355" spans="1:2" x14ac:dyDescent="0.25">
      <c r="A3355" s="67"/>
      <c r="B3355" s="67"/>
    </row>
    <row r="3356" spans="1:2" x14ac:dyDescent="0.25">
      <c r="A3356" s="67"/>
      <c r="B3356" s="67"/>
    </row>
    <row r="3357" spans="1:2" x14ac:dyDescent="0.25">
      <c r="A3357" s="67"/>
      <c r="B3357" s="67"/>
    </row>
    <row r="3358" spans="1:2" x14ac:dyDescent="0.25">
      <c r="A3358" s="67"/>
      <c r="B3358" s="67"/>
    </row>
    <row r="3359" spans="1:2" x14ac:dyDescent="0.25">
      <c r="A3359" s="67"/>
      <c r="B3359" s="67"/>
    </row>
    <row r="3360" spans="1:2" x14ac:dyDescent="0.25">
      <c r="A3360" s="67"/>
      <c r="B3360" s="67"/>
    </row>
    <row r="3361" spans="1:2" x14ac:dyDescent="0.25">
      <c r="A3361" s="67"/>
      <c r="B3361" s="67"/>
    </row>
    <row r="3362" spans="1:2" x14ac:dyDescent="0.25">
      <c r="A3362" s="67"/>
      <c r="B3362" s="67"/>
    </row>
    <row r="3363" spans="1:2" x14ac:dyDescent="0.25">
      <c r="A3363" s="67"/>
      <c r="B3363" s="67"/>
    </row>
    <row r="3364" spans="1:2" x14ac:dyDescent="0.25">
      <c r="A3364" s="67"/>
      <c r="B3364" s="67"/>
    </row>
    <row r="3365" spans="1:2" x14ac:dyDescent="0.25">
      <c r="A3365" s="67"/>
      <c r="B3365" s="67"/>
    </row>
    <row r="3366" spans="1:2" x14ac:dyDescent="0.25">
      <c r="A3366" s="67"/>
      <c r="B3366" s="67"/>
    </row>
    <row r="3367" spans="1:2" x14ac:dyDescent="0.25">
      <c r="A3367" s="67"/>
      <c r="B3367" s="67"/>
    </row>
    <row r="3368" spans="1:2" x14ac:dyDescent="0.25">
      <c r="A3368" s="67"/>
      <c r="B3368" s="67"/>
    </row>
    <row r="3369" spans="1:2" x14ac:dyDescent="0.25">
      <c r="A3369" s="67"/>
      <c r="B3369" s="67"/>
    </row>
    <row r="3370" spans="1:2" x14ac:dyDescent="0.25">
      <c r="A3370" s="67"/>
      <c r="B3370" s="67"/>
    </row>
    <row r="3371" spans="1:2" x14ac:dyDescent="0.25">
      <c r="A3371" s="67"/>
      <c r="B3371" s="67"/>
    </row>
    <row r="3372" spans="1:2" x14ac:dyDescent="0.25">
      <c r="A3372" s="67"/>
      <c r="B3372" s="67"/>
    </row>
    <row r="3373" spans="1:2" x14ac:dyDescent="0.25">
      <c r="A3373" s="67"/>
      <c r="B3373" s="67"/>
    </row>
    <row r="3374" spans="1:2" x14ac:dyDescent="0.25">
      <c r="A3374" s="67"/>
      <c r="B3374" s="67"/>
    </row>
    <row r="3375" spans="1:2" x14ac:dyDescent="0.25">
      <c r="A3375" s="67"/>
      <c r="B3375" s="67"/>
    </row>
    <row r="3376" spans="1:2" x14ac:dyDescent="0.25">
      <c r="A3376" s="67"/>
      <c r="B3376" s="67"/>
    </row>
    <row r="3377" spans="1:2" x14ac:dyDescent="0.25">
      <c r="A3377" s="67"/>
      <c r="B3377" s="67"/>
    </row>
    <row r="3378" spans="1:2" x14ac:dyDescent="0.25">
      <c r="A3378" s="67"/>
      <c r="B3378" s="67"/>
    </row>
    <row r="3379" spans="1:2" x14ac:dyDescent="0.25">
      <c r="A3379" s="67"/>
      <c r="B3379" s="67"/>
    </row>
    <row r="3380" spans="1:2" x14ac:dyDescent="0.25">
      <c r="A3380" s="67"/>
      <c r="B3380" s="67"/>
    </row>
    <row r="3381" spans="1:2" x14ac:dyDescent="0.25">
      <c r="A3381" s="67"/>
      <c r="B3381" s="67"/>
    </row>
    <row r="3382" spans="1:2" x14ac:dyDescent="0.25">
      <c r="A3382" s="67"/>
      <c r="B3382" s="67"/>
    </row>
    <row r="3383" spans="1:2" x14ac:dyDescent="0.25">
      <c r="A3383" s="67"/>
      <c r="B3383" s="67"/>
    </row>
    <row r="3384" spans="1:2" x14ac:dyDescent="0.25">
      <c r="A3384" s="67"/>
      <c r="B3384" s="67"/>
    </row>
    <row r="3385" spans="1:2" x14ac:dyDescent="0.25">
      <c r="A3385" s="67"/>
      <c r="B3385" s="67"/>
    </row>
    <row r="3386" spans="1:2" x14ac:dyDescent="0.25">
      <c r="A3386" s="67"/>
      <c r="B3386" s="67"/>
    </row>
    <row r="3387" spans="1:2" x14ac:dyDescent="0.25">
      <c r="A3387" s="67"/>
      <c r="B3387" s="67"/>
    </row>
    <row r="3388" spans="1:2" x14ac:dyDescent="0.25">
      <c r="A3388" s="67"/>
      <c r="B3388" s="67"/>
    </row>
    <row r="3389" spans="1:2" x14ac:dyDescent="0.25">
      <c r="A3389" s="67"/>
      <c r="B3389" s="67"/>
    </row>
    <row r="3390" spans="1:2" x14ac:dyDescent="0.25">
      <c r="A3390" s="67"/>
      <c r="B3390" s="67"/>
    </row>
    <row r="3391" spans="1:2" x14ac:dyDescent="0.25">
      <c r="A3391" s="67"/>
      <c r="B3391" s="67"/>
    </row>
    <row r="3392" spans="1:2" x14ac:dyDescent="0.25">
      <c r="A3392" s="67"/>
      <c r="B3392" s="67"/>
    </row>
    <row r="3393" spans="1:2" x14ac:dyDescent="0.25">
      <c r="A3393" s="67"/>
      <c r="B3393" s="67"/>
    </row>
    <row r="3394" spans="1:2" x14ac:dyDescent="0.25">
      <c r="A3394" s="67"/>
      <c r="B3394" s="67"/>
    </row>
    <row r="3395" spans="1:2" x14ac:dyDescent="0.25">
      <c r="A3395" s="67"/>
      <c r="B3395" s="67"/>
    </row>
    <row r="3396" spans="1:2" x14ac:dyDescent="0.25">
      <c r="A3396" s="67"/>
      <c r="B3396" s="67"/>
    </row>
    <row r="3397" spans="1:2" x14ac:dyDescent="0.25">
      <c r="A3397" s="67"/>
      <c r="B3397" s="67"/>
    </row>
    <row r="3398" spans="1:2" x14ac:dyDescent="0.25">
      <c r="A3398" s="67"/>
      <c r="B3398" s="67"/>
    </row>
    <row r="3399" spans="1:2" x14ac:dyDescent="0.25">
      <c r="A3399" s="67"/>
      <c r="B3399" s="67"/>
    </row>
    <row r="3400" spans="1:2" x14ac:dyDescent="0.25">
      <c r="A3400" s="67"/>
      <c r="B3400" s="67"/>
    </row>
    <row r="3401" spans="1:2" x14ac:dyDescent="0.25">
      <c r="A3401" s="67"/>
      <c r="B3401" s="67"/>
    </row>
    <row r="3402" spans="1:2" x14ac:dyDescent="0.25">
      <c r="A3402" s="67"/>
      <c r="B3402" s="67"/>
    </row>
    <row r="3403" spans="1:2" x14ac:dyDescent="0.25">
      <c r="A3403" s="67"/>
      <c r="B3403" s="67"/>
    </row>
    <row r="3404" spans="1:2" x14ac:dyDescent="0.25">
      <c r="A3404" s="67"/>
      <c r="B3404" s="67"/>
    </row>
    <row r="3405" spans="1:2" x14ac:dyDescent="0.25">
      <c r="A3405" s="67"/>
      <c r="B3405" s="67"/>
    </row>
    <row r="3406" spans="1:2" x14ac:dyDescent="0.25">
      <c r="A3406" s="67"/>
      <c r="B3406" s="67"/>
    </row>
    <row r="3407" spans="1:2" x14ac:dyDescent="0.25">
      <c r="A3407" s="67"/>
      <c r="B3407" s="67"/>
    </row>
    <row r="3408" spans="1:2" x14ac:dyDescent="0.25">
      <c r="A3408" s="67"/>
      <c r="B3408" s="67"/>
    </row>
    <row r="3409" spans="1:2" x14ac:dyDescent="0.25">
      <c r="A3409" s="67"/>
      <c r="B3409" s="67"/>
    </row>
    <row r="3410" spans="1:2" x14ac:dyDescent="0.25">
      <c r="A3410" s="67"/>
      <c r="B3410" s="67"/>
    </row>
    <row r="3411" spans="1:2" x14ac:dyDescent="0.25">
      <c r="A3411" s="67"/>
      <c r="B3411" s="67"/>
    </row>
    <row r="3412" spans="1:2" x14ac:dyDescent="0.25">
      <c r="A3412" s="67"/>
      <c r="B3412" s="67"/>
    </row>
    <row r="3413" spans="1:2" x14ac:dyDescent="0.25">
      <c r="A3413" s="67"/>
      <c r="B3413" s="67"/>
    </row>
    <row r="3414" spans="1:2" x14ac:dyDescent="0.25">
      <c r="A3414" s="67"/>
      <c r="B3414" s="67"/>
    </row>
    <row r="3415" spans="1:2" x14ac:dyDescent="0.25">
      <c r="A3415" s="67"/>
      <c r="B3415" s="67"/>
    </row>
    <row r="3416" spans="1:2" x14ac:dyDescent="0.25">
      <c r="A3416" s="67"/>
      <c r="B3416" s="67"/>
    </row>
    <row r="3417" spans="1:2" x14ac:dyDescent="0.25">
      <c r="A3417" s="67"/>
      <c r="B3417" s="67"/>
    </row>
    <row r="3418" spans="1:2" x14ac:dyDescent="0.25">
      <c r="A3418" s="67"/>
      <c r="B3418" s="67"/>
    </row>
    <row r="3419" spans="1:2" x14ac:dyDescent="0.25">
      <c r="A3419" s="67"/>
      <c r="B3419" s="67"/>
    </row>
    <row r="3420" spans="1:2" x14ac:dyDescent="0.25">
      <c r="A3420" s="67"/>
      <c r="B3420" s="67"/>
    </row>
    <row r="3421" spans="1:2" x14ac:dyDescent="0.25">
      <c r="A3421" s="67"/>
      <c r="B3421" s="67"/>
    </row>
    <row r="3422" spans="1:2" x14ac:dyDescent="0.25">
      <c r="A3422" s="67"/>
      <c r="B3422" s="67"/>
    </row>
    <row r="3423" spans="1:2" x14ac:dyDescent="0.25">
      <c r="A3423" s="67"/>
      <c r="B3423" s="67"/>
    </row>
    <row r="3424" spans="1:2" x14ac:dyDescent="0.25">
      <c r="A3424" s="67"/>
      <c r="B3424" s="67"/>
    </row>
    <row r="3425" spans="1:2" x14ac:dyDescent="0.25">
      <c r="A3425" s="67"/>
      <c r="B3425" s="67"/>
    </row>
    <row r="3426" spans="1:2" x14ac:dyDescent="0.25">
      <c r="A3426" s="67"/>
      <c r="B3426" s="67"/>
    </row>
    <row r="3427" spans="1:2" x14ac:dyDescent="0.25">
      <c r="A3427" s="67"/>
      <c r="B3427" s="67"/>
    </row>
    <row r="3428" spans="1:2" x14ac:dyDescent="0.25">
      <c r="A3428" s="67"/>
      <c r="B3428" s="67"/>
    </row>
    <row r="3429" spans="1:2" x14ac:dyDescent="0.25">
      <c r="A3429" s="67"/>
      <c r="B3429" s="67"/>
    </row>
    <row r="3430" spans="1:2" x14ac:dyDescent="0.25">
      <c r="A3430" s="67"/>
      <c r="B3430" s="67"/>
    </row>
    <row r="3431" spans="1:2" x14ac:dyDescent="0.25">
      <c r="A3431" s="67"/>
      <c r="B3431" s="67"/>
    </row>
    <row r="3432" spans="1:2" x14ac:dyDescent="0.25">
      <c r="A3432" s="67"/>
      <c r="B3432" s="67"/>
    </row>
    <row r="3433" spans="1:2" x14ac:dyDescent="0.25">
      <c r="A3433" s="67"/>
      <c r="B3433" s="67"/>
    </row>
    <row r="3434" spans="1:2" x14ac:dyDescent="0.25">
      <c r="A3434" s="67"/>
      <c r="B3434" s="67"/>
    </row>
    <row r="3435" spans="1:2" x14ac:dyDescent="0.25">
      <c r="A3435" s="67"/>
      <c r="B3435" s="67"/>
    </row>
    <row r="3436" spans="1:2" x14ac:dyDescent="0.25">
      <c r="A3436" s="67"/>
      <c r="B3436" s="67"/>
    </row>
    <row r="3437" spans="1:2" x14ac:dyDescent="0.25">
      <c r="A3437" s="67"/>
      <c r="B3437" s="67"/>
    </row>
    <row r="3438" spans="1:2" x14ac:dyDescent="0.25">
      <c r="A3438" s="67"/>
      <c r="B3438" s="67"/>
    </row>
    <row r="3439" spans="1:2" x14ac:dyDescent="0.25">
      <c r="A3439" s="67"/>
      <c r="B3439" s="67"/>
    </row>
    <row r="3440" spans="1:2" x14ac:dyDescent="0.25">
      <c r="A3440" s="67"/>
      <c r="B3440" s="67"/>
    </row>
    <row r="3441" spans="1:2" x14ac:dyDescent="0.25">
      <c r="A3441" s="67"/>
      <c r="B3441" s="67"/>
    </row>
    <row r="3442" spans="1:2" x14ac:dyDescent="0.25">
      <c r="A3442" s="67"/>
      <c r="B3442" s="67"/>
    </row>
    <row r="3443" spans="1:2" x14ac:dyDescent="0.25">
      <c r="A3443" s="67"/>
      <c r="B3443" s="67"/>
    </row>
    <row r="3444" spans="1:2" x14ac:dyDescent="0.25">
      <c r="A3444" s="67"/>
      <c r="B3444" s="67"/>
    </row>
    <row r="3445" spans="1:2" x14ac:dyDescent="0.25">
      <c r="A3445" s="67"/>
      <c r="B3445" s="67"/>
    </row>
    <row r="3446" spans="1:2" x14ac:dyDescent="0.25">
      <c r="A3446" s="67"/>
      <c r="B3446" s="67"/>
    </row>
    <row r="3447" spans="1:2" x14ac:dyDescent="0.25">
      <c r="A3447" s="67"/>
      <c r="B3447" s="67"/>
    </row>
    <row r="3448" spans="1:2" x14ac:dyDescent="0.25">
      <c r="A3448" s="67"/>
      <c r="B3448" s="67"/>
    </row>
    <row r="3449" spans="1:2" x14ac:dyDescent="0.25">
      <c r="A3449" s="67"/>
      <c r="B3449" s="67"/>
    </row>
    <row r="3450" spans="1:2" x14ac:dyDescent="0.25">
      <c r="A3450" s="67"/>
      <c r="B3450" s="67"/>
    </row>
    <row r="3451" spans="1:2" x14ac:dyDescent="0.25">
      <c r="A3451" s="67"/>
      <c r="B3451" s="67"/>
    </row>
    <row r="3452" spans="1:2" x14ac:dyDescent="0.25">
      <c r="A3452" s="67"/>
      <c r="B3452" s="67"/>
    </row>
    <row r="3453" spans="1:2" x14ac:dyDescent="0.25">
      <c r="A3453" s="67"/>
      <c r="B3453" s="67"/>
    </row>
    <row r="3454" spans="1:2" x14ac:dyDescent="0.25">
      <c r="A3454" s="67"/>
      <c r="B3454" s="67"/>
    </row>
    <row r="3455" spans="1:2" x14ac:dyDescent="0.25">
      <c r="A3455" s="67"/>
      <c r="B3455" s="67"/>
    </row>
    <row r="3456" spans="1:2" x14ac:dyDescent="0.25">
      <c r="A3456" s="67"/>
      <c r="B3456" s="67"/>
    </row>
    <row r="3457" spans="1:2" x14ac:dyDescent="0.25">
      <c r="A3457" s="67"/>
      <c r="B3457" s="67"/>
    </row>
    <row r="3458" spans="1:2" x14ac:dyDescent="0.25">
      <c r="A3458" s="67"/>
      <c r="B3458" s="67"/>
    </row>
    <row r="3459" spans="1:2" x14ac:dyDescent="0.25">
      <c r="A3459" s="67"/>
      <c r="B3459" s="67"/>
    </row>
    <row r="3460" spans="1:2" x14ac:dyDescent="0.25">
      <c r="A3460" s="67"/>
      <c r="B3460" s="67"/>
    </row>
    <row r="3461" spans="1:2" x14ac:dyDescent="0.25">
      <c r="A3461" s="67"/>
      <c r="B3461" s="67"/>
    </row>
    <row r="3462" spans="1:2" x14ac:dyDescent="0.25">
      <c r="A3462" s="67"/>
      <c r="B3462" s="67"/>
    </row>
    <row r="3463" spans="1:2" x14ac:dyDescent="0.25">
      <c r="A3463" s="67"/>
      <c r="B3463" s="67"/>
    </row>
    <row r="3464" spans="1:2" x14ac:dyDescent="0.25">
      <c r="A3464" s="67"/>
      <c r="B3464" s="67"/>
    </row>
    <row r="3465" spans="1:2" x14ac:dyDescent="0.25">
      <c r="A3465" s="67"/>
      <c r="B3465" s="67"/>
    </row>
    <row r="3466" spans="1:2" x14ac:dyDescent="0.25">
      <c r="A3466" s="67"/>
      <c r="B3466" s="67"/>
    </row>
    <row r="3467" spans="1:2" x14ac:dyDescent="0.25">
      <c r="A3467" s="67"/>
      <c r="B3467" s="67"/>
    </row>
    <row r="3468" spans="1:2" x14ac:dyDescent="0.25">
      <c r="A3468" s="67"/>
      <c r="B3468" s="67"/>
    </row>
    <row r="3469" spans="1:2" x14ac:dyDescent="0.25">
      <c r="A3469" s="67"/>
      <c r="B3469" s="67"/>
    </row>
    <row r="3470" spans="1:2" x14ac:dyDescent="0.25">
      <c r="A3470" s="67"/>
      <c r="B3470" s="67"/>
    </row>
    <row r="3471" spans="1:2" x14ac:dyDescent="0.25">
      <c r="A3471" s="67"/>
      <c r="B3471" s="67"/>
    </row>
    <row r="3472" spans="1:2" x14ac:dyDescent="0.25">
      <c r="A3472" s="67"/>
      <c r="B3472" s="67"/>
    </row>
    <row r="3473" spans="1:2" x14ac:dyDescent="0.25">
      <c r="A3473" s="67"/>
      <c r="B3473" s="67"/>
    </row>
    <row r="3474" spans="1:2" x14ac:dyDescent="0.25">
      <c r="A3474" s="67"/>
      <c r="B3474" s="67"/>
    </row>
    <row r="3475" spans="1:2" x14ac:dyDescent="0.25">
      <c r="A3475" s="67"/>
      <c r="B3475" s="67"/>
    </row>
    <row r="3476" spans="1:2" x14ac:dyDescent="0.25">
      <c r="A3476" s="67"/>
      <c r="B3476" s="67"/>
    </row>
    <row r="3477" spans="1:2" x14ac:dyDescent="0.25">
      <c r="A3477" s="67"/>
      <c r="B3477" s="67"/>
    </row>
    <row r="3478" spans="1:2" x14ac:dyDescent="0.25">
      <c r="A3478" s="67"/>
      <c r="B3478" s="67"/>
    </row>
    <row r="3479" spans="1:2" x14ac:dyDescent="0.25">
      <c r="A3479" s="67"/>
      <c r="B3479" s="67"/>
    </row>
    <row r="3480" spans="1:2" x14ac:dyDescent="0.25">
      <c r="A3480" s="67"/>
      <c r="B3480" s="67"/>
    </row>
    <row r="3481" spans="1:2" x14ac:dyDescent="0.25">
      <c r="A3481" s="67"/>
      <c r="B3481" s="67"/>
    </row>
    <row r="3482" spans="1:2" x14ac:dyDescent="0.25">
      <c r="A3482" s="67"/>
      <c r="B3482" s="67"/>
    </row>
    <row r="3483" spans="1:2" x14ac:dyDescent="0.25">
      <c r="A3483" s="67"/>
      <c r="B3483" s="67"/>
    </row>
    <row r="3484" spans="1:2" x14ac:dyDescent="0.25">
      <c r="A3484" s="67"/>
      <c r="B3484" s="67"/>
    </row>
    <row r="3485" spans="1:2" x14ac:dyDescent="0.25">
      <c r="A3485" s="67"/>
      <c r="B3485" s="67"/>
    </row>
    <row r="3486" spans="1:2" x14ac:dyDescent="0.25">
      <c r="A3486" s="67"/>
      <c r="B3486" s="67"/>
    </row>
    <row r="3487" spans="1:2" x14ac:dyDescent="0.25">
      <c r="A3487" s="67"/>
      <c r="B3487" s="67"/>
    </row>
    <row r="3488" spans="1:2" x14ac:dyDescent="0.25">
      <c r="A3488" s="67"/>
      <c r="B3488" s="67"/>
    </row>
    <row r="3489" spans="1:2" x14ac:dyDescent="0.25">
      <c r="A3489" s="67"/>
      <c r="B3489" s="67"/>
    </row>
    <row r="3490" spans="1:2" x14ac:dyDescent="0.25">
      <c r="A3490" s="67"/>
      <c r="B3490" s="67"/>
    </row>
    <row r="3491" spans="1:2" x14ac:dyDescent="0.25">
      <c r="A3491" s="67"/>
      <c r="B3491" s="67"/>
    </row>
    <row r="3492" spans="1:2" x14ac:dyDescent="0.25">
      <c r="A3492" s="67"/>
      <c r="B3492" s="67"/>
    </row>
    <row r="3493" spans="1:2" x14ac:dyDescent="0.25">
      <c r="A3493" s="67"/>
      <c r="B3493" s="67"/>
    </row>
    <row r="3494" spans="1:2" x14ac:dyDescent="0.25">
      <c r="A3494" s="67"/>
      <c r="B3494" s="67"/>
    </row>
    <row r="3495" spans="1:2" x14ac:dyDescent="0.25">
      <c r="A3495" s="67"/>
      <c r="B3495" s="67"/>
    </row>
    <row r="3496" spans="1:2" x14ac:dyDescent="0.25">
      <c r="A3496" s="67"/>
      <c r="B3496" s="67"/>
    </row>
    <row r="3497" spans="1:2" x14ac:dyDescent="0.25">
      <c r="A3497" s="67"/>
      <c r="B3497" s="67"/>
    </row>
    <row r="3498" spans="1:2" x14ac:dyDescent="0.25">
      <c r="A3498" s="67"/>
      <c r="B3498" s="67"/>
    </row>
    <row r="3499" spans="1:2" x14ac:dyDescent="0.25">
      <c r="A3499" s="67"/>
      <c r="B3499" s="67"/>
    </row>
    <row r="3500" spans="1:2" x14ac:dyDescent="0.25">
      <c r="A3500" s="67"/>
      <c r="B3500" s="67"/>
    </row>
    <row r="3501" spans="1:2" x14ac:dyDescent="0.25">
      <c r="A3501" s="67"/>
      <c r="B3501" s="67"/>
    </row>
    <row r="3502" spans="1:2" x14ac:dyDescent="0.25">
      <c r="A3502" s="67"/>
      <c r="B3502" s="67"/>
    </row>
    <row r="3503" spans="1:2" x14ac:dyDescent="0.25">
      <c r="A3503" s="67"/>
      <c r="B3503" s="67"/>
    </row>
    <row r="3504" spans="1:2" x14ac:dyDescent="0.25">
      <c r="A3504" s="67"/>
      <c r="B3504" s="67"/>
    </row>
    <row r="3505" spans="1:2" x14ac:dyDescent="0.25">
      <c r="A3505" s="67"/>
      <c r="B3505" s="67"/>
    </row>
    <row r="3506" spans="1:2" x14ac:dyDescent="0.25">
      <c r="A3506" s="67"/>
      <c r="B3506" s="67"/>
    </row>
    <row r="3507" spans="1:2" x14ac:dyDescent="0.25">
      <c r="A3507" s="67"/>
      <c r="B3507" s="67"/>
    </row>
    <row r="3508" spans="1:2" x14ac:dyDescent="0.25">
      <c r="A3508" s="67"/>
      <c r="B3508" s="67"/>
    </row>
    <row r="3509" spans="1:2" x14ac:dyDescent="0.25">
      <c r="A3509" s="67"/>
      <c r="B3509" s="67"/>
    </row>
    <row r="3510" spans="1:2" x14ac:dyDescent="0.25">
      <c r="A3510" s="67"/>
      <c r="B3510" s="67"/>
    </row>
    <row r="3511" spans="1:2" x14ac:dyDescent="0.25">
      <c r="A3511" s="67"/>
      <c r="B3511" s="67"/>
    </row>
    <row r="3512" spans="1:2" x14ac:dyDescent="0.25">
      <c r="A3512" s="67"/>
      <c r="B3512" s="67"/>
    </row>
    <row r="3513" spans="1:2" x14ac:dyDescent="0.25">
      <c r="A3513" s="67"/>
      <c r="B3513" s="67"/>
    </row>
    <row r="3514" spans="1:2" x14ac:dyDescent="0.25">
      <c r="A3514" s="67"/>
      <c r="B3514" s="67"/>
    </row>
    <row r="3515" spans="1:2" x14ac:dyDescent="0.25">
      <c r="A3515" s="67"/>
      <c r="B3515" s="67"/>
    </row>
    <row r="3516" spans="1:2" x14ac:dyDescent="0.25">
      <c r="A3516" s="67"/>
      <c r="B3516" s="67"/>
    </row>
    <row r="3517" spans="1:2" x14ac:dyDescent="0.25">
      <c r="A3517" s="67"/>
      <c r="B3517" s="67"/>
    </row>
    <row r="3518" spans="1:2" x14ac:dyDescent="0.25">
      <c r="A3518" s="67"/>
      <c r="B3518" s="67"/>
    </row>
    <row r="3519" spans="1:2" x14ac:dyDescent="0.25">
      <c r="A3519" s="67"/>
      <c r="B3519" s="67"/>
    </row>
    <row r="3520" spans="1:2" x14ac:dyDescent="0.25">
      <c r="A3520" s="67"/>
      <c r="B3520" s="67"/>
    </row>
    <row r="3521" spans="1:2" x14ac:dyDescent="0.25">
      <c r="A3521" s="67"/>
      <c r="B3521" s="67"/>
    </row>
    <row r="3522" spans="1:2" x14ac:dyDescent="0.25">
      <c r="A3522" s="67"/>
      <c r="B3522" s="67"/>
    </row>
    <row r="3523" spans="1:2" x14ac:dyDescent="0.25">
      <c r="A3523" s="67"/>
      <c r="B3523" s="67"/>
    </row>
    <row r="3524" spans="1:2" x14ac:dyDescent="0.25">
      <c r="A3524" s="67"/>
      <c r="B3524" s="67"/>
    </row>
    <row r="3525" spans="1:2" x14ac:dyDescent="0.25">
      <c r="A3525" s="67"/>
      <c r="B3525" s="67"/>
    </row>
    <row r="3526" spans="1:2" x14ac:dyDescent="0.25">
      <c r="A3526" s="67"/>
      <c r="B3526" s="67"/>
    </row>
    <row r="3527" spans="1:2" x14ac:dyDescent="0.25">
      <c r="A3527" s="67"/>
      <c r="B3527" s="67"/>
    </row>
    <row r="3528" spans="1:2" x14ac:dyDescent="0.25">
      <c r="A3528" s="67"/>
      <c r="B3528" s="67"/>
    </row>
    <row r="3529" spans="1:2" x14ac:dyDescent="0.25">
      <c r="A3529" s="67"/>
      <c r="B3529" s="67"/>
    </row>
    <row r="3530" spans="1:2" x14ac:dyDescent="0.25">
      <c r="A3530" s="67"/>
      <c r="B3530" s="67"/>
    </row>
    <row r="3531" spans="1:2" x14ac:dyDescent="0.25">
      <c r="A3531" s="67"/>
      <c r="B3531" s="67"/>
    </row>
    <row r="3532" spans="1:2" x14ac:dyDescent="0.25">
      <c r="A3532" s="67"/>
      <c r="B3532" s="67"/>
    </row>
    <row r="3533" spans="1:2" x14ac:dyDescent="0.25">
      <c r="A3533" s="67"/>
      <c r="B3533" s="67"/>
    </row>
    <row r="3534" spans="1:2" x14ac:dyDescent="0.25">
      <c r="A3534" s="67"/>
      <c r="B3534" s="67"/>
    </row>
    <row r="3535" spans="1:2" x14ac:dyDescent="0.25">
      <c r="A3535" s="67"/>
      <c r="B3535" s="67"/>
    </row>
    <row r="3536" spans="1:2" x14ac:dyDescent="0.25">
      <c r="A3536" s="67"/>
      <c r="B3536" s="67"/>
    </row>
    <row r="3537" spans="1:2" x14ac:dyDescent="0.25">
      <c r="A3537" s="67"/>
      <c r="B3537" s="67"/>
    </row>
    <row r="3538" spans="1:2" x14ac:dyDescent="0.25">
      <c r="A3538" s="67"/>
      <c r="B3538" s="67"/>
    </row>
    <row r="3539" spans="1:2" x14ac:dyDescent="0.25">
      <c r="A3539" s="67"/>
      <c r="B3539" s="67"/>
    </row>
    <row r="3540" spans="1:2" x14ac:dyDescent="0.25">
      <c r="A3540" s="67"/>
      <c r="B3540" s="67"/>
    </row>
    <row r="3541" spans="1:2" x14ac:dyDescent="0.25">
      <c r="A3541" s="67"/>
      <c r="B3541" s="67"/>
    </row>
    <row r="3542" spans="1:2" x14ac:dyDescent="0.25">
      <c r="A3542" s="67"/>
      <c r="B3542" s="67"/>
    </row>
    <row r="3543" spans="1:2" x14ac:dyDescent="0.25">
      <c r="A3543" s="67"/>
      <c r="B3543" s="67"/>
    </row>
    <row r="3544" spans="1:2" x14ac:dyDescent="0.25">
      <c r="A3544" s="67"/>
      <c r="B3544" s="67"/>
    </row>
    <row r="3545" spans="1:2" x14ac:dyDescent="0.25">
      <c r="A3545" s="67"/>
      <c r="B3545" s="67"/>
    </row>
    <row r="3546" spans="1:2" x14ac:dyDescent="0.25">
      <c r="A3546" s="67"/>
      <c r="B3546" s="67"/>
    </row>
    <row r="3547" spans="1:2" x14ac:dyDescent="0.25">
      <c r="A3547" s="67"/>
      <c r="B3547" s="67"/>
    </row>
    <row r="3548" spans="1:2" x14ac:dyDescent="0.25">
      <c r="A3548" s="67"/>
      <c r="B3548" s="67"/>
    </row>
    <row r="3549" spans="1:2" x14ac:dyDescent="0.25">
      <c r="A3549" s="67"/>
      <c r="B3549" s="67"/>
    </row>
    <row r="3550" spans="1:2" x14ac:dyDescent="0.25">
      <c r="A3550" s="67"/>
      <c r="B3550" s="67"/>
    </row>
    <row r="3551" spans="1:2" x14ac:dyDescent="0.25">
      <c r="A3551" s="67"/>
      <c r="B3551" s="67"/>
    </row>
    <row r="3552" spans="1:2" x14ac:dyDescent="0.25">
      <c r="A3552" s="67"/>
      <c r="B3552" s="67"/>
    </row>
    <row r="3553" spans="1:2" x14ac:dyDescent="0.25">
      <c r="A3553" s="67"/>
      <c r="B3553" s="67"/>
    </row>
    <row r="3554" spans="1:2" x14ac:dyDescent="0.25">
      <c r="A3554" s="67"/>
      <c r="B3554" s="67"/>
    </row>
    <row r="3555" spans="1:2" x14ac:dyDescent="0.25">
      <c r="A3555" s="67"/>
      <c r="B3555" s="67"/>
    </row>
    <row r="3556" spans="1:2" x14ac:dyDescent="0.25">
      <c r="A3556" s="67"/>
      <c r="B3556" s="67"/>
    </row>
    <row r="3557" spans="1:2" x14ac:dyDescent="0.25">
      <c r="A3557" s="67"/>
      <c r="B3557" s="67"/>
    </row>
    <row r="3558" spans="1:2" x14ac:dyDescent="0.25">
      <c r="A3558" s="67"/>
      <c r="B3558" s="67"/>
    </row>
    <row r="3559" spans="1:2" x14ac:dyDescent="0.25">
      <c r="A3559" s="67"/>
      <c r="B3559" s="67"/>
    </row>
    <row r="3560" spans="1:2" x14ac:dyDescent="0.25">
      <c r="A3560" s="67"/>
      <c r="B3560" s="67"/>
    </row>
    <row r="3561" spans="1:2" x14ac:dyDescent="0.25">
      <c r="A3561" s="67"/>
      <c r="B3561" s="67"/>
    </row>
    <row r="3562" spans="1:2" x14ac:dyDescent="0.25">
      <c r="A3562" s="67"/>
      <c r="B3562" s="67"/>
    </row>
    <row r="3563" spans="1:2" x14ac:dyDescent="0.25">
      <c r="A3563" s="67"/>
      <c r="B3563" s="67"/>
    </row>
    <row r="3564" spans="1:2" x14ac:dyDescent="0.25">
      <c r="A3564" s="67"/>
      <c r="B3564" s="67"/>
    </row>
    <row r="3565" spans="1:2" x14ac:dyDescent="0.25">
      <c r="A3565" s="67"/>
      <c r="B3565" s="67"/>
    </row>
    <row r="3566" spans="1:2" x14ac:dyDescent="0.25">
      <c r="A3566" s="67"/>
      <c r="B3566" s="67"/>
    </row>
    <row r="3567" spans="1:2" x14ac:dyDescent="0.25">
      <c r="A3567" s="67"/>
      <c r="B3567" s="67"/>
    </row>
    <row r="3568" spans="1:2" x14ac:dyDescent="0.25">
      <c r="A3568" s="67"/>
      <c r="B3568" s="67"/>
    </row>
    <row r="3569" spans="1:2" x14ac:dyDescent="0.25">
      <c r="A3569" s="67"/>
      <c r="B3569" s="67"/>
    </row>
    <row r="3570" spans="1:2" x14ac:dyDescent="0.25">
      <c r="A3570" s="67"/>
      <c r="B3570" s="67"/>
    </row>
    <row r="3571" spans="1:2" x14ac:dyDescent="0.25">
      <c r="A3571" s="67"/>
      <c r="B3571" s="67"/>
    </row>
    <row r="3572" spans="1:2" x14ac:dyDescent="0.25">
      <c r="A3572" s="67"/>
      <c r="B3572" s="67"/>
    </row>
    <row r="3573" spans="1:2" x14ac:dyDescent="0.25">
      <c r="A3573" s="67"/>
      <c r="B3573" s="67"/>
    </row>
    <row r="3574" spans="1:2" x14ac:dyDescent="0.25">
      <c r="A3574" s="67"/>
      <c r="B3574" s="67"/>
    </row>
    <row r="3575" spans="1:2" x14ac:dyDescent="0.25">
      <c r="A3575" s="67"/>
      <c r="B3575" s="67"/>
    </row>
    <row r="3576" spans="1:2" x14ac:dyDescent="0.25">
      <c r="A3576" s="67"/>
      <c r="B3576" s="67"/>
    </row>
    <row r="3577" spans="1:2" x14ac:dyDescent="0.25">
      <c r="A3577" s="67"/>
      <c r="B3577" s="67"/>
    </row>
    <row r="3578" spans="1:2" x14ac:dyDescent="0.25">
      <c r="A3578" s="67"/>
      <c r="B3578" s="67"/>
    </row>
    <row r="3579" spans="1:2" x14ac:dyDescent="0.25">
      <c r="A3579" s="67"/>
      <c r="B3579" s="67"/>
    </row>
    <row r="3580" spans="1:2" x14ac:dyDescent="0.25">
      <c r="A3580" s="67"/>
      <c r="B3580" s="67"/>
    </row>
    <row r="3581" spans="1:2" x14ac:dyDescent="0.25">
      <c r="A3581" s="67"/>
      <c r="B3581" s="67"/>
    </row>
    <row r="3582" spans="1:2" x14ac:dyDescent="0.25">
      <c r="A3582" s="67"/>
      <c r="B3582" s="67"/>
    </row>
    <row r="3583" spans="1:2" x14ac:dyDescent="0.25">
      <c r="A3583" s="67"/>
      <c r="B3583" s="67"/>
    </row>
    <row r="3584" spans="1:2" x14ac:dyDescent="0.25">
      <c r="A3584" s="67"/>
      <c r="B3584" s="67"/>
    </row>
    <row r="3585" spans="1:2" x14ac:dyDescent="0.25">
      <c r="A3585" s="67"/>
      <c r="B3585" s="67"/>
    </row>
    <row r="3586" spans="1:2" x14ac:dyDescent="0.25">
      <c r="A3586" s="67"/>
      <c r="B3586" s="67"/>
    </row>
    <row r="3587" spans="1:2" x14ac:dyDescent="0.25">
      <c r="A3587" s="67"/>
      <c r="B3587" s="67"/>
    </row>
    <row r="3588" spans="1:2" x14ac:dyDescent="0.25">
      <c r="A3588" s="67"/>
      <c r="B3588" s="67"/>
    </row>
    <row r="3589" spans="1:2" x14ac:dyDescent="0.25">
      <c r="A3589" s="67"/>
      <c r="B3589" s="67"/>
    </row>
    <row r="3590" spans="1:2" x14ac:dyDescent="0.25">
      <c r="A3590" s="67"/>
      <c r="B3590" s="67"/>
    </row>
    <row r="3591" spans="1:2" x14ac:dyDescent="0.25">
      <c r="A3591" s="67"/>
      <c r="B3591" s="67"/>
    </row>
    <row r="3592" spans="1:2" x14ac:dyDescent="0.25">
      <c r="A3592" s="67"/>
      <c r="B3592" s="67"/>
    </row>
    <row r="3593" spans="1:2" x14ac:dyDescent="0.25">
      <c r="A3593" s="67"/>
      <c r="B3593" s="67"/>
    </row>
    <row r="3594" spans="1:2" x14ac:dyDescent="0.25">
      <c r="A3594" s="67"/>
      <c r="B3594" s="67"/>
    </row>
    <row r="3595" spans="1:2" x14ac:dyDescent="0.25">
      <c r="A3595" s="67"/>
      <c r="B3595" s="67"/>
    </row>
    <row r="3596" spans="1:2" x14ac:dyDescent="0.25">
      <c r="A3596" s="67"/>
      <c r="B3596" s="67"/>
    </row>
    <row r="3597" spans="1:2" x14ac:dyDescent="0.25">
      <c r="A3597" s="67"/>
      <c r="B3597" s="67"/>
    </row>
    <row r="3598" spans="1:2" x14ac:dyDescent="0.25">
      <c r="A3598" s="67"/>
      <c r="B3598" s="67"/>
    </row>
    <row r="3599" spans="1:2" x14ac:dyDescent="0.25">
      <c r="A3599" s="67"/>
      <c r="B3599" s="67"/>
    </row>
    <row r="3600" spans="1:2" x14ac:dyDescent="0.25">
      <c r="A3600" s="67"/>
      <c r="B3600" s="67"/>
    </row>
    <row r="3601" spans="1:2" x14ac:dyDescent="0.25">
      <c r="A3601" s="67"/>
      <c r="B3601" s="67"/>
    </row>
    <row r="3602" spans="1:2" x14ac:dyDescent="0.25">
      <c r="A3602" s="67"/>
      <c r="B3602" s="67"/>
    </row>
    <row r="3603" spans="1:2" x14ac:dyDescent="0.25">
      <c r="A3603" s="67"/>
      <c r="B3603" s="67"/>
    </row>
    <row r="3604" spans="1:2" x14ac:dyDescent="0.25">
      <c r="A3604" s="67"/>
      <c r="B3604" s="67"/>
    </row>
    <row r="3605" spans="1:2" x14ac:dyDescent="0.25">
      <c r="A3605" s="67"/>
      <c r="B3605" s="67"/>
    </row>
    <row r="3606" spans="1:2" x14ac:dyDescent="0.25">
      <c r="A3606" s="67"/>
      <c r="B3606" s="67"/>
    </row>
    <row r="3607" spans="1:2" x14ac:dyDescent="0.25">
      <c r="A3607" s="67"/>
      <c r="B3607" s="67"/>
    </row>
    <row r="3608" spans="1:2" x14ac:dyDescent="0.25">
      <c r="A3608" s="67"/>
      <c r="B3608" s="67"/>
    </row>
    <row r="3609" spans="1:2" x14ac:dyDescent="0.25">
      <c r="A3609" s="67"/>
      <c r="B3609" s="67"/>
    </row>
    <row r="3610" spans="1:2" x14ac:dyDescent="0.25">
      <c r="A3610" s="67"/>
      <c r="B3610" s="67"/>
    </row>
    <row r="3611" spans="1:2" x14ac:dyDescent="0.25">
      <c r="A3611" s="67"/>
      <c r="B3611" s="67"/>
    </row>
    <row r="3612" spans="1:2" x14ac:dyDescent="0.25">
      <c r="A3612" s="67"/>
      <c r="B3612" s="67"/>
    </row>
    <row r="3613" spans="1:2" x14ac:dyDescent="0.25">
      <c r="A3613" s="67"/>
      <c r="B3613" s="67"/>
    </row>
    <row r="3614" spans="1:2" x14ac:dyDescent="0.25">
      <c r="A3614" s="67"/>
      <c r="B3614" s="67"/>
    </row>
    <row r="3615" spans="1:2" x14ac:dyDescent="0.25">
      <c r="A3615" s="67"/>
      <c r="B3615" s="67"/>
    </row>
    <row r="3616" spans="1:2" x14ac:dyDescent="0.25">
      <c r="A3616" s="67"/>
      <c r="B3616" s="67"/>
    </row>
    <row r="3617" spans="1:2" x14ac:dyDescent="0.25">
      <c r="A3617" s="67"/>
      <c r="B3617" s="67"/>
    </row>
    <row r="3618" spans="1:2" x14ac:dyDescent="0.25">
      <c r="A3618" s="67"/>
      <c r="B3618" s="67"/>
    </row>
    <row r="3619" spans="1:2" x14ac:dyDescent="0.25">
      <c r="A3619" s="67"/>
      <c r="B3619" s="67"/>
    </row>
    <row r="3620" spans="1:2" x14ac:dyDescent="0.25">
      <c r="A3620" s="67"/>
      <c r="B3620" s="67"/>
    </row>
    <row r="3621" spans="1:2" x14ac:dyDescent="0.25">
      <c r="A3621" s="67"/>
      <c r="B3621" s="67"/>
    </row>
    <row r="3622" spans="1:2" x14ac:dyDescent="0.25">
      <c r="A3622" s="67"/>
      <c r="B3622" s="67"/>
    </row>
    <row r="3623" spans="1:2" x14ac:dyDescent="0.25">
      <c r="A3623" s="67"/>
      <c r="B3623" s="67"/>
    </row>
    <row r="3624" spans="1:2" x14ac:dyDescent="0.25">
      <c r="A3624" s="67"/>
      <c r="B3624" s="67"/>
    </row>
    <row r="3625" spans="1:2" x14ac:dyDescent="0.25">
      <c r="A3625" s="67"/>
      <c r="B3625" s="67"/>
    </row>
    <row r="3626" spans="1:2" x14ac:dyDescent="0.25">
      <c r="A3626" s="67"/>
      <c r="B3626" s="67"/>
    </row>
    <row r="3627" spans="1:2" x14ac:dyDescent="0.25">
      <c r="A3627" s="67"/>
      <c r="B3627" s="67"/>
    </row>
    <row r="3628" spans="1:2" x14ac:dyDescent="0.25">
      <c r="A3628" s="67"/>
      <c r="B3628" s="67"/>
    </row>
    <row r="3629" spans="1:2" x14ac:dyDescent="0.25">
      <c r="A3629" s="67"/>
      <c r="B3629" s="67"/>
    </row>
    <row r="3630" spans="1:2" x14ac:dyDescent="0.25">
      <c r="A3630" s="67"/>
      <c r="B3630" s="67"/>
    </row>
    <row r="3631" spans="1:2" x14ac:dyDescent="0.25">
      <c r="A3631" s="67"/>
      <c r="B3631" s="67"/>
    </row>
    <row r="3632" spans="1:2" x14ac:dyDescent="0.25">
      <c r="A3632" s="67"/>
      <c r="B3632" s="67"/>
    </row>
    <row r="3633" spans="1:2" x14ac:dyDescent="0.25">
      <c r="A3633" s="67"/>
      <c r="B3633" s="67"/>
    </row>
    <row r="3634" spans="1:2" x14ac:dyDescent="0.25">
      <c r="A3634" s="67"/>
      <c r="B3634" s="67"/>
    </row>
    <row r="3635" spans="1:2" x14ac:dyDescent="0.25">
      <c r="A3635" s="67"/>
      <c r="B3635" s="67"/>
    </row>
    <row r="3636" spans="1:2" x14ac:dyDescent="0.25">
      <c r="A3636" s="67"/>
      <c r="B3636" s="67"/>
    </row>
    <row r="3637" spans="1:2" x14ac:dyDescent="0.25">
      <c r="A3637" s="67"/>
      <c r="B3637" s="67"/>
    </row>
    <row r="3638" spans="1:2" x14ac:dyDescent="0.25">
      <c r="A3638" s="67"/>
      <c r="B3638" s="67"/>
    </row>
    <row r="3639" spans="1:2" x14ac:dyDescent="0.25">
      <c r="A3639" s="67"/>
      <c r="B3639" s="67"/>
    </row>
    <row r="3640" spans="1:2" x14ac:dyDescent="0.25">
      <c r="A3640" s="67"/>
      <c r="B3640" s="67"/>
    </row>
    <row r="3641" spans="1:2" x14ac:dyDescent="0.25">
      <c r="A3641" s="67"/>
      <c r="B3641" s="67"/>
    </row>
    <row r="3642" spans="1:2" x14ac:dyDescent="0.25">
      <c r="A3642" s="67"/>
      <c r="B3642" s="67"/>
    </row>
    <row r="3643" spans="1:2" x14ac:dyDescent="0.25">
      <c r="A3643" s="67"/>
      <c r="B3643" s="67"/>
    </row>
    <row r="3644" spans="1:2" x14ac:dyDescent="0.25">
      <c r="A3644" s="67"/>
      <c r="B3644" s="67"/>
    </row>
    <row r="3645" spans="1:2" x14ac:dyDescent="0.25">
      <c r="A3645" s="67"/>
      <c r="B3645" s="67"/>
    </row>
    <row r="3646" spans="1:2" x14ac:dyDescent="0.25">
      <c r="A3646" s="67"/>
      <c r="B3646" s="67"/>
    </row>
    <row r="3647" spans="1:2" x14ac:dyDescent="0.25">
      <c r="A3647" s="67"/>
      <c r="B3647" s="67"/>
    </row>
    <row r="3648" spans="1:2" x14ac:dyDescent="0.25">
      <c r="A3648" s="67"/>
      <c r="B3648" s="67"/>
    </row>
    <row r="3649" spans="1:2" x14ac:dyDescent="0.25">
      <c r="A3649" s="67"/>
      <c r="B3649" s="67"/>
    </row>
    <row r="3650" spans="1:2" x14ac:dyDescent="0.25">
      <c r="A3650" s="67"/>
      <c r="B3650" s="67"/>
    </row>
    <row r="3651" spans="1:2" x14ac:dyDescent="0.25">
      <c r="A3651" s="67"/>
      <c r="B3651" s="67"/>
    </row>
    <row r="3652" spans="1:2" x14ac:dyDescent="0.25">
      <c r="A3652" s="67"/>
      <c r="B3652" s="67"/>
    </row>
    <row r="3653" spans="1:2" x14ac:dyDescent="0.25">
      <c r="A3653" s="67"/>
      <c r="B3653" s="67"/>
    </row>
    <row r="3654" spans="1:2" x14ac:dyDescent="0.25">
      <c r="A3654" s="67"/>
      <c r="B3654" s="67"/>
    </row>
    <row r="3655" spans="1:2" x14ac:dyDescent="0.25">
      <c r="A3655" s="67"/>
      <c r="B3655" s="67"/>
    </row>
    <row r="3656" spans="1:2" x14ac:dyDescent="0.25">
      <c r="A3656" s="67"/>
      <c r="B3656" s="67"/>
    </row>
    <row r="3657" spans="1:2" x14ac:dyDescent="0.25">
      <c r="A3657" s="67"/>
      <c r="B3657" s="67"/>
    </row>
    <row r="3658" spans="1:2" x14ac:dyDescent="0.25">
      <c r="A3658" s="67"/>
      <c r="B3658" s="67"/>
    </row>
    <row r="3659" spans="1:2" x14ac:dyDescent="0.25">
      <c r="A3659" s="67"/>
      <c r="B3659" s="67"/>
    </row>
    <row r="3660" spans="1:2" x14ac:dyDescent="0.25">
      <c r="A3660" s="67"/>
      <c r="B3660" s="67"/>
    </row>
    <row r="3661" spans="1:2" x14ac:dyDescent="0.25">
      <c r="A3661" s="67"/>
      <c r="B3661" s="67"/>
    </row>
    <row r="3662" spans="1:2" x14ac:dyDescent="0.25">
      <c r="A3662" s="67"/>
      <c r="B3662" s="67"/>
    </row>
    <row r="3663" spans="1:2" x14ac:dyDescent="0.25">
      <c r="A3663" s="67"/>
      <c r="B3663" s="67"/>
    </row>
    <row r="3664" spans="1:2" x14ac:dyDescent="0.25">
      <c r="A3664" s="67"/>
      <c r="B3664" s="67"/>
    </row>
    <row r="3665" spans="1:2" x14ac:dyDescent="0.25">
      <c r="A3665" s="67"/>
      <c r="B3665" s="67"/>
    </row>
    <row r="3666" spans="1:2" x14ac:dyDescent="0.25">
      <c r="A3666" s="67"/>
      <c r="B3666" s="67"/>
    </row>
    <row r="3667" spans="1:2" x14ac:dyDescent="0.25">
      <c r="A3667" s="67"/>
      <c r="B3667" s="67"/>
    </row>
    <row r="3668" spans="1:2" x14ac:dyDescent="0.25">
      <c r="A3668" s="67"/>
      <c r="B3668" s="67"/>
    </row>
    <row r="3669" spans="1:2" x14ac:dyDescent="0.25">
      <c r="A3669" s="67"/>
      <c r="B3669" s="67"/>
    </row>
    <row r="3670" spans="1:2" x14ac:dyDescent="0.25">
      <c r="A3670" s="67"/>
      <c r="B3670" s="67"/>
    </row>
    <row r="3671" spans="1:2" x14ac:dyDescent="0.25">
      <c r="A3671" s="67"/>
      <c r="B3671" s="67"/>
    </row>
    <row r="3672" spans="1:2" x14ac:dyDescent="0.25">
      <c r="A3672" s="67"/>
      <c r="B3672" s="67"/>
    </row>
    <row r="3673" spans="1:2" x14ac:dyDescent="0.25">
      <c r="A3673" s="67"/>
      <c r="B3673" s="67"/>
    </row>
    <row r="3674" spans="1:2" x14ac:dyDescent="0.25">
      <c r="A3674" s="67"/>
      <c r="B3674" s="67"/>
    </row>
    <row r="3675" spans="1:2" x14ac:dyDescent="0.25">
      <c r="A3675" s="67"/>
      <c r="B3675" s="67"/>
    </row>
    <row r="3676" spans="1:2" x14ac:dyDescent="0.25">
      <c r="A3676" s="67"/>
      <c r="B3676" s="67"/>
    </row>
    <row r="3677" spans="1:2" x14ac:dyDescent="0.25">
      <c r="A3677" s="67"/>
      <c r="B3677" s="67"/>
    </row>
    <row r="3678" spans="1:2" x14ac:dyDescent="0.25">
      <c r="A3678" s="67"/>
      <c r="B3678" s="67"/>
    </row>
    <row r="3679" spans="1:2" x14ac:dyDescent="0.25">
      <c r="A3679" s="67"/>
      <c r="B3679" s="67"/>
    </row>
    <row r="3680" spans="1:2" x14ac:dyDescent="0.25">
      <c r="A3680" s="67"/>
      <c r="B3680" s="67"/>
    </row>
    <row r="3681" spans="1:2" x14ac:dyDescent="0.25">
      <c r="A3681" s="67"/>
      <c r="B3681" s="67"/>
    </row>
    <row r="3682" spans="1:2" x14ac:dyDescent="0.25">
      <c r="A3682" s="67"/>
      <c r="B3682" s="67"/>
    </row>
    <row r="3683" spans="1:2" x14ac:dyDescent="0.25">
      <c r="A3683" s="67"/>
      <c r="B3683" s="67"/>
    </row>
    <row r="3684" spans="1:2" x14ac:dyDescent="0.25">
      <c r="A3684" s="67"/>
      <c r="B3684" s="67"/>
    </row>
    <row r="3685" spans="1:2" x14ac:dyDescent="0.25">
      <c r="A3685" s="67"/>
      <c r="B3685" s="67"/>
    </row>
    <row r="3686" spans="1:2" x14ac:dyDescent="0.25">
      <c r="A3686" s="67"/>
      <c r="B3686" s="67"/>
    </row>
    <row r="3687" spans="1:2" x14ac:dyDescent="0.25">
      <c r="A3687" s="67"/>
      <c r="B3687" s="67"/>
    </row>
    <row r="3688" spans="1:2" x14ac:dyDescent="0.25">
      <c r="A3688" s="67"/>
      <c r="B3688" s="67"/>
    </row>
    <row r="3689" spans="1:2" x14ac:dyDescent="0.25">
      <c r="A3689" s="67"/>
      <c r="B3689" s="67"/>
    </row>
    <row r="3690" spans="1:2" x14ac:dyDescent="0.25">
      <c r="A3690" s="67"/>
      <c r="B3690" s="67"/>
    </row>
    <row r="3691" spans="1:2" x14ac:dyDescent="0.25">
      <c r="A3691" s="67"/>
      <c r="B3691" s="67"/>
    </row>
    <row r="3692" spans="1:2" x14ac:dyDescent="0.25">
      <c r="A3692" s="67"/>
      <c r="B3692" s="67"/>
    </row>
    <row r="3693" spans="1:2" x14ac:dyDescent="0.25">
      <c r="A3693" s="67"/>
      <c r="B3693" s="67"/>
    </row>
    <row r="3694" spans="1:2" x14ac:dyDescent="0.25">
      <c r="A3694" s="67"/>
      <c r="B3694" s="67"/>
    </row>
    <row r="3695" spans="1:2" x14ac:dyDescent="0.25">
      <c r="A3695" s="67"/>
      <c r="B3695" s="67"/>
    </row>
    <row r="3696" spans="1:2" x14ac:dyDescent="0.25">
      <c r="A3696" s="67"/>
      <c r="B3696" s="67"/>
    </row>
    <row r="3697" spans="1:2" x14ac:dyDescent="0.25">
      <c r="A3697" s="67"/>
      <c r="B3697" s="67"/>
    </row>
    <row r="3698" spans="1:2" x14ac:dyDescent="0.25">
      <c r="A3698" s="67"/>
      <c r="B3698" s="67"/>
    </row>
    <row r="3699" spans="1:2" x14ac:dyDescent="0.25">
      <c r="A3699" s="67"/>
      <c r="B3699" s="67"/>
    </row>
    <row r="3700" spans="1:2" x14ac:dyDescent="0.25">
      <c r="A3700" s="67"/>
      <c r="B3700" s="67"/>
    </row>
    <row r="3701" spans="1:2" x14ac:dyDescent="0.25">
      <c r="A3701" s="67"/>
      <c r="B3701" s="67"/>
    </row>
    <row r="3702" spans="1:2" x14ac:dyDescent="0.25">
      <c r="A3702" s="67"/>
      <c r="B3702" s="67"/>
    </row>
    <row r="3703" spans="1:2" x14ac:dyDescent="0.25">
      <c r="A3703" s="67"/>
      <c r="B3703" s="67"/>
    </row>
    <row r="3704" spans="1:2" x14ac:dyDescent="0.25">
      <c r="A3704" s="67"/>
      <c r="B3704" s="67"/>
    </row>
    <row r="3705" spans="1:2" x14ac:dyDescent="0.25">
      <c r="A3705" s="67"/>
      <c r="B3705" s="67"/>
    </row>
    <row r="3706" spans="1:2" x14ac:dyDescent="0.25">
      <c r="A3706" s="67"/>
      <c r="B3706" s="67"/>
    </row>
    <row r="3707" spans="1:2" x14ac:dyDescent="0.25">
      <c r="A3707" s="67"/>
      <c r="B3707" s="67"/>
    </row>
    <row r="3708" spans="1:2" x14ac:dyDescent="0.25">
      <c r="A3708" s="67"/>
      <c r="B3708" s="67"/>
    </row>
    <row r="3709" spans="1:2" x14ac:dyDescent="0.25">
      <c r="A3709" s="67"/>
      <c r="B3709" s="67"/>
    </row>
    <row r="3710" spans="1:2" x14ac:dyDescent="0.25">
      <c r="A3710" s="67"/>
      <c r="B3710" s="67"/>
    </row>
    <row r="3711" spans="1:2" x14ac:dyDescent="0.25">
      <c r="A3711" s="67"/>
      <c r="B3711" s="67"/>
    </row>
    <row r="3712" spans="1:2" x14ac:dyDescent="0.25">
      <c r="A3712" s="67"/>
      <c r="B3712" s="67"/>
    </row>
    <row r="3713" spans="1:2" x14ac:dyDescent="0.25">
      <c r="A3713" s="67"/>
      <c r="B3713" s="67"/>
    </row>
    <row r="3714" spans="1:2" x14ac:dyDescent="0.25">
      <c r="A3714" s="67"/>
      <c r="B3714" s="67"/>
    </row>
    <row r="3715" spans="1:2" x14ac:dyDescent="0.25">
      <c r="A3715" s="67"/>
      <c r="B3715" s="67"/>
    </row>
    <row r="3716" spans="1:2" x14ac:dyDescent="0.25">
      <c r="A3716" s="67"/>
      <c r="B3716" s="67"/>
    </row>
    <row r="3717" spans="1:2" x14ac:dyDescent="0.25">
      <c r="A3717" s="67"/>
      <c r="B3717" s="67"/>
    </row>
    <row r="3718" spans="1:2" x14ac:dyDescent="0.25">
      <c r="A3718" s="67"/>
      <c r="B3718" s="67"/>
    </row>
    <row r="3719" spans="1:2" x14ac:dyDescent="0.25">
      <c r="A3719" s="67"/>
      <c r="B3719" s="67"/>
    </row>
    <row r="3720" spans="1:2" x14ac:dyDescent="0.25">
      <c r="A3720" s="67"/>
      <c r="B3720" s="67"/>
    </row>
    <row r="3721" spans="1:2" x14ac:dyDescent="0.25">
      <c r="A3721" s="67"/>
      <c r="B3721" s="67"/>
    </row>
    <row r="3722" spans="1:2" x14ac:dyDescent="0.25">
      <c r="A3722" s="67"/>
      <c r="B3722" s="67"/>
    </row>
    <row r="3723" spans="1:2" x14ac:dyDescent="0.25">
      <c r="A3723" s="67"/>
      <c r="B3723" s="67"/>
    </row>
    <row r="3724" spans="1:2" x14ac:dyDescent="0.25">
      <c r="A3724" s="67"/>
      <c r="B3724" s="67"/>
    </row>
    <row r="3725" spans="1:2" x14ac:dyDescent="0.25">
      <c r="A3725" s="67"/>
      <c r="B3725" s="67"/>
    </row>
    <row r="3726" spans="1:2" x14ac:dyDescent="0.25">
      <c r="A3726" s="67"/>
      <c r="B3726" s="67"/>
    </row>
    <row r="3727" spans="1:2" x14ac:dyDescent="0.25">
      <c r="A3727" s="67"/>
      <c r="B3727" s="67"/>
    </row>
    <row r="3728" spans="1:2" x14ac:dyDescent="0.25">
      <c r="A3728" s="67"/>
      <c r="B3728" s="67"/>
    </row>
    <row r="3729" spans="1:2" x14ac:dyDescent="0.25">
      <c r="A3729" s="67"/>
      <c r="B3729" s="67"/>
    </row>
    <row r="3730" spans="1:2" x14ac:dyDescent="0.25">
      <c r="A3730" s="67"/>
      <c r="B3730" s="67"/>
    </row>
    <row r="3731" spans="1:2" x14ac:dyDescent="0.25">
      <c r="A3731" s="67"/>
      <c r="B3731" s="67"/>
    </row>
    <row r="3732" spans="1:2" x14ac:dyDescent="0.25">
      <c r="A3732" s="67"/>
      <c r="B3732" s="67"/>
    </row>
    <row r="3733" spans="1:2" x14ac:dyDescent="0.25">
      <c r="A3733" s="67"/>
      <c r="B3733" s="67"/>
    </row>
    <row r="3734" spans="1:2" x14ac:dyDescent="0.25">
      <c r="A3734" s="67"/>
      <c r="B3734" s="67"/>
    </row>
    <row r="3735" spans="1:2" x14ac:dyDescent="0.25">
      <c r="A3735" s="67"/>
      <c r="B3735" s="67"/>
    </row>
    <row r="3736" spans="1:2" x14ac:dyDescent="0.25">
      <c r="A3736" s="67"/>
      <c r="B3736" s="67"/>
    </row>
    <row r="3737" spans="1:2" x14ac:dyDescent="0.25">
      <c r="A3737" s="67"/>
      <c r="B3737" s="67"/>
    </row>
    <row r="3738" spans="1:2" x14ac:dyDescent="0.25">
      <c r="A3738" s="67"/>
      <c r="B3738" s="67"/>
    </row>
    <row r="3739" spans="1:2" x14ac:dyDescent="0.25">
      <c r="A3739" s="67"/>
      <c r="B3739" s="67"/>
    </row>
    <row r="3740" spans="1:2" x14ac:dyDescent="0.25">
      <c r="A3740" s="67"/>
      <c r="B3740" s="67"/>
    </row>
    <row r="3741" spans="1:2" x14ac:dyDescent="0.25">
      <c r="A3741" s="67"/>
      <c r="B3741" s="67"/>
    </row>
    <row r="3742" spans="1:2" x14ac:dyDescent="0.25">
      <c r="A3742" s="67"/>
      <c r="B3742" s="67"/>
    </row>
    <row r="3743" spans="1:2" x14ac:dyDescent="0.25">
      <c r="A3743" s="67"/>
      <c r="B3743" s="67"/>
    </row>
    <row r="3744" spans="1:2" x14ac:dyDescent="0.25">
      <c r="A3744" s="67"/>
      <c r="B3744" s="67"/>
    </row>
    <row r="3745" spans="1:2" x14ac:dyDescent="0.25">
      <c r="A3745" s="67"/>
      <c r="B3745" s="67"/>
    </row>
    <row r="3746" spans="1:2" x14ac:dyDescent="0.25">
      <c r="A3746" s="67"/>
      <c r="B3746" s="67"/>
    </row>
    <row r="3747" spans="1:2" x14ac:dyDescent="0.25">
      <c r="A3747" s="67"/>
      <c r="B3747" s="67"/>
    </row>
    <row r="3748" spans="1:2" x14ac:dyDescent="0.25">
      <c r="A3748" s="67"/>
      <c r="B3748" s="67"/>
    </row>
    <row r="3749" spans="1:2" x14ac:dyDescent="0.25">
      <c r="A3749" s="67"/>
      <c r="B3749" s="67"/>
    </row>
    <row r="3750" spans="1:2" x14ac:dyDescent="0.25">
      <c r="A3750" s="67"/>
      <c r="B3750" s="67"/>
    </row>
    <row r="3751" spans="1:2" x14ac:dyDescent="0.25">
      <c r="A3751" s="67"/>
      <c r="B3751" s="67"/>
    </row>
    <row r="3752" spans="1:2" x14ac:dyDescent="0.25">
      <c r="A3752" s="67"/>
      <c r="B3752" s="67"/>
    </row>
    <row r="3753" spans="1:2" x14ac:dyDescent="0.25">
      <c r="A3753" s="67"/>
      <c r="B3753" s="67"/>
    </row>
    <row r="3754" spans="1:2" x14ac:dyDescent="0.25">
      <c r="A3754" s="67"/>
      <c r="B3754" s="67"/>
    </row>
    <row r="3755" spans="1:2" x14ac:dyDescent="0.25">
      <c r="A3755" s="67"/>
      <c r="B3755" s="67"/>
    </row>
    <row r="3756" spans="1:2" x14ac:dyDescent="0.25">
      <c r="A3756" s="67"/>
      <c r="B3756" s="67"/>
    </row>
    <row r="3757" spans="1:2" x14ac:dyDescent="0.25">
      <c r="A3757" s="67"/>
      <c r="B3757" s="67"/>
    </row>
    <row r="3758" spans="1:2" x14ac:dyDescent="0.25">
      <c r="A3758" s="67"/>
      <c r="B3758" s="67"/>
    </row>
    <row r="3759" spans="1:2" x14ac:dyDescent="0.25">
      <c r="A3759" s="67"/>
      <c r="B3759" s="67"/>
    </row>
    <row r="3760" spans="1:2" x14ac:dyDescent="0.25">
      <c r="A3760" s="67"/>
      <c r="B3760" s="67"/>
    </row>
    <row r="3761" spans="1:2" x14ac:dyDescent="0.25">
      <c r="A3761" s="67"/>
      <c r="B3761" s="67"/>
    </row>
    <row r="3762" spans="1:2" x14ac:dyDescent="0.25">
      <c r="A3762" s="67"/>
      <c r="B3762" s="67"/>
    </row>
    <row r="3763" spans="1:2" x14ac:dyDescent="0.25">
      <c r="A3763" s="67"/>
      <c r="B3763" s="67"/>
    </row>
    <row r="3764" spans="1:2" x14ac:dyDescent="0.25">
      <c r="A3764" s="67"/>
      <c r="B3764" s="67"/>
    </row>
    <row r="3765" spans="1:2" x14ac:dyDescent="0.25">
      <c r="A3765" s="67"/>
      <c r="B3765" s="67"/>
    </row>
    <row r="3766" spans="1:2" x14ac:dyDescent="0.25">
      <c r="A3766" s="67"/>
      <c r="B3766" s="67"/>
    </row>
    <row r="3767" spans="1:2" x14ac:dyDescent="0.25">
      <c r="A3767" s="67"/>
      <c r="B3767" s="67"/>
    </row>
    <row r="3768" spans="1:2" x14ac:dyDescent="0.25">
      <c r="A3768" s="67"/>
      <c r="B3768" s="67"/>
    </row>
    <row r="3769" spans="1:2" x14ac:dyDescent="0.25">
      <c r="A3769" s="67"/>
      <c r="B3769" s="67"/>
    </row>
    <row r="3770" spans="1:2" x14ac:dyDescent="0.25">
      <c r="A3770" s="67"/>
      <c r="B3770" s="67"/>
    </row>
    <row r="3771" spans="1:2" x14ac:dyDescent="0.25">
      <c r="A3771" s="67"/>
      <c r="B3771" s="67"/>
    </row>
    <row r="3772" spans="1:2" x14ac:dyDescent="0.25">
      <c r="A3772" s="67"/>
      <c r="B3772" s="67"/>
    </row>
    <row r="3773" spans="1:2" x14ac:dyDescent="0.25">
      <c r="A3773" s="67"/>
      <c r="B3773" s="67"/>
    </row>
    <row r="3774" spans="1:2" x14ac:dyDescent="0.25">
      <c r="A3774" s="67"/>
      <c r="B3774" s="67"/>
    </row>
    <row r="3775" spans="1:2" x14ac:dyDescent="0.25">
      <c r="A3775" s="67"/>
      <c r="B3775" s="67"/>
    </row>
    <row r="3776" spans="1:2" x14ac:dyDescent="0.25">
      <c r="A3776" s="67"/>
      <c r="B3776" s="67"/>
    </row>
    <row r="3777" spans="1:2" x14ac:dyDescent="0.25">
      <c r="A3777" s="67"/>
      <c r="B3777" s="67"/>
    </row>
    <row r="3778" spans="1:2" x14ac:dyDescent="0.25">
      <c r="A3778" s="67"/>
      <c r="B3778" s="67"/>
    </row>
    <row r="3779" spans="1:2" x14ac:dyDescent="0.25">
      <c r="A3779" s="67"/>
      <c r="B3779" s="67"/>
    </row>
    <row r="3780" spans="1:2" x14ac:dyDescent="0.25">
      <c r="A3780" s="67"/>
      <c r="B3780" s="67"/>
    </row>
    <row r="3781" spans="1:2" x14ac:dyDescent="0.25">
      <c r="A3781" s="67"/>
      <c r="B3781" s="67"/>
    </row>
    <row r="3782" spans="1:2" x14ac:dyDescent="0.25">
      <c r="A3782" s="67"/>
      <c r="B3782" s="67"/>
    </row>
    <row r="3783" spans="1:2" x14ac:dyDescent="0.25">
      <c r="A3783" s="67"/>
      <c r="B3783" s="67"/>
    </row>
    <row r="3784" spans="1:2" x14ac:dyDescent="0.25">
      <c r="A3784" s="67"/>
      <c r="B3784" s="67"/>
    </row>
    <row r="3785" spans="1:2" x14ac:dyDescent="0.25">
      <c r="A3785" s="67"/>
      <c r="B3785" s="67"/>
    </row>
    <row r="3786" spans="1:2" x14ac:dyDescent="0.25">
      <c r="A3786" s="67"/>
      <c r="B3786" s="67"/>
    </row>
    <row r="3787" spans="1:2" x14ac:dyDescent="0.25">
      <c r="A3787" s="67"/>
      <c r="B3787" s="67"/>
    </row>
    <row r="3788" spans="1:2" x14ac:dyDescent="0.25">
      <c r="A3788" s="67"/>
      <c r="B3788" s="67"/>
    </row>
    <row r="3789" spans="1:2" x14ac:dyDescent="0.25">
      <c r="A3789" s="67"/>
      <c r="B3789" s="67"/>
    </row>
    <row r="3790" spans="1:2" x14ac:dyDescent="0.25">
      <c r="A3790" s="67"/>
      <c r="B3790" s="67"/>
    </row>
    <row r="3791" spans="1:2" x14ac:dyDescent="0.25">
      <c r="A3791" s="67"/>
      <c r="B3791" s="67"/>
    </row>
    <row r="3792" spans="1:2" x14ac:dyDescent="0.25">
      <c r="A3792" s="67"/>
      <c r="B3792" s="67"/>
    </row>
    <row r="3793" spans="1:2" x14ac:dyDescent="0.25">
      <c r="A3793" s="67"/>
      <c r="B3793" s="67"/>
    </row>
    <row r="3794" spans="1:2" x14ac:dyDescent="0.25">
      <c r="A3794" s="67"/>
      <c r="B3794" s="67"/>
    </row>
    <row r="3795" spans="1:2" x14ac:dyDescent="0.25">
      <c r="A3795" s="67"/>
      <c r="B3795" s="67"/>
    </row>
    <row r="3796" spans="1:2" x14ac:dyDescent="0.25">
      <c r="A3796" s="67"/>
      <c r="B3796" s="67"/>
    </row>
    <row r="3797" spans="1:2" x14ac:dyDescent="0.25">
      <c r="A3797" s="67"/>
      <c r="B3797" s="67"/>
    </row>
    <row r="3798" spans="1:2" x14ac:dyDescent="0.25">
      <c r="A3798" s="67"/>
      <c r="B3798" s="67"/>
    </row>
    <row r="3799" spans="1:2" x14ac:dyDescent="0.25">
      <c r="A3799" s="67"/>
      <c r="B3799" s="67"/>
    </row>
    <row r="3800" spans="1:2" x14ac:dyDescent="0.25">
      <c r="A3800" s="67"/>
      <c r="B3800" s="67"/>
    </row>
    <row r="3801" spans="1:2" x14ac:dyDescent="0.25">
      <c r="A3801" s="67"/>
      <c r="B3801" s="67"/>
    </row>
    <row r="3802" spans="1:2" x14ac:dyDescent="0.25">
      <c r="A3802" s="67"/>
      <c r="B3802" s="67"/>
    </row>
    <row r="3803" spans="1:2" x14ac:dyDescent="0.25">
      <c r="A3803" s="67"/>
      <c r="B3803" s="67"/>
    </row>
    <row r="3804" spans="1:2" x14ac:dyDescent="0.25">
      <c r="A3804" s="67"/>
      <c r="B3804" s="67"/>
    </row>
    <row r="3805" spans="1:2" x14ac:dyDescent="0.25">
      <c r="A3805" s="67"/>
      <c r="B3805" s="67"/>
    </row>
    <row r="3806" spans="1:2" x14ac:dyDescent="0.25">
      <c r="A3806" s="67"/>
      <c r="B3806" s="67"/>
    </row>
    <row r="3807" spans="1:2" x14ac:dyDescent="0.25">
      <c r="A3807" s="67"/>
      <c r="B3807" s="67"/>
    </row>
    <row r="3808" spans="1:2" x14ac:dyDescent="0.25">
      <c r="A3808" s="67"/>
      <c r="B3808" s="67"/>
    </row>
    <row r="3809" spans="1:2" x14ac:dyDescent="0.25">
      <c r="A3809" s="67"/>
      <c r="B3809" s="67"/>
    </row>
    <row r="3810" spans="1:2" x14ac:dyDescent="0.25">
      <c r="A3810" s="67"/>
      <c r="B3810" s="67"/>
    </row>
    <row r="3811" spans="1:2" x14ac:dyDescent="0.25">
      <c r="A3811" s="67"/>
      <c r="B3811" s="67"/>
    </row>
    <row r="3812" spans="1:2" x14ac:dyDescent="0.25">
      <c r="A3812" s="67"/>
      <c r="B3812" s="67"/>
    </row>
    <row r="3813" spans="1:2" x14ac:dyDescent="0.25">
      <c r="A3813" s="67"/>
      <c r="B3813" s="67"/>
    </row>
    <row r="3814" spans="1:2" x14ac:dyDescent="0.25">
      <c r="A3814" s="67"/>
      <c r="B3814" s="67"/>
    </row>
    <row r="3815" spans="1:2" x14ac:dyDescent="0.25">
      <c r="A3815" s="67"/>
      <c r="B3815" s="67"/>
    </row>
    <row r="3816" spans="1:2" x14ac:dyDescent="0.25">
      <c r="A3816" s="67"/>
      <c r="B3816" s="67"/>
    </row>
    <row r="3817" spans="1:2" x14ac:dyDescent="0.25">
      <c r="A3817" s="67"/>
      <c r="B3817" s="67"/>
    </row>
    <row r="3818" spans="1:2" x14ac:dyDescent="0.25">
      <c r="A3818" s="67"/>
      <c r="B3818" s="67"/>
    </row>
    <row r="3819" spans="1:2" x14ac:dyDescent="0.25">
      <c r="A3819" s="67"/>
      <c r="B3819" s="67"/>
    </row>
    <row r="3820" spans="1:2" x14ac:dyDescent="0.25">
      <c r="A3820" s="67"/>
      <c r="B3820" s="67"/>
    </row>
    <row r="3821" spans="1:2" x14ac:dyDescent="0.25">
      <c r="A3821" s="67"/>
      <c r="B3821" s="67"/>
    </row>
    <row r="3822" spans="1:2" x14ac:dyDescent="0.25">
      <c r="A3822" s="67"/>
      <c r="B3822" s="67"/>
    </row>
    <row r="3823" spans="1:2" x14ac:dyDescent="0.25">
      <c r="A3823" s="67"/>
      <c r="B3823" s="67"/>
    </row>
    <row r="3824" spans="1:2" x14ac:dyDescent="0.25">
      <c r="A3824" s="67"/>
      <c r="B3824" s="67"/>
    </row>
    <row r="3825" spans="1:2" x14ac:dyDescent="0.25">
      <c r="A3825" s="67"/>
      <c r="B3825" s="67"/>
    </row>
    <row r="3826" spans="1:2" x14ac:dyDescent="0.25">
      <c r="A3826" s="67"/>
      <c r="B3826" s="67"/>
    </row>
    <row r="3827" spans="1:2" x14ac:dyDescent="0.25">
      <c r="A3827" s="67"/>
      <c r="B3827" s="67"/>
    </row>
    <row r="3828" spans="1:2" x14ac:dyDescent="0.25">
      <c r="A3828" s="67"/>
      <c r="B3828" s="67"/>
    </row>
    <row r="3829" spans="1:2" x14ac:dyDescent="0.25">
      <c r="A3829" s="67"/>
      <c r="B3829" s="67"/>
    </row>
    <row r="3830" spans="1:2" x14ac:dyDescent="0.25">
      <c r="A3830" s="67"/>
      <c r="B3830" s="67"/>
    </row>
    <row r="3831" spans="1:2" x14ac:dyDescent="0.25">
      <c r="A3831" s="67"/>
      <c r="B3831" s="67"/>
    </row>
    <row r="3832" spans="1:2" x14ac:dyDescent="0.25">
      <c r="A3832" s="67"/>
      <c r="B3832" s="67"/>
    </row>
    <row r="3833" spans="1:2" x14ac:dyDescent="0.25">
      <c r="A3833" s="67"/>
      <c r="B3833" s="67"/>
    </row>
    <row r="3834" spans="1:2" x14ac:dyDescent="0.25">
      <c r="A3834" s="67"/>
      <c r="B3834" s="67"/>
    </row>
    <row r="3835" spans="1:2" x14ac:dyDescent="0.25">
      <c r="A3835" s="67"/>
      <c r="B3835" s="67"/>
    </row>
    <row r="3836" spans="1:2" x14ac:dyDescent="0.25">
      <c r="A3836" s="67"/>
      <c r="B3836" s="67"/>
    </row>
    <row r="3837" spans="1:2" x14ac:dyDescent="0.25">
      <c r="A3837" s="67"/>
      <c r="B3837" s="67"/>
    </row>
    <row r="3838" spans="1:2" x14ac:dyDescent="0.25">
      <c r="A3838" s="67"/>
      <c r="B3838" s="67"/>
    </row>
    <row r="3839" spans="1:2" x14ac:dyDescent="0.25">
      <c r="A3839" s="67"/>
      <c r="B3839" s="67"/>
    </row>
    <row r="3840" spans="1:2" x14ac:dyDescent="0.25">
      <c r="A3840" s="67"/>
      <c r="B3840" s="67"/>
    </row>
    <row r="3841" spans="1:2" x14ac:dyDescent="0.25">
      <c r="A3841" s="67"/>
      <c r="B3841" s="67"/>
    </row>
    <row r="3842" spans="1:2" x14ac:dyDescent="0.25">
      <c r="A3842" s="67"/>
      <c r="B3842" s="67"/>
    </row>
    <row r="3843" spans="1:2" x14ac:dyDescent="0.25">
      <c r="A3843" s="67"/>
      <c r="B3843" s="67"/>
    </row>
    <row r="3844" spans="1:2" x14ac:dyDescent="0.25">
      <c r="A3844" s="67"/>
      <c r="B3844" s="67"/>
    </row>
    <row r="3845" spans="1:2" x14ac:dyDescent="0.25">
      <c r="A3845" s="67"/>
      <c r="B3845" s="67"/>
    </row>
    <row r="3846" spans="1:2" x14ac:dyDescent="0.25">
      <c r="A3846" s="67"/>
      <c r="B3846" s="67"/>
    </row>
    <row r="3847" spans="1:2" x14ac:dyDescent="0.25">
      <c r="A3847" s="67"/>
      <c r="B3847" s="67"/>
    </row>
    <row r="3848" spans="1:2" x14ac:dyDescent="0.25">
      <c r="A3848" s="67"/>
      <c r="B3848" s="67"/>
    </row>
    <row r="3849" spans="1:2" x14ac:dyDescent="0.25">
      <c r="A3849" s="67"/>
      <c r="B3849" s="67"/>
    </row>
    <row r="3850" spans="1:2" x14ac:dyDescent="0.25">
      <c r="A3850" s="67"/>
      <c r="B3850" s="67"/>
    </row>
    <row r="3851" spans="1:2" x14ac:dyDescent="0.25">
      <c r="A3851" s="67"/>
      <c r="B3851" s="67"/>
    </row>
    <row r="3852" spans="1:2" x14ac:dyDescent="0.25">
      <c r="A3852" s="67"/>
      <c r="B3852" s="67"/>
    </row>
    <row r="3853" spans="1:2" x14ac:dyDescent="0.25">
      <c r="A3853" s="67"/>
      <c r="B3853" s="67"/>
    </row>
    <row r="3854" spans="1:2" x14ac:dyDescent="0.25">
      <c r="A3854" s="67"/>
      <c r="B3854" s="67"/>
    </row>
    <row r="3855" spans="1:2" x14ac:dyDescent="0.25">
      <c r="A3855" s="67"/>
      <c r="B3855" s="67"/>
    </row>
    <row r="3856" spans="1:2" x14ac:dyDescent="0.25">
      <c r="A3856" s="67"/>
      <c r="B3856" s="67"/>
    </row>
    <row r="3857" spans="1:2" x14ac:dyDescent="0.25">
      <c r="A3857" s="67"/>
      <c r="B3857" s="67"/>
    </row>
    <row r="3858" spans="1:2" x14ac:dyDescent="0.25">
      <c r="A3858" s="67"/>
      <c r="B3858" s="67"/>
    </row>
    <row r="3859" spans="1:2" x14ac:dyDescent="0.25">
      <c r="A3859" s="67"/>
      <c r="B3859" s="67"/>
    </row>
    <row r="3860" spans="1:2" x14ac:dyDescent="0.25">
      <c r="A3860" s="67"/>
      <c r="B3860" s="67"/>
    </row>
    <row r="3861" spans="1:2" x14ac:dyDescent="0.25">
      <c r="A3861" s="67"/>
      <c r="B3861" s="67"/>
    </row>
    <row r="3862" spans="1:2" x14ac:dyDescent="0.25">
      <c r="A3862" s="67"/>
      <c r="B3862" s="67"/>
    </row>
    <row r="3863" spans="1:2" x14ac:dyDescent="0.25">
      <c r="A3863" s="67"/>
      <c r="B3863" s="67"/>
    </row>
    <row r="3864" spans="1:2" x14ac:dyDescent="0.25">
      <c r="A3864" s="67"/>
      <c r="B3864" s="67"/>
    </row>
    <row r="3865" spans="1:2" x14ac:dyDescent="0.25">
      <c r="A3865" s="67"/>
      <c r="B3865" s="67"/>
    </row>
    <row r="3866" spans="1:2" x14ac:dyDescent="0.25">
      <c r="A3866" s="67"/>
      <c r="B3866" s="67"/>
    </row>
    <row r="3867" spans="1:2" x14ac:dyDescent="0.25">
      <c r="A3867" s="67"/>
      <c r="B3867" s="67"/>
    </row>
    <row r="3868" spans="1:2" x14ac:dyDescent="0.25">
      <c r="A3868" s="67"/>
      <c r="B3868" s="67"/>
    </row>
    <row r="3869" spans="1:2" x14ac:dyDescent="0.25">
      <c r="A3869" s="67"/>
      <c r="B3869" s="67"/>
    </row>
    <row r="3870" spans="1:2" x14ac:dyDescent="0.25">
      <c r="A3870" s="67"/>
      <c r="B3870" s="67"/>
    </row>
    <row r="3871" spans="1:2" x14ac:dyDescent="0.25">
      <c r="A3871" s="67"/>
      <c r="B3871" s="67"/>
    </row>
    <row r="3872" spans="1:2" x14ac:dyDescent="0.25">
      <c r="A3872" s="67"/>
      <c r="B3872" s="67"/>
    </row>
    <row r="3873" spans="1:2" x14ac:dyDescent="0.25">
      <c r="A3873" s="67"/>
      <c r="B3873" s="67"/>
    </row>
    <row r="3874" spans="1:2" x14ac:dyDescent="0.25">
      <c r="A3874" s="67"/>
      <c r="B3874" s="67"/>
    </row>
    <row r="3875" spans="1:2" x14ac:dyDescent="0.25">
      <c r="A3875" s="67"/>
      <c r="B3875" s="67"/>
    </row>
    <row r="3876" spans="1:2" x14ac:dyDescent="0.25">
      <c r="A3876" s="67"/>
      <c r="B3876" s="67"/>
    </row>
    <row r="3877" spans="1:2" x14ac:dyDescent="0.25">
      <c r="A3877" s="67"/>
      <c r="B3877" s="67"/>
    </row>
    <row r="3878" spans="1:2" x14ac:dyDescent="0.25">
      <c r="A3878" s="67"/>
      <c r="B3878" s="67"/>
    </row>
    <row r="3879" spans="1:2" x14ac:dyDescent="0.25">
      <c r="A3879" s="67"/>
      <c r="B3879" s="67"/>
    </row>
    <row r="3880" spans="1:2" x14ac:dyDescent="0.25">
      <c r="A3880" s="67"/>
      <c r="B3880" s="67"/>
    </row>
    <row r="3881" spans="1:2" x14ac:dyDescent="0.25">
      <c r="A3881" s="67"/>
      <c r="B3881" s="67"/>
    </row>
    <row r="3882" spans="1:2" x14ac:dyDescent="0.25">
      <c r="A3882" s="67"/>
      <c r="B3882" s="67"/>
    </row>
    <row r="3883" spans="1:2" x14ac:dyDescent="0.25">
      <c r="A3883" s="67"/>
      <c r="B3883" s="67"/>
    </row>
    <row r="3884" spans="1:2" x14ac:dyDescent="0.25">
      <c r="A3884" s="67"/>
      <c r="B3884" s="67"/>
    </row>
    <row r="3885" spans="1:2" x14ac:dyDescent="0.25">
      <c r="A3885" s="67"/>
      <c r="B3885" s="67"/>
    </row>
    <row r="3886" spans="1:2" x14ac:dyDescent="0.25">
      <c r="A3886" s="67"/>
      <c r="B3886" s="67"/>
    </row>
    <row r="3887" spans="1:2" x14ac:dyDescent="0.25">
      <c r="A3887" s="67"/>
      <c r="B3887" s="67"/>
    </row>
    <row r="3888" spans="1:2" x14ac:dyDescent="0.25">
      <c r="A3888" s="67"/>
      <c r="B3888" s="67"/>
    </row>
    <row r="3889" spans="1:2" x14ac:dyDescent="0.25">
      <c r="A3889" s="67"/>
      <c r="B3889" s="67"/>
    </row>
    <row r="3890" spans="1:2" x14ac:dyDescent="0.25">
      <c r="A3890" s="67"/>
      <c r="B3890" s="67"/>
    </row>
    <row r="3891" spans="1:2" x14ac:dyDescent="0.25">
      <c r="A3891" s="67"/>
      <c r="B3891" s="67"/>
    </row>
    <row r="3892" spans="1:2" x14ac:dyDescent="0.25">
      <c r="A3892" s="67"/>
      <c r="B3892" s="67"/>
    </row>
    <row r="3893" spans="1:2" x14ac:dyDescent="0.25">
      <c r="A3893" s="67"/>
      <c r="B3893" s="67"/>
    </row>
    <row r="3894" spans="1:2" x14ac:dyDescent="0.25">
      <c r="A3894" s="67"/>
      <c r="B3894" s="67"/>
    </row>
    <row r="3895" spans="1:2" x14ac:dyDescent="0.25">
      <c r="A3895" s="67"/>
      <c r="B3895" s="67"/>
    </row>
    <row r="3896" spans="1:2" x14ac:dyDescent="0.25">
      <c r="A3896" s="67"/>
      <c r="B3896" s="67"/>
    </row>
    <row r="3897" spans="1:2" x14ac:dyDescent="0.25">
      <c r="A3897" s="67"/>
      <c r="B3897" s="67"/>
    </row>
    <row r="3898" spans="1:2" x14ac:dyDescent="0.25">
      <c r="A3898" s="67"/>
      <c r="B3898" s="67"/>
    </row>
    <row r="3899" spans="1:2" x14ac:dyDescent="0.25">
      <c r="A3899" s="67"/>
      <c r="B3899" s="67"/>
    </row>
    <row r="3900" spans="1:2" x14ac:dyDescent="0.25">
      <c r="A3900" s="67"/>
      <c r="B3900" s="67"/>
    </row>
    <row r="3901" spans="1:2" x14ac:dyDescent="0.25">
      <c r="A3901" s="67"/>
      <c r="B3901" s="67"/>
    </row>
    <row r="3902" spans="1:2" x14ac:dyDescent="0.25">
      <c r="A3902" s="67"/>
      <c r="B3902" s="67"/>
    </row>
    <row r="3903" spans="1:2" x14ac:dyDescent="0.25">
      <c r="A3903" s="67"/>
      <c r="B3903" s="67"/>
    </row>
    <row r="3904" spans="1:2" x14ac:dyDescent="0.25">
      <c r="A3904" s="67"/>
      <c r="B3904" s="67"/>
    </row>
    <row r="3905" spans="1:2" x14ac:dyDescent="0.25">
      <c r="A3905" s="67"/>
      <c r="B3905" s="67"/>
    </row>
    <row r="3906" spans="1:2" x14ac:dyDescent="0.25">
      <c r="A3906" s="67"/>
      <c r="B3906" s="67"/>
    </row>
    <row r="3907" spans="1:2" x14ac:dyDescent="0.25">
      <c r="A3907" s="67"/>
      <c r="B3907" s="67"/>
    </row>
    <row r="3908" spans="1:2" x14ac:dyDescent="0.25">
      <c r="A3908" s="67"/>
      <c r="B3908" s="67"/>
    </row>
    <row r="3909" spans="1:2" x14ac:dyDescent="0.25">
      <c r="A3909" s="67"/>
      <c r="B3909" s="67"/>
    </row>
    <row r="3910" spans="1:2" x14ac:dyDescent="0.25">
      <c r="A3910" s="67"/>
      <c r="B3910" s="67"/>
    </row>
    <row r="3911" spans="1:2" x14ac:dyDescent="0.25">
      <c r="A3911" s="67"/>
      <c r="B3911" s="67"/>
    </row>
    <row r="3912" spans="1:2" x14ac:dyDescent="0.25">
      <c r="A3912" s="67"/>
      <c r="B3912" s="67"/>
    </row>
    <row r="3913" spans="1:2" x14ac:dyDescent="0.25">
      <c r="A3913" s="67"/>
      <c r="B3913" s="67"/>
    </row>
    <row r="3914" spans="1:2" x14ac:dyDescent="0.25">
      <c r="A3914" s="67"/>
      <c r="B3914" s="67"/>
    </row>
    <row r="3915" spans="1:2" x14ac:dyDescent="0.25">
      <c r="A3915" s="67"/>
      <c r="B3915" s="67"/>
    </row>
    <row r="3916" spans="1:2" x14ac:dyDescent="0.25">
      <c r="A3916" s="67"/>
      <c r="B3916" s="67"/>
    </row>
    <row r="3917" spans="1:2" x14ac:dyDescent="0.25">
      <c r="A3917" s="67"/>
      <c r="B3917" s="67"/>
    </row>
    <row r="3918" spans="1:2" x14ac:dyDescent="0.25">
      <c r="A3918" s="67"/>
      <c r="B3918" s="67"/>
    </row>
    <row r="3919" spans="1:2" x14ac:dyDescent="0.25">
      <c r="A3919" s="67"/>
      <c r="B3919" s="67"/>
    </row>
    <row r="3920" spans="1:2" x14ac:dyDescent="0.25">
      <c r="A3920" s="67"/>
      <c r="B3920" s="67"/>
    </row>
    <row r="3921" spans="1:2" x14ac:dyDescent="0.25">
      <c r="A3921" s="67"/>
      <c r="B3921" s="67"/>
    </row>
    <row r="3922" spans="1:2" x14ac:dyDescent="0.25">
      <c r="A3922" s="67"/>
      <c r="B3922" s="67"/>
    </row>
    <row r="3923" spans="1:2" x14ac:dyDescent="0.25">
      <c r="A3923" s="67"/>
      <c r="B3923" s="67"/>
    </row>
    <row r="3924" spans="1:2" x14ac:dyDescent="0.25">
      <c r="A3924" s="67"/>
      <c r="B3924" s="67"/>
    </row>
    <row r="3925" spans="1:2" x14ac:dyDescent="0.25">
      <c r="A3925" s="67"/>
      <c r="B3925" s="67"/>
    </row>
    <row r="3926" spans="1:2" x14ac:dyDescent="0.25">
      <c r="A3926" s="67"/>
      <c r="B3926" s="67"/>
    </row>
    <row r="3927" spans="1:2" x14ac:dyDescent="0.25">
      <c r="A3927" s="67"/>
      <c r="B3927" s="67"/>
    </row>
    <row r="3928" spans="1:2" x14ac:dyDescent="0.25">
      <c r="A3928" s="67"/>
      <c r="B3928" s="67"/>
    </row>
    <row r="3929" spans="1:2" x14ac:dyDescent="0.25">
      <c r="A3929" s="67"/>
      <c r="B3929" s="67"/>
    </row>
    <row r="3930" spans="1:2" x14ac:dyDescent="0.25">
      <c r="A3930" s="67"/>
      <c r="B3930" s="67"/>
    </row>
    <row r="3931" spans="1:2" x14ac:dyDescent="0.25">
      <c r="A3931" s="67"/>
      <c r="B3931" s="67"/>
    </row>
    <row r="3932" spans="1:2" x14ac:dyDescent="0.25">
      <c r="A3932" s="67"/>
      <c r="B3932" s="67"/>
    </row>
    <row r="3933" spans="1:2" x14ac:dyDescent="0.25">
      <c r="A3933" s="67"/>
      <c r="B3933" s="67"/>
    </row>
    <row r="3934" spans="1:2" x14ac:dyDescent="0.25">
      <c r="A3934" s="67"/>
      <c r="B3934" s="67"/>
    </row>
    <row r="3935" spans="1:2" x14ac:dyDescent="0.25">
      <c r="A3935" s="67"/>
      <c r="B3935" s="67"/>
    </row>
    <row r="3936" spans="1:2" x14ac:dyDescent="0.25">
      <c r="A3936" s="67"/>
      <c r="B3936" s="67"/>
    </row>
    <row r="3937" spans="1:2" x14ac:dyDescent="0.25">
      <c r="A3937" s="67"/>
      <c r="B3937" s="67"/>
    </row>
    <row r="3938" spans="1:2" x14ac:dyDescent="0.25">
      <c r="A3938" s="67"/>
      <c r="B3938" s="67"/>
    </row>
    <row r="3939" spans="1:2" x14ac:dyDescent="0.25">
      <c r="A3939" s="67"/>
      <c r="B3939" s="67"/>
    </row>
    <row r="3940" spans="1:2" x14ac:dyDescent="0.25">
      <c r="A3940" s="67"/>
      <c r="B3940" s="67"/>
    </row>
    <row r="3941" spans="1:2" x14ac:dyDescent="0.25">
      <c r="A3941" s="67"/>
      <c r="B3941" s="67"/>
    </row>
    <row r="3942" spans="1:2" x14ac:dyDescent="0.25">
      <c r="A3942" s="67"/>
      <c r="B3942" s="67"/>
    </row>
    <row r="3943" spans="1:2" x14ac:dyDescent="0.25">
      <c r="A3943" s="67"/>
      <c r="B3943" s="67"/>
    </row>
    <row r="3944" spans="1:2" x14ac:dyDescent="0.25">
      <c r="A3944" s="67"/>
      <c r="B3944" s="67"/>
    </row>
    <row r="3945" spans="1:2" x14ac:dyDescent="0.25">
      <c r="A3945" s="67"/>
      <c r="B3945" s="67"/>
    </row>
    <row r="3946" spans="1:2" x14ac:dyDescent="0.25">
      <c r="A3946" s="67"/>
      <c r="B3946" s="67"/>
    </row>
    <row r="3947" spans="1:2" x14ac:dyDescent="0.25">
      <c r="A3947" s="67"/>
      <c r="B3947" s="67"/>
    </row>
    <row r="3948" spans="1:2" x14ac:dyDescent="0.25">
      <c r="A3948" s="67"/>
      <c r="B3948" s="67"/>
    </row>
    <row r="3949" spans="1:2" x14ac:dyDescent="0.25">
      <c r="A3949" s="67"/>
      <c r="B3949" s="67"/>
    </row>
    <row r="3950" spans="1:2" x14ac:dyDescent="0.25">
      <c r="A3950" s="67"/>
      <c r="B3950" s="67"/>
    </row>
    <row r="3951" spans="1:2" x14ac:dyDescent="0.25">
      <c r="A3951" s="67"/>
      <c r="B3951" s="67"/>
    </row>
    <row r="3952" spans="1:2" x14ac:dyDescent="0.25">
      <c r="A3952" s="67"/>
      <c r="B3952" s="67"/>
    </row>
    <row r="3953" spans="1:2" x14ac:dyDescent="0.25">
      <c r="A3953" s="67"/>
      <c r="B3953" s="67"/>
    </row>
    <row r="3954" spans="1:2" x14ac:dyDescent="0.25">
      <c r="A3954" s="67"/>
      <c r="B3954" s="67"/>
    </row>
    <row r="3955" spans="1:2" x14ac:dyDescent="0.25">
      <c r="A3955" s="67"/>
      <c r="B3955" s="67"/>
    </row>
    <row r="3956" spans="1:2" x14ac:dyDescent="0.25">
      <c r="A3956" s="67"/>
      <c r="B3956" s="67"/>
    </row>
    <row r="3957" spans="1:2" x14ac:dyDescent="0.25">
      <c r="A3957" s="67"/>
      <c r="B3957" s="67"/>
    </row>
    <row r="3958" spans="1:2" x14ac:dyDescent="0.25">
      <c r="A3958" s="67"/>
      <c r="B3958" s="67"/>
    </row>
    <row r="3959" spans="1:2" x14ac:dyDescent="0.25">
      <c r="A3959" s="67"/>
      <c r="B3959" s="67"/>
    </row>
    <row r="3960" spans="1:2" x14ac:dyDescent="0.25">
      <c r="A3960" s="67"/>
      <c r="B3960" s="67"/>
    </row>
    <row r="3961" spans="1:2" x14ac:dyDescent="0.25">
      <c r="A3961" s="67"/>
      <c r="B3961" s="67"/>
    </row>
    <row r="3962" spans="1:2" x14ac:dyDescent="0.25">
      <c r="A3962" s="67"/>
      <c r="B3962" s="67"/>
    </row>
    <row r="3963" spans="1:2" x14ac:dyDescent="0.25">
      <c r="A3963" s="67"/>
      <c r="B3963" s="67"/>
    </row>
    <row r="3964" spans="1:2" x14ac:dyDescent="0.25">
      <c r="A3964" s="67"/>
      <c r="B3964" s="67"/>
    </row>
    <row r="3965" spans="1:2" x14ac:dyDescent="0.25">
      <c r="A3965" s="67"/>
      <c r="B3965" s="67"/>
    </row>
    <row r="3966" spans="1:2" x14ac:dyDescent="0.25">
      <c r="A3966" s="67"/>
      <c r="B3966" s="67"/>
    </row>
    <row r="3967" spans="1:2" x14ac:dyDescent="0.25">
      <c r="A3967" s="67"/>
      <c r="B3967" s="67"/>
    </row>
    <row r="3968" spans="1:2" x14ac:dyDescent="0.25">
      <c r="A3968" s="67"/>
      <c r="B3968" s="67"/>
    </row>
    <row r="3969" spans="1:2" x14ac:dyDescent="0.25">
      <c r="A3969" s="67"/>
      <c r="B3969" s="67"/>
    </row>
    <row r="3970" spans="1:2" x14ac:dyDescent="0.25">
      <c r="A3970" s="67"/>
      <c r="B3970" s="67"/>
    </row>
    <row r="3971" spans="1:2" x14ac:dyDescent="0.25">
      <c r="A3971" s="67"/>
      <c r="B3971" s="67"/>
    </row>
    <row r="3972" spans="1:2" x14ac:dyDescent="0.25">
      <c r="A3972" s="67"/>
      <c r="B3972" s="67"/>
    </row>
    <row r="3973" spans="1:2" x14ac:dyDescent="0.25">
      <c r="A3973" s="67"/>
      <c r="B3973" s="67"/>
    </row>
    <row r="3974" spans="1:2" x14ac:dyDescent="0.25">
      <c r="A3974" s="67"/>
      <c r="B3974" s="67"/>
    </row>
    <row r="3975" spans="1:2" x14ac:dyDescent="0.25">
      <c r="A3975" s="67"/>
      <c r="B3975" s="67"/>
    </row>
    <row r="3976" spans="1:2" x14ac:dyDescent="0.25">
      <c r="A3976" s="67"/>
      <c r="B3976" s="67"/>
    </row>
    <row r="3977" spans="1:2" x14ac:dyDescent="0.25">
      <c r="A3977" s="67"/>
      <c r="B3977" s="67"/>
    </row>
    <row r="3978" spans="1:2" x14ac:dyDescent="0.25">
      <c r="A3978" s="67"/>
      <c r="B3978" s="67"/>
    </row>
    <row r="3979" spans="1:2" x14ac:dyDescent="0.25">
      <c r="A3979" s="67"/>
      <c r="B3979" s="67"/>
    </row>
    <row r="3980" spans="1:2" x14ac:dyDescent="0.25">
      <c r="A3980" s="67"/>
      <c r="B3980" s="67"/>
    </row>
    <row r="3981" spans="1:2" x14ac:dyDescent="0.25">
      <c r="A3981" s="67"/>
      <c r="B3981" s="67"/>
    </row>
    <row r="3982" spans="1:2" x14ac:dyDescent="0.25">
      <c r="A3982" s="67"/>
      <c r="B3982" s="67"/>
    </row>
    <row r="3983" spans="1:2" x14ac:dyDescent="0.25">
      <c r="A3983" s="67"/>
      <c r="B3983" s="67"/>
    </row>
    <row r="3984" spans="1:2" x14ac:dyDescent="0.25">
      <c r="A3984" s="67"/>
      <c r="B3984" s="67"/>
    </row>
    <row r="3985" spans="1:2" x14ac:dyDescent="0.25">
      <c r="A3985" s="67"/>
      <c r="B3985" s="67"/>
    </row>
    <row r="3986" spans="1:2" x14ac:dyDescent="0.25">
      <c r="A3986" s="67"/>
      <c r="B3986" s="67"/>
    </row>
    <row r="3987" spans="1:2" x14ac:dyDescent="0.25">
      <c r="A3987" s="67"/>
      <c r="B3987" s="67"/>
    </row>
    <row r="3988" spans="1:2" x14ac:dyDescent="0.25">
      <c r="A3988" s="67"/>
      <c r="B3988" s="67"/>
    </row>
    <row r="3989" spans="1:2" x14ac:dyDescent="0.25">
      <c r="A3989" s="67"/>
      <c r="B3989" s="67"/>
    </row>
    <row r="3990" spans="1:2" x14ac:dyDescent="0.25">
      <c r="A3990" s="67"/>
      <c r="B3990" s="67"/>
    </row>
    <row r="3991" spans="1:2" x14ac:dyDescent="0.25">
      <c r="A3991" s="67"/>
      <c r="B3991" s="67"/>
    </row>
    <row r="3992" spans="1:2" x14ac:dyDescent="0.25">
      <c r="A3992" s="67"/>
      <c r="B3992" s="67"/>
    </row>
    <row r="3993" spans="1:2" x14ac:dyDescent="0.25">
      <c r="A3993" s="67"/>
      <c r="B3993" s="67"/>
    </row>
    <row r="3994" spans="1:2" x14ac:dyDescent="0.25">
      <c r="A3994" s="67"/>
      <c r="B3994" s="67"/>
    </row>
    <row r="3995" spans="1:2" x14ac:dyDescent="0.25">
      <c r="A3995" s="67"/>
      <c r="B3995" s="67"/>
    </row>
    <row r="3996" spans="1:2" x14ac:dyDescent="0.25">
      <c r="A3996" s="67"/>
      <c r="B3996" s="67"/>
    </row>
    <row r="3997" spans="1:2" x14ac:dyDescent="0.25">
      <c r="A3997" s="67"/>
      <c r="B3997" s="67"/>
    </row>
    <row r="3998" spans="1:2" x14ac:dyDescent="0.25">
      <c r="A3998" s="67"/>
      <c r="B3998" s="67"/>
    </row>
    <row r="3999" spans="1:2" x14ac:dyDescent="0.25">
      <c r="A3999" s="67"/>
      <c r="B3999" s="67"/>
    </row>
    <row r="4000" spans="1:2" x14ac:dyDescent="0.25">
      <c r="A4000" s="67"/>
      <c r="B4000" s="67"/>
    </row>
    <row r="4001" spans="1:2" x14ac:dyDescent="0.25">
      <c r="A4001" s="67"/>
      <c r="B4001" s="67"/>
    </row>
    <row r="4002" spans="1:2" x14ac:dyDescent="0.25">
      <c r="A4002" s="67"/>
      <c r="B4002" s="67"/>
    </row>
    <row r="4003" spans="1:2" x14ac:dyDescent="0.25">
      <c r="A4003" s="67"/>
      <c r="B4003" s="67"/>
    </row>
    <row r="4004" spans="1:2" x14ac:dyDescent="0.25">
      <c r="A4004" s="67"/>
      <c r="B4004" s="67"/>
    </row>
    <row r="4005" spans="1:2" x14ac:dyDescent="0.25">
      <c r="A4005" s="67"/>
      <c r="B4005" s="67"/>
    </row>
    <row r="4006" spans="1:2" x14ac:dyDescent="0.25">
      <c r="A4006" s="67"/>
      <c r="B4006" s="67"/>
    </row>
    <row r="4007" spans="1:2" x14ac:dyDescent="0.25">
      <c r="A4007" s="67"/>
      <c r="B4007" s="67"/>
    </row>
    <row r="4008" spans="1:2" x14ac:dyDescent="0.25">
      <c r="A4008" s="67"/>
      <c r="B4008" s="67"/>
    </row>
    <row r="4009" spans="1:2" x14ac:dyDescent="0.25">
      <c r="A4009" s="67"/>
      <c r="B4009" s="67"/>
    </row>
    <row r="4010" spans="1:2" x14ac:dyDescent="0.25">
      <c r="A4010" s="67"/>
      <c r="B4010" s="67"/>
    </row>
    <row r="4011" spans="1:2" x14ac:dyDescent="0.25">
      <c r="A4011" s="67"/>
      <c r="B4011" s="67"/>
    </row>
    <row r="4012" spans="1:2" x14ac:dyDescent="0.25">
      <c r="A4012" s="67"/>
      <c r="B4012" s="67"/>
    </row>
    <row r="4013" spans="1:2" x14ac:dyDescent="0.25">
      <c r="A4013" s="67"/>
      <c r="B4013" s="67"/>
    </row>
    <row r="4014" spans="1:2" x14ac:dyDescent="0.25">
      <c r="A4014" s="67"/>
      <c r="B4014" s="67"/>
    </row>
    <row r="4015" spans="1:2" x14ac:dyDescent="0.25">
      <c r="A4015" s="67"/>
      <c r="B4015" s="67"/>
    </row>
    <row r="4016" spans="1:2" x14ac:dyDescent="0.25">
      <c r="A4016" s="67"/>
      <c r="B4016" s="67"/>
    </row>
    <row r="4017" spans="1:2" x14ac:dyDescent="0.25">
      <c r="A4017" s="67"/>
      <c r="B4017" s="67"/>
    </row>
    <row r="4018" spans="1:2" x14ac:dyDescent="0.25">
      <c r="A4018" s="67"/>
      <c r="B4018" s="67"/>
    </row>
    <row r="4019" spans="1:2" x14ac:dyDescent="0.25">
      <c r="A4019" s="67"/>
      <c r="B4019" s="67"/>
    </row>
    <row r="4020" spans="1:2" x14ac:dyDescent="0.25">
      <c r="A4020" s="67"/>
      <c r="B4020" s="67"/>
    </row>
    <row r="4021" spans="1:2" x14ac:dyDescent="0.25">
      <c r="A4021" s="67"/>
      <c r="B4021" s="67"/>
    </row>
    <row r="4022" spans="1:2" x14ac:dyDescent="0.25">
      <c r="A4022" s="67"/>
      <c r="B4022" s="67"/>
    </row>
    <row r="4023" spans="1:2" x14ac:dyDescent="0.25">
      <c r="A4023" s="67"/>
      <c r="B4023" s="67"/>
    </row>
    <row r="4024" spans="1:2" x14ac:dyDescent="0.25">
      <c r="A4024" s="67"/>
      <c r="B4024" s="67"/>
    </row>
    <row r="4025" spans="1:2" x14ac:dyDescent="0.25">
      <c r="A4025" s="67"/>
      <c r="B4025" s="67"/>
    </row>
    <row r="4026" spans="1:2" x14ac:dyDescent="0.25">
      <c r="A4026" s="67"/>
      <c r="B4026" s="67"/>
    </row>
    <row r="4027" spans="1:2" x14ac:dyDescent="0.25">
      <c r="A4027" s="67"/>
      <c r="B4027" s="67"/>
    </row>
    <row r="4028" spans="1:2" x14ac:dyDescent="0.25">
      <c r="A4028" s="67"/>
      <c r="B4028" s="67"/>
    </row>
    <row r="4029" spans="1:2" x14ac:dyDescent="0.25">
      <c r="A4029" s="67"/>
      <c r="B4029" s="67"/>
    </row>
    <row r="4030" spans="1:2" x14ac:dyDescent="0.25">
      <c r="A4030" s="67"/>
      <c r="B4030" s="67"/>
    </row>
    <row r="4031" spans="1:2" x14ac:dyDescent="0.25">
      <c r="A4031" s="67"/>
      <c r="B4031" s="67"/>
    </row>
    <row r="4032" spans="1:2" x14ac:dyDescent="0.25">
      <c r="A4032" s="67"/>
      <c r="B4032" s="67"/>
    </row>
    <row r="4033" spans="1:2" x14ac:dyDescent="0.25">
      <c r="A4033" s="67"/>
      <c r="B4033" s="67"/>
    </row>
    <row r="4034" spans="1:2" x14ac:dyDescent="0.25">
      <c r="A4034" s="67"/>
      <c r="B4034" s="67"/>
    </row>
    <row r="4035" spans="1:2" x14ac:dyDescent="0.25">
      <c r="A4035" s="67"/>
      <c r="B4035" s="67"/>
    </row>
    <row r="4036" spans="1:2" x14ac:dyDescent="0.25">
      <c r="A4036" s="67"/>
      <c r="B4036" s="67"/>
    </row>
    <row r="4037" spans="1:2" x14ac:dyDescent="0.25">
      <c r="A4037" s="67"/>
      <c r="B4037" s="67"/>
    </row>
    <row r="4038" spans="1:2" x14ac:dyDescent="0.25">
      <c r="A4038" s="67"/>
      <c r="B4038" s="67"/>
    </row>
    <row r="4039" spans="1:2" x14ac:dyDescent="0.25">
      <c r="A4039" s="67"/>
      <c r="B4039" s="67"/>
    </row>
    <row r="4040" spans="1:2" x14ac:dyDescent="0.25">
      <c r="A4040" s="67"/>
      <c r="B4040" s="67"/>
    </row>
    <row r="4041" spans="1:2" x14ac:dyDescent="0.25">
      <c r="A4041" s="67"/>
      <c r="B4041" s="67"/>
    </row>
    <row r="4042" spans="1:2" x14ac:dyDescent="0.25">
      <c r="A4042" s="67"/>
      <c r="B4042" s="67"/>
    </row>
    <row r="4043" spans="1:2" x14ac:dyDescent="0.25">
      <c r="A4043" s="67"/>
      <c r="B4043" s="67"/>
    </row>
    <row r="4044" spans="1:2" x14ac:dyDescent="0.25">
      <c r="A4044" s="67"/>
      <c r="B4044" s="67"/>
    </row>
    <row r="4045" spans="1:2" x14ac:dyDescent="0.25">
      <c r="A4045" s="67"/>
      <c r="B4045" s="67"/>
    </row>
    <row r="4046" spans="1:2" x14ac:dyDescent="0.25">
      <c r="A4046" s="67"/>
      <c r="B4046" s="67"/>
    </row>
    <row r="4047" spans="1:2" x14ac:dyDescent="0.25">
      <c r="A4047" s="67"/>
      <c r="B4047" s="67"/>
    </row>
    <row r="4048" spans="1:2" x14ac:dyDescent="0.25">
      <c r="A4048" s="67"/>
      <c r="B4048" s="67"/>
    </row>
    <row r="4049" spans="1:2" x14ac:dyDescent="0.25">
      <c r="A4049" s="67"/>
      <c r="B4049" s="67"/>
    </row>
    <row r="4050" spans="1:2" x14ac:dyDescent="0.25">
      <c r="A4050" s="67"/>
      <c r="B4050" s="67"/>
    </row>
    <row r="4051" spans="1:2" x14ac:dyDescent="0.25">
      <c r="A4051" s="67"/>
      <c r="B4051" s="67"/>
    </row>
    <row r="4052" spans="1:2" x14ac:dyDescent="0.25">
      <c r="A4052" s="67"/>
      <c r="B4052" s="67"/>
    </row>
    <row r="4053" spans="1:2" x14ac:dyDescent="0.25">
      <c r="A4053" s="67"/>
      <c r="B4053" s="67"/>
    </row>
    <row r="4054" spans="1:2" x14ac:dyDescent="0.25">
      <c r="A4054" s="67"/>
      <c r="B4054" s="67"/>
    </row>
    <row r="4055" spans="1:2" x14ac:dyDescent="0.25">
      <c r="A4055" s="67"/>
      <c r="B4055" s="67"/>
    </row>
    <row r="4056" spans="1:2" x14ac:dyDescent="0.25">
      <c r="A4056" s="67"/>
      <c r="B4056" s="67"/>
    </row>
    <row r="4057" spans="1:2" x14ac:dyDescent="0.25">
      <c r="A4057" s="67"/>
      <c r="B4057" s="67"/>
    </row>
    <row r="4058" spans="1:2" x14ac:dyDescent="0.25">
      <c r="A4058" s="67"/>
      <c r="B4058" s="67"/>
    </row>
    <row r="4059" spans="1:2" x14ac:dyDescent="0.25">
      <c r="A4059" s="67"/>
      <c r="B4059" s="67"/>
    </row>
    <row r="4060" spans="1:2" x14ac:dyDescent="0.25">
      <c r="A4060" s="67"/>
      <c r="B4060" s="67"/>
    </row>
    <row r="4061" spans="1:2" x14ac:dyDescent="0.25">
      <c r="A4061" s="67"/>
      <c r="B4061" s="67"/>
    </row>
    <row r="4062" spans="1:2" x14ac:dyDescent="0.25">
      <c r="A4062" s="67"/>
      <c r="B4062" s="67"/>
    </row>
    <row r="4063" spans="1:2" x14ac:dyDescent="0.25">
      <c r="A4063" s="67"/>
      <c r="B4063" s="67"/>
    </row>
    <row r="4064" spans="1:2" x14ac:dyDescent="0.25">
      <c r="A4064" s="67"/>
      <c r="B4064" s="67"/>
    </row>
    <row r="4065" spans="1:2" x14ac:dyDescent="0.25">
      <c r="A4065" s="67"/>
      <c r="B4065" s="67"/>
    </row>
    <row r="4066" spans="1:2" x14ac:dyDescent="0.25">
      <c r="A4066" s="67"/>
      <c r="B4066" s="67"/>
    </row>
    <row r="4067" spans="1:2" x14ac:dyDescent="0.25">
      <c r="A4067" s="67"/>
      <c r="B4067" s="67"/>
    </row>
    <row r="4068" spans="1:2" x14ac:dyDescent="0.25">
      <c r="A4068" s="67"/>
      <c r="B4068" s="67"/>
    </row>
    <row r="4069" spans="1:2" x14ac:dyDescent="0.25">
      <c r="A4069" s="67"/>
      <c r="B4069" s="67"/>
    </row>
    <row r="4070" spans="1:2" x14ac:dyDescent="0.25">
      <c r="A4070" s="67"/>
      <c r="B4070" s="67"/>
    </row>
    <row r="4071" spans="1:2" x14ac:dyDescent="0.25">
      <c r="A4071" s="67"/>
      <c r="B4071" s="67"/>
    </row>
    <row r="4072" spans="1:2" x14ac:dyDescent="0.25">
      <c r="A4072" s="67"/>
      <c r="B4072" s="67"/>
    </row>
    <row r="4073" spans="1:2" x14ac:dyDescent="0.25">
      <c r="A4073" s="67"/>
      <c r="B4073" s="67"/>
    </row>
    <row r="4074" spans="1:2" x14ac:dyDescent="0.25">
      <c r="A4074" s="67"/>
      <c r="B4074" s="67"/>
    </row>
    <row r="4075" spans="1:2" x14ac:dyDescent="0.25">
      <c r="A4075" s="67"/>
      <c r="B4075" s="67"/>
    </row>
    <row r="4076" spans="1:2" x14ac:dyDescent="0.25">
      <c r="A4076" s="67"/>
      <c r="B4076" s="67"/>
    </row>
    <row r="4077" spans="1:2" x14ac:dyDescent="0.25">
      <c r="A4077" s="67"/>
      <c r="B4077" s="67"/>
    </row>
    <row r="4078" spans="1:2" x14ac:dyDescent="0.25">
      <c r="A4078" s="67"/>
      <c r="B4078" s="67"/>
    </row>
    <row r="4079" spans="1:2" x14ac:dyDescent="0.25">
      <c r="A4079" s="67"/>
      <c r="B4079" s="67"/>
    </row>
    <row r="4080" spans="1:2" x14ac:dyDescent="0.25">
      <c r="A4080" s="67"/>
      <c r="B4080" s="67"/>
    </row>
    <row r="4081" spans="1:2" x14ac:dyDescent="0.25">
      <c r="A4081" s="67"/>
      <c r="B4081" s="67"/>
    </row>
    <row r="4082" spans="1:2" x14ac:dyDescent="0.25">
      <c r="A4082" s="67"/>
      <c r="B4082" s="67"/>
    </row>
    <row r="4083" spans="1:2" x14ac:dyDescent="0.25">
      <c r="A4083" s="67"/>
      <c r="B4083" s="67"/>
    </row>
    <row r="4084" spans="1:2" x14ac:dyDescent="0.25">
      <c r="A4084" s="67"/>
      <c r="B4084" s="67"/>
    </row>
    <row r="4085" spans="1:2" x14ac:dyDescent="0.25">
      <c r="A4085" s="67"/>
      <c r="B4085" s="67"/>
    </row>
    <row r="4086" spans="1:2" x14ac:dyDescent="0.25">
      <c r="A4086" s="67"/>
      <c r="B4086" s="67"/>
    </row>
    <row r="4087" spans="1:2" x14ac:dyDescent="0.25">
      <c r="A4087" s="67"/>
      <c r="B4087" s="67"/>
    </row>
    <row r="4088" spans="1:2" x14ac:dyDescent="0.25">
      <c r="A4088" s="67"/>
      <c r="B4088" s="67"/>
    </row>
    <row r="4089" spans="1:2" x14ac:dyDescent="0.25">
      <c r="A4089" s="67"/>
      <c r="B4089" s="67"/>
    </row>
    <row r="4090" spans="1:2" x14ac:dyDescent="0.25">
      <c r="A4090" s="67"/>
      <c r="B4090" s="67"/>
    </row>
    <row r="4091" spans="1:2" x14ac:dyDescent="0.25">
      <c r="A4091" s="67"/>
      <c r="B4091" s="67"/>
    </row>
    <row r="4092" spans="1:2" x14ac:dyDescent="0.25">
      <c r="A4092" s="67"/>
      <c r="B4092" s="67"/>
    </row>
    <row r="4093" spans="1:2" x14ac:dyDescent="0.25">
      <c r="A4093" s="67"/>
      <c r="B4093" s="67"/>
    </row>
    <row r="4094" spans="1:2" x14ac:dyDescent="0.25">
      <c r="A4094" s="67"/>
      <c r="B4094" s="67"/>
    </row>
    <row r="4095" spans="1:2" x14ac:dyDescent="0.25">
      <c r="A4095" s="67"/>
      <c r="B4095" s="67"/>
    </row>
    <row r="4096" spans="1:2" x14ac:dyDescent="0.25">
      <c r="A4096" s="67"/>
      <c r="B4096" s="67"/>
    </row>
    <row r="4097" spans="1:2" x14ac:dyDescent="0.25">
      <c r="A4097" s="67"/>
      <c r="B4097" s="67"/>
    </row>
    <row r="4098" spans="1:2" x14ac:dyDescent="0.25">
      <c r="A4098" s="67"/>
      <c r="B4098" s="67"/>
    </row>
    <row r="4099" spans="1:2" x14ac:dyDescent="0.25">
      <c r="A4099" s="67"/>
      <c r="B4099" s="67"/>
    </row>
    <row r="4100" spans="1:2" x14ac:dyDescent="0.25">
      <c r="A4100" s="67"/>
      <c r="B4100" s="67"/>
    </row>
    <row r="4101" spans="1:2" x14ac:dyDescent="0.25">
      <c r="A4101" s="67"/>
      <c r="B4101" s="67"/>
    </row>
    <row r="4102" spans="1:2" x14ac:dyDescent="0.25">
      <c r="A4102" s="67"/>
      <c r="B4102" s="67"/>
    </row>
    <row r="4103" spans="1:2" x14ac:dyDescent="0.25">
      <c r="A4103" s="67"/>
      <c r="B4103" s="67"/>
    </row>
    <row r="4104" spans="1:2" x14ac:dyDescent="0.25">
      <c r="A4104" s="67"/>
      <c r="B4104" s="67"/>
    </row>
    <row r="4105" spans="1:2" x14ac:dyDescent="0.25">
      <c r="A4105" s="67"/>
      <c r="B4105" s="67"/>
    </row>
    <row r="4106" spans="1:2" x14ac:dyDescent="0.25">
      <c r="A4106" s="67"/>
      <c r="B4106" s="67"/>
    </row>
    <row r="4107" spans="1:2" x14ac:dyDescent="0.25">
      <c r="A4107" s="67"/>
      <c r="B4107" s="67"/>
    </row>
    <row r="4108" spans="1:2" x14ac:dyDescent="0.25">
      <c r="A4108" s="67"/>
      <c r="B4108" s="67"/>
    </row>
    <row r="4109" spans="1:2" x14ac:dyDescent="0.25">
      <c r="A4109" s="67"/>
      <c r="B4109" s="67"/>
    </row>
    <row r="4110" spans="1:2" x14ac:dyDescent="0.25">
      <c r="A4110" s="67"/>
      <c r="B4110" s="67"/>
    </row>
    <row r="4111" spans="1:2" x14ac:dyDescent="0.25">
      <c r="A4111" s="67"/>
      <c r="B4111" s="67"/>
    </row>
    <row r="4112" spans="1:2" x14ac:dyDescent="0.25">
      <c r="A4112" s="67"/>
      <c r="B4112" s="67"/>
    </row>
    <row r="4113" spans="1:2" x14ac:dyDescent="0.25">
      <c r="A4113" s="67"/>
      <c r="B4113" s="67"/>
    </row>
    <row r="4114" spans="1:2" x14ac:dyDescent="0.25">
      <c r="A4114" s="67"/>
      <c r="B4114" s="67"/>
    </row>
    <row r="4115" spans="1:2" x14ac:dyDescent="0.25">
      <c r="A4115" s="67"/>
      <c r="B4115" s="67"/>
    </row>
    <row r="4116" spans="1:2" x14ac:dyDescent="0.25">
      <c r="A4116" s="67"/>
      <c r="B4116" s="67"/>
    </row>
    <row r="4117" spans="1:2" x14ac:dyDescent="0.25">
      <c r="A4117" s="67"/>
      <c r="B4117" s="67"/>
    </row>
    <row r="4118" spans="1:2" x14ac:dyDescent="0.25">
      <c r="A4118" s="67"/>
      <c r="B4118" s="67"/>
    </row>
    <row r="4119" spans="1:2" x14ac:dyDescent="0.25">
      <c r="A4119" s="67"/>
      <c r="B4119" s="67"/>
    </row>
    <row r="4120" spans="1:2" x14ac:dyDescent="0.25">
      <c r="A4120" s="67"/>
      <c r="B4120" s="67"/>
    </row>
    <row r="4121" spans="1:2" x14ac:dyDescent="0.25">
      <c r="A4121" s="67"/>
      <c r="B4121" s="67"/>
    </row>
    <row r="4122" spans="1:2" x14ac:dyDescent="0.25">
      <c r="A4122" s="67"/>
      <c r="B4122" s="67"/>
    </row>
    <row r="4123" spans="1:2" x14ac:dyDescent="0.25">
      <c r="A4123" s="67"/>
      <c r="B4123" s="67"/>
    </row>
    <row r="4124" spans="1:2" x14ac:dyDescent="0.25">
      <c r="A4124" s="67"/>
      <c r="B4124" s="67"/>
    </row>
    <row r="4125" spans="1:2" x14ac:dyDescent="0.25">
      <c r="A4125" s="67"/>
      <c r="B4125" s="67"/>
    </row>
    <row r="4126" spans="1:2" x14ac:dyDescent="0.25">
      <c r="A4126" s="67"/>
      <c r="B4126" s="67"/>
    </row>
    <row r="4127" spans="1:2" x14ac:dyDescent="0.25">
      <c r="A4127" s="67"/>
      <c r="B4127" s="67"/>
    </row>
    <row r="4128" spans="1:2" x14ac:dyDescent="0.25">
      <c r="A4128" s="67"/>
      <c r="B4128" s="67"/>
    </row>
    <row r="4129" spans="1:2" x14ac:dyDescent="0.25">
      <c r="A4129" s="67"/>
      <c r="B4129" s="67"/>
    </row>
    <row r="4130" spans="1:2" x14ac:dyDescent="0.25">
      <c r="A4130" s="67"/>
      <c r="B4130" s="67"/>
    </row>
    <row r="4131" spans="1:2" x14ac:dyDescent="0.25">
      <c r="A4131" s="67"/>
      <c r="B4131" s="67"/>
    </row>
    <row r="4132" spans="1:2" x14ac:dyDescent="0.25">
      <c r="A4132" s="67"/>
      <c r="B4132" s="67"/>
    </row>
    <row r="4133" spans="1:2" x14ac:dyDescent="0.25">
      <c r="A4133" s="67"/>
      <c r="B4133" s="67"/>
    </row>
    <row r="4134" spans="1:2" x14ac:dyDescent="0.25">
      <c r="A4134" s="67"/>
      <c r="B4134" s="67"/>
    </row>
    <row r="4135" spans="1:2" x14ac:dyDescent="0.25">
      <c r="A4135" s="67"/>
      <c r="B4135" s="67"/>
    </row>
    <row r="4136" spans="1:2" x14ac:dyDescent="0.25">
      <c r="A4136" s="67"/>
      <c r="B4136" s="67"/>
    </row>
    <row r="4137" spans="1:2" x14ac:dyDescent="0.25">
      <c r="A4137" s="67"/>
      <c r="B4137" s="67"/>
    </row>
    <row r="4138" spans="1:2" x14ac:dyDescent="0.25">
      <c r="A4138" s="67"/>
      <c r="B4138" s="67"/>
    </row>
    <row r="4139" spans="1:2" x14ac:dyDescent="0.25">
      <c r="A4139" s="67"/>
      <c r="B4139" s="67"/>
    </row>
    <row r="4140" spans="1:2" x14ac:dyDescent="0.25">
      <c r="A4140" s="67"/>
      <c r="B4140" s="67"/>
    </row>
    <row r="4141" spans="1:2" x14ac:dyDescent="0.25">
      <c r="A4141" s="67"/>
      <c r="B4141" s="67"/>
    </row>
    <row r="4142" spans="1:2" x14ac:dyDescent="0.25">
      <c r="A4142" s="67"/>
      <c r="B4142" s="67"/>
    </row>
    <row r="4143" spans="1:2" x14ac:dyDescent="0.25">
      <c r="A4143" s="67"/>
      <c r="B4143" s="67"/>
    </row>
    <row r="4144" spans="1:2" x14ac:dyDescent="0.25">
      <c r="A4144" s="67"/>
      <c r="B4144" s="67"/>
    </row>
    <row r="4145" spans="1:2" x14ac:dyDescent="0.25">
      <c r="A4145" s="67"/>
      <c r="B4145" s="67"/>
    </row>
    <row r="4146" spans="1:2" x14ac:dyDescent="0.25">
      <c r="A4146" s="67"/>
      <c r="B4146" s="67"/>
    </row>
    <row r="4147" spans="1:2" x14ac:dyDescent="0.25">
      <c r="A4147" s="67"/>
      <c r="B4147" s="67"/>
    </row>
    <row r="4148" spans="1:2" x14ac:dyDescent="0.25">
      <c r="A4148" s="67"/>
      <c r="B4148" s="67"/>
    </row>
    <row r="4149" spans="1:2" x14ac:dyDescent="0.25">
      <c r="A4149" s="67"/>
      <c r="B4149" s="67"/>
    </row>
    <row r="4150" spans="1:2" x14ac:dyDescent="0.25">
      <c r="A4150" s="67"/>
      <c r="B4150" s="67"/>
    </row>
    <row r="4151" spans="1:2" x14ac:dyDescent="0.25">
      <c r="A4151" s="67"/>
      <c r="B4151" s="67"/>
    </row>
    <row r="4152" spans="1:2" x14ac:dyDescent="0.25">
      <c r="A4152" s="67"/>
      <c r="B4152" s="67"/>
    </row>
    <row r="4153" spans="1:2" x14ac:dyDescent="0.25">
      <c r="A4153" s="67"/>
      <c r="B4153" s="67"/>
    </row>
    <row r="4154" spans="1:2" x14ac:dyDescent="0.25">
      <c r="A4154" s="67"/>
      <c r="B4154" s="67"/>
    </row>
    <row r="4155" spans="1:2" x14ac:dyDescent="0.25">
      <c r="A4155" s="67"/>
      <c r="B4155" s="67"/>
    </row>
    <row r="4156" spans="1:2" x14ac:dyDescent="0.25">
      <c r="A4156" s="67"/>
      <c r="B4156" s="67"/>
    </row>
    <row r="4157" spans="1:2" x14ac:dyDescent="0.25">
      <c r="A4157" s="67"/>
      <c r="B4157" s="67"/>
    </row>
    <row r="4158" spans="1:2" x14ac:dyDescent="0.25">
      <c r="A4158" s="67"/>
      <c r="B4158" s="67"/>
    </row>
    <row r="4159" spans="1:2" x14ac:dyDescent="0.25">
      <c r="A4159" s="67"/>
      <c r="B4159" s="67"/>
    </row>
    <row r="4160" spans="1:2" x14ac:dyDescent="0.25">
      <c r="A4160" s="67"/>
      <c r="B4160" s="67"/>
    </row>
    <row r="4161" spans="1:2" x14ac:dyDescent="0.25">
      <c r="A4161" s="67"/>
      <c r="B4161" s="67"/>
    </row>
    <row r="4162" spans="1:2" x14ac:dyDescent="0.25">
      <c r="A4162" s="67"/>
      <c r="B4162" s="67"/>
    </row>
    <row r="4163" spans="1:2" x14ac:dyDescent="0.25">
      <c r="A4163" s="67"/>
      <c r="B4163" s="67"/>
    </row>
    <row r="4164" spans="1:2" x14ac:dyDescent="0.25">
      <c r="A4164" s="67"/>
      <c r="B4164" s="67"/>
    </row>
    <row r="4165" spans="1:2" x14ac:dyDescent="0.25">
      <c r="A4165" s="67"/>
      <c r="B4165" s="67"/>
    </row>
    <row r="4166" spans="1:2" x14ac:dyDescent="0.25">
      <c r="A4166" s="67"/>
      <c r="B4166" s="67"/>
    </row>
    <row r="4167" spans="1:2" x14ac:dyDescent="0.25">
      <c r="A4167" s="67"/>
      <c r="B4167" s="67"/>
    </row>
    <row r="4168" spans="1:2" x14ac:dyDescent="0.25">
      <c r="A4168" s="67"/>
      <c r="B4168" s="67"/>
    </row>
    <row r="4169" spans="1:2" x14ac:dyDescent="0.25">
      <c r="A4169" s="67"/>
      <c r="B4169" s="67"/>
    </row>
    <row r="4170" spans="1:2" x14ac:dyDescent="0.25">
      <c r="A4170" s="67"/>
      <c r="B4170" s="67"/>
    </row>
    <row r="4171" spans="1:2" x14ac:dyDescent="0.25">
      <c r="A4171" s="67"/>
      <c r="B4171" s="67"/>
    </row>
    <row r="4172" spans="1:2" x14ac:dyDescent="0.25">
      <c r="A4172" s="67"/>
      <c r="B4172" s="67"/>
    </row>
    <row r="4173" spans="1:2" x14ac:dyDescent="0.25">
      <c r="A4173" s="67"/>
      <c r="B4173" s="67"/>
    </row>
    <row r="4174" spans="1:2" x14ac:dyDescent="0.25">
      <c r="A4174" s="67"/>
      <c r="B4174" s="67"/>
    </row>
    <row r="4175" spans="1:2" x14ac:dyDescent="0.25">
      <c r="A4175" s="67"/>
      <c r="B4175" s="67"/>
    </row>
    <row r="4176" spans="1:2" x14ac:dyDescent="0.25">
      <c r="A4176" s="67"/>
      <c r="B4176" s="67"/>
    </row>
    <row r="4177" spans="1:2" x14ac:dyDescent="0.25">
      <c r="A4177" s="67"/>
      <c r="B4177" s="67"/>
    </row>
    <row r="4178" spans="1:2" x14ac:dyDescent="0.25">
      <c r="A4178" s="67"/>
      <c r="B4178" s="67"/>
    </row>
    <row r="4179" spans="1:2" x14ac:dyDescent="0.25">
      <c r="A4179" s="67"/>
      <c r="B4179" s="67"/>
    </row>
    <row r="4180" spans="1:2" x14ac:dyDescent="0.25">
      <c r="A4180" s="67"/>
      <c r="B4180" s="67"/>
    </row>
    <row r="4181" spans="1:2" x14ac:dyDescent="0.25">
      <c r="A4181" s="67"/>
      <c r="B4181" s="67"/>
    </row>
    <row r="4182" spans="1:2" x14ac:dyDescent="0.25">
      <c r="A4182" s="67"/>
      <c r="B4182" s="67"/>
    </row>
    <row r="4183" spans="1:2" x14ac:dyDescent="0.25">
      <c r="A4183" s="67"/>
      <c r="B4183" s="67"/>
    </row>
    <row r="4184" spans="1:2" x14ac:dyDescent="0.25">
      <c r="A4184" s="67"/>
      <c r="B4184" s="67"/>
    </row>
    <row r="4185" spans="1:2" x14ac:dyDescent="0.25">
      <c r="A4185" s="67"/>
      <c r="B4185" s="67"/>
    </row>
    <row r="4186" spans="1:2" x14ac:dyDescent="0.25">
      <c r="A4186" s="67"/>
      <c r="B4186" s="67"/>
    </row>
    <row r="4187" spans="1:2" x14ac:dyDescent="0.25">
      <c r="A4187" s="67"/>
      <c r="B4187" s="67"/>
    </row>
    <row r="4188" spans="1:2" x14ac:dyDescent="0.25">
      <c r="A4188" s="67"/>
      <c r="B4188" s="67"/>
    </row>
    <row r="4189" spans="1:2" x14ac:dyDescent="0.25">
      <c r="A4189" s="67"/>
      <c r="B4189" s="67"/>
    </row>
    <row r="4190" spans="1:2" x14ac:dyDescent="0.25">
      <c r="A4190" s="67"/>
      <c r="B4190" s="67"/>
    </row>
    <row r="4191" spans="1:2" x14ac:dyDescent="0.25">
      <c r="A4191" s="67"/>
      <c r="B4191" s="67"/>
    </row>
    <row r="4192" spans="1:2" x14ac:dyDescent="0.25">
      <c r="A4192" s="67"/>
      <c r="B4192" s="67"/>
    </row>
    <row r="4193" spans="1:2" x14ac:dyDescent="0.25">
      <c r="A4193" s="67"/>
      <c r="B4193" s="67"/>
    </row>
    <row r="4194" spans="1:2" x14ac:dyDescent="0.25">
      <c r="A4194" s="67"/>
      <c r="B4194" s="67"/>
    </row>
    <row r="4195" spans="1:2" x14ac:dyDescent="0.25">
      <c r="A4195" s="67"/>
      <c r="B4195" s="67"/>
    </row>
    <row r="4196" spans="1:2" x14ac:dyDescent="0.25">
      <c r="A4196" s="67"/>
      <c r="B4196" s="67"/>
    </row>
    <row r="4197" spans="1:2" x14ac:dyDescent="0.25">
      <c r="A4197" s="67"/>
      <c r="B4197" s="67"/>
    </row>
    <row r="4198" spans="1:2" x14ac:dyDescent="0.25">
      <c r="A4198" s="67"/>
      <c r="B4198" s="67"/>
    </row>
    <row r="4199" spans="1:2" x14ac:dyDescent="0.25">
      <c r="A4199" s="67"/>
      <c r="B4199" s="67"/>
    </row>
    <row r="4200" spans="1:2" x14ac:dyDescent="0.25">
      <c r="A4200" s="67"/>
      <c r="B4200" s="67"/>
    </row>
    <row r="4201" spans="1:2" x14ac:dyDescent="0.25">
      <c r="A4201" s="67"/>
      <c r="B4201" s="67"/>
    </row>
    <row r="4202" spans="1:2" x14ac:dyDescent="0.25">
      <c r="A4202" s="67"/>
      <c r="B4202" s="67"/>
    </row>
    <row r="4203" spans="1:2" x14ac:dyDescent="0.25">
      <c r="A4203" s="67"/>
      <c r="B4203" s="67"/>
    </row>
    <row r="4204" spans="1:2" x14ac:dyDescent="0.25">
      <c r="A4204" s="67"/>
      <c r="B4204" s="67"/>
    </row>
    <row r="4205" spans="1:2" x14ac:dyDescent="0.25">
      <c r="A4205" s="67"/>
      <c r="B4205" s="67"/>
    </row>
    <row r="4206" spans="1:2" x14ac:dyDescent="0.25">
      <c r="A4206" s="67"/>
      <c r="B4206" s="67"/>
    </row>
    <row r="4207" spans="1:2" x14ac:dyDescent="0.25">
      <c r="A4207" s="67"/>
      <c r="B4207" s="67"/>
    </row>
    <row r="4208" spans="1:2" x14ac:dyDescent="0.25">
      <c r="A4208" s="67"/>
      <c r="B4208" s="67"/>
    </row>
    <row r="4209" spans="1:2" x14ac:dyDescent="0.25">
      <c r="A4209" s="67"/>
      <c r="B4209" s="67"/>
    </row>
    <row r="4210" spans="1:2" x14ac:dyDescent="0.25">
      <c r="A4210" s="67"/>
      <c r="B4210" s="67"/>
    </row>
    <row r="4211" spans="1:2" x14ac:dyDescent="0.25">
      <c r="A4211" s="67"/>
      <c r="B4211" s="67"/>
    </row>
    <row r="4212" spans="1:2" x14ac:dyDescent="0.25">
      <c r="A4212" s="67"/>
      <c r="B4212" s="67"/>
    </row>
    <row r="4213" spans="1:2" x14ac:dyDescent="0.25">
      <c r="A4213" s="67"/>
      <c r="B4213" s="67"/>
    </row>
    <row r="4214" spans="1:2" x14ac:dyDescent="0.25">
      <c r="A4214" s="67"/>
      <c r="B4214" s="67"/>
    </row>
    <row r="4215" spans="1:2" x14ac:dyDescent="0.25">
      <c r="A4215" s="67"/>
      <c r="B4215" s="67"/>
    </row>
    <row r="4216" spans="1:2" x14ac:dyDescent="0.25">
      <c r="A4216" s="67"/>
      <c r="B4216" s="67"/>
    </row>
    <row r="4217" spans="1:2" x14ac:dyDescent="0.25">
      <c r="A4217" s="67"/>
      <c r="B4217" s="67"/>
    </row>
    <row r="4218" spans="1:2" x14ac:dyDescent="0.25">
      <c r="A4218" s="67"/>
      <c r="B4218" s="67"/>
    </row>
    <row r="4219" spans="1:2" x14ac:dyDescent="0.25">
      <c r="A4219" s="67"/>
      <c r="B4219" s="67"/>
    </row>
    <row r="4220" spans="1:2" x14ac:dyDescent="0.25">
      <c r="A4220" s="67"/>
      <c r="B4220" s="67"/>
    </row>
    <row r="4221" spans="1:2" x14ac:dyDescent="0.25">
      <c r="A4221" s="67"/>
      <c r="B4221" s="67"/>
    </row>
    <row r="4222" spans="1:2" x14ac:dyDescent="0.25">
      <c r="A4222" s="67"/>
      <c r="B4222" s="67"/>
    </row>
    <row r="4223" spans="1:2" x14ac:dyDescent="0.25">
      <c r="A4223" s="67"/>
      <c r="B4223" s="67"/>
    </row>
    <row r="4224" spans="1:2" x14ac:dyDescent="0.25">
      <c r="A4224" s="67"/>
      <c r="B4224" s="67"/>
    </row>
    <row r="4225" spans="1:2" x14ac:dyDescent="0.25">
      <c r="A4225" s="67"/>
      <c r="B4225" s="67"/>
    </row>
    <row r="4226" spans="1:2" x14ac:dyDescent="0.25">
      <c r="A4226" s="67"/>
      <c r="B4226" s="67"/>
    </row>
    <row r="4227" spans="1:2" x14ac:dyDescent="0.25">
      <c r="A4227" s="67"/>
      <c r="B4227" s="67"/>
    </row>
    <row r="4228" spans="1:2" x14ac:dyDescent="0.25">
      <c r="A4228" s="67"/>
      <c r="B4228" s="67"/>
    </row>
    <row r="4229" spans="1:2" x14ac:dyDescent="0.25">
      <c r="A4229" s="67"/>
      <c r="B4229" s="67"/>
    </row>
    <row r="4230" spans="1:2" x14ac:dyDescent="0.25">
      <c r="A4230" s="67"/>
      <c r="B4230" s="67"/>
    </row>
    <row r="4231" spans="1:2" x14ac:dyDescent="0.25">
      <c r="A4231" s="67"/>
      <c r="B4231" s="67"/>
    </row>
    <row r="4232" spans="1:2" x14ac:dyDescent="0.25">
      <c r="A4232" s="67"/>
      <c r="B4232" s="67"/>
    </row>
    <row r="4233" spans="1:2" x14ac:dyDescent="0.25">
      <c r="A4233" s="67"/>
      <c r="B4233" s="67"/>
    </row>
    <row r="4234" spans="1:2" x14ac:dyDescent="0.25">
      <c r="A4234" s="67"/>
      <c r="B4234" s="67"/>
    </row>
    <row r="4235" spans="1:2" x14ac:dyDescent="0.25">
      <c r="A4235" s="67"/>
      <c r="B4235" s="67"/>
    </row>
    <row r="4236" spans="1:2" x14ac:dyDescent="0.25">
      <c r="A4236" s="67"/>
      <c r="B4236" s="67"/>
    </row>
    <row r="4237" spans="1:2" x14ac:dyDescent="0.25">
      <c r="A4237" s="67"/>
      <c r="B4237" s="67"/>
    </row>
    <row r="4238" spans="1:2" x14ac:dyDescent="0.25">
      <c r="A4238" s="67"/>
      <c r="B4238" s="67"/>
    </row>
    <row r="4239" spans="1:2" x14ac:dyDescent="0.25">
      <c r="A4239" s="67"/>
      <c r="B4239" s="67"/>
    </row>
    <row r="4240" spans="1:2" x14ac:dyDescent="0.25">
      <c r="A4240" s="67"/>
      <c r="B4240" s="67"/>
    </row>
    <row r="4241" spans="1:2" x14ac:dyDescent="0.25">
      <c r="A4241" s="67"/>
      <c r="B4241" s="67"/>
    </row>
    <row r="4242" spans="1:2" x14ac:dyDescent="0.25">
      <c r="A4242" s="67"/>
      <c r="B4242" s="67"/>
    </row>
    <row r="4243" spans="1:2" x14ac:dyDescent="0.25">
      <c r="A4243" s="67"/>
      <c r="B4243" s="67"/>
    </row>
    <row r="4244" spans="1:2" x14ac:dyDescent="0.25">
      <c r="A4244" s="67"/>
      <c r="B4244" s="67"/>
    </row>
    <row r="4245" spans="1:2" x14ac:dyDescent="0.25">
      <c r="A4245" s="67"/>
      <c r="B4245" s="67"/>
    </row>
    <row r="4246" spans="1:2" x14ac:dyDescent="0.25">
      <c r="A4246" s="67"/>
      <c r="B4246" s="67"/>
    </row>
    <row r="4247" spans="1:2" x14ac:dyDescent="0.25">
      <c r="A4247" s="67"/>
      <c r="B4247" s="67"/>
    </row>
    <row r="4248" spans="1:2" x14ac:dyDescent="0.25">
      <c r="A4248" s="67"/>
      <c r="B4248" s="67"/>
    </row>
    <row r="4249" spans="1:2" x14ac:dyDescent="0.25">
      <c r="A4249" s="67"/>
      <c r="B4249" s="67"/>
    </row>
    <row r="4250" spans="1:2" x14ac:dyDescent="0.25">
      <c r="A4250" s="67"/>
      <c r="B4250" s="67"/>
    </row>
    <row r="4251" spans="1:2" x14ac:dyDescent="0.25">
      <c r="A4251" s="67"/>
      <c r="B4251" s="67"/>
    </row>
    <row r="4252" spans="1:2" x14ac:dyDescent="0.25">
      <c r="A4252" s="67"/>
      <c r="B4252" s="67"/>
    </row>
    <row r="4253" spans="1:2" x14ac:dyDescent="0.25">
      <c r="A4253" s="67"/>
      <c r="B4253" s="67"/>
    </row>
    <row r="4254" spans="1:2" x14ac:dyDescent="0.25">
      <c r="A4254" s="67"/>
      <c r="B4254" s="67"/>
    </row>
    <row r="4255" spans="1:2" x14ac:dyDescent="0.25">
      <c r="A4255" s="67"/>
      <c r="B4255" s="67"/>
    </row>
    <row r="4256" spans="1:2" x14ac:dyDescent="0.25">
      <c r="A4256" s="67"/>
      <c r="B4256" s="67"/>
    </row>
    <row r="4257" spans="1:2" x14ac:dyDescent="0.25">
      <c r="A4257" s="67"/>
      <c r="B4257" s="67"/>
    </row>
    <row r="4258" spans="1:2" x14ac:dyDescent="0.25">
      <c r="A4258" s="67"/>
      <c r="B4258" s="67"/>
    </row>
    <row r="4259" spans="1:2" x14ac:dyDescent="0.25">
      <c r="A4259" s="67"/>
      <c r="B4259" s="67"/>
    </row>
    <row r="4260" spans="1:2" x14ac:dyDescent="0.25">
      <c r="A4260" s="67"/>
      <c r="B4260" s="67"/>
    </row>
    <row r="4261" spans="1:2" x14ac:dyDescent="0.25">
      <c r="A4261" s="67"/>
      <c r="B4261" s="67"/>
    </row>
    <row r="4262" spans="1:2" x14ac:dyDescent="0.25">
      <c r="A4262" s="67"/>
      <c r="B4262" s="67"/>
    </row>
    <row r="4263" spans="1:2" x14ac:dyDescent="0.25">
      <c r="A4263" s="67"/>
      <c r="B4263" s="67"/>
    </row>
    <row r="4264" spans="1:2" x14ac:dyDescent="0.25">
      <c r="A4264" s="67"/>
      <c r="B4264" s="67"/>
    </row>
    <row r="4265" spans="1:2" x14ac:dyDescent="0.25">
      <c r="A4265" s="67"/>
      <c r="B4265" s="67"/>
    </row>
    <row r="4266" spans="1:2" x14ac:dyDescent="0.25">
      <c r="A4266" s="67"/>
      <c r="B4266" s="67"/>
    </row>
    <row r="4267" spans="1:2" x14ac:dyDescent="0.25">
      <c r="A4267" s="67"/>
      <c r="B4267" s="67"/>
    </row>
    <row r="4268" spans="1:2" x14ac:dyDescent="0.25">
      <c r="A4268" s="67"/>
      <c r="B4268" s="67"/>
    </row>
    <row r="4269" spans="1:2" x14ac:dyDescent="0.25">
      <c r="A4269" s="67"/>
      <c r="B4269" s="67"/>
    </row>
    <row r="4270" spans="1:2" x14ac:dyDescent="0.25">
      <c r="A4270" s="67"/>
      <c r="B4270" s="67"/>
    </row>
    <row r="4271" spans="1:2" x14ac:dyDescent="0.25">
      <c r="A4271" s="67"/>
      <c r="B4271" s="67"/>
    </row>
    <row r="4272" spans="1:2" x14ac:dyDescent="0.25">
      <c r="A4272" s="67"/>
      <c r="B4272" s="67"/>
    </row>
    <row r="4273" spans="1:2" x14ac:dyDescent="0.25">
      <c r="A4273" s="67"/>
      <c r="B4273" s="67"/>
    </row>
    <row r="4274" spans="1:2" x14ac:dyDescent="0.25">
      <c r="A4274" s="67"/>
      <c r="B4274" s="67"/>
    </row>
    <row r="4275" spans="1:2" x14ac:dyDescent="0.25">
      <c r="A4275" s="67"/>
      <c r="B4275" s="67"/>
    </row>
    <row r="4276" spans="1:2" x14ac:dyDescent="0.25">
      <c r="A4276" s="67"/>
      <c r="B4276" s="67"/>
    </row>
    <row r="4277" spans="1:2" x14ac:dyDescent="0.25">
      <c r="A4277" s="67"/>
      <c r="B4277" s="67"/>
    </row>
    <row r="4278" spans="1:2" x14ac:dyDescent="0.25">
      <c r="A4278" s="67"/>
      <c r="B4278" s="67"/>
    </row>
    <row r="4279" spans="1:2" x14ac:dyDescent="0.25">
      <c r="A4279" s="67"/>
      <c r="B4279" s="67"/>
    </row>
    <row r="4280" spans="1:2" x14ac:dyDescent="0.25">
      <c r="A4280" s="67"/>
      <c r="B4280" s="67"/>
    </row>
    <row r="4281" spans="1:2" x14ac:dyDescent="0.25">
      <c r="A4281" s="67"/>
      <c r="B4281" s="67"/>
    </row>
    <row r="4282" spans="1:2" x14ac:dyDescent="0.25">
      <c r="A4282" s="67"/>
      <c r="B4282" s="67"/>
    </row>
    <row r="4283" spans="1:2" x14ac:dyDescent="0.25">
      <c r="A4283" s="67"/>
      <c r="B4283" s="67"/>
    </row>
    <row r="4284" spans="1:2" x14ac:dyDescent="0.25">
      <c r="A4284" s="67"/>
      <c r="B4284" s="67"/>
    </row>
    <row r="4285" spans="1:2" x14ac:dyDescent="0.25">
      <c r="A4285" s="67"/>
      <c r="B4285" s="67"/>
    </row>
    <row r="4286" spans="1:2" x14ac:dyDescent="0.25">
      <c r="A4286" s="67"/>
      <c r="B4286" s="67"/>
    </row>
    <row r="4287" spans="1:2" x14ac:dyDescent="0.25">
      <c r="A4287" s="67"/>
      <c r="B4287" s="67"/>
    </row>
    <row r="4288" spans="1:2" x14ac:dyDescent="0.25">
      <c r="A4288" s="67"/>
      <c r="B4288" s="67"/>
    </row>
    <row r="4289" spans="1:2" x14ac:dyDescent="0.25">
      <c r="A4289" s="67"/>
      <c r="B4289" s="67"/>
    </row>
    <row r="4290" spans="1:2" x14ac:dyDescent="0.25">
      <c r="A4290" s="67"/>
      <c r="B4290" s="67"/>
    </row>
    <row r="4291" spans="1:2" x14ac:dyDescent="0.25">
      <c r="A4291" s="67"/>
      <c r="B4291" s="67"/>
    </row>
    <row r="4292" spans="1:2" x14ac:dyDescent="0.25">
      <c r="A4292" s="67"/>
      <c r="B4292" s="67"/>
    </row>
    <row r="4293" spans="1:2" x14ac:dyDescent="0.25">
      <c r="A4293" s="67"/>
      <c r="B4293" s="67"/>
    </row>
    <row r="4294" spans="1:2" x14ac:dyDescent="0.25">
      <c r="A4294" s="67"/>
      <c r="B4294" s="67"/>
    </row>
    <row r="4295" spans="1:2" x14ac:dyDescent="0.25">
      <c r="A4295" s="67"/>
      <c r="B4295" s="67"/>
    </row>
    <row r="4296" spans="1:2" x14ac:dyDescent="0.25">
      <c r="A4296" s="67"/>
      <c r="B4296" s="67"/>
    </row>
    <row r="4297" spans="1:2" x14ac:dyDescent="0.25">
      <c r="A4297" s="67"/>
      <c r="B4297" s="67"/>
    </row>
    <row r="4298" spans="1:2" x14ac:dyDescent="0.25">
      <c r="A4298" s="67"/>
      <c r="B4298" s="67"/>
    </row>
    <row r="4299" spans="1:2" x14ac:dyDescent="0.25">
      <c r="A4299" s="67"/>
      <c r="B4299" s="67"/>
    </row>
    <row r="4300" spans="1:2" x14ac:dyDescent="0.25">
      <c r="A4300" s="67"/>
      <c r="B4300" s="67"/>
    </row>
    <row r="4301" spans="1:2" x14ac:dyDescent="0.25">
      <c r="A4301" s="67"/>
      <c r="B4301" s="67"/>
    </row>
    <row r="4302" spans="1:2" x14ac:dyDescent="0.25">
      <c r="A4302" s="67"/>
      <c r="B4302" s="67"/>
    </row>
    <row r="4303" spans="1:2" x14ac:dyDescent="0.25">
      <c r="A4303" s="67"/>
      <c r="B4303" s="67"/>
    </row>
    <row r="4304" spans="1:2" x14ac:dyDescent="0.25">
      <c r="A4304" s="67"/>
      <c r="B4304" s="67"/>
    </row>
    <row r="4305" spans="1:2" x14ac:dyDescent="0.25">
      <c r="A4305" s="67"/>
      <c r="B4305" s="67"/>
    </row>
    <row r="4306" spans="1:2" x14ac:dyDescent="0.25">
      <c r="A4306" s="67"/>
      <c r="B4306" s="67"/>
    </row>
    <row r="4307" spans="1:2" x14ac:dyDescent="0.25">
      <c r="A4307" s="67"/>
      <c r="B4307" s="67"/>
    </row>
    <row r="4308" spans="1:2" x14ac:dyDescent="0.25">
      <c r="A4308" s="67"/>
      <c r="B4308" s="67"/>
    </row>
    <row r="4309" spans="1:2" x14ac:dyDescent="0.25">
      <c r="A4309" s="67"/>
      <c r="B4309" s="67"/>
    </row>
    <row r="4310" spans="1:2" x14ac:dyDescent="0.25">
      <c r="A4310" s="67"/>
      <c r="B4310" s="67"/>
    </row>
    <row r="4311" spans="1:2" x14ac:dyDescent="0.25">
      <c r="A4311" s="67"/>
      <c r="B4311" s="67"/>
    </row>
    <row r="4312" spans="1:2" x14ac:dyDescent="0.25">
      <c r="A4312" s="67"/>
      <c r="B4312" s="67"/>
    </row>
    <row r="4313" spans="1:2" x14ac:dyDescent="0.25">
      <c r="A4313" s="67"/>
      <c r="B4313" s="67"/>
    </row>
    <row r="4314" spans="1:2" x14ac:dyDescent="0.25">
      <c r="A4314" s="67"/>
      <c r="B4314" s="67"/>
    </row>
    <row r="4315" spans="1:2" x14ac:dyDescent="0.25">
      <c r="A4315" s="67"/>
      <c r="B4315" s="67"/>
    </row>
    <row r="4316" spans="1:2" x14ac:dyDescent="0.25">
      <c r="A4316" s="67"/>
      <c r="B4316" s="67"/>
    </row>
    <row r="4317" spans="1:2" x14ac:dyDescent="0.25">
      <c r="A4317" s="67"/>
      <c r="B4317" s="67"/>
    </row>
    <row r="4318" spans="1:2" x14ac:dyDescent="0.25">
      <c r="A4318" s="67"/>
      <c r="B4318" s="67"/>
    </row>
    <row r="4319" spans="1:2" x14ac:dyDescent="0.25">
      <c r="A4319" s="67"/>
      <c r="B4319" s="67"/>
    </row>
    <row r="4320" spans="1:2" x14ac:dyDescent="0.25">
      <c r="A4320" s="67"/>
      <c r="B4320" s="67"/>
    </row>
    <row r="4321" spans="1:2" x14ac:dyDescent="0.25">
      <c r="A4321" s="67"/>
      <c r="B4321" s="67"/>
    </row>
    <row r="4322" spans="1:2" x14ac:dyDescent="0.25">
      <c r="A4322" s="67"/>
      <c r="B4322" s="67"/>
    </row>
    <row r="4323" spans="1:2" x14ac:dyDescent="0.25">
      <c r="A4323" s="67"/>
      <c r="B4323" s="67"/>
    </row>
    <row r="4324" spans="1:2" x14ac:dyDescent="0.25">
      <c r="A4324" s="67"/>
      <c r="B4324" s="67"/>
    </row>
    <row r="4325" spans="1:2" x14ac:dyDescent="0.25">
      <c r="A4325" s="67"/>
      <c r="B4325" s="67"/>
    </row>
    <row r="4326" spans="1:2" x14ac:dyDescent="0.25">
      <c r="A4326" s="67"/>
      <c r="B4326" s="67"/>
    </row>
    <row r="4327" spans="1:2" x14ac:dyDescent="0.25">
      <c r="A4327" s="67"/>
      <c r="B4327" s="67"/>
    </row>
    <row r="4328" spans="1:2" x14ac:dyDescent="0.25">
      <c r="A4328" s="67"/>
      <c r="B4328" s="67"/>
    </row>
    <row r="4329" spans="1:2" x14ac:dyDescent="0.25">
      <c r="A4329" s="67"/>
      <c r="B4329" s="67"/>
    </row>
    <row r="4330" spans="1:2" x14ac:dyDescent="0.25">
      <c r="A4330" s="67"/>
      <c r="B4330" s="67"/>
    </row>
    <row r="4331" spans="1:2" x14ac:dyDescent="0.25">
      <c r="A4331" s="67"/>
      <c r="B4331" s="67"/>
    </row>
    <row r="4332" spans="1:2" x14ac:dyDescent="0.25">
      <c r="A4332" s="67"/>
      <c r="B4332" s="67"/>
    </row>
    <row r="4333" spans="1:2" x14ac:dyDescent="0.25">
      <c r="A4333" s="67"/>
      <c r="B4333" s="67"/>
    </row>
    <row r="4334" spans="1:2" x14ac:dyDescent="0.25">
      <c r="A4334" s="67"/>
      <c r="B4334" s="67"/>
    </row>
    <row r="4335" spans="1:2" x14ac:dyDescent="0.25">
      <c r="A4335" s="67"/>
      <c r="B4335" s="67"/>
    </row>
    <row r="4336" spans="1:2" x14ac:dyDescent="0.25">
      <c r="A4336" s="67"/>
      <c r="B4336" s="67"/>
    </row>
    <row r="4337" spans="1:2" x14ac:dyDescent="0.25">
      <c r="A4337" s="67"/>
      <c r="B4337" s="67"/>
    </row>
    <row r="4338" spans="1:2" x14ac:dyDescent="0.25">
      <c r="A4338" s="67"/>
      <c r="B4338" s="67"/>
    </row>
    <row r="4339" spans="1:2" x14ac:dyDescent="0.25">
      <c r="A4339" s="67"/>
      <c r="B4339" s="67"/>
    </row>
    <row r="4340" spans="1:2" x14ac:dyDescent="0.25">
      <c r="A4340" s="67"/>
      <c r="B4340" s="67"/>
    </row>
    <row r="4341" spans="1:2" x14ac:dyDescent="0.25">
      <c r="A4341" s="67"/>
      <c r="B4341" s="67"/>
    </row>
    <row r="4342" spans="1:2" x14ac:dyDescent="0.25">
      <c r="A4342" s="67"/>
      <c r="B4342" s="67"/>
    </row>
    <row r="4343" spans="1:2" x14ac:dyDescent="0.25">
      <c r="A4343" s="67"/>
      <c r="B4343" s="67"/>
    </row>
    <row r="4344" spans="1:2" x14ac:dyDescent="0.25">
      <c r="A4344" s="67"/>
      <c r="B4344" s="67"/>
    </row>
    <row r="4345" spans="1:2" x14ac:dyDescent="0.25">
      <c r="A4345" s="67"/>
      <c r="B4345" s="67"/>
    </row>
    <row r="4346" spans="1:2" x14ac:dyDescent="0.25">
      <c r="A4346" s="67"/>
      <c r="B4346" s="67"/>
    </row>
    <row r="4347" spans="1:2" x14ac:dyDescent="0.25">
      <c r="A4347" s="67"/>
      <c r="B4347" s="67"/>
    </row>
    <row r="4348" spans="1:2" x14ac:dyDescent="0.25">
      <c r="A4348" s="67"/>
      <c r="B4348" s="67"/>
    </row>
    <row r="4349" spans="1:2" x14ac:dyDescent="0.25">
      <c r="A4349" s="67"/>
      <c r="B4349" s="67"/>
    </row>
    <row r="4350" spans="1:2" x14ac:dyDescent="0.25">
      <c r="A4350" s="67"/>
      <c r="B4350" s="67"/>
    </row>
    <row r="4351" spans="1:2" x14ac:dyDescent="0.25">
      <c r="A4351" s="67"/>
      <c r="B4351" s="67"/>
    </row>
    <row r="4352" spans="1:2" x14ac:dyDescent="0.25">
      <c r="A4352" s="67"/>
      <c r="B4352" s="67"/>
    </row>
    <row r="4353" spans="1:2" x14ac:dyDescent="0.25">
      <c r="A4353" s="67"/>
      <c r="B4353" s="67"/>
    </row>
    <row r="4354" spans="1:2" x14ac:dyDescent="0.25">
      <c r="A4354" s="67"/>
      <c r="B4354" s="67"/>
    </row>
    <row r="4355" spans="1:2" x14ac:dyDescent="0.25">
      <c r="A4355" s="67"/>
      <c r="B4355" s="67"/>
    </row>
    <row r="4356" spans="1:2" x14ac:dyDescent="0.25">
      <c r="A4356" s="67"/>
      <c r="B4356" s="67"/>
    </row>
    <row r="4357" spans="1:2" x14ac:dyDescent="0.25">
      <c r="A4357" s="67"/>
      <c r="B4357" s="67"/>
    </row>
    <row r="4358" spans="1:2" x14ac:dyDescent="0.25">
      <c r="A4358" s="67"/>
      <c r="B4358" s="67"/>
    </row>
    <row r="4359" spans="1:2" x14ac:dyDescent="0.25">
      <c r="A4359" s="67"/>
      <c r="B4359" s="67"/>
    </row>
    <row r="4360" spans="1:2" x14ac:dyDescent="0.25">
      <c r="A4360" s="67"/>
      <c r="B4360" s="67"/>
    </row>
    <row r="4361" spans="1:2" x14ac:dyDescent="0.25">
      <c r="A4361" s="67"/>
      <c r="B4361" s="67"/>
    </row>
    <row r="4362" spans="1:2" x14ac:dyDescent="0.25">
      <c r="A4362" s="67"/>
      <c r="B4362" s="67"/>
    </row>
    <row r="4363" spans="1:2" x14ac:dyDescent="0.25">
      <c r="A4363" s="67"/>
      <c r="B4363" s="67"/>
    </row>
    <row r="4364" spans="1:2" x14ac:dyDescent="0.25">
      <c r="A4364" s="67"/>
      <c r="B4364" s="67"/>
    </row>
    <row r="4365" spans="1:2" x14ac:dyDescent="0.25">
      <c r="A4365" s="67"/>
      <c r="B4365" s="67"/>
    </row>
    <row r="4366" spans="1:2" x14ac:dyDescent="0.25">
      <c r="A4366" s="67"/>
      <c r="B4366" s="67"/>
    </row>
    <row r="4367" spans="1:2" x14ac:dyDescent="0.25">
      <c r="A4367" s="67"/>
      <c r="B4367" s="67"/>
    </row>
    <row r="4368" spans="1:2" x14ac:dyDescent="0.25">
      <c r="A4368" s="67"/>
      <c r="B4368" s="67"/>
    </row>
    <row r="4369" spans="1:2" x14ac:dyDescent="0.25">
      <c r="A4369" s="67"/>
      <c r="B4369" s="67"/>
    </row>
    <row r="4370" spans="1:2" x14ac:dyDescent="0.25">
      <c r="A4370" s="67"/>
      <c r="B4370" s="67"/>
    </row>
    <row r="4371" spans="1:2" x14ac:dyDescent="0.25">
      <c r="A4371" s="67"/>
      <c r="B4371" s="67"/>
    </row>
    <row r="4372" spans="1:2" x14ac:dyDescent="0.25">
      <c r="A4372" s="67"/>
      <c r="B4372" s="67"/>
    </row>
    <row r="4373" spans="1:2" x14ac:dyDescent="0.25">
      <c r="A4373" s="67"/>
      <c r="B4373" s="67"/>
    </row>
    <row r="4374" spans="1:2" x14ac:dyDescent="0.25">
      <c r="A4374" s="67"/>
      <c r="B4374" s="67"/>
    </row>
    <row r="4375" spans="1:2" x14ac:dyDescent="0.25">
      <c r="A4375" s="67"/>
      <c r="B4375" s="67"/>
    </row>
    <row r="4376" spans="1:2" x14ac:dyDescent="0.25">
      <c r="A4376" s="67"/>
      <c r="B4376" s="67"/>
    </row>
    <row r="4377" spans="1:2" x14ac:dyDescent="0.25">
      <c r="A4377" s="67"/>
      <c r="B4377" s="67"/>
    </row>
    <row r="4378" spans="1:2" x14ac:dyDescent="0.25">
      <c r="A4378" s="67"/>
      <c r="B4378" s="67"/>
    </row>
    <row r="4379" spans="1:2" x14ac:dyDescent="0.25">
      <c r="A4379" s="67"/>
      <c r="B4379" s="67"/>
    </row>
    <row r="4380" spans="1:2" x14ac:dyDescent="0.25">
      <c r="A4380" s="67"/>
      <c r="B4380" s="67"/>
    </row>
    <row r="4381" spans="1:2" x14ac:dyDescent="0.25">
      <c r="A4381" s="67"/>
      <c r="B4381" s="67"/>
    </row>
    <row r="4382" spans="1:2" x14ac:dyDescent="0.25">
      <c r="A4382" s="67"/>
      <c r="B4382" s="67"/>
    </row>
    <row r="4383" spans="1:2" x14ac:dyDescent="0.25">
      <c r="A4383" s="67"/>
      <c r="B4383" s="67"/>
    </row>
    <row r="4384" spans="1:2" x14ac:dyDescent="0.25">
      <c r="A4384" s="67"/>
      <c r="B4384" s="67"/>
    </row>
    <row r="4385" spans="1:2" x14ac:dyDescent="0.25">
      <c r="A4385" s="67"/>
      <c r="B4385" s="67"/>
    </row>
    <row r="4386" spans="1:2" x14ac:dyDescent="0.25">
      <c r="A4386" s="67"/>
      <c r="B4386" s="67"/>
    </row>
    <row r="4387" spans="1:2" x14ac:dyDescent="0.25">
      <c r="A4387" s="67"/>
      <c r="B4387" s="67"/>
    </row>
    <row r="4388" spans="1:2" x14ac:dyDescent="0.25">
      <c r="A4388" s="67"/>
      <c r="B4388" s="67"/>
    </row>
    <row r="4389" spans="1:2" x14ac:dyDescent="0.25">
      <c r="A4389" s="67"/>
      <c r="B4389" s="67"/>
    </row>
    <row r="4390" spans="1:2" x14ac:dyDescent="0.25">
      <c r="A4390" s="67"/>
      <c r="B4390" s="67"/>
    </row>
    <row r="4391" spans="1:2" x14ac:dyDescent="0.25">
      <c r="A4391" s="67"/>
      <c r="B4391" s="67"/>
    </row>
    <row r="4392" spans="1:2" x14ac:dyDescent="0.25">
      <c r="A4392" s="67"/>
      <c r="B4392" s="67"/>
    </row>
    <row r="4393" spans="1:2" x14ac:dyDescent="0.25">
      <c r="A4393" s="67"/>
      <c r="B4393" s="67"/>
    </row>
    <row r="4394" spans="1:2" x14ac:dyDescent="0.25">
      <c r="A4394" s="67"/>
      <c r="B4394" s="67"/>
    </row>
    <row r="4395" spans="1:2" x14ac:dyDescent="0.25">
      <c r="A4395" s="67"/>
      <c r="B4395" s="67"/>
    </row>
    <row r="4396" spans="1:2" x14ac:dyDescent="0.25">
      <c r="A4396" s="67"/>
      <c r="B4396" s="67"/>
    </row>
    <row r="4397" spans="1:2" x14ac:dyDescent="0.25">
      <c r="A4397" s="67"/>
      <c r="B4397" s="67"/>
    </row>
    <row r="4398" spans="1:2" x14ac:dyDescent="0.25">
      <c r="A4398" s="67"/>
      <c r="B4398" s="67"/>
    </row>
    <row r="4399" spans="1:2" x14ac:dyDescent="0.25">
      <c r="A4399" s="67"/>
      <c r="B4399" s="67"/>
    </row>
    <row r="4400" spans="1:2" x14ac:dyDescent="0.25">
      <c r="A4400" s="67"/>
      <c r="B4400" s="67"/>
    </row>
    <row r="4401" spans="1:2" x14ac:dyDescent="0.25">
      <c r="A4401" s="67"/>
      <c r="B4401" s="67"/>
    </row>
    <row r="4402" spans="1:2" x14ac:dyDescent="0.25">
      <c r="A4402" s="67"/>
      <c r="B4402" s="67"/>
    </row>
    <row r="4403" spans="1:2" x14ac:dyDescent="0.25">
      <c r="A4403" s="67"/>
      <c r="B4403" s="67"/>
    </row>
    <row r="4404" spans="1:2" x14ac:dyDescent="0.25">
      <c r="A4404" s="67"/>
      <c r="B4404" s="67"/>
    </row>
    <row r="4405" spans="1:2" x14ac:dyDescent="0.25">
      <c r="A4405" s="67"/>
      <c r="B4405" s="67"/>
    </row>
    <row r="4406" spans="1:2" x14ac:dyDescent="0.25">
      <c r="A4406" s="67"/>
      <c r="B4406" s="67"/>
    </row>
    <row r="4407" spans="1:2" x14ac:dyDescent="0.25">
      <c r="A4407" s="67"/>
      <c r="B4407" s="67"/>
    </row>
    <row r="4408" spans="1:2" x14ac:dyDescent="0.25">
      <c r="A4408" s="67"/>
      <c r="B4408" s="67"/>
    </row>
    <row r="4409" spans="1:2" x14ac:dyDescent="0.25">
      <c r="A4409" s="67"/>
      <c r="B4409" s="67"/>
    </row>
    <row r="4410" spans="1:2" x14ac:dyDescent="0.25">
      <c r="A4410" s="67"/>
      <c r="B4410" s="67"/>
    </row>
    <row r="4411" spans="1:2" x14ac:dyDescent="0.25">
      <c r="A4411" s="67"/>
      <c r="B4411" s="67"/>
    </row>
    <row r="4412" spans="1:2" x14ac:dyDescent="0.25">
      <c r="A4412" s="67"/>
      <c r="B4412" s="67"/>
    </row>
    <row r="4413" spans="1:2" x14ac:dyDescent="0.25">
      <c r="A4413" s="67"/>
      <c r="B4413" s="67"/>
    </row>
    <row r="4414" spans="1:2" x14ac:dyDescent="0.25">
      <c r="A4414" s="67"/>
      <c r="B4414" s="67"/>
    </row>
    <row r="4415" spans="1:2" x14ac:dyDescent="0.25">
      <c r="A4415" s="67"/>
      <c r="B4415" s="67"/>
    </row>
    <row r="4416" spans="1:2" x14ac:dyDescent="0.25">
      <c r="A4416" s="67"/>
      <c r="B4416" s="67"/>
    </row>
    <row r="4417" spans="1:2" x14ac:dyDescent="0.25">
      <c r="A4417" s="67"/>
      <c r="B4417" s="67"/>
    </row>
    <row r="4418" spans="1:2" x14ac:dyDescent="0.25">
      <c r="A4418" s="67"/>
      <c r="B4418" s="67"/>
    </row>
    <row r="4419" spans="1:2" x14ac:dyDescent="0.25">
      <c r="A4419" s="67"/>
      <c r="B4419" s="67"/>
    </row>
    <row r="4420" spans="1:2" x14ac:dyDescent="0.25">
      <c r="A4420" s="67"/>
      <c r="B4420" s="67"/>
    </row>
    <row r="4421" spans="1:2" x14ac:dyDescent="0.25">
      <c r="A4421" s="67"/>
      <c r="B4421" s="67"/>
    </row>
    <row r="4422" spans="1:2" x14ac:dyDescent="0.25">
      <c r="A4422" s="67"/>
      <c r="B4422" s="67"/>
    </row>
    <row r="4423" spans="1:2" x14ac:dyDescent="0.25">
      <c r="A4423" s="67"/>
      <c r="B4423" s="67"/>
    </row>
    <row r="4424" spans="1:2" x14ac:dyDescent="0.25">
      <c r="A4424" s="67"/>
      <c r="B4424" s="67"/>
    </row>
    <row r="4425" spans="1:2" x14ac:dyDescent="0.25">
      <c r="A4425" s="67"/>
      <c r="B4425" s="67"/>
    </row>
    <row r="4426" spans="1:2" x14ac:dyDescent="0.25">
      <c r="A4426" s="67"/>
      <c r="B4426" s="67"/>
    </row>
    <row r="4427" spans="1:2" x14ac:dyDescent="0.25">
      <c r="A4427" s="67"/>
      <c r="B4427" s="67"/>
    </row>
    <row r="4428" spans="1:2" x14ac:dyDescent="0.25">
      <c r="A4428" s="67"/>
      <c r="B4428" s="67"/>
    </row>
    <row r="4429" spans="1:2" x14ac:dyDescent="0.25">
      <c r="A4429" s="67"/>
      <c r="B4429" s="67"/>
    </row>
    <row r="4430" spans="1:2" x14ac:dyDescent="0.25">
      <c r="A4430" s="67"/>
      <c r="B4430" s="67"/>
    </row>
    <row r="4431" spans="1:2" x14ac:dyDescent="0.25">
      <c r="A4431" s="67"/>
      <c r="B4431" s="67"/>
    </row>
    <row r="4432" spans="1:2" x14ac:dyDescent="0.25">
      <c r="A4432" s="67"/>
      <c r="B4432" s="67"/>
    </row>
    <row r="4433" spans="1:2" x14ac:dyDescent="0.25">
      <c r="A4433" s="67"/>
      <c r="B4433" s="67"/>
    </row>
    <row r="4434" spans="1:2" x14ac:dyDescent="0.25">
      <c r="A4434" s="67"/>
      <c r="B4434" s="67"/>
    </row>
    <row r="4435" spans="1:2" x14ac:dyDescent="0.25">
      <c r="A4435" s="67"/>
      <c r="B4435" s="67"/>
    </row>
    <row r="4436" spans="1:2" x14ac:dyDescent="0.25">
      <c r="A4436" s="67"/>
      <c r="B4436" s="67"/>
    </row>
    <row r="4437" spans="1:2" x14ac:dyDescent="0.25">
      <c r="A4437" s="67"/>
      <c r="B4437" s="67"/>
    </row>
    <row r="4438" spans="1:2" x14ac:dyDescent="0.25">
      <c r="A4438" s="67"/>
      <c r="B4438" s="67"/>
    </row>
    <row r="4439" spans="1:2" x14ac:dyDescent="0.25">
      <c r="A4439" s="67"/>
      <c r="B4439" s="67"/>
    </row>
    <row r="4440" spans="1:2" x14ac:dyDescent="0.25">
      <c r="A4440" s="67"/>
      <c r="B4440" s="67"/>
    </row>
    <row r="4441" spans="1:2" x14ac:dyDescent="0.25">
      <c r="A4441" s="67"/>
      <c r="B4441" s="67"/>
    </row>
    <row r="4442" spans="1:2" x14ac:dyDescent="0.25">
      <c r="A4442" s="67"/>
      <c r="B4442" s="67"/>
    </row>
    <row r="4443" spans="1:2" x14ac:dyDescent="0.25">
      <c r="A4443" s="67"/>
      <c r="B4443" s="67"/>
    </row>
    <row r="4444" spans="1:2" x14ac:dyDescent="0.25">
      <c r="A4444" s="67"/>
      <c r="B4444" s="67"/>
    </row>
    <row r="4445" spans="1:2" x14ac:dyDescent="0.25">
      <c r="A4445" s="67"/>
      <c r="B4445" s="67"/>
    </row>
    <row r="4446" spans="1:2" x14ac:dyDescent="0.25">
      <c r="A4446" s="67"/>
      <c r="B4446" s="67"/>
    </row>
    <row r="4447" spans="1:2" x14ac:dyDescent="0.25">
      <c r="A4447" s="67"/>
      <c r="B4447" s="67"/>
    </row>
    <row r="4448" spans="1:2" x14ac:dyDescent="0.25">
      <c r="A4448" s="67"/>
      <c r="B4448" s="67"/>
    </row>
    <row r="4449" spans="1:2" x14ac:dyDescent="0.25">
      <c r="A4449" s="67"/>
      <c r="B4449" s="67"/>
    </row>
    <row r="4450" spans="1:2" x14ac:dyDescent="0.25">
      <c r="A4450" s="67"/>
      <c r="B4450" s="67"/>
    </row>
    <row r="4451" spans="1:2" x14ac:dyDescent="0.25">
      <c r="A4451" s="67"/>
      <c r="B4451" s="67"/>
    </row>
    <row r="4452" spans="1:2" x14ac:dyDescent="0.25">
      <c r="A4452" s="67"/>
      <c r="B4452" s="67"/>
    </row>
    <row r="4453" spans="1:2" x14ac:dyDescent="0.25">
      <c r="A4453" s="67"/>
      <c r="B4453" s="67"/>
    </row>
    <row r="4454" spans="1:2" x14ac:dyDescent="0.25">
      <c r="A4454" s="67"/>
      <c r="B4454" s="67"/>
    </row>
    <row r="4455" spans="1:2" x14ac:dyDescent="0.25">
      <c r="A4455" s="67"/>
      <c r="B4455" s="67"/>
    </row>
    <row r="4456" spans="1:2" x14ac:dyDescent="0.25">
      <c r="A4456" s="67"/>
      <c r="B4456" s="67"/>
    </row>
    <row r="4457" spans="1:2" x14ac:dyDescent="0.25">
      <c r="A4457" s="67"/>
      <c r="B4457" s="67"/>
    </row>
    <row r="4458" spans="1:2" x14ac:dyDescent="0.25">
      <c r="A4458" s="67"/>
      <c r="B4458" s="67"/>
    </row>
    <row r="4459" spans="1:2" x14ac:dyDescent="0.25">
      <c r="A4459" s="67"/>
      <c r="B4459" s="67"/>
    </row>
    <row r="4460" spans="1:2" x14ac:dyDescent="0.25">
      <c r="A4460" s="67"/>
      <c r="B4460" s="67"/>
    </row>
    <row r="4461" spans="1:2" x14ac:dyDescent="0.25">
      <c r="A4461" s="67"/>
      <c r="B4461" s="67"/>
    </row>
    <row r="4462" spans="1:2" x14ac:dyDescent="0.25">
      <c r="A4462" s="67"/>
      <c r="B4462" s="67"/>
    </row>
    <row r="4463" spans="1:2" x14ac:dyDescent="0.25">
      <c r="A4463" s="67"/>
      <c r="B4463" s="67"/>
    </row>
    <row r="4464" spans="1:2" x14ac:dyDescent="0.25">
      <c r="A4464" s="67"/>
      <c r="B4464" s="67"/>
    </row>
    <row r="4465" spans="1:2" x14ac:dyDescent="0.25">
      <c r="A4465" s="67"/>
      <c r="B4465" s="67"/>
    </row>
    <row r="4466" spans="1:2" x14ac:dyDescent="0.25">
      <c r="A4466" s="67"/>
      <c r="B4466" s="67"/>
    </row>
    <row r="4467" spans="1:2" x14ac:dyDescent="0.25">
      <c r="A4467" s="67"/>
      <c r="B4467" s="67"/>
    </row>
    <row r="4468" spans="1:2" x14ac:dyDescent="0.25">
      <c r="A4468" s="67"/>
      <c r="B4468" s="67"/>
    </row>
    <row r="4469" spans="1:2" x14ac:dyDescent="0.25">
      <c r="A4469" s="67"/>
      <c r="B4469" s="67"/>
    </row>
    <row r="4470" spans="1:2" x14ac:dyDescent="0.25">
      <c r="A4470" s="67"/>
      <c r="B4470" s="67"/>
    </row>
    <row r="4471" spans="1:2" x14ac:dyDescent="0.25">
      <c r="A4471" s="67"/>
      <c r="B4471" s="67"/>
    </row>
    <row r="4472" spans="1:2" x14ac:dyDescent="0.25">
      <c r="A4472" s="67"/>
      <c r="B4472" s="67"/>
    </row>
    <row r="4473" spans="1:2" x14ac:dyDescent="0.25">
      <c r="A4473" s="67"/>
      <c r="B4473" s="67"/>
    </row>
    <row r="4474" spans="1:2" x14ac:dyDescent="0.25">
      <c r="A4474" s="67"/>
      <c r="B4474" s="67"/>
    </row>
    <row r="4475" spans="1:2" x14ac:dyDescent="0.25">
      <c r="A4475" s="67"/>
      <c r="B4475" s="67"/>
    </row>
    <row r="4476" spans="1:2" x14ac:dyDescent="0.25">
      <c r="A4476" s="67"/>
      <c r="B4476" s="67"/>
    </row>
    <row r="4477" spans="1:2" x14ac:dyDescent="0.25">
      <c r="A4477" s="67"/>
      <c r="B4477" s="67"/>
    </row>
    <row r="4478" spans="1:2" x14ac:dyDescent="0.25">
      <c r="A4478" s="67"/>
      <c r="B4478" s="67"/>
    </row>
    <row r="4479" spans="1:2" x14ac:dyDescent="0.25">
      <c r="A4479" s="67"/>
      <c r="B4479" s="67"/>
    </row>
    <row r="4480" spans="1:2" x14ac:dyDescent="0.25">
      <c r="A4480" s="67"/>
      <c r="B4480" s="67"/>
    </row>
    <row r="4481" spans="1:2" x14ac:dyDescent="0.25">
      <c r="A4481" s="67"/>
      <c r="B4481" s="67"/>
    </row>
    <row r="4482" spans="1:2" x14ac:dyDescent="0.25">
      <c r="A4482" s="67"/>
      <c r="B4482" s="67"/>
    </row>
    <row r="4483" spans="1:2" x14ac:dyDescent="0.25">
      <c r="A4483" s="67"/>
      <c r="B4483" s="67"/>
    </row>
    <row r="4484" spans="1:2" x14ac:dyDescent="0.25">
      <c r="A4484" s="67"/>
      <c r="B4484" s="67"/>
    </row>
    <row r="4485" spans="1:2" x14ac:dyDescent="0.25">
      <c r="A4485" s="67"/>
      <c r="B4485" s="67"/>
    </row>
    <row r="4486" spans="1:2" x14ac:dyDescent="0.25">
      <c r="A4486" s="67"/>
      <c r="B4486" s="67"/>
    </row>
    <row r="4487" spans="1:2" x14ac:dyDescent="0.25">
      <c r="A4487" s="67"/>
      <c r="B4487" s="67"/>
    </row>
    <row r="4488" spans="1:2" x14ac:dyDescent="0.25">
      <c r="A4488" s="67"/>
      <c r="B4488" s="67"/>
    </row>
    <row r="4489" spans="1:2" x14ac:dyDescent="0.25">
      <c r="A4489" s="67"/>
      <c r="B4489" s="67"/>
    </row>
    <row r="4490" spans="1:2" x14ac:dyDescent="0.25">
      <c r="A4490" s="67"/>
      <c r="B4490" s="67"/>
    </row>
    <row r="4491" spans="1:2" x14ac:dyDescent="0.25">
      <c r="A4491" s="67"/>
      <c r="B4491" s="67"/>
    </row>
    <row r="4492" spans="1:2" x14ac:dyDescent="0.25">
      <c r="A4492" s="67"/>
      <c r="B4492" s="67"/>
    </row>
    <row r="4493" spans="1:2" x14ac:dyDescent="0.25">
      <c r="A4493" s="67"/>
      <c r="B4493" s="67"/>
    </row>
    <row r="4494" spans="1:2" x14ac:dyDescent="0.25">
      <c r="A4494" s="67"/>
      <c r="B4494" s="67"/>
    </row>
    <row r="4495" spans="1:2" x14ac:dyDescent="0.25">
      <c r="A4495" s="67"/>
      <c r="B4495" s="67"/>
    </row>
    <row r="4496" spans="1:2" x14ac:dyDescent="0.25">
      <c r="A4496" s="67"/>
      <c r="B4496" s="67"/>
    </row>
    <row r="4497" spans="1:2" x14ac:dyDescent="0.25">
      <c r="A4497" s="67"/>
      <c r="B4497" s="67"/>
    </row>
    <row r="4498" spans="1:2" x14ac:dyDescent="0.25">
      <c r="A4498" s="67"/>
      <c r="B4498" s="67"/>
    </row>
    <row r="4499" spans="1:2" x14ac:dyDescent="0.25">
      <c r="A4499" s="67"/>
      <c r="B4499" s="67"/>
    </row>
    <row r="4500" spans="1:2" x14ac:dyDescent="0.25">
      <c r="A4500" s="67"/>
      <c r="B4500" s="67"/>
    </row>
    <row r="4501" spans="1:2" x14ac:dyDescent="0.25">
      <c r="A4501" s="67"/>
      <c r="B4501" s="67"/>
    </row>
    <row r="4502" spans="1:2" x14ac:dyDescent="0.25">
      <c r="A4502" s="67"/>
      <c r="B4502" s="67"/>
    </row>
    <row r="4503" spans="1:2" x14ac:dyDescent="0.25">
      <c r="A4503" s="67"/>
      <c r="B4503" s="67"/>
    </row>
    <row r="4504" spans="1:2" x14ac:dyDescent="0.25">
      <c r="A4504" s="67"/>
      <c r="B4504" s="67"/>
    </row>
    <row r="4505" spans="1:2" x14ac:dyDescent="0.25">
      <c r="A4505" s="67"/>
      <c r="B4505" s="67"/>
    </row>
    <row r="4506" spans="1:2" x14ac:dyDescent="0.25">
      <c r="A4506" s="67"/>
      <c r="B4506" s="67"/>
    </row>
    <row r="4507" spans="1:2" x14ac:dyDescent="0.25">
      <c r="A4507" s="67"/>
      <c r="B4507" s="67"/>
    </row>
    <row r="4508" spans="1:2" x14ac:dyDescent="0.25">
      <c r="A4508" s="67"/>
      <c r="B4508" s="67"/>
    </row>
    <row r="4509" spans="1:2" x14ac:dyDescent="0.25">
      <c r="A4509" s="67"/>
      <c r="B4509" s="67"/>
    </row>
    <row r="4510" spans="1:2" x14ac:dyDescent="0.25">
      <c r="A4510" s="67"/>
      <c r="B4510" s="67"/>
    </row>
    <row r="4511" spans="1:2" x14ac:dyDescent="0.25">
      <c r="A4511" s="67"/>
      <c r="B4511" s="67"/>
    </row>
    <row r="4512" spans="1:2" x14ac:dyDescent="0.25">
      <c r="A4512" s="67"/>
      <c r="B4512" s="67"/>
    </row>
    <row r="4513" spans="1:2" x14ac:dyDescent="0.25">
      <c r="A4513" s="67"/>
      <c r="B4513" s="67"/>
    </row>
    <row r="4514" spans="1:2" x14ac:dyDescent="0.25">
      <c r="A4514" s="67"/>
      <c r="B4514" s="67"/>
    </row>
    <row r="4515" spans="1:2" x14ac:dyDescent="0.25">
      <c r="A4515" s="67"/>
      <c r="B4515" s="67"/>
    </row>
    <row r="4516" spans="1:2" x14ac:dyDescent="0.25">
      <c r="A4516" s="67"/>
      <c r="B4516" s="67"/>
    </row>
    <row r="4517" spans="1:2" x14ac:dyDescent="0.25">
      <c r="A4517" s="67"/>
      <c r="B4517" s="67"/>
    </row>
    <row r="4518" spans="1:2" x14ac:dyDescent="0.25">
      <c r="A4518" s="67"/>
      <c r="B4518" s="67"/>
    </row>
    <row r="4519" spans="1:2" x14ac:dyDescent="0.25">
      <c r="A4519" s="67"/>
      <c r="B4519" s="67"/>
    </row>
    <row r="4520" spans="1:2" x14ac:dyDescent="0.25">
      <c r="A4520" s="67"/>
      <c r="B4520" s="67"/>
    </row>
    <row r="4521" spans="1:2" x14ac:dyDescent="0.25">
      <c r="A4521" s="67"/>
      <c r="B4521" s="67"/>
    </row>
    <row r="4522" spans="1:2" x14ac:dyDescent="0.25">
      <c r="A4522" s="67"/>
      <c r="B4522" s="67"/>
    </row>
    <row r="4523" spans="1:2" x14ac:dyDescent="0.25">
      <c r="A4523" s="67"/>
      <c r="B4523" s="67"/>
    </row>
    <row r="4524" spans="1:2" x14ac:dyDescent="0.25">
      <c r="A4524" s="67"/>
      <c r="B4524" s="67"/>
    </row>
    <row r="4525" spans="1:2" x14ac:dyDescent="0.25">
      <c r="A4525" s="67"/>
      <c r="B4525" s="67"/>
    </row>
    <row r="4526" spans="1:2" x14ac:dyDescent="0.25">
      <c r="A4526" s="67"/>
      <c r="B4526" s="67"/>
    </row>
    <row r="4527" spans="1:2" x14ac:dyDescent="0.25">
      <c r="A4527" s="67"/>
      <c r="B4527" s="67"/>
    </row>
    <row r="4528" spans="1:2" x14ac:dyDescent="0.25">
      <c r="A4528" s="67"/>
      <c r="B4528" s="67"/>
    </row>
    <row r="4529" spans="1:2" x14ac:dyDescent="0.25">
      <c r="A4529" s="67"/>
      <c r="B4529" s="67"/>
    </row>
    <row r="4530" spans="1:2" x14ac:dyDescent="0.25">
      <c r="A4530" s="67"/>
      <c r="B4530" s="67"/>
    </row>
    <row r="4531" spans="1:2" x14ac:dyDescent="0.25">
      <c r="A4531" s="67"/>
      <c r="B4531" s="67"/>
    </row>
    <row r="4532" spans="1:2" x14ac:dyDescent="0.25">
      <c r="A4532" s="67"/>
      <c r="B4532" s="67"/>
    </row>
    <row r="4533" spans="1:2" x14ac:dyDescent="0.25">
      <c r="A4533" s="67"/>
      <c r="B4533" s="67"/>
    </row>
    <row r="4534" spans="1:2" x14ac:dyDescent="0.25">
      <c r="A4534" s="67"/>
      <c r="B4534" s="67"/>
    </row>
    <row r="4535" spans="1:2" x14ac:dyDescent="0.25">
      <c r="A4535" s="67"/>
      <c r="B4535" s="67"/>
    </row>
    <row r="4536" spans="1:2" x14ac:dyDescent="0.25">
      <c r="A4536" s="67"/>
      <c r="B4536" s="67"/>
    </row>
    <row r="4537" spans="1:2" x14ac:dyDescent="0.25">
      <c r="A4537" s="67"/>
      <c r="B4537" s="67"/>
    </row>
    <row r="4538" spans="1:2" x14ac:dyDescent="0.25">
      <c r="A4538" s="67"/>
      <c r="B4538" s="67"/>
    </row>
    <row r="4539" spans="1:2" x14ac:dyDescent="0.25">
      <c r="A4539" s="67"/>
      <c r="B4539" s="67"/>
    </row>
    <row r="4540" spans="1:2" x14ac:dyDescent="0.25">
      <c r="A4540" s="67"/>
      <c r="B4540" s="67"/>
    </row>
    <row r="4541" spans="1:2" x14ac:dyDescent="0.25">
      <c r="A4541" s="67"/>
      <c r="B4541" s="67"/>
    </row>
    <row r="4542" spans="1:2" x14ac:dyDescent="0.25">
      <c r="A4542" s="67"/>
      <c r="B4542" s="67"/>
    </row>
    <row r="4543" spans="1:2" x14ac:dyDescent="0.25">
      <c r="A4543" s="67"/>
      <c r="B4543" s="67"/>
    </row>
    <row r="4544" spans="1:2" x14ac:dyDescent="0.25">
      <c r="A4544" s="67"/>
      <c r="B4544" s="67"/>
    </row>
    <row r="4545" spans="1:2" x14ac:dyDescent="0.25">
      <c r="A4545" s="67"/>
      <c r="B4545" s="67"/>
    </row>
    <row r="4546" spans="1:2" x14ac:dyDescent="0.25">
      <c r="A4546" s="67"/>
      <c r="B4546" s="67"/>
    </row>
    <row r="4547" spans="1:2" x14ac:dyDescent="0.25">
      <c r="A4547" s="67"/>
      <c r="B4547" s="67"/>
    </row>
    <row r="4548" spans="1:2" x14ac:dyDescent="0.25">
      <c r="A4548" s="67"/>
      <c r="B4548" s="67"/>
    </row>
    <row r="4549" spans="1:2" x14ac:dyDescent="0.25">
      <c r="A4549" s="67"/>
      <c r="B4549" s="67"/>
    </row>
    <row r="4550" spans="1:2" x14ac:dyDescent="0.25">
      <c r="A4550" s="67"/>
      <c r="B4550" s="67"/>
    </row>
    <row r="4551" spans="1:2" x14ac:dyDescent="0.25">
      <c r="A4551" s="67"/>
      <c r="B4551" s="67"/>
    </row>
    <row r="4552" spans="1:2" x14ac:dyDescent="0.25">
      <c r="A4552" s="67"/>
      <c r="B4552" s="67"/>
    </row>
    <row r="4553" spans="1:2" x14ac:dyDescent="0.25">
      <c r="A4553" s="67"/>
      <c r="B4553" s="67"/>
    </row>
    <row r="4554" spans="1:2" x14ac:dyDescent="0.25">
      <c r="A4554" s="67"/>
      <c r="B4554" s="67"/>
    </row>
    <row r="4555" spans="1:2" x14ac:dyDescent="0.25">
      <c r="A4555" s="67"/>
      <c r="B4555" s="67"/>
    </row>
    <row r="4556" spans="1:2" x14ac:dyDescent="0.25">
      <c r="A4556" s="67"/>
      <c r="B4556" s="67"/>
    </row>
    <row r="4557" spans="1:2" x14ac:dyDescent="0.25">
      <c r="A4557" s="67"/>
      <c r="B4557" s="67"/>
    </row>
    <row r="4558" spans="1:2" x14ac:dyDescent="0.25">
      <c r="A4558" s="67"/>
      <c r="B4558" s="67"/>
    </row>
    <row r="4559" spans="1:2" x14ac:dyDescent="0.25">
      <c r="A4559" s="67"/>
      <c r="B4559" s="67"/>
    </row>
    <row r="4560" spans="1:2" x14ac:dyDescent="0.25">
      <c r="A4560" s="67"/>
      <c r="B4560" s="67"/>
    </row>
    <row r="4561" spans="1:2" x14ac:dyDescent="0.25">
      <c r="A4561" s="67"/>
      <c r="B4561" s="67"/>
    </row>
    <row r="4562" spans="1:2" x14ac:dyDescent="0.25">
      <c r="A4562" s="67"/>
      <c r="B4562" s="67"/>
    </row>
    <row r="4563" spans="1:2" x14ac:dyDescent="0.25">
      <c r="A4563" s="67"/>
      <c r="B4563" s="67"/>
    </row>
    <row r="4564" spans="1:2" x14ac:dyDescent="0.25">
      <c r="A4564" s="67"/>
      <c r="B4564" s="67"/>
    </row>
    <row r="4565" spans="1:2" x14ac:dyDescent="0.25">
      <c r="A4565" s="67"/>
      <c r="B4565" s="67"/>
    </row>
    <row r="4566" spans="1:2" x14ac:dyDescent="0.25">
      <c r="A4566" s="67"/>
      <c r="B4566" s="67"/>
    </row>
    <row r="4567" spans="1:2" x14ac:dyDescent="0.25">
      <c r="A4567" s="67"/>
      <c r="B4567" s="67"/>
    </row>
    <row r="4568" spans="1:2" x14ac:dyDescent="0.25">
      <c r="A4568" s="67"/>
      <c r="B4568" s="67"/>
    </row>
    <row r="4569" spans="1:2" x14ac:dyDescent="0.25">
      <c r="A4569" s="67"/>
      <c r="B4569" s="67"/>
    </row>
    <row r="4570" spans="1:2" x14ac:dyDescent="0.25">
      <c r="A4570" s="67"/>
      <c r="B4570" s="67"/>
    </row>
    <row r="4571" spans="1:2" x14ac:dyDescent="0.25">
      <c r="A4571" s="67"/>
      <c r="B4571" s="67"/>
    </row>
    <row r="4572" spans="1:2" x14ac:dyDescent="0.25">
      <c r="A4572" s="67"/>
      <c r="B4572" s="67"/>
    </row>
    <row r="4573" spans="1:2" x14ac:dyDescent="0.25">
      <c r="A4573" s="67"/>
      <c r="B4573" s="67"/>
    </row>
    <row r="4574" spans="1:2" x14ac:dyDescent="0.25">
      <c r="A4574" s="67"/>
      <c r="B4574" s="67"/>
    </row>
    <row r="4575" spans="1:2" x14ac:dyDescent="0.25">
      <c r="A4575" s="67"/>
      <c r="B4575" s="67"/>
    </row>
    <row r="4576" spans="1:2" x14ac:dyDescent="0.25">
      <c r="A4576" s="67"/>
      <c r="B4576" s="67"/>
    </row>
    <row r="4577" spans="1:2" x14ac:dyDescent="0.25">
      <c r="A4577" s="67"/>
      <c r="B4577" s="67"/>
    </row>
    <row r="4578" spans="1:2" x14ac:dyDescent="0.25">
      <c r="A4578" s="67"/>
      <c r="B4578" s="67"/>
    </row>
    <row r="4579" spans="1:2" x14ac:dyDescent="0.25">
      <c r="A4579" s="67"/>
      <c r="B4579" s="67"/>
    </row>
    <row r="4580" spans="1:2" x14ac:dyDescent="0.25">
      <c r="A4580" s="67"/>
      <c r="B4580" s="67"/>
    </row>
    <row r="4581" spans="1:2" x14ac:dyDescent="0.25">
      <c r="A4581" s="67"/>
      <c r="B4581" s="67"/>
    </row>
    <row r="4582" spans="1:2" x14ac:dyDescent="0.25">
      <c r="A4582" s="67"/>
      <c r="B4582" s="67"/>
    </row>
    <row r="4583" spans="1:2" x14ac:dyDescent="0.25">
      <c r="A4583" s="67"/>
      <c r="B4583" s="67"/>
    </row>
    <row r="4584" spans="1:2" x14ac:dyDescent="0.25">
      <c r="A4584" s="67"/>
      <c r="B4584" s="67"/>
    </row>
    <row r="4585" spans="1:2" x14ac:dyDescent="0.25">
      <c r="A4585" s="67"/>
      <c r="B4585" s="67"/>
    </row>
    <row r="4586" spans="1:2" x14ac:dyDescent="0.25">
      <c r="A4586" s="67"/>
      <c r="B4586" s="67"/>
    </row>
    <row r="4587" spans="1:2" x14ac:dyDescent="0.25">
      <c r="A4587" s="67"/>
      <c r="B4587" s="67"/>
    </row>
    <row r="4588" spans="1:2" x14ac:dyDescent="0.25">
      <c r="A4588" s="67"/>
      <c r="B4588" s="67"/>
    </row>
    <row r="4589" spans="1:2" x14ac:dyDescent="0.25">
      <c r="A4589" s="67"/>
      <c r="B4589" s="67"/>
    </row>
    <row r="4590" spans="1:2" x14ac:dyDescent="0.25">
      <c r="A4590" s="67"/>
      <c r="B4590" s="67"/>
    </row>
    <row r="4591" spans="1:2" x14ac:dyDescent="0.25">
      <c r="A4591" s="67"/>
      <c r="B4591" s="67"/>
    </row>
    <row r="4592" spans="1:2" x14ac:dyDescent="0.25">
      <c r="A4592" s="67"/>
      <c r="B4592" s="67"/>
    </row>
    <row r="4593" spans="1:2" x14ac:dyDescent="0.25">
      <c r="A4593" s="67"/>
      <c r="B4593" s="67"/>
    </row>
    <row r="4594" spans="1:2" x14ac:dyDescent="0.25">
      <c r="A4594" s="67"/>
      <c r="B4594" s="67"/>
    </row>
    <row r="4595" spans="1:2" x14ac:dyDescent="0.25">
      <c r="A4595" s="67"/>
      <c r="B4595" s="67"/>
    </row>
    <row r="4596" spans="1:2" x14ac:dyDescent="0.25">
      <c r="A4596" s="67"/>
      <c r="B4596" s="67"/>
    </row>
    <row r="4597" spans="1:2" x14ac:dyDescent="0.25">
      <c r="A4597" s="67"/>
      <c r="B4597" s="67"/>
    </row>
    <row r="4598" spans="1:2" x14ac:dyDescent="0.25">
      <c r="A4598" s="67"/>
      <c r="B4598" s="67"/>
    </row>
    <row r="4599" spans="1:2" x14ac:dyDescent="0.25">
      <c r="A4599" s="67"/>
      <c r="B4599" s="67"/>
    </row>
    <row r="4600" spans="1:2" x14ac:dyDescent="0.25">
      <c r="A4600" s="67"/>
      <c r="B4600" s="67"/>
    </row>
    <row r="4601" spans="1:2" x14ac:dyDescent="0.25">
      <c r="A4601" s="67"/>
      <c r="B4601" s="67"/>
    </row>
    <row r="4602" spans="1:2" x14ac:dyDescent="0.25">
      <c r="A4602" s="67"/>
      <c r="B4602" s="67"/>
    </row>
    <row r="4603" spans="1:2" x14ac:dyDescent="0.25">
      <c r="A4603" s="67"/>
      <c r="B4603" s="67"/>
    </row>
    <row r="4604" spans="1:2" x14ac:dyDescent="0.25">
      <c r="A4604" s="67"/>
      <c r="B4604" s="67"/>
    </row>
    <row r="4605" spans="1:2" x14ac:dyDescent="0.25">
      <c r="A4605" s="67"/>
      <c r="B4605" s="67"/>
    </row>
    <row r="4606" spans="1:2" x14ac:dyDescent="0.25">
      <c r="A4606" s="67"/>
      <c r="B4606" s="67"/>
    </row>
    <row r="4607" spans="1:2" x14ac:dyDescent="0.25">
      <c r="A4607" s="67"/>
      <c r="B4607" s="67"/>
    </row>
    <row r="4608" spans="1:2" x14ac:dyDescent="0.25">
      <c r="A4608" s="67"/>
      <c r="B4608" s="67"/>
    </row>
    <row r="4609" spans="1:2" x14ac:dyDescent="0.25">
      <c r="A4609" s="67"/>
      <c r="B4609" s="67"/>
    </row>
    <row r="4610" spans="1:2" x14ac:dyDescent="0.25">
      <c r="A4610" s="67"/>
      <c r="B4610" s="67"/>
    </row>
    <row r="4611" spans="1:2" x14ac:dyDescent="0.25">
      <c r="A4611" s="67"/>
      <c r="B4611" s="67"/>
    </row>
    <row r="4612" spans="1:2" x14ac:dyDescent="0.25">
      <c r="A4612" s="67"/>
      <c r="B4612" s="67"/>
    </row>
    <row r="4613" spans="1:2" x14ac:dyDescent="0.25">
      <c r="A4613" s="67"/>
      <c r="B4613" s="67"/>
    </row>
    <row r="4614" spans="1:2" x14ac:dyDescent="0.25">
      <c r="A4614" s="67"/>
      <c r="B4614" s="67"/>
    </row>
    <row r="4615" spans="1:2" x14ac:dyDescent="0.25">
      <c r="A4615" s="67"/>
      <c r="B4615" s="67"/>
    </row>
    <row r="4616" spans="1:2" x14ac:dyDescent="0.25">
      <c r="A4616" s="67"/>
      <c r="B4616" s="67"/>
    </row>
    <row r="4617" spans="1:2" x14ac:dyDescent="0.25">
      <c r="A4617" s="67"/>
      <c r="B4617" s="67"/>
    </row>
    <row r="4618" spans="1:2" x14ac:dyDescent="0.25">
      <c r="A4618" s="67"/>
      <c r="B4618" s="67"/>
    </row>
    <row r="4619" spans="1:2" x14ac:dyDescent="0.25">
      <c r="A4619" s="67"/>
      <c r="B4619" s="67"/>
    </row>
    <row r="4620" spans="1:2" x14ac:dyDescent="0.25">
      <c r="A4620" s="67"/>
      <c r="B4620" s="67"/>
    </row>
    <row r="4621" spans="1:2" x14ac:dyDescent="0.25">
      <c r="A4621" s="67"/>
      <c r="B4621" s="67"/>
    </row>
    <row r="4622" spans="1:2" x14ac:dyDescent="0.25">
      <c r="A4622" s="67"/>
      <c r="B4622" s="67"/>
    </row>
    <row r="4623" spans="1:2" x14ac:dyDescent="0.25">
      <c r="A4623" s="67"/>
      <c r="B4623" s="67"/>
    </row>
    <row r="4624" spans="1:2" x14ac:dyDescent="0.25">
      <c r="A4624" s="67"/>
      <c r="B4624" s="67"/>
    </row>
    <row r="4625" spans="1:2" x14ac:dyDescent="0.25">
      <c r="A4625" s="67"/>
      <c r="B4625" s="67"/>
    </row>
    <row r="4626" spans="1:2" x14ac:dyDescent="0.25">
      <c r="A4626" s="67"/>
      <c r="B4626" s="67"/>
    </row>
    <row r="4627" spans="1:2" x14ac:dyDescent="0.25">
      <c r="A4627" s="67"/>
      <c r="B4627" s="67"/>
    </row>
    <row r="4628" spans="1:2" x14ac:dyDescent="0.25">
      <c r="A4628" s="67"/>
      <c r="B4628" s="67"/>
    </row>
    <row r="4629" spans="1:2" x14ac:dyDescent="0.25">
      <c r="A4629" s="67"/>
      <c r="B4629" s="67"/>
    </row>
    <row r="4630" spans="1:2" x14ac:dyDescent="0.25">
      <c r="A4630" s="67"/>
      <c r="B4630" s="67"/>
    </row>
    <row r="4631" spans="1:2" x14ac:dyDescent="0.25">
      <c r="A4631" s="67"/>
      <c r="B4631" s="67"/>
    </row>
    <row r="4632" spans="1:2" x14ac:dyDescent="0.25">
      <c r="A4632" s="67"/>
      <c r="B4632" s="67"/>
    </row>
    <row r="4633" spans="1:2" x14ac:dyDescent="0.25">
      <c r="A4633" s="67"/>
      <c r="B4633" s="67"/>
    </row>
    <row r="4634" spans="1:2" x14ac:dyDescent="0.25">
      <c r="A4634" s="67"/>
      <c r="B4634" s="67"/>
    </row>
    <row r="4635" spans="1:2" x14ac:dyDescent="0.25">
      <c r="A4635" s="67"/>
      <c r="B4635" s="67"/>
    </row>
    <row r="4636" spans="1:2" x14ac:dyDescent="0.25">
      <c r="A4636" s="67"/>
      <c r="B4636" s="67"/>
    </row>
    <row r="4637" spans="1:2" x14ac:dyDescent="0.25">
      <c r="A4637" s="67"/>
      <c r="B4637" s="67"/>
    </row>
    <row r="4638" spans="1:2" x14ac:dyDescent="0.25">
      <c r="A4638" s="67"/>
      <c r="B4638" s="67"/>
    </row>
    <row r="4639" spans="1:2" x14ac:dyDescent="0.25">
      <c r="A4639" s="67"/>
      <c r="B4639" s="67"/>
    </row>
    <row r="4640" spans="1:2" x14ac:dyDescent="0.25">
      <c r="A4640" s="67"/>
      <c r="B4640" s="67"/>
    </row>
    <row r="4641" spans="1:2" x14ac:dyDescent="0.25">
      <c r="A4641" s="67"/>
      <c r="B4641" s="67"/>
    </row>
    <row r="4642" spans="1:2" x14ac:dyDescent="0.25">
      <c r="A4642" s="67"/>
      <c r="B4642" s="67"/>
    </row>
    <row r="4643" spans="1:2" x14ac:dyDescent="0.25">
      <c r="A4643" s="67"/>
      <c r="B4643" s="67"/>
    </row>
    <row r="4644" spans="1:2" x14ac:dyDescent="0.25">
      <c r="A4644" s="67"/>
      <c r="B4644" s="67"/>
    </row>
    <row r="4645" spans="1:2" x14ac:dyDescent="0.25">
      <c r="A4645" s="67"/>
      <c r="B4645" s="67"/>
    </row>
    <row r="4646" spans="1:2" x14ac:dyDescent="0.25">
      <c r="A4646" s="67"/>
      <c r="B4646" s="67"/>
    </row>
    <row r="4647" spans="1:2" x14ac:dyDescent="0.25">
      <c r="A4647" s="67"/>
      <c r="B4647" s="67"/>
    </row>
    <row r="4648" spans="1:2" x14ac:dyDescent="0.25">
      <c r="A4648" s="67"/>
      <c r="B4648" s="67"/>
    </row>
    <row r="4649" spans="1:2" x14ac:dyDescent="0.25">
      <c r="A4649" s="67"/>
      <c r="B4649" s="67"/>
    </row>
    <row r="4650" spans="1:2" x14ac:dyDescent="0.25">
      <c r="A4650" s="67"/>
      <c r="B4650" s="67"/>
    </row>
    <row r="4651" spans="1:2" x14ac:dyDescent="0.25">
      <c r="A4651" s="67"/>
      <c r="B4651" s="67"/>
    </row>
    <row r="4652" spans="1:2" x14ac:dyDescent="0.25">
      <c r="A4652" s="67"/>
      <c r="B4652" s="67"/>
    </row>
    <row r="4653" spans="1:2" x14ac:dyDescent="0.25">
      <c r="A4653" s="67"/>
      <c r="B4653" s="67"/>
    </row>
    <row r="4654" spans="1:2" x14ac:dyDescent="0.25">
      <c r="A4654" s="67"/>
      <c r="B4654" s="67"/>
    </row>
    <row r="4655" spans="1:2" x14ac:dyDescent="0.25">
      <c r="A4655" s="67"/>
      <c r="B4655" s="67"/>
    </row>
    <row r="4656" spans="1:2" x14ac:dyDescent="0.25">
      <c r="A4656" s="67"/>
      <c r="B4656" s="67"/>
    </row>
    <row r="4657" spans="1:2" x14ac:dyDescent="0.25">
      <c r="A4657" s="67"/>
      <c r="B4657" s="67"/>
    </row>
    <row r="4658" spans="1:2" x14ac:dyDescent="0.25">
      <c r="A4658" s="67"/>
      <c r="B4658" s="67"/>
    </row>
    <row r="4659" spans="1:2" x14ac:dyDescent="0.25">
      <c r="A4659" s="67"/>
      <c r="B4659" s="67"/>
    </row>
    <row r="4660" spans="1:2" x14ac:dyDescent="0.25">
      <c r="A4660" s="67"/>
      <c r="B4660" s="67"/>
    </row>
    <row r="4661" spans="1:2" x14ac:dyDescent="0.25">
      <c r="A4661" s="67"/>
      <c r="B4661" s="67"/>
    </row>
    <row r="4662" spans="1:2" x14ac:dyDescent="0.25">
      <c r="A4662" s="67"/>
      <c r="B4662" s="67"/>
    </row>
    <row r="4663" spans="1:2" x14ac:dyDescent="0.25">
      <c r="A4663" s="67"/>
      <c r="B4663" s="67"/>
    </row>
    <row r="4664" spans="1:2" x14ac:dyDescent="0.25">
      <c r="A4664" s="67"/>
      <c r="B4664" s="67"/>
    </row>
    <row r="4665" spans="1:2" x14ac:dyDescent="0.25">
      <c r="A4665" s="67"/>
      <c r="B4665" s="67"/>
    </row>
    <row r="4666" spans="1:2" x14ac:dyDescent="0.25">
      <c r="A4666" s="67"/>
      <c r="B4666" s="67"/>
    </row>
    <row r="4667" spans="1:2" x14ac:dyDescent="0.25">
      <c r="A4667" s="67"/>
      <c r="B4667" s="67"/>
    </row>
    <row r="4668" spans="1:2" x14ac:dyDescent="0.25">
      <c r="A4668" s="67"/>
      <c r="B4668" s="67"/>
    </row>
    <row r="4669" spans="1:2" x14ac:dyDescent="0.25">
      <c r="A4669" s="67"/>
      <c r="B4669" s="67"/>
    </row>
    <row r="4670" spans="1:2" x14ac:dyDescent="0.25">
      <c r="A4670" s="67"/>
      <c r="B4670" s="67"/>
    </row>
    <row r="4671" spans="1:2" x14ac:dyDescent="0.25">
      <c r="A4671" s="67"/>
      <c r="B4671" s="67"/>
    </row>
    <row r="4672" spans="1:2" x14ac:dyDescent="0.25">
      <c r="A4672" s="67"/>
      <c r="B4672" s="67"/>
    </row>
    <row r="4673" spans="1:2" x14ac:dyDescent="0.25">
      <c r="A4673" s="67"/>
      <c r="B4673" s="67"/>
    </row>
    <row r="4674" spans="1:2" x14ac:dyDescent="0.25">
      <c r="A4674" s="67"/>
      <c r="B4674" s="67"/>
    </row>
    <row r="4675" spans="1:2" x14ac:dyDescent="0.25">
      <c r="A4675" s="67"/>
      <c r="B4675" s="67"/>
    </row>
    <row r="4676" spans="1:2" x14ac:dyDescent="0.25">
      <c r="A4676" s="67"/>
      <c r="B4676" s="67"/>
    </row>
    <row r="4677" spans="1:2" x14ac:dyDescent="0.25">
      <c r="A4677" s="67"/>
      <c r="B4677" s="67"/>
    </row>
    <row r="4678" spans="1:2" x14ac:dyDescent="0.25">
      <c r="A4678" s="67"/>
      <c r="B4678" s="67"/>
    </row>
    <row r="4679" spans="1:2" x14ac:dyDescent="0.25">
      <c r="A4679" s="67"/>
      <c r="B4679" s="67"/>
    </row>
    <row r="4680" spans="1:2" x14ac:dyDescent="0.25">
      <c r="A4680" s="67"/>
      <c r="B4680" s="67"/>
    </row>
    <row r="4681" spans="1:2" x14ac:dyDescent="0.25">
      <c r="A4681" s="67"/>
      <c r="B4681" s="67"/>
    </row>
    <row r="4682" spans="1:2" x14ac:dyDescent="0.25">
      <c r="A4682" s="67"/>
      <c r="B4682" s="67"/>
    </row>
    <row r="4683" spans="1:2" x14ac:dyDescent="0.25">
      <c r="A4683" s="67"/>
      <c r="B4683" s="67"/>
    </row>
    <row r="4684" spans="1:2" x14ac:dyDescent="0.25">
      <c r="A4684" s="67"/>
      <c r="B4684" s="67"/>
    </row>
    <row r="4685" spans="1:2" x14ac:dyDescent="0.25">
      <c r="A4685" s="67"/>
      <c r="B4685" s="67"/>
    </row>
    <row r="4686" spans="1:2" x14ac:dyDescent="0.25">
      <c r="A4686" s="67"/>
      <c r="B4686" s="67"/>
    </row>
    <row r="4687" spans="1:2" x14ac:dyDescent="0.25">
      <c r="A4687" s="67"/>
      <c r="B4687" s="67"/>
    </row>
    <row r="4688" spans="1:2" x14ac:dyDescent="0.25">
      <c r="A4688" s="67"/>
      <c r="B4688" s="67"/>
    </row>
    <row r="4689" spans="1:2" x14ac:dyDescent="0.25">
      <c r="A4689" s="67"/>
      <c r="B4689" s="67"/>
    </row>
    <row r="4690" spans="1:2" x14ac:dyDescent="0.25">
      <c r="A4690" s="67"/>
      <c r="B4690" s="67"/>
    </row>
    <row r="4691" spans="1:2" x14ac:dyDescent="0.25">
      <c r="A4691" s="67"/>
      <c r="B4691" s="67"/>
    </row>
    <row r="4692" spans="1:2" x14ac:dyDescent="0.25">
      <c r="A4692" s="67"/>
      <c r="B4692" s="67"/>
    </row>
    <row r="4693" spans="1:2" x14ac:dyDescent="0.25">
      <c r="A4693" s="67"/>
      <c r="B4693" s="67"/>
    </row>
    <row r="4694" spans="1:2" x14ac:dyDescent="0.25">
      <c r="A4694" s="67"/>
      <c r="B4694" s="67"/>
    </row>
    <row r="4695" spans="1:2" x14ac:dyDescent="0.25">
      <c r="A4695" s="67"/>
      <c r="B4695" s="67"/>
    </row>
    <row r="4696" spans="1:2" x14ac:dyDescent="0.25">
      <c r="A4696" s="67"/>
      <c r="B4696" s="67"/>
    </row>
    <row r="4697" spans="1:2" x14ac:dyDescent="0.25">
      <c r="A4697" s="67"/>
      <c r="B4697" s="67"/>
    </row>
    <row r="4698" spans="1:2" x14ac:dyDescent="0.25">
      <c r="A4698" s="67"/>
      <c r="B4698" s="67"/>
    </row>
    <row r="4699" spans="1:2" x14ac:dyDescent="0.25">
      <c r="A4699" s="67"/>
      <c r="B4699" s="67"/>
    </row>
    <row r="4700" spans="1:2" x14ac:dyDescent="0.25">
      <c r="A4700" s="67"/>
      <c r="B4700" s="67"/>
    </row>
    <row r="4701" spans="1:2" x14ac:dyDescent="0.25">
      <c r="A4701" s="67"/>
      <c r="B4701" s="67"/>
    </row>
    <row r="4702" spans="1:2" x14ac:dyDescent="0.25">
      <c r="A4702" s="67"/>
      <c r="B4702" s="67"/>
    </row>
    <row r="4703" spans="1:2" x14ac:dyDescent="0.25">
      <c r="A4703" s="67"/>
      <c r="B4703" s="67"/>
    </row>
    <row r="4704" spans="1:2" x14ac:dyDescent="0.25">
      <c r="A4704" s="67"/>
      <c r="B4704" s="67"/>
    </row>
    <row r="4705" spans="1:2" x14ac:dyDescent="0.25">
      <c r="A4705" s="67"/>
      <c r="B4705" s="67"/>
    </row>
    <row r="4706" spans="1:2" x14ac:dyDescent="0.25">
      <c r="A4706" s="67"/>
      <c r="B4706" s="67"/>
    </row>
    <row r="4707" spans="1:2" x14ac:dyDescent="0.25">
      <c r="A4707" s="67"/>
      <c r="B4707" s="67"/>
    </row>
    <row r="4708" spans="1:2" x14ac:dyDescent="0.25">
      <c r="A4708" s="67"/>
      <c r="B4708" s="67"/>
    </row>
    <row r="4709" spans="1:2" x14ac:dyDescent="0.25">
      <c r="A4709" s="67"/>
      <c r="B4709" s="67"/>
    </row>
    <row r="4710" spans="1:2" x14ac:dyDescent="0.25">
      <c r="A4710" s="67"/>
      <c r="B4710" s="67"/>
    </row>
    <row r="4711" spans="1:2" x14ac:dyDescent="0.25">
      <c r="A4711" s="67"/>
      <c r="B4711" s="67"/>
    </row>
    <row r="4712" spans="1:2" x14ac:dyDescent="0.25">
      <c r="A4712" s="67"/>
      <c r="B4712" s="67"/>
    </row>
    <row r="4713" spans="1:2" x14ac:dyDescent="0.25">
      <c r="A4713" s="67"/>
      <c r="B4713" s="67"/>
    </row>
    <row r="4714" spans="1:2" x14ac:dyDescent="0.25">
      <c r="A4714" s="67"/>
      <c r="B4714" s="67"/>
    </row>
    <row r="4715" spans="1:2" x14ac:dyDescent="0.25">
      <c r="A4715" s="67"/>
      <c r="B4715" s="67"/>
    </row>
    <row r="4716" spans="1:2" x14ac:dyDescent="0.25">
      <c r="A4716" s="67"/>
      <c r="B4716" s="67"/>
    </row>
    <row r="4717" spans="1:2" x14ac:dyDescent="0.25">
      <c r="A4717" s="67"/>
      <c r="B4717" s="67"/>
    </row>
    <row r="4718" spans="1:2" x14ac:dyDescent="0.25">
      <c r="A4718" s="67"/>
      <c r="B4718" s="67"/>
    </row>
    <row r="4719" spans="1:2" x14ac:dyDescent="0.25">
      <c r="A4719" s="67"/>
      <c r="B4719" s="67"/>
    </row>
    <row r="4720" spans="1:2" x14ac:dyDescent="0.25">
      <c r="A4720" s="67"/>
      <c r="B4720" s="67"/>
    </row>
    <row r="4721" spans="1:2" x14ac:dyDescent="0.25">
      <c r="A4721" s="67"/>
      <c r="B4721" s="67"/>
    </row>
    <row r="4722" spans="1:2" x14ac:dyDescent="0.25">
      <c r="A4722" s="67"/>
      <c r="B4722" s="67"/>
    </row>
    <row r="4723" spans="1:2" x14ac:dyDescent="0.25">
      <c r="A4723" s="67"/>
      <c r="B4723" s="67"/>
    </row>
    <row r="4724" spans="1:2" x14ac:dyDescent="0.25">
      <c r="A4724" s="67"/>
      <c r="B4724" s="67"/>
    </row>
    <row r="4725" spans="1:2" x14ac:dyDescent="0.25">
      <c r="A4725" s="67"/>
      <c r="B4725" s="67"/>
    </row>
    <row r="4726" spans="1:2" x14ac:dyDescent="0.25">
      <c r="A4726" s="67"/>
      <c r="B4726" s="67"/>
    </row>
    <row r="4727" spans="1:2" x14ac:dyDescent="0.25">
      <c r="A4727" s="67"/>
      <c r="B4727" s="67"/>
    </row>
    <row r="4728" spans="1:2" x14ac:dyDescent="0.25">
      <c r="A4728" s="67"/>
      <c r="B4728" s="67"/>
    </row>
    <row r="4729" spans="1:2" x14ac:dyDescent="0.25">
      <c r="A4729" s="67"/>
      <c r="B4729" s="67"/>
    </row>
    <row r="4730" spans="1:2" x14ac:dyDescent="0.25">
      <c r="A4730" s="67"/>
      <c r="B4730" s="67"/>
    </row>
    <row r="4731" spans="1:2" x14ac:dyDescent="0.25">
      <c r="A4731" s="67"/>
      <c r="B4731" s="67"/>
    </row>
    <row r="4732" spans="1:2" x14ac:dyDescent="0.25">
      <c r="A4732" s="67"/>
      <c r="B4732" s="67"/>
    </row>
    <row r="4733" spans="1:2" x14ac:dyDescent="0.25">
      <c r="A4733" s="67"/>
      <c r="B4733" s="67"/>
    </row>
    <row r="4734" spans="1:2" x14ac:dyDescent="0.25">
      <c r="A4734" s="67"/>
      <c r="B4734" s="67"/>
    </row>
    <row r="4735" spans="1:2" x14ac:dyDescent="0.25">
      <c r="A4735" s="67"/>
      <c r="B4735" s="67"/>
    </row>
    <row r="4736" spans="1:2" x14ac:dyDescent="0.25">
      <c r="A4736" s="67"/>
      <c r="B4736" s="67"/>
    </row>
    <row r="4737" spans="1:2" x14ac:dyDescent="0.25">
      <c r="A4737" s="67"/>
      <c r="B4737" s="67"/>
    </row>
    <row r="4738" spans="1:2" x14ac:dyDescent="0.25">
      <c r="A4738" s="67"/>
      <c r="B4738" s="67"/>
    </row>
    <row r="4739" spans="1:2" x14ac:dyDescent="0.25">
      <c r="A4739" s="67"/>
      <c r="B4739" s="67"/>
    </row>
    <row r="4740" spans="1:2" x14ac:dyDescent="0.25">
      <c r="A4740" s="67"/>
      <c r="B4740" s="67"/>
    </row>
    <row r="4741" spans="1:2" x14ac:dyDescent="0.25">
      <c r="A4741" s="67"/>
      <c r="B4741" s="67"/>
    </row>
    <row r="4742" spans="1:2" x14ac:dyDescent="0.25">
      <c r="A4742" s="67"/>
      <c r="B4742" s="67"/>
    </row>
    <row r="4743" spans="1:2" x14ac:dyDescent="0.25">
      <c r="A4743" s="67"/>
      <c r="B4743" s="67"/>
    </row>
    <row r="4744" spans="1:2" x14ac:dyDescent="0.25">
      <c r="A4744" s="67"/>
      <c r="B4744" s="67"/>
    </row>
    <row r="4745" spans="1:2" x14ac:dyDescent="0.25">
      <c r="A4745" s="67"/>
      <c r="B4745" s="67"/>
    </row>
    <row r="4746" spans="1:2" x14ac:dyDescent="0.25">
      <c r="A4746" s="67"/>
      <c r="B4746" s="67"/>
    </row>
    <row r="4747" spans="1:2" x14ac:dyDescent="0.25">
      <c r="A4747" s="67"/>
      <c r="B4747" s="67"/>
    </row>
    <row r="4748" spans="1:2" x14ac:dyDescent="0.25">
      <c r="A4748" s="67"/>
      <c r="B4748" s="67"/>
    </row>
    <row r="4749" spans="1:2" x14ac:dyDescent="0.25">
      <c r="A4749" s="67"/>
      <c r="B4749" s="67"/>
    </row>
    <row r="4750" spans="1:2" x14ac:dyDescent="0.25">
      <c r="A4750" s="67"/>
      <c r="B4750" s="67"/>
    </row>
    <row r="4751" spans="1:2" x14ac:dyDescent="0.25">
      <c r="A4751" s="67"/>
      <c r="B4751" s="67"/>
    </row>
    <row r="4752" spans="1:2" x14ac:dyDescent="0.25">
      <c r="A4752" s="67"/>
      <c r="B4752" s="67"/>
    </row>
    <row r="4753" spans="1:2" x14ac:dyDescent="0.25">
      <c r="A4753" s="67"/>
      <c r="B4753" s="67"/>
    </row>
    <row r="4754" spans="1:2" x14ac:dyDescent="0.25">
      <c r="A4754" s="67"/>
      <c r="B4754" s="67"/>
    </row>
    <row r="4755" spans="1:2" x14ac:dyDescent="0.25">
      <c r="A4755" s="67"/>
      <c r="B4755" s="67"/>
    </row>
    <row r="4756" spans="1:2" x14ac:dyDescent="0.25">
      <c r="A4756" s="67"/>
      <c r="B4756" s="67"/>
    </row>
    <row r="4757" spans="1:2" x14ac:dyDescent="0.25">
      <c r="A4757" s="67"/>
      <c r="B4757" s="67"/>
    </row>
    <row r="4758" spans="1:2" x14ac:dyDescent="0.25">
      <c r="A4758" s="67"/>
      <c r="B4758" s="67"/>
    </row>
    <row r="4759" spans="1:2" x14ac:dyDescent="0.25">
      <c r="A4759" s="67"/>
      <c r="B4759" s="67"/>
    </row>
    <row r="4760" spans="1:2" x14ac:dyDescent="0.25">
      <c r="A4760" s="67"/>
      <c r="B4760" s="67"/>
    </row>
    <row r="4761" spans="1:2" x14ac:dyDescent="0.25">
      <c r="A4761" s="67"/>
      <c r="B4761" s="67"/>
    </row>
    <row r="4762" spans="1:2" x14ac:dyDescent="0.25">
      <c r="A4762" s="67"/>
      <c r="B4762" s="67"/>
    </row>
    <row r="4763" spans="1:2" x14ac:dyDescent="0.25">
      <c r="A4763" s="67"/>
      <c r="B4763" s="67"/>
    </row>
    <row r="4764" spans="1:2" x14ac:dyDescent="0.25">
      <c r="A4764" s="67"/>
      <c r="B4764" s="67"/>
    </row>
    <row r="4765" spans="1:2" x14ac:dyDescent="0.25">
      <c r="A4765" s="67"/>
      <c r="B4765" s="67"/>
    </row>
    <row r="4766" spans="1:2" x14ac:dyDescent="0.25">
      <c r="A4766" s="67"/>
      <c r="B4766" s="67"/>
    </row>
    <row r="4767" spans="1:2" x14ac:dyDescent="0.25">
      <c r="A4767" s="67"/>
      <c r="B4767" s="67"/>
    </row>
    <row r="4768" spans="1:2" x14ac:dyDescent="0.25">
      <c r="A4768" s="67"/>
      <c r="B4768" s="67"/>
    </row>
    <row r="4769" spans="1:2" x14ac:dyDescent="0.25">
      <c r="A4769" s="67"/>
      <c r="B4769" s="67"/>
    </row>
    <row r="4770" spans="1:2" x14ac:dyDescent="0.25">
      <c r="A4770" s="67"/>
      <c r="B4770" s="67"/>
    </row>
    <row r="4771" spans="1:2" x14ac:dyDescent="0.25">
      <c r="A4771" s="67"/>
      <c r="B4771" s="67"/>
    </row>
    <row r="4772" spans="1:2" x14ac:dyDescent="0.25">
      <c r="A4772" s="67"/>
      <c r="B4772" s="67"/>
    </row>
    <row r="4773" spans="1:2" x14ac:dyDescent="0.25">
      <c r="A4773" s="67"/>
      <c r="B4773" s="67"/>
    </row>
    <row r="4774" spans="1:2" x14ac:dyDescent="0.25">
      <c r="A4774" s="67"/>
      <c r="B4774" s="67"/>
    </row>
    <row r="4775" spans="1:2" x14ac:dyDescent="0.25">
      <c r="A4775" s="67"/>
      <c r="B4775" s="67"/>
    </row>
    <row r="4776" spans="1:2" x14ac:dyDescent="0.25">
      <c r="A4776" s="67"/>
      <c r="B4776" s="67"/>
    </row>
    <row r="4777" spans="1:2" x14ac:dyDescent="0.25">
      <c r="A4777" s="67"/>
      <c r="B4777" s="67"/>
    </row>
    <row r="4778" spans="1:2" x14ac:dyDescent="0.25">
      <c r="A4778" s="67"/>
      <c r="B4778" s="67"/>
    </row>
    <row r="4779" spans="1:2" x14ac:dyDescent="0.25">
      <c r="A4779" s="67"/>
      <c r="B4779" s="67"/>
    </row>
    <row r="4780" spans="1:2" x14ac:dyDescent="0.25">
      <c r="A4780" s="67"/>
      <c r="B4780" s="67"/>
    </row>
    <row r="4781" spans="1:2" x14ac:dyDescent="0.25">
      <c r="A4781" s="67"/>
      <c r="B4781" s="67"/>
    </row>
    <row r="4782" spans="1:2" x14ac:dyDescent="0.25">
      <c r="A4782" s="67"/>
      <c r="B4782" s="67"/>
    </row>
    <row r="4783" spans="1:2" x14ac:dyDescent="0.25">
      <c r="A4783" s="67"/>
      <c r="B4783" s="67"/>
    </row>
    <row r="4784" spans="1:2" x14ac:dyDescent="0.25">
      <c r="A4784" s="67"/>
      <c r="B4784" s="67"/>
    </row>
    <row r="4785" spans="1:2" x14ac:dyDescent="0.25">
      <c r="A4785" s="67"/>
      <c r="B4785" s="67"/>
    </row>
    <row r="4786" spans="1:2" x14ac:dyDescent="0.25">
      <c r="A4786" s="67"/>
      <c r="B4786" s="67"/>
    </row>
    <row r="4787" spans="1:2" x14ac:dyDescent="0.25">
      <c r="A4787" s="67"/>
      <c r="B4787" s="67"/>
    </row>
    <row r="4788" spans="1:2" x14ac:dyDescent="0.25">
      <c r="A4788" s="67"/>
      <c r="B4788" s="67"/>
    </row>
    <row r="4789" spans="1:2" x14ac:dyDescent="0.25">
      <c r="A4789" s="67"/>
      <c r="B4789" s="67"/>
    </row>
    <row r="4790" spans="1:2" x14ac:dyDescent="0.25">
      <c r="A4790" s="67"/>
      <c r="B4790" s="67"/>
    </row>
    <row r="4791" spans="1:2" x14ac:dyDescent="0.25">
      <c r="A4791" s="67"/>
      <c r="B4791" s="67"/>
    </row>
    <row r="4792" spans="1:2" x14ac:dyDescent="0.25">
      <c r="A4792" s="67"/>
      <c r="B4792" s="67"/>
    </row>
    <row r="4793" spans="1:2" x14ac:dyDescent="0.25">
      <c r="A4793" s="67"/>
      <c r="B4793" s="67"/>
    </row>
    <row r="4794" spans="1:2" x14ac:dyDescent="0.25">
      <c r="A4794" s="67"/>
      <c r="B4794" s="67"/>
    </row>
    <row r="4795" spans="1:2" x14ac:dyDescent="0.25">
      <c r="A4795" s="67"/>
      <c r="B4795" s="67"/>
    </row>
    <row r="4796" spans="1:2" x14ac:dyDescent="0.25">
      <c r="A4796" s="67"/>
      <c r="B4796" s="67"/>
    </row>
    <row r="4797" spans="1:2" x14ac:dyDescent="0.25">
      <c r="A4797" s="67"/>
      <c r="B4797" s="67"/>
    </row>
    <row r="4798" spans="1:2" x14ac:dyDescent="0.25">
      <c r="A4798" s="67"/>
      <c r="B4798" s="67"/>
    </row>
    <row r="4799" spans="1:2" x14ac:dyDescent="0.25">
      <c r="A4799" s="67"/>
      <c r="B4799" s="67"/>
    </row>
    <row r="4800" spans="1:2" x14ac:dyDescent="0.25">
      <c r="A4800" s="67"/>
      <c r="B4800" s="67"/>
    </row>
    <row r="4801" spans="1:2" x14ac:dyDescent="0.25">
      <c r="A4801" s="67"/>
      <c r="B4801" s="67"/>
    </row>
    <row r="4802" spans="1:2" x14ac:dyDescent="0.25">
      <c r="A4802" s="67"/>
      <c r="B4802" s="67"/>
    </row>
    <row r="4803" spans="1:2" x14ac:dyDescent="0.25">
      <c r="A4803" s="67"/>
      <c r="B4803" s="67"/>
    </row>
    <row r="4804" spans="1:2" x14ac:dyDescent="0.25">
      <c r="A4804" s="67"/>
      <c r="B4804" s="67"/>
    </row>
    <row r="4805" spans="1:2" x14ac:dyDescent="0.25">
      <c r="A4805" s="67"/>
      <c r="B4805" s="67"/>
    </row>
    <row r="4806" spans="1:2" x14ac:dyDescent="0.25">
      <c r="A4806" s="67"/>
      <c r="B4806" s="67"/>
    </row>
    <row r="4807" spans="1:2" x14ac:dyDescent="0.25">
      <c r="A4807" s="67"/>
      <c r="B4807" s="67"/>
    </row>
    <row r="4808" spans="1:2" x14ac:dyDescent="0.25">
      <c r="A4808" s="67"/>
      <c r="B4808" s="67"/>
    </row>
    <row r="4809" spans="1:2" x14ac:dyDescent="0.25">
      <c r="A4809" s="67"/>
      <c r="B4809" s="67"/>
    </row>
    <row r="4810" spans="1:2" x14ac:dyDescent="0.25">
      <c r="A4810" s="67"/>
      <c r="B4810" s="67"/>
    </row>
    <row r="4811" spans="1:2" x14ac:dyDescent="0.25">
      <c r="A4811" s="67"/>
      <c r="B4811" s="67"/>
    </row>
    <row r="4812" spans="1:2" x14ac:dyDescent="0.25">
      <c r="A4812" s="67"/>
      <c r="B4812" s="67"/>
    </row>
    <row r="4813" spans="1:2" x14ac:dyDescent="0.25">
      <c r="A4813" s="67"/>
      <c r="B4813" s="67"/>
    </row>
    <row r="4814" spans="1:2" x14ac:dyDescent="0.25">
      <c r="A4814" s="67"/>
      <c r="B4814" s="67"/>
    </row>
    <row r="4815" spans="1:2" x14ac:dyDescent="0.25">
      <c r="A4815" s="67"/>
      <c r="B4815" s="67"/>
    </row>
    <row r="4816" spans="1:2" x14ac:dyDescent="0.25">
      <c r="A4816" s="67"/>
      <c r="B4816" s="67"/>
    </row>
    <row r="4817" spans="1:2" x14ac:dyDescent="0.25">
      <c r="A4817" s="67"/>
      <c r="B4817" s="67"/>
    </row>
    <row r="4818" spans="1:2" x14ac:dyDescent="0.25">
      <c r="A4818" s="67"/>
      <c r="B4818" s="67"/>
    </row>
    <row r="4819" spans="1:2" x14ac:dyDescent="0.25">
      <c r="A4819" s="67"/>
      <c r="B4819" s="67"/>
    </row>
    <row r="4820" spans="1:2" x14ac:dyDescent="0.25">
      <c r="A4820" s="67"/>
      <c r="B4820" s="67"/>
    </row>
    <row r="4821" spans="1:2" x14ac:dyDescent="0.25">
      <c r="A4821" s="67"/>
      <c r="B4821" s="67"/>
    </row>
    <row r="4822" spans="1:2" x14ac:dyDescent="0.25">
      <c r="A4822" s="67"/>
      <c r="B4822" s="67"/>
    </row>
    <row r="4823" spans="1:2" x14ac:dyDescent="0.25">
      <c r="A4823" s="67"/>
      <c r="B4823" s="67"/>
    </row>
    <row r="4824" spans="1:2" x14ac:dyDescent="0.25">
      <c r="A4824" s="67"/>
      <c r="B4824" s="67"/>
    </row>
    <row r="4825" spans="1:2" x14ac:dyDescent="0.25">
      <c r="A4825" s="67"/>
      <c r="B4825" s="67"/>
    </row>
    <row r="4826" spans="1:2" x14ac:dyDescent="0.25">
      <c r="A4826" s="67"/>
      <c r="B4826" s="67"/>
    </row>
    <row r="4827" spans="1:2" x14ac:dyDescent="0.25">
      <c r="A4827" s="67"/>
      <c r="B4827" s="67"/>
    </row>
    <row r="4828" spans="1:2" x14ac:dyDescent="0.25">
      <c r="A4828" s="67"/>
      <c r="B4828" s="67"/>
    </row>
    <row r="4829" spans="1:2" x14ac:dyDescent="0.25">
      <c r="A4829" s="67"/>
      <c r="B4829" s="67"/>
    </row>
    <row r="4830" spans="1:2" x14ac:dyDescent="0.25">
      <c r="A4830" s="67"/>
      <c r="B4830" s="67"/>
    </row>
    <row r="4831" spans="1:2" x14ac:dyDescent="0.25">
      <c r="A4831" s="67"/>
      <c r="B4831" s="67"/>
    </row>
    <row r="4832" spans="1:2" x14ac:dyDescent="0.25">
      <c r="A4832" s="67"/>
      <c r="B4832" s="67"/>
    </row>
    <row r="4833" spans="1:2" x14ac:dyDescent="0.25">
      <c r="A4833" s="67"/>
      <c r="B4833" s="67"/>
    </row>
    <row r="4834" spans="1:2" x14ac:dyDescent="0.25">
      <c r="A4834" s="67"/>
      <c r="B4834" s="67"/>
    </row>
    <row r="4835" spans="1:2" x14ac:dyDescent="0.25">
      <c r="A4835" s="67"/>
      <c r="B4835" s="67"/>
    </row>
    <row r="4836" spans="1:2" x14ac:dyDescent="0.25">
      <c r="A4836" s="67"/>
      <c r="B4836" s="67"/>
    </row>
    <row r="4837" spans="1:2" x14ac:dyDescent="0.25">
      <c r="A4837" s="67"/>
      <c r="B4837" s="67"/>
    </row>
    <row r="4838" spans="1:2" x14ac:dyDescent="0.25">
      <c r="A4838" s="67"/>
      <c r="B4838" s="67"/>
    </row>
    <row r="4839" spans="1:2" x14ac:dyDescent="0.25">
      <c r="A4839" s="67"/>
      <c r="B4839" s="67"/>
    </row>
    <row r="4840" spans="1:2" x14ac:dyDescent="0.25">
      <c r="A4840" s="67"/>
      <c r="B4840" s="67"/>
    </row>
    <row r="4841" spans="1:2" x14ac:dyDescent="0.25">
      <c r="A4841" s="67"/>
      <c r="B4841" s="67"/>
    </row>
    <row r="4842" spans="1:2" x14ac:dyDescent="0.25">
      <c r="A4842" s="67"/>
      <c r="B4842" s="67"/>
    </row>
    <row r="4843" spans="1:2" x14ac:dyDescent="0.25">
      <c r="A4843" s="67"/>
      <c r="B4843" s="67"/>
    </row>
    <row r="4844" spans="1:2" x14ac:dyDescent="0.25">
      <c r="A4844" s="67"/>
      <c r="B4844" s="67"/>
    </row>
    <row r="4845" spans="1:2" x14ac:dyDescent="0.25">
      <c r="A4845" s="67"/>
      <c r="B4845" s="67"/>
    </row>
    <row r="4846" spans="1:2" x14ac:dyDescent="0.25">
      <c r="A4846" s="67"/>
      <c r="B4846" s="67"/>
    </row>
    <row r="4847" spans="1:2" x14ac:dyDescent="0.25">
      <c r="A4847" s="67"/>
      <c r="B4847" s="67"/>
    </row>
    <row r="4848" spans="1:2" x14ac:dyDescent="0.25">
      <c r="A4848" s="67"/>
      <c r="B4848" s="67"/>
    </row>
    <row r="4849" spans="1:2" x14ac:dyDescent="0.25">
      <c r="A4849" s="67"/>
      <c r="B4849" s="67"/>
    </row>
    <row r="4850" spans="1:2" x14ac:dyDescent="0.25">
      <c r="A4850" s="67"/>
      <c r="B4850" s="67"/>
    </row>
    <row r="4851" spans="1:2" x14ac:dyDescent="0.25">
      <c r="A4851" s="67"/>
      <c r="B4851" s="67"/>
    </row>
    <row r="4852" spans="1:2" x14ac:dyDescent="0.25">
      <c r="A4852" s="67"/>
      <c r="B4852" s="67"/>
    </row>
    <row r="4853" spans="1:2" x14ac:dyDescent="0.25">
      <c r="A4853" s="67"/>
      <c r="B4853" s="67"/>
    </row>
    <row r="4854" spans="1:2" x14ac:dyDescent="0.25">
      <c r="A4854" s="67"/>
      <c r="B4854" s="67"/>
    </row>
    <row r="4855" spans="1:2" x14ac:dyDescent="0.25">
      <c r="A4855" s="67"/>
      <c r="B4855" s="67"/>
    </row>
    <row r="4856" spans="1:2" x14ac:dyDescent="0.25">
      <c r="A4856" s="67"/>
      <c r="B4856" s="67"/>
    </row>
    <row r="4857" spans="1:2" x14ac:dyDescent="0.25">
      <c r="A4857" s="67"/>
      <c r="B4857" s="67"/>
    </row>
    <row r="4858" spans="1:2" x14ac:dyDescent="0.25">
      <c r="A4858" s="67"/>
      <c r="B4858" s="67"/>
    </row>
    <row r="4859" spans="1:2" x14ac:dyDescent="0.25">
      <c r="A4859" s="67"/>
      <c r="B4859" s="67"/>
    </row>
    <row r="4860" spans="1:2" x14ac:dyDescent="0.25">
      <c r="A4860" s="67"/>
      <c r="B4860" s="67"/>
    </row>
    <row r="4861" spans="1:2" x14ac:dyDescent="0.25">
      <c r="A4861" s="67"/>
      <c r="B4861" s="67"/>
    </row>
    <row r="4862" spans="1:2" x14ac:dyDescent="0.25">
      <c r="A4862" s="67"/>
      <c r="B4862" s="67"/>
    </row>
    <row r="4863" spans="1:2" x14ac:dyDescent="0.25">
      <c r="A4863" s="67"/>
      <c r="B4863" s="67"/>
    </row>
    <row r="4864" spans="1:2" x14ac:dyDescent="0.25">
      <c r="A4864" s="67"/>
      <c r="B4864" s="67"/>
    </row>
    <row r="4865" spans="1:2" x14ac:dyDescent="0.25">
      <c r="A4865" s="67"/>
      <c r="B4865" s="67"/>
    </row>
    <row r="4866" spans="1:2" x14ac:dyDescent="0.25">
      <c r="A4866" s="67"/>
      <c r="B4866" s="67"/>
    </row>
    <row r="4867" spans="1:2" x14ac:dyDescent="0.25">
      <c r="A4867" s="67"/>
      <c r="B4867" s="67"/>
    </row>
    <row r="4868" spans="1:2" x14ac:dyDescent="0.25">
      <c r="A4868" s="67"/>
      <c r="B4868" s="67"/>
    </row>
    <row r="4869" spans="1:2" x14ac:dyDescent="0.25">
      <c r="A4869" s="67"/>
      <c r="B4869" s="67"/>
    </row>
    <row r="4870" spans="1:2" x14ac:dyDescent="0.25">
      <c r="A4870" s="67"/>
      <c r="B4870" s="67"/>
    </row>
    <row r="4871" spans="1:2" x14ac:dyDescent="0.25">
      <c r="A4871" s="67"/>
      <c r="B4871" s="67"/>
    </row>
    <row r="4872" spans="1:2" x14ac:dyDescent="0.25">
      <c r="A4872" s="67"/>
      <c r="B4872" s="67"/>
    </row>
    <row r="4873" spans="1:2" x14ac:dyDescent="0.25">
      <c r="A4873" s="67"/>
      <c r="B4873" s="67"/>
    </row>
    <row r="4874" spans="1:2" x14ac:dyDescent="0.25">
      <c r="A4874" s="67"/>
      <c r="B4874" s="67"/>
    </row>
    <row r="4875" spans="1:2" x14ac:dyDescent="0.25">
      <c r="A4875" s="67"/>
      <c r="B4875" s="67"/>
    </row>
    <row r="4876" spans="1:2" x14ac:dyDescent="0.25">
      <c r="A4876" s="67"/>
      <c r="B4876" s="67"/>
    </row>
    <row r="4877" spans="1:2" x14ac:dyDescent="0.25">
      <c r="A4877" s="67"/>
      <c r="B4877" s="67"/>
    </row>
    <row r="4878" spans="1:2" x14ac:dyDescent="0.25">
      <c r="A4878" s="67"/>
      <c r="B4878" s="67"/>
    </row>
    <row r="4879" spans="1:2" x14ac:dyDescent="0.25">
      <c r="A4879" s="67"/>
      <c r="B4879" s="67"/>
    </row>
    <row r="4880" spans="1:2" x14ac:dyDescent="0.25">
      <c r="A4880" s="67"/>
      <c r="B4880" s="67"/>
    </row>
    <row r="4881" spans="1:2" x14ac:dyDescent="0.25">
      <c r="A4881" s="67"/>
      <c r="B4881" s="67"/>
    </row>
    <row r="4882" spans="1:2" x14ac:dyDescent="0.25">
      <c r="A4882" s="67"/>
      <c r="B4882" s="67"/>
    </row>
    <row r="4883" spans="1:2" x14ac:dyDescent="0.25">
      <c r="A4883" s="67"/>
      <c r="B4883" s="67"/>
    </row>
    <row r="4884" spans="1:2" x14ac:dyDescent="0.25">
      <c r="A4884" s="67"/>
      <c r="B4884" s="67"/>
    </row>
    <row r="4885" spans="1:2" x14ac:dyDescent="0.25">
      <c r="A4885" s="67"/>
      <c r="B4885" s="67"/>
    </row>
    <row r="4886" spans="1:2" x14ac:dyDescent="0.25">
      <c r="A4886" s="67"/>
      <c r="B4886" s="67"/>
    </row>
    <row r="4887" spans="1:2" x14ac:dyDescent="0.25">
      <c r="A4887" s="67"/>
      <c r="B4887" s="67"/>
    </row>
    <row r="4888" spans="1:2" x14ac:dyDescent="0.25">
      <c r="A4888" s="67"/>
      <c r="B4888" s="67"/>
    </row>
    <row r="4889" spans="1:2" x14ac:dyDescent="0.25">
      <c r="A4889" s="67"/>
      <c r="B4889" s="67"/>
    </row>
    <row r="4890" spans="1:2" x14ac:dyDescent="0.25">
      <c r="A4890" s="67"/>
      <c r="B4890" s="67"/>
    </row>
    <row r="4891" spans="1:2" x14ac:dyDescent="0.25">
      <c r="A4891" s="67"/>
      <c r="B4891" s="67"/>
    </row>
    <row r="4892" spans="1:2" x14ac:dyDescent="0.25">
      <c r="A4892" s="67"/>
      <c r="B4892" s="67"/>
    </row>
    <row r="4893" spans="1:2" x14ac:dyDescent="0.25">
      <c r="A4893" s="67"/>
      <c r="B4893" s="67"/>
    </row>
    <row r="4894" spans="1:2" x14ac:dyDescent="0.25">
      <c r="A4894" s="67"/>
      <c r="B4894" s="67"/>
    </row>
    <row r="4895" spans="1:2" x14ac:dyDescent="0.25">
      <c r="A4895" s="67"/>
      <c r="B4895" s="67"/>
    </row>
    <row r="4896" spans="1:2" x14ac:dyDescent="0.25">
      <c r="A4896" s="67"/>
      <c r="B4896" s="67"/>
    </row>
    <row r="4897" spans="1:2" x14ac:dyDescent="0.25">
      <c r="A4897" s="67"/>
      <c r="B4897" s="67"/>
    </row>
    <row r="4898" spans="1:2" x14ac:dyDescent="0.25">
      <c r="A4898" s="67"/>
      <c r="B4898" s="67"/>
    </row>
    <row r="4899" spans="1:2" x14ac:dyDescent="0.25">
      <c r="A4899" s="67"/>
      <c r="B4899" s="67"/>
    </row>
    <row r="4900" spans="1:2" x14ac:dyDescent="0.25">
      <c r="A4900" s="67"/>
      <c r="B4900" s="67"/>
    </row>
    <row r="4901" spans="1:2" x14ac:dyDescent="0.25">
      <c r="A4901" s="67"/>
      <c r="B4901" s="67"/>
    </row>
    <row r="4902" spans="1:2" x14ac:dyDescent="0.25">
      <c r="A4902" s="67"/>
      <c r="B4902" s="67"/>
    </row>
    <row r="4903" spans="1:2" x14ac:dyDescent="0.25">
      <c r="A4903" s="67"/>
      <c r="B4903" s="67"/>
    </row>
    <row r="4904" spans="1:2" x14ac:dyDescent="0.25">
      <c r="A4904" s="67"/>
      <c r="B4904" s="67"/>
    </row>
    <row r="4905" spans="1:2" x14ac:dyDescent="0.25">
      <c r="A4905" s="67"/>
      <c r="B4905" s="67"/>
    </row>
    <row r="4906" spans="1:2" x14ac:dyDescent="0.25">
      <c r="A4906" s="67"/>
      <c r="B4906" s="67"/>
    </row>
    <row r="4907" spans="1:2" x14ac:dyDescent="0.25">
      <c r="A4907" s="67"/>
      <c r="B4907" s="67"/>
    </row>
    <row r="4908" spans="1:2" x14ac:dyDescent="0.25">
      <c r="A4908" s="67"/>
      <c r="B4908" s="67"/>
    </row>
    <row r="4909" spans="1:2" x14ac:dyDescent="0.25">
      <c r="A4909" s="67"/>
      <c r="B4909" s="67"/>
    </row>
    <row r="4910" spans="1:2" x14ac:dyDescent="0.25">
      <c r="A4910" s="67"/>
      <c r="B4910" s="67"/>
    </row>
    <row r="4911" spans="1:2" x14ac:dyDescent="0.25">
      <c r="A4911" s="67"/>
      <c r="B4911" s="67"/>
    </row>
    <row r="4912" spans="1:2" x14ac:dyDescent="0.25">
      <c r="A4912" s="67"/>
      <c r="B4912" s="67"/>
    </row>
    <row r="4913" spans="1:2" x14ac:dyDescent="0.25">
      <c r="A4913" s="67"/>
      <c r="B4913" s="67"/>
    </row>
    <row r="4914" spans="1:2" x14ac:dyDescent="0.25">
      <c r="A4914" s="67"/>
      <c r="B4914" s="67"/>
    </row>
    <row r="4915" spans="1:2" x14ac:dyDescent="0.25">
      <c r="A4915" s="67"/>
      <c r="B4915" s="67"/>
    </row>
    <row r="4916" spans="1:2" x14ac:dyDescent="0.25">
      <c r="A4916" s="67"/>
      <c r="B4916" s="67"/>
    </row>
    <row r="4917" spans="1:2" x14ac:dyDescent="0.25">
      <c r="A4917" s="67"/>
      <c r="B4917" s="67"/>
    </row>
    <row r="4918" spans="1:2" x14ac:dyDescent="0.25">
      <c r="A4918" s="67"/>
      <c r="B4918" s="67"/>
    </row>
    <row r="4919" spans="1:2" x14ac:dyDescent="0.25">
      <c r="A4919" s="67"/>
      <c r="B4919" s="67"/>
    </row>
    <row r="4920" spans="1:2" x14ac:dyDescent="0.25">
      <c r="A4920" s="67"/>
      <c r="B4920" s="67"/>
    </row>
    <row r="4921" spans="1:2" x14ac:dyDescent="0.25">
      <c r="A4921" s="67"/>
      <c r="B4921" s="67"/>
    </row>
    <row r="4922" spans="1:2" x14ac:dyDescent="0.25">
      <c r="A4922" s="67"/>
      <c r="B4922" s="67"/>
    </row>
    <row r="4923" spans="1:2" x14ac:dyDescent="0.25">
      <c r="A4923" s="67"/>
      <c r="B4923" s="67"/>
    </row>
    <row r="4924" spans="1:2" x14ac:dyDescent="0.25">
      <c r="A4924" s="67"/>
      <c r="B4924" s="67"/>
    </row>
    <row r="4925" spans="1:2" x14ac:dyDescent="0.25">
      <c r="A4925" s="67"/>
      <c r="B4925" s="67"/>
    </row>
    <row r="4926" spans="1:2" x14ac:dyDescent="0.25">
      <c r="A4926" s="67"/>
      <c r="B4926" s="67"/>
    </row>
    <row r="4927" spans="1:2" x14ac:dyDescent="0.25">
      <c r="A4927" s="67"/>
      <c r="B4927" s="67"/>
    </row>
    <row r="4928" spans="1:2" x14ac:dyDescent="0.25">
      <c r="A4928" s="67"/>
      <c r="B4928" s="67"/>
    </row>
    <row r="4929" spans="1:2" x14ac:dyDescent="0.25">
      <c r="A4929" s="67"/>
      <c r="B4929" s="67"/>
    </row>
    <row r="4930" spans="1:2" x14ac:dyDescent="0.25">
      <c r="A4930" s="67"/>
      <c r="B4930" s="67"/>
    </row>
    <row r="4931" spans="1:2" x14ac:dyDescent="0.25">
      <c r="A4931" s="67"/>
      <c r="B4931" s="67"/>
    </row>
    <row r="4932" spans="1:2" x14ac:dyDescent="0.25">
      <c r="A4932" s="67"/>
      <c r="B4932" s="67"/>
    </row>
    <row r="4933" spans="1:2" x14ac:dyDescent="0.25">
      <c r="A4933" s="67"/>
      <c r="B4933" s="67"/>
    </row>
    <row r="4934" spans="1:2" x14ac:dyDescent="0.25">
      <c r="A4934" s="67"/>
      <c r="B4934" s="67"/>
    </row>
    <row r="4935" spans="1:2" x14ac:dyDescent="0.25">
      <c r="A4935" s="67"/>
      <c r="B4935" s="67"/>
    </row>
    <row r="4936" spans="1:2" x14ac:dyDescent="0.25">
      <c r="A4936" s="67"/>
      <c r="B4936" s="67"/>
    </row>
    <row r="4937" spans="1:2" x14ac:dyDescent="0.25">
      <c r="A4937" s="67"/>
      <c r="B4937" s="67"/>
    </row>
    <row r="4938" spans="1:2" x14ac:dyDescent="0.25">
      <c r="A4938" s="67"/>
      <c r="B4938" s="67"/>
    </row>
    <row r="4939" spans="1:2" x14ac:dyDescent="0.25">
      <c r="A4939" s="67"/>
      <c r="B4939" s="67"/>
    </row>
    <row r="4940" spans="1:2" x14ac:dyDescent="0.25">
      <c r="A4940" s="67"/>
      <c r="B4940" s="67"/>
    </row>
    <row r="4941" spans="1:2" x14ac:dyDescent="0.25">
      <c r="A4941" s="67"/>
      <c r="B4941" s="67"/>
    </row>
    <row r="4942" spans="1:2" x14ac:dyDescent="0.25">
      <c r="A4942" s="67"/>
      <c r="B4942" s="67"/>
    </row>
    <row r="4943" spans="1:2" x14ac:dyDescent="0.25">
      <c r="A4943" s="67"/>
      <c r="B4943" s="67"/>
    </row>
    <row r="4944" spans="1:2" x14ac:dyDescent="0.25">
      <c r="A4944" s="67"/>
      <c r="B4944" s="67"/>
    </row>
    <row r="4945" spans="1:2" x14ac:dyDescent="0.25">
      <c r="A4945" s="67"/>
      <c r="B4945" s="67"/>
    </row>
    <row r="4946" spans="1:2" x14ac:dyDescent="0.25">
      <c r="A4946" s="67"/>
      <c r="B4946" s="67"/>
    </row>
    <row r="4947" spans="1:2" x14ac:dyDescent="0.25">
      <c r="A4947" s="67"/>
      <c r="B4947" s="67"/>
    </row>
    <row r="4948" spans="1:2" x14ac:dyDescent="0.25">
      <c r="A4948" s="67"/>
      <c r="B4948" s="67"/>
    </row>
  </sheetData>
  <mergeCells count="30">
    <mergeCell ref="AA1:AL1"/>
    <mergeCell ref="AA2:AL2"/>
    <mergeCell ref="AA3:AL3"/>
    <mergeCell ref="C1:N1"/>
    <mergeCell ref="C2:N2"/>
    <mergeCell ref="C3:N3"/>
    <mergeCell ref="O1:Z1"/>
    <mergeCell ref="O2:Z2"/>
    <mergeCell ref="O3:Z3"/>
    <mergeCell ref="W8:Z8"/>
    <mergeCell ref="AE6:AH6"/>
    <mergeCell ref="AI6:AL6"/>
    <mergeCell ref="AE8:AH8"/>
    <mergeCell ref="AI8:AL8"/>
    <mergeCell ref="AA5:AL5"/>
    <mergeCell ref="C8:F8"/>
    <mergeCell ref="O8:R8"/>
    <mergeCell ref="AA8:AD8"/>
    <mergeCell ref="C6:F6"/>
    <mergeCell ref="O6:R6"/>
    <mergeCell ref="AA6:AD6"/>
    <mergeCell ref="C5:N5"/>
    <mergeCell ref="G6:J6"/>
    <mergeCell ref="K6:N6"/>
    <mergeCell ref="G8:J8"/>
    <mergeCell ref="K8:N8"/>
    <mergeCell ref="S6:V6"/>
    <mergeCell ref="W6:Z6"/>
    <mergeCell ref="O5:Z5"/>
    <mergeCell ref="S8:V8"/>
  </mergeCells>
  <phoneticPr fontId="35" type="noConversion"/>
  <pageMargins left="0.39370078740157483" right="0.39370078740157483" top="0.78740157480314965" bottom="0.78740157480314965" header="0.62992125984251968" footer="0.39370078740157483"/>
  <pageSetup paperSize="9" scale="60" orientation="landscape" r:id="rId1"/>
  <headerFooter alignWithMargins="0">
    <oddHeader>&amp;C&amp;"Times New Roman CE,Félkövér"
&amp;R&amp;"Times New Roman CE,Félkövér"&amp;11 1. melléklet a 23/2018.(X.15.) önkormányzati rendelethez&amp;"Times New Roman CE,Dőlt"&amp;10
 1. melléklet
a 3/2018.(II.8.) önkormányzati rendelethez</oddHeader>
  </headerFooter>
  <rowBreaks count="1" manualBreakCount="1">
    <brk id="50" max="37" man="1"/>
  </rowBreaks>
  <colBreaks count="2" manualBreakCount="2">
    <brk id="14" max="65" man="1"/>
    <brk id="26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L38"/>
  <sheetViews>
    <sheetView zoomScaleNormal="100" workbookViewId="0">
      <pane xSplit="2" ySplit="8" topLeftCell="F15" activePane="bottomRight" state="frozen"/>
      <selection activeCell="J63" sqref="J63"/>
      <selection pane="topRight" activeCell="J63" sqref="J63"/>
      <selection pane="bottomLeft" activeCell="J63" sqref="J63"/>
      <selection pane="bottomRight" activeCell="G21" sqref="G21"/>
    </sheetView>
  </sheetViews>
  <sheetFormatPr defaultColWidth="9" defaultRowHeight="15.75" x14ac:dyDescent="0.25"/>
  <cols>
    <col min="1" max="1" width="35.75" style="86" customWidth="1"/>
    <col min="2" max="2" width="10" style="86" customWidth="1"/>
    <col min="3" max="3" width="12.25" style="108" customWidth="1"/>
    <col min="4" max="4" width="13.125" style="108" customWidth="1"/>
    <col min="5" max="5" width="15" style="108" customWidth="1"/>
    <col min="6" max="15" width="13.75" style="108" customWidth="1"/>
    <col min="16" max="16" width="13" style="108" customWidth="1"/>
    <col min="17" max="17" width="15.25" style="108" customWidth="1"/>
    <col min="18" max="26" width="13.875" style="108" customWidth="1"/>
    <col min="27" max="27" width="12.875" style="108" customWidth="1"/>
    <col min="28" max="28" width="14.875" style="108" customWidth="1"/>
    <col min="29" max="29" width="15.375" style="108" customWidth="1"/>
    <col min="30" max="30" width="13.25" style="108" customWidth="1"/>
    <col min="31" max="31" width="12.625" style="108" customWidth="1"/>
    <col min="32" max="32" width="14.875" style="108" customWidth="1"/>
    <col min="33" max="33" width="15.375" style="108" customWidth="1"/>
    <col min="34" max="34" width="14.125" style="108" customWidth="1"/>
    <col min="35" max="35" width="13.875" style="108" customWidth="1"/>
    <col min="36" max="36" width="14.875" style="108" customWidth="1"/>
    <col min="37" max="37" width="15.375" style="108" customWidth="1"/>
    <col min="38" max="38" width="14.125" style="108" customWidth="1"/>
    <col min="39" max="16384" width="9" style="86"/>
  </cols>
  <sheetData>
    <row r="1" spans="1:38" x14ac:dyDescent="0.25">
      <c r="A1" s="400"/>
      <c r="B1" s="959" t="s">
        <v>235</v>
      </c>
      <c r="C1" s="959"/>
      <c r="D1" s="959"/>
      <c r="E1" s="959"/>
      <c r="F1" s="959"/>
      <c r="G1" s="959"/>
      <c r="H1" s="959"/>
      <c r="I1" s="959"/>
      <c r="J1" s="959"/>
      <c r="K1" s="959"/>
      <c r="L1" s="959"/>
      <c r="M1" s="959"/>
      <c r="N1" s="959"/>
      <c r="O1" s="959" t="s">
        <v>235</v>
      </c>
      <c r="P1" s="959"/>
      <c r="Q1" s="959"/>
      <c r="R1" s="959"/>
      <c r="S1" s="959"/>
      <c r="T1" s="959"/>
      <c r="U1" s="959"/>
      <c r="V1" s="959"/>
      <c r="W1" s="959"/>
      <c r="X1" s="959"/>
      <c r="Y1" s="959"/>
      <c r="Z1" s="959"/>
      <c r="AA1" s="959" t="s">
        <v>235</v>
      </c>
      <c r="AB1" s="959"/>
      <c r="AC1" s="959"/>
      <c r="AD1" s="959"/>
      <c r="AE1" s="959"/>
      <c r="AF1" s="959"/>
      <c r="AG1" s="959"/>
      <c r="AH1" s="959"/>
      <c r="AI1" s="959"/>
      <c r="AJ1" s="959"/>
      <c r="AK1" s="959"/>
      <c r="AL1" s="959"/>
    </row>
    <row r="2" spans="1:38" x14ac:dyDescent="0.25">
      <c r="A2" s="400"/>
      <c r="B2" s="959" t="s">
        <v>685</v>
      </c>
      <c r="C2" s="959"/>
      <c r="D2" s="959"/>
      <c r="E2" s="959"/>
      <c r="F2" s="959"/>
      <c r="G2" s="959"/>
      <c r="H2" s="959"/>
      <c r="I2" s="959"/>
      <c r="J2" s="959"/>
      <c r="K2" s="959"/>
      <c r="L2" s="959"/>
      <c r="M2" s="959"/>
      <c r="N2" s="959"/>
      <c r="O2" s="959" t="s">
        <v>685</v>
      </c>
      <c r="P2" s="959"/>
      <c r="Q2" s="959"/>
      <c r="R2" s="959"/>
      <c r="S2" s="959"/>
      <c r="T2" s="959"/>
      <c r="U2" s="959"/>
      <c r="V2" s="959"/>
      <c r="W2" s="959"/>
      <c r="X2" s="959"/>
      <c r="Y2" s="959"/>
      <c r="Z2" s="959"/>
      <c r="AA2" s="959" t="s">
        <v>685</v>
      </c>
      <c r="AB2" s="959"/>
      <c r="AC2" s="959"/>
      <c r="AD2" s="959"/>
      <c r="AE2" s="959"/>
      <c r="AF2" s="959"/>
      <c r="AG2" s="959"/>
      <c r="AH2" s="959"/>
      <c r="AI2" s="959"/>
      <c r="AJ2" s="959"/>
      <c r="AK2" s="959"/>
      <c r="AL2" s="959"/>
    </row>
    <row r="3" spans="1:38" x14ac:dyDescent="0.25">
      <c r="A3" s="400"/>
      <c r="B3" s="959" t="s">
        <v>979</v>
      </c>
      <c r="C3" s="959"/>
      <c r="D3" s="959"/>
      <c r="E3" s="959"/>
      <c r="F3" s="959"/>
      <c r="G3" s="959"/>
      <c r="H3" s="959"/>
      <c r="I3" s="959"/>
      <c r="J3" s="959"/>
      <c r="K3" s="959"/>
      <c r="L3" s="959"/>
      <c r="M3" s="959"/>
      <c r="N3" s="959"/>
      <c r="O3" s="959" t="s">
        <v>979</v>
      </c>
      <c r="P3" s="959"/>
      <c r="Q3" s="959"/>
      <c r="R3" s="959"/>
      <c r="S3" s="959"/>
      <c r="T3" s="959"/>
      <c r="U3" s="959"/>
      <c r="V3" s="959"/>
      <c r="W3" s="959"/>
      <c r="X3" s="959"/>
      <c r="Y3" s="959"/>
      <c r="Z3" s="959"/>
      <c r="AA3" s="959" t="s">
        <v>979</v>
      </c>
      <c r="AB3" s="959"/>
      <c r="AC3" s="959"/>
      <c r="AD3" s="959"/>
      <c r="AE3" s="959"/>
      <c r="AF3" s="959"/>
      <c r="AG3" s="959"/>
      <c r="AH3" s="959"/>
      <c r="AI3" s="959"/>
      <c r="AJ3" s="959"/>
      <c r="AK3" s="959"/>
      <c r="AL3" s="959"/>
    </row>
    <row r="4" spans="1:38" ht="16.5" thickBot="1" x14ac:dyDescent="0.3"/>
    <row r="5" spans="1:38" s="71" customFormat="1" ht="68.25" customHeight="1" thickTop="1" thickBot="1" x14ac:dyDescent="0.3">
      <c r="A5" s="69"/>
      <c r="B5" s="189"/>
      <c r="C5" s="950" t="s">
        <v>22</v>
      </c>
      <c r="D5" s="951"/>
      <c r="E5" s="951"/>
      <c r="F5" s="951"/>
      <c r="G5" s="951"/>
      <c r="H5" s="951"/>
      <c r="I5" s="951"/>
      <c r="J5" s="951"/>
      <c r="K5" s="951"/>
      <c r="L5" s="951"/>
      <c r="M5" s="951"/>
      <c r="N5" s="952"/>
      <c r="O5" s="70" t="s">
        <v>23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963" t="s">
        <v>153</v>
      </c>
      <c r="AB5" s="963"/>
      <c r="AC5" s="963"/>
      <c r="AD5" s="963"/>
      <c r="AE5" s="963"/>
      <c r="AF5" s="963"/>
      <c r="AG5" s="963"/>
      <c r="AH5" s="963"/>
      <c r="AI5" s="963"/>
      <c r="AJ5" s="963"/>
      <c r="AK5" s="963"/>
      <c r="AL5" s="963"/>
    </row>
    <row r="6" spans="1:38" s="73" customFormat="1" ht="39" customHeight="1" thickTop="1" thickBot="1" x14ac:dyDescent="0.3">
      <c r="A6" s="195" t="s">
        <v>146</v>
      </c>
      <c r="B6" s="190" t="s">
        <v>163</v>
      </c>
      <c r="C6" s="960" t="s">
        <v>389</v>
      </c>
      <c r="D6" s="961"/>
      <c r="E6" s="961"/>
      <c r="F6" s="962"/>
      <c r="G6" s="72" t="s">
        <v>390</v>
      </c>
      <c r="H6" s="72"/>
      <c r="I6" s="72"/>
      <c r="J6" s="72"/>
      <c r="K6" s="398" t="s">
        <v>975</v>
      </c>
      <c r="L6" s="398"/>
      <c r="M6" s="398"/>
      <c r="N6" s="398"/>
      <c r="O6" s="398" t="s">
        <v>389</v>
      </c>
      <c r="P6" s="399"/>
      <c r="Q6" s="399"/>
      <c r="R6" s="399"/>
      <c r="S6" s="399" t="s">
        <v>390</v>
      </c>
      <c r="T6" s="399"/>
      <c r="U6" s="399"/>
      <c r="V6" s="399"/>
      <c r="W6" s="399" t="s">
        <v>975</v>
      </c>
      <c r="X6" s="399"/>
      <c r="Y6" s="399"/>
      <c r="Z6" s="399"/>
      <c r="AA6" s="964" t="s">
        <v>389</v>
      </c>
      <c r="AB6" s="964"/>
      <c r="AC6" s="964"/>
      <c r="AD6" s="964"/>
      <c r="AE6" s="964" t="s">
        <v>390</v>
      </c>
      <c r="AF6" s="964"/>
      <c r="AG6" s="964"/>
      <c r="AH6" s="964"/>
      <c r="AI6" s="964" t="s">
        <v>975</v>
      </c>
      <c r="AJ6" s="964"/>
      <c r="AK6" s="964"/>
      <c r="AL6" s="964"/>
    </row>
    <row r="7" spans="1:38" s="3" customFormat="1" ht="33" thickTop="1" thickBot="1" x14ac:dyDescent="0.3">
      <c r="A7" s="1"/>
      <c r="B7" s="191"/>
      <c r="C7" s="2" t="s">
        <v>140</v>
      </c>
      <c r="D7" s="4" t="s">
        <v>141</v>
      </c>
      <c r="E7" s="4" t="s">
        <v>368</v>
      </c>
      <c r="F7" s="4" t="s">
        <v>153</v>
      </c>
      <c r="G7" s="372" t="s">
        <v>140</v>
      </c>
      <c r="H7" s="372" t="s">
        <v>141</v>
      </c>
      <c r="I7" s="372" t="s">
        <v>368</v>
      </c>
      <c r="J7" s="372" t="s">
        <v>153</v>
      </c>
      <c r="K7" s="4" t="s">
        <v>140</v>
      </c>
      <c r="L7" s="4" t="s">
        <v>141</v>
      </c>
      <c r="M7" s="4" t="s">
        <v>368</v>
      </c>
      <c r="N7" s="4" t="s">
        <v>153</v>
      </c>
      <c r="O7" s="4" t="s">
        <v>140</v>
      </c>
      <c r="P7" s="4" t="s">
        <v>141</v>
      </c>
      <c r="Q7" s="4" t="s">
        <v>368</v>
      </c>
      <c r="R7" s="4" t="s">
        <v>153</v>
      </c>
      <c r="S7" s="4" t="s">
        <v>140</v>
      </c>
      <c r="T7" s="4" t="s">
        <v>141</v>
      </c>
      <c r="U7" s="4" t="s">
        <v>368</v>
      </c>
      <c r="V7" s="4" t="s">
        <v>153</v>
      </c>
      <c r="W7" s="4" t="s">
        <v>140</v>
      </c>
      <c r="X7" s="4" t="s">
        <v>141</v>
      </c>
      <c r="Y7" s="4" t="s">
        <v>368</v>
      </c>
      <c r="Z7" s="4" t="s">
        <v>153</v>
      </c>
      <c r="AA7" s="4" t="s">
        <v>140</v>
      </c>
      <c r="AB7" s="4" t="s">
        <v>141</v>
      </c>
      <c r="AC7" s="4" t="s">
        <v>368</v>
      </c>
      <c r="AD7" s="4" t="s">
        <v>153</v>
      </c>
      <c r="AE7" s="4" t="s">
        <v>140</v>
      </c>
      <c r="AF7" s="4" t="s">
        <v>141</v>
      </c>
      <c r="AG7" s="4" t="s">
        <v>368</v>
      </c>
      <c r="AH7" s="4" t="s">
        <v>153</v>
      </c>
      <c r="AI7" s="4" t="s">
        <v>140</v>
      </c>
      <c r="AJ7" s="4" t="s">
        <v>141</v>
      </c>
      <c r="AK7" s="4" t="s">
        <v>368</v>
      </c>
      <c r="AL7" s="4" t="s">
        <v>153</v>
      </c>
    </row>
    <row r="8" spans="1:38" s="73" customFormat="1" ht="17.25" thickTop="1" thickBot="1" x14ac:dyDescent="0.3">
      <c r="A8" s="74" t="s">
        <v>147</v>
      </c>
      <c r="B8" s="192"/>
      <c r="C8" s="75" t="s">
        <v>400</v>
      </c>
      <c r="D8" s="76"/>
      <c r="E8" s="76"/>
      <c r="F8" s="76"/>
      <c r="G8" s="393" t="s">
        <v>401</v>
      </c>
      <c r="H8" s="394"/>
      <c r="I8" s="394"/>
      <c r="J8" s="72"/>
      <c r="K8" s="399" t="s">
        <v>402</v>
      </c>
      <c r="L8" s="399"/>
      <c r="M8" s="399"/>
      <c r="N8" s="399"/>
      <c r="O8" s="957" t="s">
        <v>403</v>
      </c>
      <c r="P8" s="957"/>
      <c r="Q8" s="957"/>
      <c r="R8" s="957"/>
      <c r="S8" s="957" t="s">
        <v>404</v>
      </c>
      <c r="T8" s="957"/>
      <c r="U8" s="957"/>
      <c r="V8" s="957"/>
      <c r="W8" s="957" t="s">
        <v>405</v>
      </c>
      <c r="X8" s="957"/>
      <c r="Y8" s="957"/>
      <c r="Z8" s="957"/>
      <c r="AA8" s="957" t="s">
        <v>406</v>
      </c>
      <c r="AB8" s="957"/>
      <c r="AC8" s="957"/>
      <c r="AD8" s="957"/>
      <c r="AE8" s="957" t="s">
        <v>407</v>
      </c>
      <c r="AF8" s="957"/>
      <c r="AG8" s="957"/>
      <c r="AH8" s="957"/>
      <c r="AI8" s="957" t="s">
        <v>408</v>
      </c>
      <c r="AJ8" s="957"/>
      <c r="AK8" s="957"/>
      <c r="AL8" s="957"/>
    </row>
    <row r="9" spans="1:38" ht="16.5" thickTop="1" x14ac:dyDescent="0.25">
      <c r="A9" s="77" t="s">
        <v>28</v>
      </c>
      <c r="B9" s="77" t="s">
        <v>164</v>
      </c>
      <c r="C9" s="78">
        <v>293331</v>
      </c>
      <c r="D9" s="79">
        <v>185299</v>
      </c>
      <c r="E9" s="79">
        <v>0</v>
      </c>
      <c r="F9" s="80">
        <f>SUM(C9:E9)</f>
        <v>478630</v>
      </c>
      <c r="G9" s="80">
        <f>-298+3391+3992+3743-3260-3200-2000-7500</f>
        <v>-5132</v>
      </c>
      <c r="H9" s="80">
        <f>-2-7031+2730+569+443+80+40+1977</f>
        <v>-1194</v>
      </c>
      <c r="I9" s="80"/>
      <c r="J9" s="80">
        <f>SUM(G9:I9)</f>
        <v>-6326</v>
      </c>
      <c r="K9" s="80">
        <f>SUM(C9+G9)</f>
        <v>288199</v>
      </c>
      <c r="L9" s="80">
        <f>SUM(D9+H9)</f>
        <v>184105</v>
      </c>
      <c r="M9" s="80">
        <f>SUM(E9+I9)</f>
        <v>0</v>
      </c>
      <c r="N9" s="397">
        <f>SUM(K9:M9)</f>
        <v>472304</v>
      </c>
      <c r="O9" s="78">
        <v>5391371</v>
      </c>
      <c r="P9" s="81">
        <v>1305289</v>
      </c>
      <c r="Q9" s="81">
        <v>618691</v>
      </c>
      <c r="R9" s="81">
        <f>SUM(O9:Q9)</f>
        <v>7315351</v>
      </c>
      <c r="S9" s="81">
        <v>139131</v>
      </c>
      <c r="T9" s="81">
        <v>72048</v>
      </c>
      <c r="U9" s="81">
        <v>0</v>
      </c>
      <c r="V9" s="81">
        <f>SUM(S9:U9)</f>
        <v>211179</v>
      </c>
      <c r="W9" s="81">
        <f>SUM(O9+S9)</f>
        <v>5530502</v>
      </c>
      <c r="X9" s="81">
        <f t="shared" ref="W9:Y10" si="0">SUM(P9+T9)</f>
        <v>1377337</v>
      </c>
      <c r="Y9" s="81">
        <f t="shared" si="0"/>
        <v>618691</v>
      </c>
      <c r="Z9" s="396">
        <f>SUM(W9:Y9)</f>
        <v>7526530</v>
      </c>
      <c r="AA9" s="82">
        <f t="shared" ref="AA9:AB13" si="1">+C9+O9</f>
        <v>5684702</v>
      </c>
      <c r="AB9" s="83">
        <f t="shared" si="1"/>
        <v>1490588</v>
      </c>
      <c r="AC9" s="84">
        <f t="shared" ref="AC9:AC20" si="2">SUM(Q9+E9)</f>
        <v>618691</v>
      </c>
      <c r="AD9" s="85">
        <f>SUM(AA9:AC9)</f>
        <v>7793981</v>
      </c>
      <c r="AE9" s="82">
        <f>+G9+S9</f>
        <v>133999</v>
      </c>
      <c r="AF9" s="83">
        <f t="shared" ref="AE9:AF13" si="3">+H9+T9</f>
        <v>70854</v>
      </c>
      <c r="AG9" s="84">
        <f t="shared" ref="AG9:AG13" si="4">SUM(U9+I9)</f>
        <v>0</v>
      </c>
      <c r="AH9" s="85">
        <f t="shared" ref="AH9:AH13" si="5">SUM(AE9:AG9)</f>
        <v>204853</v>
      </c>
      <c r="AI9" s="82">
        <f>+K9+W9</f>
        <v>5818701</v>
      </c>
      <c r="AJ9" s="83">
        <f t="shared" ref="AI9:AJ13" si="6">+L9+X9</f>
        <v>1561442</v>
      </c>
      <c r="AK9" s="84">
        <f t="shared" ref="AK9:AK13" si="7">SUM(Y9+M9)</f>
        <v>618691</v>
      </c>
      <c r="AL9" s="85">
        <f t="shared" ref="AL9:AL13" si="8">SUM(AI9:AK9)</f>
        <v>7998834</v>
      </c>
    </row>
    <row r="10" spans="1:38" ht="31.5" x14ac:dyDescent="0.25">
      <c r="A10" s="87" t="s">
        <v>29</v>
      </c>
      <c r="B10" s="87" t="s">
        <v>165</v>
      </c>
      <c r="C10" s="88">
        <v>57973</v>
      </c>
      <c r="D10" s="89">
        <v>56874</v>
      </c>
      <c r="E10" s="89">
        <v>0</v>
      </c>
      <c r="F10" s="88">
        <f>SUM(C10:E10)</f>
        <v>114847</v>
      </c>
      <c r="G10" s="89">
        <f>661+778+657-1232-351-1316</f>
        <v>-803</v>
      </c>
      <c r="H10" s="89">
        <f>716+325+195+8+177</f>
        <v>1421</v>
      </c>
      <c r="I10" s="89"/>
      <c r="J10" s="89">
        <f>SUM(G10:I10)</f>
        <v>618</v>
      </c>
      <c r="K10" s="89">
        <f>SUM(C10+G10)</f>
        <v>57170</v>
      </c>
      <c r="L10" s="89">
        <f t="shared" ref="L10:M10" si="9">SUM(D10+H10)</f>
        <v>58295</v>
      </c>
      <c r="M10" s="89">
        <f t="shared" si="9"/>
        <v>0</v>
      </c>
      <c r="N10" s="88">
        <f>SUM(K10:M10)</f>
        <v>115465</v>
      </c>
      <c r="O10" s="88">
        <v>1125709</v>
      </c>
      <c r="P10" s="89">
        <v>270876</v>
      </c>
      <c r="Q10" s="89">
        <v>126812</v>
      </c>
      <c r="R10" s="88">
        <f>SUM(O10:Q10)</f>
        <v>1523397</v>
      </c>
      <c r="S10" s="89">
        <v>27267</v>
      </c>
      <c r="T10" s="89">
        <v>22377</v>
      </c>
      <c r="U10" s="89"/>
      <c r="V10" s="89">
        <f>SUM(S10:U10)</f>
        <v>49644</v>
      </c>
      <c r="W10" s="89">
        <f t="shared" si="0"/>
        <v>1152976</v>
      </c>
      <c r="X10" s="89">
        <f t="shared" si="0"/>
        <v>293253</v>
      </c>
      <c r="Y10" s="89">
        <f t="shared" si="0"/>
        <v>126812</v>
      </c>
      <c r="Z10" s="88">
        <f>SUM(W10:Y10)</f>
        <v>1573041</v>
      </c>
      <c r="AA10" s="90">
        <f t="shared" si="1"/>
        <v>1183682</v>
      </c>
      <c r="AB10" s="91">
        <f t="shared" si="1"/>
        <v>327750</v>
      </c>
      <c r="AC10" s="92">
        <f t="shared" si="2"/>
        <v>126812</v>
      </c>
      <c r="AD10" s="93">
        <f>SUM(AA10:AC10)</f>
        <v>1638244</v>
      </c>
      <c r="AE10" s="90">
        <f t="shared" si="3"/>
        <v>26464</v>
      </c>
      <c r="AF10" s="91">
        <f t="shared" si="3"/>
        <v>23798</v>
      </c>
      <c r="AG10" s="92">
        <f t="shared" si="4"/>
        <v>0</v>
      </c>
      <c r="AH10" s="93">
        <f t="shared" si="5"/>
        <v>50262</v>
      </c>
      <c r="AI10" s="90">
        <f t="shared" si="6"/>
        <v>1210146</v>
      </c>
      <c r="AJ10" s="91">
        <f t="shared" si="6"/>
        <v>351548</v>
      </c>
      <c r="AK10" s="92">
        <f t="shared" si="7"/>
        <v>126812</v>
      </c>
      <c r="AL10" s="93">
        <f t="shared" si="8"/>
        <v>1688506</v>
      </c>
    </row>
    <row r="11" spans="1:38" x14ac:dyDescent="0.25">
      <c r="A11" s="94" t="s">
        <v>30</v>
      </c>
      <c r="B11" s="94" t="s">
        <v>166</v>
      </c>
      <c r="C11" s="88">
        <v>2674411</v>
      </c>
      <c r="D11" s="89">
        <v>5527762</v>
      </c>
      <c r="E11" s="89">
        <v>0</v>
      </c>
      <c r="F11" s="88">
        <f>SUM(C11:E11)</f>
        <v>8202173</v>
      </c>
      <c r="G11" s="89">
        <f>-13+298+343+438+1793+1968-4107+3615+185216-4400+1889+120+139-39616+55468+23811+18301+2832+15945+39102+5214+13130+33824+8149-3264-73742+32017+4356-38626+776-31933+863-53+5588+5000+305+100000+10743+16829-13000-3829+127000</f>
        <v>502489</v>
      </c>
      <c r="H11" s="89">
        <f>44508-164433-954+2+18517-50+27500+40000+193-4052+583+73579+8999+54837+15000+119-160-48+117</f>
        <v>114257</v>
      </c>
      <c r="I11" s="89"/>
      <c r="J11" s="88">
        <f t="shared" ref="J11:J20" si="10">SUM(G11:I11)</f>
        <v>616746</v>
      </c>
      <c r="K11" s="89">
        <f t="shared" ref="K11:K13" si="11">SUM(C11+G11)</f>
        <v>3176900</v>
      </c>
      <c r="L11" s="89">
        <f t="shared" ref="L11:L13" si="12">SUM(D11+H11)</f>
        <v>5642019</v>
      </c>
      <c r="M11" s="89">
        <f t="shared" ref="M11:M13" si="13">SUM(E11+I11)</f>
        <v>0</v>
      </c>
      <c r="N11" s="88">
        <f t="shared" ref="N11:N13" si="14">SUM(K11:M11)</f>
        <v>8818919</v>
      </c>
      <c r="O11" s="88">
        <v>3769696</v>
      </c>
      <c r="P11" s="89">
        <v>886682</v>
      </c>
      <c r="Q11" s="89">
        <v>167096</v>
      </c>
      <c r="R11" s="88">
        <f>SUM(O11:Q11)</f>
        <v>4823474</v>
      </c>
      <c r="S11" s="89">
        <v>266492</v>
      </c>
      <c r="T11" s="89">
        <v>136222</v>
      </c>
      <c r="U11" s="89">
        <v>4567</v>
      </c>
      <c r="V11" s="89">
        <f t="shared" ref="V11:V20" si="15">SUM(S11:U11)</f>
        <v>407281</v>
      </c>
      <c r="W11" s="89">
        <f t="shared" ref="W11:W13" si="16">SUM(O11+S11)</f>
        <v>4036188</v>
      </c>
      <c r="X11" s="89">
        <f t="shared" ref="X11:X13" si="17">SUM(P11+T11)</f>
        <v>1022904</v>
      </c>
      <c r="Y11" s="89">
        <f t="shared" ref="Y11:Y13" si="18">SUM(Q11+U11)</f>
        <v>171663</v>
      </c>
      <c r="Z11" s="88">
        <f t="shared" ref="Z11:Z13" si="19">SUM(W11:Y11)</f>
        <v>5230755</v>
      </c>
      <c r="AA11" s="90">
        <f t="shared" si="1"/>
        <v>6444107</v>
      </c>
      <c r="AB11" s="91">
        <f t="shared" si="1"/>
        <v>6414444</v>
      </c>
      <c r="AC11" s="92">
        <f t="shared" si="2"/>
        <v>167096</v>
      </c>
      <c r="AD11" s="93">
        <f>SUM(AA11:AC11)</f>
        <v>13025647</v>
      </c>
      <c r="AE11" s="90">
        <f t="shared" si="3"/>
        <v>768981</v>
      </c>
      <c r="AF11" s="91">
        <f t="shared" si="3"/>
        <v>250479</v>
      </c>
      <c r="AG11" s="92">
        <f t="shared" si="4"/>
        <v>4567</v>
      </c>
      <c r="AH11" s="93">
        <f t="shared" si="5"/>
        <v>1024027</v>
      </c>
      <c r="AI11" s="90">
        <f t="shared" si="6"/>
        <v>7213088</v>
      </c>
      <c r="AJ11" s="91">
        <f t="shared" si="6"/>
        <v>6664923</v>
      </c>
      <c r="AK11" s="92">
        <f t="shared" si="7"/>
        <v>171663</v>
      </c>
      <c r="AL11" s="93">
        <f t="shared" si="8"/>
        <v>14049674</v>
      </c>
    </row>
    <row r="12" spans="1:38" x14ac:dyDescent="0.25">
      <c r="A12" s="94" t="s">
        <v>514</v>
      </c>
      <c r="B12" s="94" t="s">
        <v>167</v>
      </c>
      <c r="C12" s="88">
        <v>41014</v>
      </c>
      <c r="D12" s="89">
        <v>0</v>
      </c>
      <c r="E12" s="89">
        <v>0</v>
      </c>
      <c r="F12" s="88">
        <f>SUM(C12:E12)</f>
        <v>41014</v>
      </c>
      <c r="G12" s="88">
        <v>7645</v>
      </c>
      <c r="H12" s="88"/>
      <c r="I12" s="88"/>
      <c r="J12" s="88">
        <f t="shared" si="10"/>
        <v>7645</v>
      </c>
      <c r="K12" s="89">
        <f t="shared" si="11"/>
        <v>48659</v>
      </c>
      <c r="L12" s="89">
        <f t="shared" si="12"/>
        <v>0</v>
      </c>
      <c r="M12" s="89">
        <f t="shared" si="13"/>
        <v>0</v>
      </c>
      <c r="N12" s="88">
        <f t="shared" si="14"/>
        <v>48659</v>
      </c>
      <c r="O12" s="88">
        <v>10000</v>
      </c>
      <c r="P12" s="95">
        <v>0</v>
      </c>
      <c r="Q12" s="95">
        <v>0</v>
      </c>
      <c r="R12" s="81">
        <f>SUM(O12:Q12)</f>
        <v>10000</v>
      </c>
      <c r="S12" s="81">
        <v>63194</v>
      </c>
      <c r="T12" s="81">
        <v>0</v>
      </c>
      <c r="U12" s="81">
        <v>0</v>
      </c>
      <c r="V12" s="89">
        <f t="shared" si="15"/>
        <v>63194</v>
      </c>
      <c r="W12" s="89">
        <f t="shared" si="16"/>
        <v>73194</v>
      </c>
      <c r="X12" s="89">
        <f t="shared" si="17"/>
        <v>0</v>
      </c>
      <c r="Y12" s="89">
        <f t="shared" si="18"/>
        <v>0</v>
      </c>
      <c r="Z12" s="88">
        <f t="shared" si="19"/>
        <v>73194</v>
      </c>
      <c r="AA12" s="96">
        <f t="shared" si="1"/>
        <v>51014</v>
      </c>
      <c r="AB12" s="97">
        <f t="shared" si="1"/>
        <v>0</v>
      </c>
      <c r="AC12" s="92">
        <f>SUM(Q12+E12)</f>
        <v>0</v>
      </c>
      <c r="AD12" s="98">
        <f>SUM(AA12:AC12)</f>
        <v>51014</v>
      </c>
      <c r="AE12" s="96">
        <f t="shared" si="3"/>
        <v>70839</v>
      </c>
      <c r="AF12" s="97">
        <f t="shared" si="3"/>
        <v>0</v>
      </c>
      <c r="AG12" s="92">
        <f t="shared" si="4"/>
        <v>0</v>
      </c>
      <c r="AH12" s="98">
        <f t="shared" si="5"/>
        <v>70839</v>
      </c>
      <c r="AI12" s="96">
        <f t="shared" si="6"/>
        <v>121853</v>
      </c>
      <c r="AJ12" s="97">
        <f t="shared" si="6"/>
        <v>0</v>
      </c>
      <c r="AK12" s="92">
        <f t="shared" si="7"/>
        <v>0</v>
      </c>
      <c r="AL12" s="98">
        <f t="shared" si="8"/>
        <v>121853</v>
      </c>
    </row>
    <row r="13" spans="1:38" ht="31.5" x14ac:dyDescent="0.25">
      <c r="A13" s="87" t="s">
        <v>191</v>
      </c>
      <c r="B13" s="87" t="s">
        <v>331</v>
      </c>
      <c r="C13" s="88">
        <v>10992580</v>
      </c>
      <c r="D13" s="89">
        <v>2709279</v>
      </c>
      <c r="E13" s="89">
        <v>0</v>
      </c>
      <c r="F13" s="88">
        <f>SUM(C13:E13)</f>
        <v>13701859</v>
      </c>
      <c r="G13" s="89">
        <f>150000+10242+87102+368</f>
        <v>247712</v>
      </c>
      <c r="H13" s="89">
        <f>164433+50+5000-3500-50000+250+500+2483-3446-1087+1000-1098-500-2400+1000-150-21000-600-1221-562-115+800+2000+30000+2540-400-2477-1248+2286+2000-70000+3406+10000-6457-1500-45-2621-60-50-50-100-100-200-100-300-100-50-50-820-2100</f>
        <v>53241</v>
      </c>
      <c r="I13" s="89"/>
      <c r="J13" s="88">
        <f t="shared" si="10"/>
        <v>300953</v>
      </c>
      <c r="K13" s="89">
        <f t="shared" si="11"/>
        <v>11240292</v>
      </c>
      <c r="L13" s="89">
        <f t="shared" si="12"/>
        <v>2762520</v>
      </c>
      <c r="M13" s="89">
        <f t="shared" si="13"/>
        <v>0</v>
      </c>
      <c r="N13" s="88">
        <f t="shared" si="14"/>
        <v>14002812</v>
      </c>
      <c r="O13" s="88">
        <v>0</v>
      </c>
      <c r="P13" s="89">
        <v>0</v>
      </c>
      <c r="Q13" s="89">
        <v>0</v>
      </c>
      <c r="R13" s="88">
        <f>SUM(O13:Q13)</f>
        <v>0</v>
      </c>
      <c r="S13" s="89">
        <v>20</v>
      </c>
      <c r="T13" s="89">
        <v>0</v>
      </c>
      <c r="U13" s="89">
        <v>0</v>
      </c>
      <c r="V13" s="89">
        <f t="shared" si="15"/>
        <v>20</v>
      </c>
      <c r="W13" s="89">
        <f t="shared" si="16"/>
        <v>20</v>
      </c>
      <c r="X13" s="89">
        <f t="shared" si="17"/>
        <v>0</v>
      </c>
      <c r="Y13" s="89">
        <f t="shared" si="18"/>
        <v>0</v>
      </c>
      <c r="Z13" s="88">
        <f t="shared" si="19"/>
        <v>20</v>
      </c>
      <c r="AA13" s="90">
        <f t="shared" si="1"/>
        <v>10992580</v>
      </c>
      <c r="AB13" s="91">
        <f t="shared" si="1"/>
        <v>2709279</v>
      </c>
      <c r="AC13" s="92">
        <f t="shared" si="2"/>
        <v>0</v>
      </c>
      <c r="AD13" s="93">
        <f>SUM(AA13:AC13)</f>
        <v>13701859</v>
      </c>
      <c r="AE13" s="90">
        <f t="shared" si="3"/>
        <v>247732</v>
      </c>
      <c r="AF13" s="91">
        <f t="shared" si="3"/>
        <v>53241</v>
      </c>
      <c r="AG13" s="92">
        <f t="shared" si="4"/>
        <v>0</v>
      </c>
      <c r="AH13" s="93">
        <f t="shared" si="5"/>
        <v>300973</v>
      </c>
      <c r="AI13" s="90">
        <f t="shared" si="6"/>
        <v>11240312</v>
      </c>
      <c r="AJ13" s="91">
        <f t="shared" si="6"/>
        <v>2762520</v>
      </c>
      <c r="AK13" s="92">
        <f t="shared" si="7"/>
        <v>0</v>
      </c>
      <c r="AL13" s="93">
        <f t="shared" si="8"/>
        <v>14002832</v>
      </c>
    </row>
    <row r="14" spans="1:38" ht="31.5" x14ac:dyDescent="0.25">
      <c r="A14" s="342" t="s">
        <v>373</v>
      </c>
      <c r="B14" s="99"/>
      <c r="C14" s="100">
        <f>SUM(C9:C13)</f>
        <v>14059309</v>
      </c>
      <c r="D14" s="100">
        <f t="shared" ref="D14:AD14" si="20">SUM(D9:D13)</f>
        <v>8479214</v>
      </c>
      <c r="E14" s="100">
        <f>SUM(E9:E13)</f>
        <v>0</v>
      </c>
      <c r="F14" s="100">
        <f t="shared" si="20"/>
        <v>22538523</v>
      </c>
      <c r="G14" s="100">
        <f t="shared" si="20"/>
        <v>751911</v>
      </c>
      <c r="H14" s="100">
        <f t="shared" si="20"/>
        <v>167725</v>
      </c>
      <c r="I14" s="100">
        <f t="shared" si="20"/>
        <v>0</v>
      </c>
      <c r="J14" s="100">
        <f t="shared" si="20"/>
        <v>919636</v>
      </c>
      <c r="K14" s="100">
        <f t="shared" si="20"/>
        <v>14811220</v>
      </c>
      <c r="L14" s="100">
        <f t="shared" si="20"/>
        <v>8646939</v>
      </c>
      <c r="M14" s="100">
        <f t="shared" si="20"/>
        <v>0</v>
      </c>
      <c r="N14" s="100">
        <f t="shared" si="20"/>
        <v>23458159</v>
      </c>
      <c r="O14" s="100">
        <f t="shared" si="20"/>
        <v>10296776</v>
      </c>
      <c r="P14" s="100">
        <f t="shared" si="20"/>
        <v>2462847</v>
      </c>
      <c r="Q14" s="100">
        <f t="shared" si="20"/>
        <v>912599</v>
      </c>
      <c r="R14" s="100">
        <f t="shared" si="20"/>
        <v>13672222</v>
      </c>
      <c r="S14" s="100">
        <f t="shared" si="20"/>
        <v>496104</v>
      </c>
      <c r="T14" s="100">
        <f t="shared" si="20"/>
        <v>230647</v>
      </c>
      <c r="U14" s="100">
        <f t="shared" si="20"/>
        <v>4567</v>
      </c>
      <c r="V14" s="100">
        <f t="shared" si="20"/>
        <v>731318</v>
      </c>
      <c r="W14" s="100">
        <f t="shared" si="20"/>
        <v>10792880</v>
      </c>
      <c r="X14" s="100">
        <f t="shared" si="20"/>
        <v>2693494</v>
      </c>
      <c r="Y14" s="100">
        <f t="shared" si="20"/>
        <v>917166</v>
      </c>
      <c r="Z14" s="100">
        <f t="shared" si="20"/>
        <v>14403540</v>
      </c>
      <c r="AA14" s="100">
        <f t="shared" si="20"/>
        <v>24356085</v>
      </c>
      <c r="AB14" s="100">
        <f t="shared" si="20"/>
        <v>10942061</v>
      </c>
      <c r="AC14" s="100">
        <f t="shared" si="20"/>
        <v>912599</v>
      </c>
      <c r="AD14" s="100">
        <f t="shared" si="20"/>
        <v>36210745</v>
      </c>
      <c r="AE14" s="100">
        <f t="shared" ref="AE14:AL14" si="21">SUM(AE9:AE13)</f>
        <v>1248015</v>
      </c>
      <c r="AF14" s="100">
        <f t="shared" si="21"/>
        <v>398372</v>
      </c>
      <c r="AG14" s="100">
        <f t="shared" si="21"/>
        <v>4567</v>
      </c>
      <c r="AH14" s="100">
        <f t="shared" si="21"/>
        <v>1650954</v>
      </c>
      <c r="AI14" s="100">
        <f t="shared" si="21"/>
        <v>25604100</v>
      </c>
      <c r="AJ14" s="100">
        <f t="shared" si="21"/>
        <v>11340433</v>
      </c>
      <c r="AK14" s="100">
        <f t="shared" si="21"/>
        <v>917166</v>
      </c>
      <c r="AL14" s="100">
        <f t="shared" si="21"/>
        <v>37861699</v>
      </c>
    </row>
    <row r="15" spans="1:38" x14ac:dyDescent="0.25">
      <c r="A15" s="94" t="s">
        <v>171</v>
      </c>
      <c r="B15" s="94" t="s">
        <v>168</v>
      </c>
      <c r="C15" s="88">
        <v>7055199</v>
      </c>
      <c r="D15" s="89">
        <v>21405879</v>
      </c>
      <c r="E15" s="89">
        <v>0</v>
      </c>
      <c r="F15" s="89">
        <f>SUM(C15:E15)</f>
        <v>28461078</v>
      </c>
      <c r="G15" s="89">
        <f>13+65000+29703+19236+5706+11222+13764+4144+78+44794+11205+1372+395+3615+1800+127+2738+11115+188+23000+4100-4100+13555-13555+13389-17004-185216+393730-1889-120-139+37416-55468-23811-18301-2832-15945-39102-5214-13130-33824-5863+3264+78234-32017-4356+38626-776+35133-863+53+262211+2264+30163+6755+26000+3426+250+3988-200000</f>
        <v>528247</v>
      </c>
      <c r="H15" s="89">
        <f>954-11486+3000-2869-73579-8999-54837+21590+105000+12840+1221</f>
        <v>-7165</v>
      </c>
      <c r="I15" s="89"/>
      <c r="J15" s="88">
        <f t="shared" si="10"/>
        <v>521082</v>
      </c>
      <c r="K15" s="89">
        <f t="shared" ref="K15:K17" si="22">SUM(C15+G15)</f>
        <v>7583446</v>
      </c>
      <c r="L15" s="89">
        <f t="shared" ref="L15:L17" si="23">SUM(D15+H15)</f>
        <v>21398714</v>
      </c>
      <c r="M15" s="89">
        <f t="shared" ref="M15:M17" si="24">SUM(E15+I15)</f>
        <v>0</v>
      </c>
      <c r="N15" s="88">
        <f t="shared" ref="N15:N17" si="25">SUM(K15:M15)</f>
        <v>28982160</v>
      </c>
      <c r="O15" s="88">
        <v>133403</v>
      </c>
      <c r="P15" s="89">
        <v>16975</v>
      </c>
      <c r="Q15" s="89">
        <v>102709</v>
      </c>
      <c r="R15" s="89">
        <f>SUM(O15:Q15)</f>
        <v>253087</v>
      </c>
      <c r="S15" s="89">
        <v>19007</v>
      </c>
      <c r="T15" s="89">
        <v>1455</v>
      </c>
      <c r="U15" s="89">
        <v>-28842</v>
      </c>
      <c r="V15" s="89">
        <f t="shared" si="15"/>
        <v>-8380</v>
      </c>
      <c r="W15" s="89">
        <f t="shared" ref="W15:W17" si="26">SUM(O15+S15)</f>
        <v>152410</v>
      </c>
      <c r="X15" s="89">
        <f t="shared" ref="X15:X17" si="27">SUM(P15+T15)</f>
        <v>18430</v>
      </c>
      <c r="Y15" s="89">
        <f t="shared" ref="Y15:Y17" si="28">SUM(Q15+U15)</f>
        <v>73867</v>
      </c>
      <c r="Z15" s="88">
        <f t="shared" ref="Z15:Z17" si="29">SUM(W15:Y15)</f>
        <v>244707</v>
      </c>
      <c r="AA15" s="90">
        <f t="shared" ref="AA15:AB17" si="30">+C15+O15</f>
        <v>7188602</v>
      </c>
      <c r="AB15" s="91">
        <f t="shared" si="30"/>
        <v>21422854</v>
      </c>
      <c r="AC15" s="92">
        <f t="shared" si="2"/>
        <v>102709</v>
      </c>
      <c r="AD15" s="93">
        <f>SUM(AA15:AC15)</f>
        <v>28714165</v>
      </c>
      <c r="AE15" s="90">
        <f t="shared" ref="AE15:AF17" si="31">+G15+S15</f>
        <v>547254</v>
      </c>
      <c r="AF15" s="91">
        <f t="shared" si="31"/>
        <v>-5710</v>
      </c>
      <c r="AG15" s="92">
        <f t="shared" ref="AG15:AG20" si="32">SUM(U15+I15)</f>
        <v>-28842</v>
      </c>
      <c r="AH15" s="93">
        <f t="shared" ref="AH15:AH17" si="33">SUM(AE15:AG15)</f>
        <v>512702</v>
      </c>
      <c r="AI15" s="90">
        <f t="shared" ref="AI15:AJ17" si="34">+K15+W15</f>
        <v>7735856</v>
      </c>
      <c r="AJ15" s="91">
        <f t="shared" si="34"/>
        <v>21417144</v>
      </c>
      <c r="AK15" s="92">
        <f t="shared" ref="AK15:AK20" si="35">SUM(Y15+M15)</f>
        <v>73867</v>
      </c>
      <c r="AL15" s="93">
        <f t="shared" ref="AL15:AL17" si="36">SUM(AI15:AK15)</f>
        <v>29226867</v>
      </c>
    </row>
    <row r="16" spans="1:38" x14ac:dyDescent="0.25">
      <c r="A16" s="94" t="s">
        <v>172</v>
      </c>
      <c r="B16" s="94" t="s">
        <v>169</v>
      </c>
      <c r="C16" s="88">
        <v>2141085</v>
      </c>
      <c r="D16" s="89">
        <v>2389862</v>
      </c>
      <c r="E16" s="89">
        <v>0</v>
      </c>
      <c r="F16" s="89">
        <f>SUM(C16:E16)</f>
        <v>4530947</v>
      </c>
      <c r="G16" s="89">
        <f>1876-1876+1824+1634-3458+1556-1556-201804-29703-19236-6144-13015-15732-4222-44794-11205-1372-395-3615+2307-127+5756+3300+2200-262211+100000</f>
        <v>-500012</v>
      </c>
      <c r="H16" s="89">
        <v>-21590</v>
      </c>
      <c r="I16" s="89"/>
      <c r="J16" s="89">
        <f t="shared" si="10"/>
        <v>-521602</v>
      </c>
      <c r="K16" s="89">
        <f t="shared" si="22"/>
        <v>1641073</v>
      </c>
      <c r="L16" s="89">
        <f t="shared" si="23"/>
        <v>2368272</v>
      </c>
      <c r="M16" s="89">
        <f t="shared" si="24"/>
        <v>0</v>
      </c>
      <c r="N16" s="88">
        <f t="shared" si="25"/>
        <v>4009345</v>
      </c>
      <c r="O16" s="88">
        <v>13848</v>
      </c>
      <c r="P16" s="89">
        <v>4791</v>
      </c>
      <c r="Q16" s="89">
        <v>8665</v>
      </c>
      <c r="R16" s="89">
        <f>SUM(O16:Q16)</f>
        <v>27304</v>
      </c>
      <c r="S16" s="89">
        <v>-873</v>
      </c>
      <c r="T16" s="89">
        <v>1139</v>
      </c>
      <c r="U16" s="89">
        <v>-627</v>
      </c>
      <c r="V16" s="89">
        <f t="shared" si="15"/>
        <v>-361</v>
      </c>
      <c r="W16" s="89">
        <f t="shared" si="26"/>
        <v>12975</v>
      </c>
      <c r="X16" s="89">
        <f t="shared" si="27"/>
        <v>5930</v>
      </c>
      <c r="Y16" s="89">
        <f t="shared" si="28"/>
        <v>8038</v>
      </c>
      <c r="Z16" s="88">
        <f t="shared" si="29"/>
        <v>26943</v>
      </c>
      <c r="AA16" s="90">
        <f t="shared" si="30"/>
        <v>2154933</v>
      </c>
      <c r="AB16" s="91">
        <f t="shared" si="30"/>
        <v>2394653</v>
      </c>
      <c r="AC16" s="92">
        <f t="shared" si="2"/>
        <v>8665</v>
      </c>
      <c r="AD16" s="93">
        <f>SUM(AA16:AC16)</f>
        <v>4558251</v>
      </c>
      <c r="AE16" s="90">
        <f t="shared" si="31"/>
        <v>-500885</v>
      </c>
      <c r="AF16" s="91">
        <f t="shared" si="31"/>
        <v>-20451</v>
      </c>
      <c r="AG16" s="92">
        <f t="shared" si="32"/>
        <v>-627</v>
      </c>
      <c r="AH16" s="93">
        <f t="shared" si="33"/>
        <v>-521963</v>
      </c>
      <c r="AI16" s="90">
        <f t="shared" si="34"/>
        <v>1654048</v>
      </c>
      <c r="AJ16" s="91">
        <f t="shared" si="34"/>
        <v>2374202</v>
      </c>
      <c r="AK16" s="92">
        <f t="shared" si="35"/>
        <v>8038</v>
      </c>
      <c r="AL16" s="93">
        <f t="shared" si="36"/>
        <v>4036288</v>
      </c>
    </row>
    <row r="17" spans="1:38" x14ac:dyDescent="0.25">
      <c r="A17" s="94" t="s">
        <v>282</v>
      </c>
      <c r="B17" s="94" t="s">
        <v>170</v>
      </c>
      <c r="C17" s="88">
        <v>3950</v>
      </c>
      <c r="D17" s="89">
        <v>970147</v>
      </c>
      <c r="E17" s="89">
        <v>0</v>
      </c>
      <c r="F17" s="89">
        <f>SUM(C17:E17)</f>
        <v>974097</v>
      </c>
      <c r="G17" s="89">
        <v>201461</v>
      </c>
      <c r="H17" s="89">
        <f>-5000+3500+50000+2400+10000+21000+70000+6457+1500+350+820+2100</f>
        <v>163127</v>
      </c>
      <c r="I17" s="89"/>
      <c r="J17" s="89">
        <f t="shared" si="10"/>
        <v>364588</v>
      </c>
      <c r="K17" s="89">
        <f t="shared" si="22"/>
        <v>205411</v>
      </c>
      <c r="L17" s="89">
        <f t="shared" si="23"/>
        <v>1133274</v>
      </c>
      <c r="M17" s="89">
        <f t="shared" si="24"/>
        <v>0</v>
      </c>
      <c r="N17" s="88">
        <f t="shared" si="25"/>
        <v>1338685</v>
      </c>
      <c r="O17" s="88">
        <v>0</v>
      </c>
      <c r="P17" s="89">
        <v>0</v>
      </c>
      <c r="Q17" s="89">
        <v>0</v>
      </c>
      <c r="R17" s="89">
        <f>SUM(O17:Q17)</f>
        <v>0</v>
      </c>
      <c r="S17" s="89">
        <v>0</v>
      </c>
      <c r="T17" s="89">
        <v>0</v>
      </c>
      <c r="U17" s="89">
        <v>0</v>
      </c>
      <c r="V17" s="89">
        <f t="shared" si="15"/>
        <v>0</v>
      </c>
      <c r="W17" s="89">
        <f t="shared" si="26"/>
        <v>0</v>
      </c>
      <c r="X17" s="89">
        <f t="shared" si="27"/>
        <v>0</v>
      </c>
      <c r="Y17" s="89">
        <f t="shared" si="28"/>
        <v>0</v>
      </c>
      <c r="Z17" s="88">
        <f t="shared" si="29"/>
        <v>0</v>
      </c>
      <c r="AA17" s="90">
        <f t="shared" si="30"/>
        <v>3950</v>
      </c>
      <c r="AB17" s="91">
        <f t="shared" si="30"/>
        <v>970147</v>
      </c>
      <c r="AC17" s="92">
        <f t="shared" si="2"/>
        <v>0</v>
      </c>
      <c r="AD17" s="93">
        <f>SUM(AA17:AC17)</f>
        <v>974097</v>
      </c>
      <c r="AE17" s="90">
        <f t="shared" si="31"/>
        <v>201461</v>
      </c>
      <c r="AF17" s="91">
        <f t="shared" si="31"/>
        <v>163127</v>
      </c>
      <c r="AG17" s="92">
        <f t="shared" si="32"/>
        <v>0</v>
      </c>
      <c r="AH17" s="93">
        <f t="shared" si="33"/>
        <v>364588</v>
      </c>
      <c r="AI17" s="90">
        <f t="shared" si="34"/>
        <v>205411</v>
      </c>
      <c r="AJ17" s="91">
        <f t="shared" si="34"/>
        <v>1133274</v>
      </c>
      <c r="AK17" s="92">
        <f t="shared" si="35"/>
        <v>0</v>
      </c>
      <c r="AL17" s="93">
        <f t="shared" si="36"/>
        <v>1338685</v>
      </c>
    </row>
    <row r="18" spans="1:38" ht="31.5" x14ac:dyDescent="0.25">
      <c r="A18" s="342" t="s">
        <v>374</v>
      </c>
      <c r="B18" s="193"/>
      <c r="C18" s="101">
        <f t="shared" ref="C18:AB18" si="37">SUM(C15:C17)</f>
        <v>9200234</v>
      </c>
      <c r="D18" s="101">
        <f t="shared" si="37"/>
        <v>24765888</v>
      </c>
      <c r="E18" s="101">
        <f t="shared" si="37"/>
        <v>0</v>
      </c>
      <c r="F18" s="101">
        <f t="shared" si="37"/>
        <v>33966122</v>
      </c>
      <c r="G18" s="101">
        <f t="shared" si="37"/>
        <v>229696</v>
      </c>
      <c r="H18" s="101">
        <f t="shared" si="37"/>
        <v>134372</v>
      </c>
      <c r="I18" s="101">
        <f t="shared" si="37"/>
        <v>0</v>
      </c>
      <c r="J18" s="101">
        <f t="shared" si="37"/>
        <v>364068</v>
      </c>
      <c r="K18" s="101">
        <f t="shared" si="37"/>
        <v>9429930</v>
      </c>
      <c r="L18" s="101">
        <f t="shared" si="37"/>
        <v>24900260</v>
      </c>
      <c r="M18" s="101">
        <f t="shared" si="37"/>
        <v>0</v>
      </c>
      <c r="N18" s="100">
        <f t="shared" si="37"/>
        <v>34330190</v>
      </c>
      <c r="O18" s="100">
        <f t="shared" si="37"/>
        <v>147251</v>
      </c>
      <c r="P18" s="101">
        <f t="shared" si="37"/>
        <v>21766</v>
      </c>
      <c r="Q18" s="101">
        <f t="shared" si="37"/>
        <v>111374</v>
      </c>
      <c r="R18" s="101">
        <f t="shared" si="37"/>
        <v>280391</v>
      </c>
      <c r="S18" s="101">
        <f t="shared" si="37"/>
        <v>18134</v>
      </c>
      <c r="T18" s="101">
        <f t="shared" si="37"/>
        <v>2594</v>
      </c>
      <c r="U18" s="101">
        <f t="shared" si="37"/>
        <v>-29469</v>
      </c>
      <c r="V18" s="101">
        <f t="shared" si="37"/>
        <v>-8741</v>
      </c>
      <c r="W18" s="101">
        <f t="shared" si="37"/>
        <v>165385</v>
      </c>
      <c r="X18" s="101">
        <f t="shared" si="37"/>
        <v>24360</v>
      </c>
      <c r="Y18" s="101">
        <f t="shared" si="37"/>
        <v>81905</v>
      </c>
      <c r="Z18" s="100">
        <f t="shared" si="37"/>
        <v>271650</v>
      </c>
      <c r="AA18" s="101">
        <f t="shared" si="37"/>
        <v>9347485</v>
      </c>
      <c r="AB18" s="102">
        <f t="shared" si="37"/>
        <v>24787654</v>
      </c>
      <c r="AC18" s="92">
        <f t="shared" si="2"/>
        <v>111374</v>
      </c>
      <c r="AD18" s="103">
        <f>SUM(AD15:AD17)</f>
        <v>34246513</v>
      </c>
      <c r="AE18" s="101">
        <f t="shared" ref="AE18:AF18" si="38">SUM(AE15:AE17)</f>
        <v>247830</v>
      </c>
      <c r="AF18" s="102">
        <f t="shared" si="38"/>
        <v>136966</v>
      </c>
      <c r="AG18" s="92">
        <f t="shared" si="32"/>
        <v>-29469</v>
      </c>
      <c r="AH18" s="103">
        <f t="shared" ref="AH18:AJ18" si="39">SUM(AH15:AH17)</f>
        <v>355327</v>
      </c>
      <c r="AI18" s="101">
        <f t="shared" si="39"/>
        <v>9595315</v>
      </c>
      <c r="AJ18" s="102">
        <f t="shared" si="39"/>
        <v>24924620</v>
      </c>
      <c r="AK18" s="92">
        <f t="shared" si="35"/>
        <v>81905</v>
      </c>
      <c r="AL18" s="103">
        <f t="shared" ref="AL18" si="40">SUM(AL15:AL17)</f>
        <v>34601840</v>
      </c>
    </row>
    <row r="19" spans="1:38" x14ac:dyDescent="0.25">
      <c r="A19" s="214" t="s">
        <v>218</v>
      </c>
      <c r="B19" s="94"/>
      <c r="C19" s="88">
        <v>0</v>
      </c>
      <c r="D19" s="89">
        <v>109885</v>
      </c>
      <c r="E19" s="89"/>
      <c r="F19" s="89">
        <f>SUM(C19:E19)</f>
        <v>109885</v>
      </c>
      <c r="G19" s="89"/>
      <c r="H19" s="89">
        <v>-36597</v>
      </c>
      <c r="I19" s="89"/>
      <c r="J19" s="89">
        <f t="shared" si="10"/>
        <v>-36597</v>
      </c>
      <c r="K19" s="89">
        <f t="shared" ref="K19:K20" si="41">SUM(C19+G19)</f>
        <v>0</v>
      </c>
      <c r="L19" s="89">
        <f t="shared" ref="L19:L20" si="42">SUM(D19+H19)</f>
        <v>73288</v>
      </c>
      <c r="M19" s="89">
        <f t="shared" ref="M19:M20" si="43">SUM(E19+I19)</f>
        <v>0</v>
      </c>
      <c r="N19" s="88">
        <f t="shared" ref="N19:N20" si="44">SUM(K19:M19)</f>
        <v>73288</v>
      </c>
      <c r="O19" s="88">
        <v>0</v>
      </c>
      <c r="P19" s="89">
        <v>0</v>
      </c>
      <c r="Q19" s="89">
        <v>0</v>
      </c>
      <c r="R19" s="89">
        <f>SUM(O19:Q19)</f>
        <v>0</v>
      </c>
      <c r="S19" s="89">
        <v>0</v>
      </c>
      <c r="T19" s="89">
        <v>0</v>
      </c>
      <c r="U19" s="89">
        <v>0</v>
      </c>
      <c r="V19" s="89">
        <f t="shared" si="15"/>
        <v>0</v>
      </c>
      <c r="W19" s="89">
        <f t="shared" ref="W19:W20" si="45">SUM(O19+S19)</f>
        <v>0</v>
      </c>
      <c r="X19" s="89">
        <f t="shared" ref="X19:X20" si="46">SUM(P19+T19)</f>
        <v>0</v>
      </c>
      <c r="Y19" s="89">
        <f t="shared" ref="Y19:Y20" si="47">SUM(Q19+U19)</f>
        <v>0</v>
      </c>
      <c r="Z19" s="88">
        <f t="shared" ref="Z19:Z20" si="48">SUM(W19:Y19)</f>
        <v>0</v>
      </c>
      <c r="AA19" s="90">
        <f>+C19+O19</f>
        <v>0</v>
      </c>
      <c r="AB19" s="91">
        <f>+D19+P19</f>
        <v>109885</v>
      </c>
      <c r="AC19" s="92">
        <f t="shared" si="2"/>
        <v>0</v>
      </c>
      <c r="AD19" s="93">
        <f>SUM(AA19:AC19)</f>
        <v>109885</v>
      </c>
      <c r="AE19" s="90">
        <f t="shared" ref="AE19:AF20" si="49">+G19+S19</f>
        <v>0</v>
      </c>
      <c r="AF19" s="91">
        <f t="shared" si="49"/>
        <v>-36597</v>
      </c>
      <c r="AG19" s="92">
        <f t="shared" si="32"/>
        <v>0</v>
      </c>
      <c r="AH19" s="93">
        <f t="shared" ref="AH19:AH20" si="50">SUM(AE19:AG19)</f>
        <v>-36597</v>
      </c>
      <c r="AI19" s="90">
        <f t="shared" ref="AI19:AJ20" si="51">+K19+W19</f>
        <v>0</v>
      </c>
      <c r="AJ19" s="91">
        <f t="shared" si="51"/>
        <v>73288</v>
      </c>
      <c r="AK19" s="92">
        <f t="shared" si="35"/>
        <v>0</v>
      </c>
      <c r="AL19" s="93">
        <f t="shared" ref="AL19:AL20" si="52">SUM(AI19:AK19)</f>
        <v>73288</v>
      </c>
    </row>
    <row r="20" spans="1:38" x14ac:dyDescent="0.25">
      <c r="A20" s="214" t="s">
        <v>219</v>
      </c>
      <c r="B20" s="94"/>
      <c r="C20" s="88">
        <v>1902645</v>
      </c>
      <c r="D20" s="89">
        <v>182897</v>
      </c>
      <c r="E20" s="89">
        <v>0</v>
      </c>
      <c r="F20" s="89">
        <f>SUM(C20:E20)</f>
        <v>2085542</v>
      </c>
      <c r="G20" s="89">
        <v>618107</v>
      </c>
      <c r="H20" s="89">
        <v>-76128</v>
      </c>
      <c r="I20" s="89"/>
      <c r="J20" s="89">
        <f t="shared" si="10"/>
        <v>541979</v>
      </c>
      <c r="K20" s="89">
        <f t="shared" si="41"/>
        <v>2520752</v>
      </c>
      <c r="L20" s="89">
        <f t="shared" si="42"/>
        <v>106769</v>
      </c>
      <c r="M20" s="89">
        <f t="shared" si="43"/>
        <v>0</v>
      </c>
      <c r="N20" s="88">
        <f t="shared" si="44"/>
        <v>2627521</v>
      </c>
      <c r="O20" s="88">
        <v>0</v>
      </c>
      <c r="P20" s="89">
        <v>0</v>
      </c>
      <c r="Q20" s="89">
        <v>0</v>
      </c>
      <c r="R20" s="89">
        <f>SUM(O20:Q20)</f>
        <v>0</v>
      </c>
      <c r="S20" s="89">
        <v>0</v>
      </c>
      <c r="T20" s="89">
        <v>0</v>
      </c>
      <c r="U20" s="89">
        <v>0</v>
      </c>
      <c r="V20" s="89">
        <f t="shared" si="15"/>
        <v>0</v>
      </c>
      <c r="W20" s="89">
        <f t="shared" si="45"/>
        <v>0</v>
      </c>
      <c r="X20" s="89">
        <f t="shared" si="46"/>
        <v>0</v>
      </c>
      <c r="Y20" s="89">
        <f t="shared" si="47"/>
        <v>0</v>
      </c>
      <c r="Z20" s="88">
        <f t="shared" si="48"/>
        <v>0</v>
      </c>
      <c r="AA20" s="90">
        <f>+C20+O20</f>
        <v>1902645</v>
      </c>
      <c r="AB20" s="91">
        <f>+D20+P20</f>
        <v>182897</v>
      </c>
      <c r="AC20" s="92">
        <f t="shared" si="2"/>
        <v>0</v>
      </c>
      <c r="AD20" s="93">
        <f>SUM(AA20:AC20)</f>
        <v>2085542</v>
      </c>
      <c r="AE20" s="90">
        <f t="shared" si="49"/>
        <v>618107</v>
      </c>
      <c r="AF20" s="91">
        <f t="shared" si="49"/>
        <v>-76128</v>
      </c>
      <c r="AG20" s="92">
        <f t="shared" si="32"/>
        <v>0</v>
      </c>
      <c r="AH20" s="93">
        <f t="shared" si="50"/>
        <v>541979</v>
      </c>
      <c r="AI20" s="90">
        <f t="shared" si="51"/>
        <v>2520752</v>
      </c>
      <c r="AJ20" s="91">
        <f t="shared" si="51"/>
        <v>106769</v>
      </c>
      <c r="AK20" s="92">
        <f t="shared" si="35"/>
        <v>0</v>
      </c>
      <c r="AL20" s="93">
        <f t="shared" si="52"/>
        <v>2627521</v>
      </c>
    </row>
    <row r="21" spans="1:38" s="225" customFormat="1" ht="16.5" thickBot="1" x14ac:dyDescent="0.3">
      <c r="A21" s="219" t="s">
        <v>220</v>
      </c>
      <c r="B21" s="226" t="s">
        <v>332</v>
      </c>
      <c r="C21" s="227">
        <f>SUM(C19:C20)</f>
        <v>1902645</v>
      </c>
      <c r="D21" s="227">
        <f t="shared" ref="D21:AD21" si="53">SUM(D19:D20)</f>
        <v>292782</v>
      </c>
      <c r="E21" s="227">
        <f t="shared" si="53"/>
        <v>0</v>
      </c>
      <c r="F21" s="227">
        <f t="shared" si="53"/>
        <v>2195427</v>
      </c>
      <c r="G21" s="227">
        <f t="shared" ref="G21:N21" si="54">SUM(G19:G20)</f>
        <v>618107</v>
      </c>
      <c r="H21" s="227">
        <f t="shared" si="54"/>
        <v>-112725</v>
      </c>
      <c r="I21" s="227">
        <f t="shared" si="54"/>
        <v>0</v>
      </c>
      <c r="J21" s="227">
        <f t="shared" si="54"/>
        <v>505382</v>
      </c>
      <c r="K21" s="227">
        <f t="shared" si="54"/>
        <v>2520752</v>
      </c>
      <c r="L21" s="227">
        <f t="shared" si="54"/>
        <v>180057</v>
      </c>
      <c r="M21" s="227">
        <f t="shared" si="54"/>
        <v>0</v>
      </c>
      <c r="N21" s="227">
        <f t="shared" si="54"/>
        <v>2700809</v>
      </c>
      <c r="O21" s="227">
        <f t="shared" si="53"/>
        <v>0</v>
      </c>
      <c r="P21" s="227">
        <f t="shared" si="53"/>
        <v>0</v>
      </c>
      <c r="Q21" s="227">
        <f t="shared" si="53"/>
        <v>0</v>
      </c>
      <c r="R21" s="227">
        <f t="shared" si="53"/>
        <v>0</v>
      </c>
      <c r="S21" s="227">
        <f t="shared" ref="S21:Z21" si="55">SUM(S19:S20)</f>
        <v>0</v>
      </c>
      <c r="T21" s="227">
        <f t="shared" si="55"/>
        <v>0</v>
      </c>
      <c r="U21" s="227">
        <f t="shared" si="55"/>
        <v>0</v>
      </c>
      <c r="V21" s="227">
        <f t="shared" si="55"/>
        <v>0</v>
      </c>
      <c r="W21" s="227">
        <f t="shared" si="55"/>
        <v>0</v>
      </c>
      <c r="X21" s="227">
        <f t="shared" si="55"/>
        <v>0</v>
      </c>
      <c r="Y21" s="227">
        <f t="shared" si="55"/>
        <v>0</v>
      </c>
      <c r="Z21" s="227">
        <f t="shared" si="55"/>
        <v>0</v>
      </c>
      <c r="AA21" s="227">
        <f t="shared" si="53"/>
        <v>1902645</v>
      </c>
      <c r="AB21" s="227">
        <f t="shared" si="53"/>
        <v>292782</v>
      </c>
      <c r="AC21" s="227">
        <f t="shared" si="53"/>
        <v>0</v>
      </c>
      <c r="AD21" s="227">
        <f t="shared" si="53"/>
        <v>2195427</v>
      </c>
      <c r="AE21" s="227">
        <f t="shared" ref="AE21:AL21" si="56">SUM(AE19:AE20)</f>
        <v>618107</v>
      </c>
      <c r="AF21" s="227">
        <f t="shared" si="56"/>
        <v>-112725</v>
      </c>
      <c r="AG21" s="227">
        <f t="shared" si="56"/>
        <v>0</v>
      </c>
      <c r="AH21" s="227">
        <f t="shared" si="56"/>
        <v>505382</v>
      </c>
      <c r="AI21" s="227">
        <f t="shared" si="56"/>
        <v>2520752</v>
      </c>
      <c r="AJ21" s="227">
        <f t="shared" si="56"/>
        <v>180057</v>
      </c>
      <c r="AK21" s="227">
        <f t="shared" si="56"/>
        <v>0</v>
      </c>
      <c r="AL21" s="227">
        <f t="shared" si="56"/>
        <v>2700809</v>
      </c>
    </row>
    <row r="22" spans="1:38" ht="17.25" thickTop="1" thickBot="1" x14ac:dyDescent="0.3">
      <c r="A22" s="104" t="s">
        <v>221</v>
      </c>
      <c r="B22" s="196" t="s">
        <v>287</v>
      </c>
      <c r="C22" s="105">
        <f>+C21+C18+C14</f>
        <v>25162188</v>
      </c>
      <c r="D22" s="105">
        <f t="shared" ref="D22:AD22" si="57">+D21+D18+D14</f>
        <v>33537884</v>
      </c>
      <c r="E22" s="105">
        <f t="shared" si="57"/>
        <v>0</v>
      </c>
      <c r="F22" s="105">
        <f t="shared" si="57"/>
        <v>58700072</v>
      </c>
      <c r="G22" s="105">
        <f t="shared" ref="G22:N22" si="58">+G21+G18+G14</f>
        <v>1599714</v>
      </c>
      <c r="H22" s="105">
        <f t="shared" si="58"/>
        <v>189372</v>
      </c>
      <c r="I22" s="105">
        <f t="shared" si="58"/>
        <v>0</v>
      </c>
      <c r="J22" s="105">
        <f t="shared" si="58"/>
        <v>1789086</v>
      </c>
      <c r="K22" s="105">
        <f t="shared" si="58"/>
        <v>26761902</v>
      </c>
      <c r="L22" s="105">
        <f t="shared" si="58"/>
        <v>33727256</v>
      </c>
      <c r="M22" s="105">
        <f t="shared" si="58"/>
        <v>0</v>
      </c>
      <c r="N22" s="105">
        <f t="shared" si="58"/>
        <v>60489158</v>
      </c>
      <c r="O22" s="105">
        <f t="shared" si="57"/>
        <v>10444027</v>
      </c>
      <c r="P22" s="105">
        <f t="shared" si="57"/>
        <v>2484613</v>
      </c>
      <c r="Q22" s="105">
        <f t="shared" si="57"/>
        <v>1023973</v>
      </c>
      <c r="R22" s="105">
        <f t="shared" si="57"/>
        <v>13952613</v>
      </c>
      <c r="S22" s="105">
        <f t="shared" ref="S22:Z22" si="59">+S21+S18+S14</f>
        <v>514238</v>
      </c>
      <c r="T22" s="105">
        <f t="shared" si="59"/>
        <v>233241</v>
      </c>
      <c r="U22" s="105">
        <f t="shared" si="59"/>
        <v>-24902</v>
      </c>
      <c r="V22" s="105">
        <f t="shared" si="59"/>
        <v>722577</v>
      </c>
      <c r="W22" s="105">
        <f t="shared" si="59"/>
        <v>10958265</v>
      </c>
      <c r="X22" s="105">
        <f t="shared" si="59"/>
        <v>2717854</v>
      </c>
      <c r="Y22" s="105">
        <f t="shared" si="59"/>
        <v>999071</v>
      </c>
      <c r="Z22" s="105">
        <f t="shared" si="59"/>
        <v>14675190</v>
      </c>
      <c r="AA22" s="105">
        <f t="shared" si="57"/>
        <v>35606215</v>
      </c>
      <c r="AB22" s="105">
        <f t="shared" si="57"/>
        <v>36022497</v>
      </c>
      <c r="AC22" s="105">
        <f t="shared" si="57"/>
        <v>1023973</v>
      </c>
      <c r="AD22" s="105">
        <f t="shared" si="57"/>
        <v>72652685</v>
      </c>
      <c r="AE22" s="105">
        <f t="shared" ref="AE22:AL22" si="60">+AE21+AE18+AE14</f>
        <v>2113952</v>
      </c>
      <c r="AF22" s="105">
        <f t="shared" si="60"/>
        <v>422613</v>
      </c>
      <c r="AG22" s="105">
        <f t="shared" si="60"/>
        <v>-24902</v>
      </c>
      <c r="AH22" s="105">
        <f t="shared" si="60"/>
        <v>2511663</v>
      </c>
      <c r="AI22" s="105">
        <f t="shared" si="60"/>
        <v>37720167</v>
      </c>
      <c r="AJ22" s="105">
        <f t="shared" si="60"/>
        <v>36445110</v>
      </c>
      <c r="AK22" s="105">
        <f t="shared" si="60"/>
        <v>999071</v>
      </c>
      <c r="AL22" s="105">
        <f t="shared" si="60"/>
        <v>75164348</v>
      </c>
    </row>
    <row r="23" spans="1:38" ht="32.25" thickTop="1" x14ac:dyDescent="0.25">
      <c r="A23" s="307" t="s">
        <v>515</v>
      </c>
      <c r="B23" s="308" t="s">
        <v>509</v>
      </c>
      <c r="C23" s="309">
        <v>0</v>
      </c>
      <c r="D23" s="309">
        <v>14500000</v>
      </c>
      <c r="E23" s="309">
        <v>0</v>
      </c>
      <c r="F23" s="309">
        <f>SUM(C23:E23)</f>
        <v>14500000</v>
      </c>
      <c r="G23" s="309"/>
      <c r="H23" s="309">
        <f>18350000-44508</f>
        <v>18305492</v>
      </c>
      <c r="I23" s="309"/>
      <c r="J23" s="309">
        <f>SUM(G23:I23)</f>
        <v>18305492</v>
      </c>
      <c r="K23" s="309">
        <f t="shared" ref="K23:K24" si="61">SUM(C23+G23)</f>
        <v>0</v>
      </c>
      <c r="L23" s="309">
        <f t="shared" ref="L23:L24" si="62">SUM(D23+H23)</f>
        <v>32805492</v>
      </c>
      <c r="M23" s="309">
        <f t="shared" ref="M23:M24" si="63">SUM(E23+I23)</f>
        <v>0</v>
      </c>
      <c r="N23" s="309">
        <f t="shared" ref="N23:N24" si="64">SUM(K23:M23)</f>
        <v>32805492</v>
      </c>
      <c r="O23" s="309"/>
      <c r="P23" s="309"/>
      <c r="Q23" s="309"/>
      <c r="R23" s="309">
        <f>SUM(O23:Q23)</f>
        <v>0</v>
      </c>
      <c r="S23" s="309"/>
      <c r="T23" s="309"/>
      <c r="U23" s="309"/>
      <c r="V23" s="309">
        <f>SUM(S23:U23)</f>
        <v>0</v>
      </c>
      <c r="W23" s="309">
        <f t="shared" ref="W23:W24" si="65">SUM(O23+S23)</f>
        <v>0</v>
      </c>
      <c r="X23" s="309">
        <f t="shared" ref="X23:X24" si="66">SUM(P23+T23)</f>
        <v>0</v>
      </c>
      <c r="Y23" s="309">
        <f t="shared" ref="Y23:Y24" si="67">SUM(Q23+U23)</f>
        <v>0</v>
      </c>
      <c r="Z23" s="309">
        <f t="shared" ref="Z23:Z24" si="68">SUM(W23:Y23)</f>
        <v>0</v>
      </c>
      <c r="AA23" s="309">
        <f t="shared" ref="AA23:AD24" si="69">SUM(O23+C23)</f>
        <v>0</v>
      </c>
      <c r="AB23" s="309">
        <f t="shared" si="69"/>
        <v>14500000</v>
      </c>
      <c r="AC23" s="309">
        <f t="shared" si="69"/>
        <v>0</v>
      </c>
      <c r="AD23" s="309">
        <f t="shared" si="69"/>
        <v>14500000</v>
      </c>
      <c r="AE23" s="309">
        <f t="shared" ref="AE23:AL24" si="70">SUM(S23+G23)</f>
        <v>0</v>
      </c>
      <c r="AF23" s="309">
        <f>SUM(T23+H23)</f>
        <v>18305492</v>
      </c>
      <c r="AG23" s="309">
        <f t="shared" si="70"/>
        <v>0</v>
      </c>
      <c r="AH23" s="309">
        <f t="shared" si="70"/>
        <v>18305492</v>
      </c>
      <c r="AI23" s="309">
        <f t="shared" si="70"/>
        <v>0</v>
      </c>
      <c r="AJ23" s="309">
        <f t="shared" si="70"/>
        <v>32805492</v>
      </c>
      <c r="AK23" s="309">
        <f t="shared" si="70"/>
        <v>0</v>
      </c>
      <c r="AL23" s="309">
        <f t="shared" si="70"/>
        <v>32805492</v>
      </c>
    </row>
    <row r="24" spans="1:38" ht="31.5" x14ac:dyDescent="0.25">
      <c r="A24" s="589" t="s">
        <v>1124</v>
      </c>
      <c r="B24" s="590" t="s">
        <v>516</v>
      </c>
      <c r="C24" s="392">
        <v>138572</v>
      </c>
      <c r="D24" s="392">
        <v>0</v>
      </c>
      <c r="E24" s="392">
        <v>0</v>
      </c>
      <c r="F24" s="392">
        <f>SUM(C24:E24)</f>
        <v>138572</v>
      </c>
      <c r="G24" s="392">
        <v>-7645</v>
      </c>
      <c r="H24" s="392"/>
      <c r="I24" s="392"/>
      <c r="J24" s="392">
        <f>SUM(G24:I24)</f>
        <v>-7645</v>
      </c>
      <c r="K24" s="392">
        <f t="shared" si="61"/>
        <v>130927</v>
      </c>
      <c r="L24" s="392">
        <f t="shared" si="62"/>
        <v>0</v>
      </c>
      <c r="M24" s="392">
        <f t="shared" si="63"/>
        <v>0</v>
      </c>
      <c r="N24" s="392">
        <f t="shared" si="64"/>
        <v>130927</v>
      </c>
      <c r="O24" s="392"/>
      <c r="P24" s="392"/>
      <c r="Q24" s="392"/>
      <c r="R24" s="392">
        <f>SUM(O24:Q24)</f>
        <v>0</v>
      </c>
      <c r="S24" s="392"/>
      <c r="T24" s="392"/>
      <c r="U24" s="392"/>
      <c r="V24" s="392">
        <f>SUM(S24:U24)</f>
        <v>0</v>
      </c>
      <c r="W24" s="392">
        <f t="shared" si="65"/>
        <v>0</v>
      </c>
      <c r="X24" s="392">
        <f t="shared" si="66"/>
        <v>0</v>
      </c>
      <c r="Y24" s="392">
        <f t="shared" si="67"/>
        <v>0</v>
      </c>
      <c r="Z24" s="392">
        <f t="shared" si="68"/>
        <v>0</v>
      </c>
      <c r="AA24" s="392">
        <f t="shared" si="69"/>
        <v>138572</v>
      </c>
      <c r="AB24" s="392">
        <f t="shared" si="69"/>
        <v>0</v>
      </c>
      <c r="AC24" s="392">
        <f t="shared" si="69"/>
        <v>0</v>
      </c>
      <c r="AD24" s="392">
        <f t="shared" si="69"/>
        <v>138572</v>
      </c>
      <c r="AE24" s="392">
        <f t="shared" si="70"/>
        <v>-7645</v>
      </c>
      <c r="AF24" s="392">
        <f t="shared" si="70"/>
        <v>0</v>
      </c>
      <c r="AG24" s="392">
        <f t="shared" si="70"/>
        <v>0</v>
      </c>
      <c r="AH24" s="392">
        <f t="shared" si="70"/>
        <v>-7645</v>
      </c>
      <c r="AI24" s="392">
        <f t="shared" si="70"/>
        <v>130927</v>
      </c>
      <c r="AJ24" s="392">
        <f t="shared" si="70"/>
        <v>0</v>
      </c>
      <c r="AK24" s="392">
        <f t="shared" si="70"/>
        <v>0</v>
      </c>
      <c r="AL24" s="392">
        <f t="shared" si="70"/>
        <v>130927</v>
      </c>
    </row>
    <row r="25" spans="1:38" ht="16.5" thickBot="1" x14ac:dyDescent="0.3">
      <c r="A25" s="335" t="s">
        <v>517</v>
      </c>
      <c r="B25" s="588" t="s">
        <v>329</v>
      </c>
      <c r="C25" s="310">
        <v>8128007</v>
      </c>
      <c r="D25" s="310">
        <v>1724309</v>
      </c>
      <c r="E25" s="310">
        <v>940346</v>
      </c>
      <c r="F25" s="392">
        <f>SUM(C25:E25)</f>
        <v>10792662</v>
      </c>
      <c r="G25" s="310">
        <v>270031</v>
      </c>
      <c r="H25" s="310">
        <v>130198</v>
      </c>
      <c r="I25" s="310">
        <v>-27170</v>
      </c>
      <c r="J25" s="392">
        <f>SUM(G25:I25)</f>
        <v>373059</v>
      </c>
      <c r="K25" s="392">
        <f t="shared" ref="K25" si="71">SUM(C25+G25)</f>
        <v>8398038</v>
      </c>
      <c r="L25" s="392">
        <f t="shared" ref="L25" si="72">SUM(D25+H25)</f>
        <v>1854507</v>
      </c>
      <c r="M25" s="392">
        <f t="shared" ref="M25" si="73">SUM(E25+I25)</f>
        <v>913176</v>
      </c>
      <c r="N25" s="392">
        <f t="shared" ref="N25" si="74">SUM(K25:M25)</f>
        <v>11165721</v>
      </c>
      <c r="O25" s="310"/>
      <c r="P25" s="310"/>
      <c r="Q25" s="310"/>
      <c r="R25" s="392">
        <f>SUM(O25:Q25)</f>
        <v>0</v>
      </c>
      <c r="S25" s="310"/>
      <c r="T25" s="310"/>
      <c r="U25" s="310"/>
      <c r="V25" s="392">
        <f>SUM(S25:U25)</f>
        <v>0</v>
      </c>
      <c r="W25" s="392">
        <f t="shared" ref="W25" si="75">SUM(O25+S25)</f>
        <v>0</v>
      </c>
      <c r="X25" s="392">
        <f t="shared" ref="X25" si="76">SUM(P25+T25)</f>
        <v>0</v>
      </c>
      <c r="Y25" s="392">
        <f t="shared" ref="Y25" si="77">SUM(Q25+U25)</f>
        <v>0</v>
      </c>
      <c r="Z25" s="392">
        <f t="shared" ref="Z25" si="78">SUM(W25:Y25)</f>
        <v>0</v>
      </c>
      <c r="AA25" s="392">
        <f t="shared" ref="AA25" si="79">SUM(O25+C25)</f>
        <v>8128007</v>
      </c>
      <c r="AB25" s="392">
        <f t="shared" ref="AB25" si="80">SUM(P25+D25)</f>
        <v>1724309</v>
      </c>
      <c r="AC25" s="392">
        <f t="shared" ref="AC25" si="81">SUM(Q25+E25)</f>
        <v>940346</v>
      </c>
      <c r="AD25" s="392">
        <f t="shared" ref="AD25" si="82">SUM(R25+F25)</f>
        <v>10792662</v>
      </c>
      <c r="AE25" s="392">
        <f t="shared" ref="AE25" si="83">SUM(S25+G25)</f>
        <v>270031</v>
      </c>
      <c r="AF25" s="392">
        <f t="shared" ref="AF25" si="84">SUM(T25+H25)</f>
        <v>130198</v>
      </c>
      <c r="AG25" s="392">
        <f t="shared" ref="AG25" si="85">SUM(U25+I25)</f>
        <v>-27170</v>
      </c>
      <c r="AH25" s="392">
        <f t="shared" ref="AH25" si="86">SUM(V25+J25)</f>
        <v>373059</v>
      </c>
      <c r="AI25" s="392">
        <f t="shared" ref="AI25" si="87">SUM(W25+K25)</f>
        <v>8398038</v>
      </c>
      <c r="AJ25" s="392">
        <f t="shared" ref="AJ25" si="88">SUM(X25+L25)</f>
        <v>1854507</v>
      </c>
      <c r="AK25" s="392">
        <f t="shared" ref="AK25" si="89">SUM(Y25+M25)</f>
        <v>913176</v>
      </c>
      <c r="AL25" s="392">
        <f t="shared" ref="AL25" si="90">SUM(Z25+N25)</f>
        <v>11165721</v>
      </c>
    </row>
    <row r="26" spans="1:38" ht="17.25" thickTop="1" thickBot="1" x14ac:dyDescent="0.3">
      <c r="A26" s="106" t="s">
        <v>518</v>
      </c>
      <c r="B26" s="194" t="s">
        <v>222</v>
      </c>
      <c r="C26" s="261">
        <f>SUM(C23:C25)</f>
        <v>8266579</v>
      </c>
      <c r="D26" s="261">
        <f t="shared" ref="D26:AL26" si="91">SUM(D23:D25)</f>
        <v>16224309</v>
      </c>
      <c r="E26" s="261">
        <f t="shared" si="91"/>
        <v>940346</v>
      </c>
      <c r="F26" s="261">
        <f t="shared" si="91"/>
        <v>25431234</v>
      </c>
      <c r="G26" s="261">
        <f t="shared" si="91"/>
        <v>262386</v>
      </c>
      <c r="H26" s="261">
        <f t="shared" si="91"/>
        <v>18435690</v>
      </c>
      <c r="I26" s="261">
        <f t="shared" si="91"/>
        <v>-27170</v>
      </c>
      <c r="J26" s="261">
        <f t="shared" si="91"/>
        <v>18670906</v>
      </c>
      <c r="K26" s="261">
        <f t="shared" si="91"/>
        <v>8528965</v>
      </c>
      <c r="L26" s="261">
        <f t="shared" si="91"/>
        <v>34659999</v>
      </c>
      <c r="M26" s="261">
        <f t="shared" si="91"/>
        <v>913176</v>
      </c>
      <c r="N26" s="261">
        <f t="shared" si="91"/>
        <v>44102140</v>
      </c>
      <c r="O26" s="261">
        <f t="shared" si="91"/>
        <v>0</v>
      </c>
      <c r="P26" s="261">
        <f t="shared" si="91"/>
        <v>0</v>
      </c>
      <c r="Q26" s="261">
        <f t="shared" si="91"/>
        <v>0</v>
      </c>
      <c r="R26" s="261">
        <f t="shared" si="91"/>
        <v>0</v>
      </c>
      <c r="S26" s="261">
        <f t="shared" si="91"/>
        <v>0</v>
      </c>
      <c r="T26" s="261">
        <f t="shared" si="91"/>
        <v>0</v>
      </c>
      <c r="U26" s="261">
        <f t="shared" si="91"/>
        <v>0</v>
      </c>
      <c r="V26" s="261">
        <f t="shared" si="91"/>
        <v>0</v>
      </c>
      <c r="W26" s="261">
        <f t="shared" si="91"/>
        <v>0</v>
      </c>
      <c r="X26" s="261">
        <f t="shared" si="91"/>
        <v>0</v>
      </c>
      <c r="Y26" s="261">
        <f t="shared" si="91"/>
        <v>0</v>
      </c>
      <c r="Z26" s="261">
        <f t="shared" si="91"/>
        <v>0</v>
      </c>
      <c r="AA26" s="261">
        <f t="shared" si="91"/>
        <v>8266579</v>
      </c>
      <c r="AB26" s="261">
        <f t="shared" si="91"/>
        <v>16224309</v>
      </c>
      <c r="AC26" s="261">
        <f t="shared" si="91"/>
        <v>940346</v>
      </c>
      <c r="AD26" s="261">
        <f t="shared" si="91"/>
        <v>25431234</v>
      </c>
      <c r="AE26" s="261">
        <f t="shared" si="91"/>
        <v>262386</v>
      </c>
      <c r="AF26" s="261">
        <f t="shared" si="91"/>
        <v>18435690</v>
      </c>
      <c r="AG26" s="261">
        <f t="shared" si="91"/>
        <v>-27170</v>
      </c>
      <c r="AH26" s="261">
        <f t="shared" si="91"/>
        <v>18670906</v>
      </c>
      <c r="AI26" s="261">
        <f t="shared" si="91"/>
        <v>8528965</v>
      </c>
      <c r="AJ26" s="261">
        <f t="shared" si="91"/>
        <v>34659999</v>
      </c>
      <c r="AK26" s="261">
        <f t="shared" si="91"/>
        <v>913176</v>
      </c>
      <c r="AL26" s="261">
        <f t="shared" si="91"/>
        <v>44102140</v>
      </c>
    </row>
    <row r="27" spans="1:38" s="217" customFormat="1" ht="17.25" thickTop="1" thickBot="1" x14ac:dyDescent="0.3">
      <c r="A27" s="760" t="s">
        <v>372</v>
      </c>
      <c r="B27" s="761"/>
      <c r="C27" s="762"/>
      <c r="D27" s="762"/>
      <c r="E27" s="762"/>
      <c r="F27" s="762"/>
      <c r="G27" s="762"/>
      <c r="H27" s="762"/>
      <c r="I27" s="762"/>
      <c r="J27" s="762"/>
      <c r="K27" s="762"/>
      <c r="L27" s="762"/>
      <c r="M27" s="762"/>
      <c r="N27" s="762"/>
      <c r="O27" s="762"/>
      <c r="P27" s="762"/>
      <c r="Q27" s="762"/>
      <c r="R27" s="763">
        <v>1890.68</v>
      </c>
      <c r="S27" s="763"/>
      <c r="T27" s="763"/>
      <c r="U27" s="763"/>
      <c r="V27" s="763">
        <v>31.75</v>
      </c>
      <c r="W27" s="763"/>
      <c r="X27" s="763"/>
      <c r="Y27" s="763"/>
      <c r="Z27" s="763">
        <f>SUM(R27+V27)</f>
        <v>1922.43</v>
      </c>
      <c r="AA27" s="762"/>
      <c r="AB27" s="762"/>
      <c r="AC27" s="762"/>
      <c r="AD27" s="763">
        <f>SUM(R27)</f>
        <v>1890.68</v>
      </c>
      <c r="AE27" s="762"/>
      <c r="AF27" s="762"/>
      <c r="AG27" s="762"/>
      <c r="AH27" s="763">
        <f>SUM(V27)</f>
        <v>31.75</v>
      </c>
      <c r="AI27" s="762"/>
      <c r="AJ27" s="762"/>
      <c r="AK27" s="762"/>
      <c r="AL27" s="763">
        <f t="shared" ref="AL27" si="92">SUM(Z27)</f>
        <v>1922.43</v>
      </c>
    </row>
    <row r="28" spans="1:38" ht="16.5" thickTop="1" x14ac:dyDescent="0.25">
      <c r="A28" s="108"/>
      <c r="B28" s="108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</row>
    <row r="29" spans="1:38" x14ac:dyDescent="0.25">
      <c r="A29" s="108"/>
      <c r="B29" s="108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</row>
    <row r="30" spans="1:38" x14ac:dyDescent="0.25">
      <c r="A30" s="108"/>
      <c r="B30" s="108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</row>
    <row r="31" spans="1:38" x14ac:dyDescent="0.25">
      <c r="A31" s="108"/>
      <c r="B31" s="108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</row>
    <row r="32" spans="1:38" x14ac:dyDescent="0.25">
      <c r="A32" s="108"/>
      <c r="B32" s="108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</row>
    <row r="33" spans="1:38" x14ac:dyDescent="0.25">
      <c r="A33" s="108"/>
      <c r="B33" s="108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</row>
    <row r="34" spans="1:38" x14ac:dyDescent="0.25">
      <c r="A34" s="108"/>
      <c r="B34" s="108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</row>
    <row r="35" spans="1:38" x14ac:dyDescent="0.25">
      <c r="A35" s="108"/>
      <c r="B35" s="108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</row>
    <row r="36" spans="1:38" x14ac:dyDescent="0.25">
      <c r="A36" s="108"/>
      <c r="B36" s="108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</row>
    <row r="37" spans="1:38" x14ac:dyDescent="0.25">
      <c r="A37" s="108"/>
      <c r="B37" s="108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</row>
    <row r="38" spans="1:38" x14ac:dyDescent="0.25">
      <c r="A38" s="61"/>
      <c r="B38" s="61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</row>
  </sheetData>
  <mergeCells count="21">
    <mergeCell ref="B3:N3"/>
    <mergeCell ref="O3:Z3"/>
    <mergeCell ref="AA3:AL3"/>
    <mergeCell ref="AE6:AH6"/>
    <mergeCell ref="AI6:AL6"/>
    <mergeCell ref="AE8:AH8"/>
    <mergeCell ref="AI8:AL8"/>
    <mergeCell ref="AA5:AL5"/>
    <mergeCell ref="AA6:AD6"/>
    <mergeCell ref="AA8:AD8"/>
    <mergeCell ref="O8:R8"/>
    <mergeCell ref="C5:N5"/>
    <mergeCell ref="C6:F6"/>
    <mergeCell ref="S8:V8"/>
    <mergeCell ref="W8:Z8"/>
    <mergeCell ref="B1:N1"/>
    <mergeCell ref="B2:N2"/>
    <mergeCell ref="O1:Z1"/>
    <mergeCell ref="O2:Z2"/>
    <mergeCell ref="AA1:AL1"/>
    <mergeCell ref="AA2:AL2"/>
  </mergeCells>
  <phoneticPr fontId="0" type="noConversion"/>
  <pageMargins left="0.31496062992125984" right="0.27559055118110237" top="0.94488188976377963" bottom="0.39370078740157483" header="0.43307086614173229" footer="0.19685039370078741"/>
  <pageSetup paperSize="9" scale="61" orientation="landscape" r:id="rId1"/>
  <headerFooter alignWithMargins="0">
    <oddHeader>&amp;R&amp;"Times New Roman CE,Félkövér"&amp;11 2. melléklet a 23/2018.(X.15.) önkormányzati rendelethez&amp;"Times New Roman CE,Dőlt"&amp;10
2. melléklet
 a 3/2018.(II.8.) önkormányzati rendelethez</oddHeader>
  </headerFooter>
  <colBreaks count="1" manualBreakCount="1">
    <brk id="2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V4944"/>
  <sheetViews>
    <sheetView zoomScaleNormal="100" workbookViewId="0">
      <pane xSplit="2" ySplit="8" topLeftCell="C9" activePane="bottomRight" state="frozen"/>
      <selection activeCell="G18" sqref="G18"/>
      <selection pane="topRight" activeCell="G18" sqref="G18"/>
      <selection pane="bottomLeft" activeCell="G18" sqref="G18"/>
      <selection pane="bottomRight" activeCell="H5" sqref="H5"/>
    </sheetView>
  </sheetViews>
  <sheetFormatPr defaultColWidth="9.25" defaultRowHeight="15.75" x14ac:dyDescent="0.25"/>
  <cols>
    <col min="1" max="1" width="37.5" style="68" customWidth="1"/>
    <col min="2" max="2" width="11.625" style="68" customWidth="1"/>
    <col min="3" max="3" width="15" style="3" customWidth="1"/>
    <col min="4" max="4" width="14.5" style="3" customWidth="1"/>
    <col min="5" max="5" width="15.25" style="3" customWidth="1"/>
    <col min="6" max="6" width="14.25" style="3" customWidth="1"/>
    <col min="7" max="7" width="14.5" style="3" customWidth="1"/>
    <col min="8" max="8" width="14.75" style="3" customWidth="1"/>
    <col min="9" max="11" width="14.875" style="3" customWidth="1"/>
    <col min="12" max="16384" width="9.25" style="3"/>
  </cols>
  <sheetData>
    <row r="1" spans="1:256" customFormat="1" x14ac:dyDescent="0.25">
      <c r="A1" s="959" t="s">
        <v>193</v>
      </c>
      <c r="B1" s="959"/>
      <c r="C1" s="959"/>
      <c r="D1" s="959"/>
      <c r="E1" s="959"/>
      <c r="F1" s="959"/>
      <c r="G1" s="959"/>
      <c r="H1" s="959"/>
      <c r="I1" s="959"/>
      <c r="J1" s="959"/>
      <c r="K1" s="959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6"/>
      <c r="FQ1" s="86"/>
      <c r="FR1" s="86"/>
      <c r="FS1" s="86"/>
      <c r="FT1" s="86"/>
      <c r="FU1" s="86"/>
      <c r="FV1" s="86"/>
      <c r="FW1" s="86"/>
      <c r="FX1" s="86"/>
      <c r="FY1" s="86"/>
      <c r="FZ1" s="86"/>
      <c r="GA1" s="86"/>
      <c r="GB1" s="86"/>
      <c r="GC1" s="86"/>
      <c r="GD1" s="86"/>
      <c r="GE1" s="86"/>
      <c r="GF1" s="86"/>
      <c r="GG1" s="86"/>
      <c r="GH1" s="86"/>
      <c r="GI1" s="86"/>
      <c r="GJ1" s="86"/>
      <c r="GK1" s="86"/>
      <c r="GL1" s="86"/>
      <c r="GM1" s="86"/>
      <c r="GN1" s="86"/>
      <c r="GO1" s="86"/>
      <c r="GP1" s="86"/>
      <c r="GQ1" s="86"/>
      <c r="GR1" s="86"/>
      <c r="GS1" s="86"/>
      <c r="GT1" s="86"/>
      <c r="GU1" s="86"/>
      <c r="GV1" s="86"/>
      <c r="GW1" s="86"/>
      <c r="GX1" s="86"/>
      <c r="GY1" s="86"/>
      <c r="GZ1" s="86"/>
      <c r="HA1" s="86"/>
      <c r="HB1" s="86"/>
      <c r="HC1" s="86"/>
      <c r="HD1" s="86"/>
      <c r="HE1" s="86"/>
      <c r="HF1" s="86"/>
      <c r="HG1" s="86"/>
      <c r="HH1" s="86"/>
      <c r="HI1" s="86"/>
      <c r="HJ1" s="86"/>
      <c r="HK1" s="86"/>
      <c r="HL1" s="86"/>
      <c r="HM1" s="86"/>
      <c r="HN1" s="86"/>
      <c r="HO1" s="86"/>
      <c r="HP1" s="86"/>
      <c r="HQ1" s="86"/>
      <c r="HR1" s="86"/>
      <c r="HS1" s="86"/>
      <c r="HT1" s="86"/>
      <c r="HU1" s="86"/>
      <c r="HV1" s="86"/>
      <c r="HW1" s="86"/>
      <c r="HX1" s="86"/>
      <c r="HY1" s="86"/>
      <c r="HZ1" s="86"/>
      <c r="IA1" s="86"/>
      <c r="IB1" s="86"/>
      <c r="IC1" s="86"/>
      <c r="ID1" s="86"/>
      <c r="IE1" s="86"/>
      <c r="IF1" s="86"/>
      <c r="IG1" s="86"/>
      <c r="IH1" s="86"/>
      <c r="II1" s="86"/>
      <c r="IJ1" s="86"/>
      <c r="IK1" s="86"/>
      <c r="IL1" s="86"/>
      <c r="IM1" s="86"/>
      <c r="IN1" s="86"/>
      <c r="IO1" s="86"/>
      <c r="IP1" s="86"/>
      <c r="IQ1" s="86"/>
      <c r="IR1" s="86"/>
      <c r="IS1" s="86"/>
      <c r="IT1" s="86"/>
      <c r="IU1" s="86"/>
      <c r="IV1" s="86"/>
    </row>
    <row r="2" spans="1:256" customFormat="1" x14ac:dyDescent="0.25">
      <c r="A2" s="959" t="s">
        <v>688</v>
      </c>
      <c r="B2" s="959"/>
      <c r="C2" s="959"/>
      <c r="D2" s="959"/>
      <c r="E2" s="959"/>
      <c r="F2" s="959"/>
      <c r="G2" s="959"/>
      <c r="H2" s="959"/>
      <c r="I2" s="959"/>
      <c r="J2" s="959"/>
      <c r="K2" s="959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  <c r="DQ2" s="86"/>
      <c r="DR2" s="86"/>
      <c r="DS2" s="86"/>
      <c r="DT2" s="86"/>
      <c r="DU2" s="86"/>
      <c r="DV2" s="86"/>
      <c r="DW2" s="86"/>
      <c r="DX2" s="86"/>
      <c r="DY2" s="86"/>
      <c r="DZ2" s="86"/>
      <c r="EA2" s="86"/>
      <c r="EB2" s="86"/>
      <c r="EC2" s="86"/>
      <c r="ED2" s="86"/>
      <c r="EE2" s="86"/>
      <c r="EF2" s="86"/>
      <c r="EG2" s="86"/>
      <c r="EH2" s="86"/>
      <c r="EI2" s="86"/>
      <c r="EJ2" s="86"/>
      <c r="EK2" s="86"/>
      <c r="EL2" s="86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/>
      <c r="FC2" s="86"/>
      <c r="FD2" s="86"/>
      <c r="FE2" s="86"/>
      <c r="FF2" s="86"/>
      <c r="FG2" s="86"/>
      <c r="FH2" s="86"/>
      <c r="FI2" s="86"/>
      <c r="FJ2" s="86"/>
      <c r="FK2" s="86"/>
      <c r="FL2" s="86"/>
      <c r="FM2" s="86"/>
      <c r="FN2" s="86"/>
      <c r="FO2" s="86"/>
      <c r="FP2" s="86"/>
      <c r="FQ2" s="86"/>
      <c r="FR2" s="86"/>
      <c r="FS2" s="86"/>
      <c r="FT2" s="86"/>
      <c r="FU2" s="86"/>
      <c r="FV2" s="86"/>
      <c r="FW2" s="86"/>
      <c r="FX2" s="86"/>
      <c r="FY2" s="86"/>
      <c r="FZ2" s="86"/>
      <c r="GA2" s="86"/>
      <c r="GB2" s="86"/>
      <c r="GC2" s="86"/>
      <c r="GD2" s="86"/>
      <c r="GE2" s="86"/>
      <c r="GF2" s="86"/>
      <c r="GG2" s="86"/>
      <c r="GH2" s="86"/>
      <c r="GI2" s="86"/>
      <c r="GJ2" s="86"/>
      <c r="GK2" s="86"/>
      <c r="GL2" s="86"/>
      <c r="GM2" s="86"/>
      <c r="GN2" s="86"/>
      <c r="GO2" s="86"/>
      <c r="GP2" s="86"/>
      <c r="GQ2" s="86"/>
      <c r="GR2" s="86"/>
      <c r="GS2" s="86"/>
      <c r="GT2" s="86"/>
      <c r="GU2" s="86"/>
      <c r="GV2" s="86"/>
      <c r="GW2" s="86"/>
      <c r="GX2" s="86"/>
      <c r="GY2" s="86"/>
      <c r="GZ2" s="86"/>
      <c r="HA2" s="86"/>
      <c r="HB2" s="86"/>
      <c r="HC2" s="86"/>
      <c r="HD2" s="86"/>
      <c r="HE2" s="86"/>
      <c r="HF2" s="86"/>
      <c r="HG2" s="86"/>
      <c r="HH2" s="86"/>
      <c r="HI2" s="86"/>
      <c r="HJ2" s="86"/>
      <c r="HK2" s="86"/>
      <c r="HL2" s="86"/>
      <c r="HM2" s="86"/>
      <c r="HN2" s="86"/>
      <c r="HO2" s="86"/>
      <c r="HP2" s="86"/>
      <c r="HQ2" s="86"/>
      <c r="HR2" s="86"/>
      <c r="HS2" s="86"/>
      <c r="HT2" s="86"/>
      <c r="HU2" s="86"/>
      <c r="HV2" s="86"/>
      <c r="HW2" s="86"/>
      <c r="HX2" s="86"/>
      <c r="HY2" s="86"/>
      <c r="HZ2" s="86"/>
      <c r="IA2" s="86"/>
      <c r="IB2" s="86"/>
      <c r="IC2" s="86"/>
      <c r="ID2" s="86"/>
      <c r="IE2" s="86"/>
      <c r="IF2" s="86"/>
      <c r="IG2" s="86"/>
      <c r="IH2" s="86"/>
      <c r="II2" s="86"/>
      <c r="IJ2" s="86"/>
      <c r="IK2" s="86"/>
      <c r="IL2" s="86"/>
      <c r="IM2" s="86"/>
      <c r="IN2" s="86"/>
      <c r="IO2" s="86"/>
      <c r="IP2" s="86"/>
      <c r="IQ2" s="86"/>
      <c r="IR2" s="86"/>
      <c r="IS2" s="86"/>
      <c r="IT2" s="86"/>
      <c r="IU2" s="86"/>
      <c r="IV2" s="86"/>
    </row>
    <row r="3" spans="1:256" customFormat="1" x14ac:dyDescent="0.25">
      <c r="A3" s="959" t="s">
        <v>979</v>
      </c>
      <c r="B3" s="959"/>
      <c r="C3" s="959"/>
      <c r="D3" s="959"/>
      <c r="E3" s="959"/>
      <c r="F3" s="959"/>
      <c r="G3" s="959"/>
      <c r="H3" s="959"/>
      <c r="I3" s="959"/>
      <c r="J3" s="959"/>
      <c r="K3" s="959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  <c r="FO3" s="86"/>
      <c r="FP3" s="86"/>
      <c r="FQ3" s="86"/>
      <c r="FR3" s="86"/>
      <c r="FS3" s="86"/>
      <c r="FT3" s="86"/>
      <c r="FU3" s="86"/>
      <c r="FV3" s="86"/>
      <c r="FW3" s="86"/>
      <c r="FX3" s="86"/>
      <c r="FY3" s="86"/>
      <c r="FZ3" s="86"/>
      <c r="GA3" s="86"/>
      <c r="GB3" s="86"/>
      <c r="GC3" s="86"/>
      <c r="GD3" s="86"/>
      <c r="GE3" s="86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  <c r="GX3" s="86"/>
      <c r="GY3" s="86"/>
      <c r="GZ3" s="86"/>
      <c r="HA3" s="86"/>
      <c r="HB3" s="86"/>
      <c r="HC3" s="86"/>
      <c r="HD3" s="86"/>
      <c r="HE3" s="86"/>
      <c r="HF3" s="86"/>
      <c r="HG3" s="86"/>
      <c r="HH3" s="86"/>
      <c r="HI3" s="86"/>
      <c r="HJ3" s="86"/>
      <c r="HK3" s="86"/>
      <c r="HL3" s="86"/>
      <c r="HM3" s="86"/>
      <c r="HN3" s="86"/>
      <c r="HO3" s="86"/>
      <c r="HP3" s="86"/>
      <c r="HQ3" s="86"/>
      <c r="HR3" s="86"/>
      <c r="HS3" s="86"/>
      <c r="HT3" s="86"/>
      <c r="HU3" s="86"/>
      <c r="HV3" s="86"/>
      <c r="HW3" s="86"/>
      <c r="HX3" s="86"/>
      <c r="HY3" s="86"/>
      <c r="HZ3" s="86"/>
      <c r="IA3" s="86"/>
      <c r="IB3" s="86"/>
      <c r="IC3" s="86"/>
      <c r="ID3" s="86"/>
      <c r="IE3" s="86"/>
      <c r="IF3" s="86"/>
      <c r="IG3" s="86"/>
      <c r="IH3" s="86"/>
      <c r="II3" s="86"/>
      <c r="IJ3" s="86"/>
      <c r="IK3" s="86"/>
      <c r="IL3" s="86"/>
      <c r="IM3" s="86"/>
      <c r="IN3" s="86"/>
      <c r="IO3" s="86"/>
      <c r="IP3" s="86"/>
      <c r="IQ3" s="86"/>
      <c r="IR3" s="86"/>
      <c r="IS3" s="86"/>
      <c r="IT3" s="86"/>
      <c r="IU3" s="86"/>
      <c r="IV3" s="86"/>
    </row>
    <row r="5" spans="1:256" ht="16.5" thickBot="1" x14ac:dyDescent="0.3"/>
    <row r="6" spans="1:256" ht="87" customHeight="1" thickTop="1" thickBot="1" x14ac:dyDescent="0.3">
      <c r="A6" s="965" t="s">
        <v>146</v>
      </c>
      <c r="B6" s="965" t="s">
        <v>163</v>
      </c>
      <c r="C6" s="950" t="s">
        <v>22</v>
      </c>
      <c r="D6" s="951"/>
      <c r="E6" s="952"/>
      <c r="F6" s="954" t="s">
        <v>23</v>
      </c>
      <c r="G6" s="955"/>
      <c r="H6" s="956"/>
      <c r="I6" s="947" t="s">
        <v>153</v>
      </c>
      <c r="J6" s="948"/>
      <c r="K6" s="949"/>
    </row>
    <row r="7" spans="1:256" ht="33" customHeight="1" thickTop="1" thickBot="1" x14ac:dyDescent="0.3">
      <c r="A7" s="966"/>
      <c r="B7" s="966"/>
      <c r="C7" s="4" t="s">
        <v>389</v>
      </c>
      <c r="D7" s="4" t="s">
        <v>390</v>
      </c>
      <c r="E7" s="4" t="s">
        <v>975</v>
      </c>
      <c r="F7" s="4" t="s">
        <v>389</v>
      </c>
      <c r="G7" s="4" t="s">
        <v>390</v>
      </c>
      <c r="H7" s="4" t="s">
        <v>975</v>
      </c>
      <c r="I7" s="4" t="s">
        <v>389</v>
      </c>
      <c r="J7" s="4" t="s">
        <v>390</v>
      </c>
      <c r="K7" s="4" t="s">
        <v>975</v>
      </c>
    </row>
    <row r="8" spans="1:256" ht="17.25" thickTop="1" thickBot="1" x14ac:dyDescent="0.3">
      <c r="A8" s="1" t="s">
        <v>147</v>
      </c>
      <c r="B8" s="191"/>
      <c r="C8" s="2" t="s">
        <v>195</v>
      </c>
      <c r="D8" s="343" t="s">
        <v>391</v>
      </c>
      <c r="E8" s="343" t="s">
        <v>392</v>
      </c>
      <c r="F8" s="188" t="s">
        <v>196</v>
      </c>
      <c r="G8" s="344" t="s">
        <v>393</v>
      </c>
      <c r="H8" s="344" t="s">
        <v>394</v>
      </c>
      <c r="I8" s="205" t="s">
        <v>397</v>
      </c>
      <c r="J8" s="205" t="s">
        <v>398</v>
      </c>
      <c r="K8" s="205" t="s">
        <v>399</v>
      </c>
    </row>
    <row r="9" spans="1:256" s="27" customFormat="1" ht="32.25" thickTop="1" x14ac:dyDescent="0.25">
      <c r="A9" s="26" t="s">
        <v>198</v>
      </c>
      <c r="B9" s="209" t="s">
        <v>202</v>
      </c>
      <c r="C9" s="210">
        <v>3967</v>
      </c>
      <c r="D9" s="198"/>
      <c r="E9" s="198">
        <f>SUM(C9:D9)</f>
        <v>3967</v>
      </c>
      <c r="F9" s="13">
        <v>0</v>
      </c>
      <c r="G9" s="13"/>
      <c r="H9" s="13">
        <f>SUM(F9:G9)</f>
        <v>0</v>
      </c>
      <c r="I9" s="7">
        <f>SUM(F9+C9)</f>
        <v>3967</v>
      </c>
      <c r="J9" s="7">
        <f t="shared" ref="J9:K11" si="0">SUM(G9+D9)</f>
        <v>0</v>
      </c>
      <c r="K9" s="7">
        <f t="shared" si="0"/>
        <v>3967</v>
      </c>
    </row>
    <row r="10" spans="1:256" s="27" customFormat="1" ht="31.5" x14ac:dyDescent="0.25">
      <c r="A10" s="26" t="s">
        <v>333</v>
      </c>
      <c r="B10" s="26" t="s">
        <v>203</v>
      </c>
      <c r="C10" s="13">
        <v>1867433</v>
      </c>
      <c r="D10" s="13"/>
      <c r="E10" s="13">
        <f>SUM(C10:D10)</f>
        <v>1867433</v>
      </c>
      <c r="F10" s="13">
        <v>0</v>
      </c>
      <c r="G10" s="13"/>
      <c r="H10" s="13">
        <f>SUM(F10:G10)</f>
        <v>0</v>
      </c>
      <c r="I10" s="7">
        <f>SUM(F10+C10)</f>
        <v>1867433</v>
      </c>
      <c r="J10" s="7">
        <f t="shared" si="0"/>
        <v>0</v>
      </c>
      <c r="K10" s="7">
        <f t="shared" si="0"/>
        <v>1867433</v>
      </c>
    </row>
    <row r="11" spans="1:256" s="27" customFormat="1" ht="47.25" x14ac:dyDescent="0.25">
      <c r="A11" s="306" t="s">
        <v>328</v>
      </c>
      <c r="B11" s="26" t="s">
        <v>204</v>
      </c>
      <c r="C11" s="13">
        <v>1552555</v>
      </c>
      <c r="D11" s="13">
        <v>120069</v>
      </c>
      <c r="E11" s="13">
        <f t="shared" ref="E11:E16" si="1">SUM(C11:D11)</f>
        <v>1672624</v>
      </c>
      <c r="F11" s="13">
        <v>0</v>
      </c>
      <c r="G11" s="13"/>
      <c r="H11" s="13">
        <f t="shared" ref="H11:H16" si="2">SUM(F11:G11)</f>
        <v>0</v>
      </c>
      <c r="I11" s="7">
        <f>SUM(F11+C11)</f>
        <v>1552555</v>
      </c>
      <c r="J11" s="7">
        <f t="shared" si="0"/>
        <v>120069</v>
      </c>
      <c r="K11" s="7">
        <f t="shared" si="0"/>
        <v>1672624</v>
      </c>
    </row>
    <row r="12" spans="1:256" s="27" customFormat="1" ht="31.5" x14ac:dyDescent="0.25">
      <c r="A12" s="26" t="s">
        <v>199</v>
      </c>
      <c r="B12" s="26" t="s">
        <v>205</v>
      </c>
      <c r="C12" s="13">
        <v>851037</v>
      </c>
      <c r="D12" s="13">
        <v>29983</v>
      </c>
      <c r="E12" s="13">
        <f t="shared" si="1"/>
        <v>881020</v>
      </c>
      <c r="F12" s="13">
        <v>0</v>
      </c>
      <c r="G12" s="13"/>
      <c r="H12" s="13">
        <f t="shared" si="2"/>
        <v>0</v>
      </c>
      <c r="I12" s="7">
        <f>SUM(C12+F12)</f>
        <v>851037</v>
      </c>
      <c r="J12" s="7">
        <f t="shared" ref="J12:K16" si="3">SUM(D12+G12)</f>
        <v>29983</v>
      </c>
      <c r="K12" s="7">
        <f t="shared" si="3"/>
        <v>881020</v>
      </c>
    </row>
    <row r="13" spans="1:256" s="28" customFormat="1" ht="31.5" x14ac:dyDescent="0.25">
      <c r="A13" s="26" t="s">
        <v>25</v>
      </c>
      <c r="B13" s="26"/>
      <c r="C13" s="13">
        <v>233300</v>
      </c>
      <c r="D13" s="13"/>
      <c r="E13" s="13">
        <f t="shared" si="1"/>
        <v>233300</v>
      </c>
      <c r="F13" s="13">
        <v>0</v>
      </c>
      <c r="G13" s="13"/>
      <c r="H13" s="13">
        <f t="shared" si="2"/>
        <v>0</v>
      </c>
      <c r="I13" s="7">
        <f>SUM(C13+F13)</f>
        <v>233300</v>
      </c>
      <c r="J13" s="7">
        <f t="shared" si="3"/>
        <v>0</v>
      </c>
      <c r="K13" s="7">
        <f t="shared" si="3"/>
        <v>233300</v>
      </c>
    </row>
    <row r="14" spans="1:256" s="28" customFormat="1" ht="31.5" x14ac:dyDescent="0.25">
      <c r="A14" s="26" t="s">
        <v>26</v>
      </c>
      <c r="B14" s="26"/>
      <c r="C14" s="13">
        <v>176100</v>
      </c>
      <c r="D14" s="13"/>
      <c r="E14" s="13">
        <f t="shared" si="1"/>
        <v>176100</v>
      </c>
      <c r="F14" s="13">
        <v>0</v>
      </c>
      <c r="G14" s="13"/>
      <c r="H14" s="13">
        <f t="shared" si="2"/>
        <v>0</v>
      </c>
      <c r="I14" s="7">
        <f>SUM(C14+F14)</f>
        <v>176100</v>
      </c>
      <c r="J14" s="7">
        <f t="shared" si="3"/>
        <v>0</v>
      </c>
      <c r="K14" s="7">
        <f t="shared" si="3"/>
        <v>176100</v>
      </c>
    </row>
    <row r="15" spans="1:256" s="28" customFormat="1" x14ac:dyDescent="0.25">
      <c r="A15" s="26" t="s">
        <v>27</v>
      </c>
      <c r="B15" s="26"/>
      <c r="C15" s="13">
        <v>301800</v>
      </c>
      <c r="D15" s="13"/>
      <c r="E15" s="13">
        <f t="shared" si="1"/>
        <v>301800</v>
      </c>
      <c r="F15" s="13">
        <v>0</v>
      </c>
      <c r="G15" s="13"/>
      <c r="H15" s="13">
        <f t="shared" si="2"/>
        <v>0</v>
      </c>
      <c r="I15" s="7">
        <f>SUM(C15+F15)</f>
        <v>301800</v>
      </c>
      <c r="J15" s="7">
        <f t="shared" si="3"/>
        <v>0</v>
      </c>
      <c r="K15" s="7">
        <f t="shared" si="3"/>
        <v>301800</v>
      </c>
    </row>
    <row r="16" spans="1:256" s="28" customFormat="1" ht="42" customHeight="1" x14ac:dyDescent="0.25">
      <c r="A16" s="26" t="s">
        <v>334</v>
      </c>
      <c r="B16" s="26" t="s">
        <v>206</v>
      </c>
      <c r="C16" s="13">
        <v>218854</v>
      </c>
      <c r="D16" s="13">
        <v>13114</v>
      </c>
      <c r="E16" s="13">
        <f t="shared" si="1"/>
        <v>231968</v>
      </c>
      <c r="F16" s="13">
        <v>0</v>
      </c>
      <c r="G16" s="13"/>
      <c r="H16" s="13">
        <f t="shared" si="2"/>
        <v>0</v>
      </c>
      <c r="I16" s="7">
        <f>SUM(C16+F16)</f>
        <v>218854</v>
      </c>
      <c r="J16" s="7">
        <f t="shared" si="3"/>
        <v>13114</v>
      </c>
      <c r="K16" s="7">
        <f t="shared" si="3"/>
        <v>231968</v>
      </c>
    </row>
    <row r="17" spans="1:11" s="20" customFormat="1" ht="31.5" x14ac:dyDescent="0.25">
      <c r="A17" s="17" t="s">
        <v>201</v>
      </c>
      <c r="B17" s="17" t="s">
        <v>207</v>
      </c>
      <c r="C17" s="18">
        <f>SUM(C9:C11,C12,C16)</f>
        <v>4493846</v>
      </c>
      <c r="D17" s="18">
        <f t="shared" ref="D17:H17" si="4">SUM(D9:D11,D12,D16)</f>
        <v>163166</v>
      </c>
      <c r="E17" s="18">
        <f t="shared" si="4"/>
        <v>4657012</v>
      </c>
      <c r="F17" s="18">
        <f t="shared" si="4"/>
        <v>0</v>
      </c>
      <c r="G17" s="18">
        <f t="shared" si="4"/>
        <v>0</v>
      </c>
      <c r="H17" s="18">
        <f t="shared" si="4"/>
        <v>0</v>
      </c>
      <c r="I17" s="18">
        <f>SUM(I9:I11,I12,I16)</f>
        <v>4493846</v>
      </c>
      <c r="J17" s="18">
        <f t="shared" ref="J17:K17" si="5">SUM(J9:J11,J12,J16)</f>
        <v>163166</v>
      </c>
      <c r="K17" s="18">
        <f t="shared" si="5"/>
        <v>4657012</v>
      </c>
    </row>
    <row r="18" spans="1:11" s="20" customFormat="1" ht="31.5" x14ac:dyDescent="0.25">
      <c r="A18" s="17" t="s">
        <v>239</v>
      </c>
      <c r="B18" s="17" t="s">
        <v>240</v>
      </c>
      <c r="C18" s="18">
        <v>57098</v>
      </c>
      <c r="D18" s="18">
        <v>22500</v>
      </c>
      <c r="E18" s="18">
        <f>SUM(C18:D18)</f>
        <v>79598</v>
      </c>
      <c r="F18" s="18">
        <v>1106634</v>
      </c>
      <c r="G18" s="18">
        <v>281072</v>
      </c>
      <c r="H18" s="18">
        <f>SUM(F18:G18)</f>
        <v>1387706</v>
      </c>
      <c r="I18" s="18">
        <f>SUM(C18+F18)</f>
        <v>1163732</v>
      </c>
      <c r="J18" s="18">
        <f>SUM(D18+G18)</f>
        <v>303572</v>
      </c>
      <c r="K18" s="18">
        <f>SUM(E18+H18)</f>
        <v>1467304</v>
      </c>
    </row>
    <row r="19" spans="1:11" s="10" customFormat="1" ht="31.5" x14ac:dyDescent="0.25">
      <c r="A19" s="8" t="s">
        <v>241</v>
      </c>
      <c r="B19" s="8" t="s">
        <v>174</v>
      </c>
      <c r="C19" s="7">
        <f>SUM(C17+C18)</f>
        <v>4550944</v>
      </c>
      <c r="D19" s="7">
        <f t="shared" ref="D19:H19" si="6">SUM(D17+D18)</f>
        <v>185666</v>
      </c>
      <c r="E19" s="7">
        <f t="shared" si="6"/>
        <v>4736610</v>
      </c>
      <c r="F19" s="7">
        <f t="shared" si="6"/>
        <v>1106634</v>
      </c>
      <c r="G19" s="7">
        <f t="shared" si="6"/>
        <v>281072</v>
      </c>
      <c r="H19" s="7">
        <f t="shared" si="6"/>
        <v>1387706</v>
      </c>
      <c r="I19" s="7">
        <f>SUM(I17+I18)</f>
        <v>5657578</v>
      </c>
      <c r="J19" s="7">
        <f t="shared" ref="J19:K19" si="7">SUM(J17+J18)</f>
        <v>466738</v>
      </c>
      <c r="K19" s="7">
        <f t="shared" si="7"/>
        <v>6124316</v>
      </c>
    </row>
    <row r="20" spans="1:11" s="37" customFormat="1" ht="31.5" x14ac:dyDescent="0.25">
      <c r="A20" s="17" t="s">
        <v>242</v>
      </c>
      <c r="B20" s="211" t="s">
        <v>208</v>
      </c>
      <c r="C20" s="259">
        <v>0</v>
      </c>
      <c r="D20" s="259">
        <v>488480</v>
      </c>
      <c r="E20" s="259">
        <f>SUM(C20:D20)</f>
        <v>488480</v>
      </c>
      <c r="F20" s="259">
        <v>0</v>
      </c>
      <c r="G20" s="259"/>
      <c r="H20" s="259">
        <f>SUM(F20:G20)</f>
        <v>0</v>
      </c>
      <c r="I20" s="18">
        <f>SUM(C20+F20)</f>
        <v>0</v>
      </c>
      <c r="J20" s="18">
        <f t="shared" ref="J20:K21" si="8">SUM(D20+G20)</f>
        <v>488480</v>
      </c>
      <c r="K20" s="18">
        <f t="shared" si="8"/>
        <v>488480</v>
      </c>
    </row>
    <row r="21" spans="1:11" s="37" customFormat="1" ht="31.5" x14ac:dyDescent="0.25">
      <c r="A21" s="17" t="s">
        <v>244</v>
      </c>
      <c r="B21" s="211" t="s">
        <v>243</v>
      </c>
      <c r="C21" s="259">
        <v>14787550</v>
      </c>
      <c r="D21" s="259">
        <v>128000</v>
      </c>
      <c r="E21" s="259">
        <f>SUM(C21:D21)</f>
        <v>14915550</v>
      </c>
      <c r="F21" s="259">
        <v>0</v>
      </c>
      <c r="G21" s="259"/>
      <c r="H21" s="259">
        <f>SUM(F21:G21)</f>
        <v>0</v>
      </c>
      <c r="I21" s="18">
        <f>SUM(C21+F21)</f>
        <v>14787550</v>
      </c>
      <c r="J21" s="18">
        <f t="shared" si="8"/>
        <v>128000</v>
      </c>
      <c r="K21" s="18">
        <f t="shared" si="8"/>
        <v>14915550</v>
      </c>
    </row>
    <row r="22" spans="1:11" s="40" customFormat="1" ht="31.5" x14ac:dyDescent="0.25">
      <c r="A22" s="8" t="s">
        <v>245</v>
      </c>
      <c r="B22" s="42" t="s">
        <v>175</v>
      </c>
      <c r="C22" s="41">
        <f>SUM(C20+C21)</f>
        <v>14787550</v>
      </c>
      <c r="D22" s="41">
        <f t="shared" ref="D22:H22" si="9">SUM(D20+D21)</f>
        <v>616480</v>
      </c>
      <c r="E22" s="41">
        <f t="shared" si="9"/>
        <v>15404030</v>
      </c>
      <c r="F22" s="41">
        <f t="shared" si="9"/>
        <v>0</v>
      </c>
      <c r="G22" s="41">
        <f t="shared" si="9"/>
        <v>0</v>
      </c>
      <c r="H22" s="41">
        <f t="shared" si="9"/>
        <v>0</v>
      </c>
      <c r="I22" s="41">
        <f>SUM(I20+I21)</f>
        <v>14787550</v>
      </c>
      <c r="J22" s="41">
        <f t="shared" ref="J22:K22" si="10">SUM(J20+J21)</f>
        <v>616480</v>
      </c>
      <c r="K22" s="41">
        <f t="shared" si="10"/>
        <v>15404030</v>
      </c>
    </row>
    <row r="23" spans="1:11" x14ac:dyDescent="0.25">
      <c r="A23" s="11" t="s">
        <v>664</v>
      </c>
      <c r="B23" s="11" t="s">
        <v>209</v>
      </c>
      <c r="C23" s="16">
        <v>1875000</v>
      </c>
      <c r="D23" s="16"/>
      <c r="E23" s="16">
        <f>SUM(C23:D23)</f>
        <v>1875000</v>
      </c>
      <c r="F23" s="16">
        <v>0</v>
      </c>
      <c r="G23" s="16"/>
      <c r="H23" s="16">
        <f>SUM(F23:G23)</f>
        <v>0</v>
      </c>
      <c r="I23" s="7">
        <f>SUM(F23+C23)</f>
        <v>1875000</v>
      </c>
      <c r="J23" s="7">
        <f t="shared" ref="J23:K23" si="11">SUM(G23+D23)</f>
        <v>0</v>
      </c>
      <c r="K23" s="7">
        <f t="shared" si="11"/>
        <v>1875000</v>
      </c>
    </row>
    <row r="24" spans="1:11" s="20" customFormat="1" x14ac:dyDescent="0.25">
      <c r="A24" s="17" t="s">
        <v>665</v>
      </c>
      <c r="B24" s="17" t="s">
        <v>209</v>
      </c>
      <c r="C24" s="18">
        <f>SUM(C23:C23)</f>
        <v>1875000</v>
      </c>
      <c r="D24" s="18">
        <f t="shared" ref="D24:H24" si="12">SUM(D23:D23)</f>
        <v>0</v>
      </c>
      <c r="E24" s="18">
        <f t="shared" si="12"/>
        <v>1875000</v>
      </c>
      <c r="F24" s="18">
        <f t="shared" si="12"/>
        <v>0</v>
      </c>
      <c r="G24" s="18">
        <f t="shared" si="12"/>
        <v>0</v>
      </c>
      <c r="H24" s="18">
        <f t="shared" si="12"/>
        <v>0</v>
      </c>
      <c r="I24" s="18">
        <f>SUM(I23:I23)</f>
        <v>1875000</v>
      </c>
      <c r="J24" s="18">
        <f t="shared" ref="J24:K24" si="13">SUM(J23:J23)</f>
        <v>0</v>
      </c>
      <c r="K24" s="18">
        <f t="shared" si="13"/>
        <v>1875000</v>
      </c>
    </row>
    <row r="25" spans="1:11" x14ac:dyDescent="0.25">
      <c r="A25" s="11" t="s">
        <v>666</v>
      </c>
      <c r="B25" s="11" t="s">
        <v>210</v>
      </c>
      <c r="C25" s="16">
        <v>16000000</v>
      </c>
      <c r="D25" s="16"/>
      <c r="E25" s="16">
        <f>SUM(C25:D25)</f>
        <v>16000000</v>
      </c>
      <c r="F25" s="16">
        <v>0</v>
      </c>
      <c r="G25" s="16"/>
      <c r="H25" s="16">
        <f>SUM(F25:G25)</f>
        <v>0</v>
      </c>
      <c r="I25" s="7">
        <f>SUM(F25+C25)</f>
        <v>16000000</v>
      </c>
      <c r="J25" s="7">
        <f t="shared" ref="J25:K25" si="14">SUM(G25+D25)</f>
        <v>0</v>
      </c>
      <c r="K25" s="7">
        <f t="shared" si="14"/>
        <v>16000000</v>
      </c>
    </row>
    <row r="26" spans="1:11" s="37" customFormat="1" x14ac:dyDescent="0.25">
      <c r="A26" s="17" t="s">
        <v>667</v>
      </c>
      <c r="B26" s="17" t="s">
        <v>210</v>
      </c>
      <c r="C26" s="18">
        <f>SUM(C25)</f>
        <v>16000000</v>
      </c>
      <c r="D26" s="18">
        <f t="shared" ref="D26:H26" si="15">SUM(D25)</f>
        <v>0</v>
      </c>
      <c r="E26" s="18">
        <f t="shared" si="15"/>
        <v>16000000</v>
      </c>
      <c r="F26" s="18">
        <f t="shared" si="15"/>
        <v>0</v>
      </c>
      <c r="G26" s="18">
        <f t="shared" si="15"/>
        <v>0</v>
      </c>
      <c r="H26" s="18">
        <f t="shared" si="15"/>
        <v>0</v>
      </c>
      <c r="I26" s="18">
        <f>SUM(I25)</f>
        <v>16000000</v>
      </c>
      <c r="J26" s="18">
        <f t="shared" ref="J26:K26" si="16">SUM(J25)</f>
        <v>0</v>
      </c>
      <c r="K26" s="18">
        <f t="shared" si="16"/>
        <v>16000000</v>
      </c>
    </row>
    <row r="27" spans="1:11" s="37" customFormat="1" x14ac:dyDescent="0.25">
      <c r="A27" s="17" t="s">
        <v>668</v>
      </c>
      <c r="B27" s="17" t="s">
        <v>211</v>
      </c>
      <c r="C27" s="18">
        <v>360000</v>
      </c>
      <c r="D27" s="18"/>
      <c r="E27" s="18">
        <f>SUM(C27:D27)</f>
        <v>360000</v>
      </c>
      <c r="F27" s="25">
        <v>0</v>
      </c>
      <c r="G27" s="25"/>
      <c r="H27" s="25">
        <f>SUM(F27:G27)</f>
        <v>0</v>
      </c>
      <c r="I27" s="18">
        <f>SUM(F27+C27)</f>
        <v>360000</v>
      </c>
      <c r="J27" s="18">
        <f t="shared" ref="J27:K28" si="17">SUM(G27+D27)</f>
        <v>0</v>
      </c>
      <c r="K27" s="18">
        <f t="shared" si="17"/>
        <v>360000</v>
      </c>
    </row>
    <row r="28" spans="1:11" x14ac:dyDescent="0.25">
      <c r="A28" s="11" t="s">
        <v>669</v>
      </c>
      <c r="B28" s="11" t="s">
        <v>212</v>
      </c>
      <c r="C28" s="16">
        <v>60000</v>
      </c>
      <c r="D28" s="16"/>
      <c r="E28" s="6">
        <f>SUM(C28:D28)</f>
        <v>60000</v>
      </c>
      <c r="F28" s="16">
        <v>0</v>
      </c>
      <c r="G28" s="16"/>
      <c r="H28" s="16">
        <f>SUM(F28:G28)</f>
        <v>0</v>
      </c>
      <c r="I28" s="7">
        <f>SUM(F28+C28)</f>
        <v>60000</v>
      </c>
      <c r="J28" s="7">
        <f t="shared" si="17"/>
        <v>0</v>
      </c>
      <c r="K28" s="7">
        <f t="shared" si="17"/>
        <v>60000</v>
      </c>
    </row>
    <row r="29" spans="1:11" s="37" customFormat="1" ht="31.5" x14ac:dyDescent="0.25">
      <c r="A29" s="17" t="s">
        <v>670</v>
      </c>
      <c r="B29" s="17" t="s">
        <v>212</v>
      </c>
      <c r="C29" s="18">
        <f t="shared" ref="C29:K29" si="18">SUM(C28:C28)</f>
        <v>60000</v>
      </c>
      <c r="D29" s="18">
        <f t="shared" si="18"/>
        <v>0</v>
      </c>
      <c r="E29" s="18">
        <f t="shared" si="18"/>
        <v>60000</v>
      </c>
      <c r="F29" s="18">
        <f t="shared" si="18"/>
        <v>0</v>
      </c>
      <c r="G29" s="18">
        <f t="shared" si="18"/>
        <v>0</v>
      </c>
      <c r="H29" s="18">
        <f t="shared" si="18"/>
        <v>0</v>
      </c>
      <c r="I29" s="18">
        <f t="shared" si="18"/>
        <v>60000</v>
      </c>
      <c r="J29" s="18">
        <f t="shared" si="18"/>
        <v>0</v>
      </c>
      <c r="K29" s="18">
        <f t="shared" si="18"/>
        <v>60000</v>
      </c>
    </row>
    <row r="30" spans="1:11" s="37" customFormat="1" ht="31.5" x14ac:dyDescent="0.25">
      <c r="A30" s="17" t="s">
        <v>671</v>
      </c>
      <c r="B30" s="17" t="s">
        <v>213</v>
      </c>
      <c r="C30" s="18">
        <f t="shared" ref="C30:K30" si="19">SUM(C29+C27+C26)</f>
        <v>16420000</v>
      </c>
      <c r="D30" s="18">
        <f t="shared" si="19"/>
        <v>0</v>
      </c>
      <c r="E30" s="18">
        <f t="shared" si="19"/>
        <v>16420000</v>
      </c>
      <c r="F30" s="18">
        <f t="shared" si="19"/>
        <v>0</v>
      </c>
      <c r="G30" s="18">
        <f t="shared" si="19"/>
        <v>0</v>
      </c>
      <c r="H30" s="18">
        <f t="shared" si="19"/>
        <v>0</v>
      </c>
      <c r="I30" s="18">
        <f t="shared" si="19"/>
        <v>16420000</v>
      </c>
      <c r="J30" s="18">
        <f t="shared" si="19"/>
        <v>0</v>
      </c>
      <c r="K30" s="18">
        <f t="shared" si="19"/>
        <v>16420000</v>
      </c>
    </row>
    <row r="31" spans="1:11" s="10" customFormat="1" x14ac:dyDescent="0.25">
      <c r="A31" s="11" t="s">
        <v>672</v>
      </c>
      <c r="B31" s="11" t="s">
        <v>214</v>
      </c>
      <c r="C31" s="13">
        <v>10000</v>
      </c>
      <c r="D31" s="13"/>
      <c r="E31" s="13">
        <f>SUM(C31:D31)</f>
        <v>10000</v>
      </c>
      <c r="F31" s="13">
        <v>0</v>
      </c>
      <c r="G31" s="13"/>
      <c r="H31" s="13">
        <f>SUM(F31:G31)</f>
        <v>0</v>
      </c>
      <c r="I31" s="6">
        <f t="shared" ref="I31:I34" si="20">SUM(F31+C31)</f>
        <v>10000</v>
      </c>
      <c r="J31" s="6">
        <f t="shared" ref="J31:J34" si="21">SUM(G31+D31)</f>
        <v>0</v>
      </c>
      <c r="K31" s="6">
        <f t="shared" ref="K31:K34" si="22">SUM(H31+E31)</f>
        <v>10000</v>
      </c>
    </row>
    <row r="32" spans="1:11" s="10" customFormat="1" x14ac:dyDescent="0.25">
      <c r="A32" s="11" t="s">
        <v>673</v>
      </c>
      <c r="B32" s="11" t="s">
        <v>214</v>
      </c>
      <c r="C32" s="200">
        <v>50000</v>
      </c>
      <c r="D32" s="200"/>
      <c r="E32" s="13">
        <f t="shared" ref="E32:E34" si="23">SUM(C32:D32)</f>
        <v>50000</v>
      </c>
      <c r="F32" s="6">
        <v>0</v>
      </c>
      <c r="G32" s="6"/>
      <c r="H32" s="13">
        <f t="shared" ref="H32:H34" si="24">SUM(F32:G32)</f>
        <v>0</v>
      </c>
      <c r="I32" s="6">
        <f t="shared" si="20"/>
        <v>50000</v>
      </c>
      <c r="J32" s="6">
        <f t="shared" si="21"/>
        <v>0</v>
      </c>
      <c r="K32" s="6">
        <f t="shared" si="22"/>
        <v>50000</v>
      </c>
    </row>
    <row r="33" spans="1:11" s="10" customFormat="1" ht="31.5" x14ac:dyDescent="0.25">
      <c r="A33" s="11" t="s">
        <v>674</v>
      </c>
      <c r="B33" s="11" t="s">
        <v>214</v>
      </c>
      <c r="C33" s="200">
        <v>27500</v>
      </c>
      <c r="D33" s="200"/>
      <c r="E33" s="13">
        <f t="shared" si="23"/>
        <v>27500</v>
      </c>
      <c r="F33" s="6">
        <v>0</v>
      </c>
      <c r="G33" s="6"/>
      <c r="H33" s="13">
        <f t="shared" si="24"/>
        <v>0</v>
      </c>
      <c r="I33" s="6">
        <f t="shared" si="20"/>
        <v>27500</v>
      </c>
      <c r="J33" s="6">
        <f t="shared" si="21"/>
        <v>0</v>
      </c>
      <c r="K33" s="6">
        <f t="shared" si="22"/>
        <v>27500</v>
      </c>
    </row>
    <row r="34" spans="1:11" s="10" customFormat="1" x14ac:dyDescent="0.25">
      <c r="A34" s="11" t="s">
        <v>675</v>
      </c>
      <c r="B34" s="11" t="s">
        <v>214</v>
      </c>
      <c r="C34" s="200">
        <v>5000</v>
      </c>
      <c r="D34" s="200"/>
      <c r="E34" s="13">
        <f t="shared" si="23"/>
        <v>5000</v>
      </c>
      <c r="F34" s="6">
        <v>200</v>
      </c>
      <c r="G34" s="6"/>
      <c r="H34" s="13">
        <f t="shared" si="24"/>
        <v>200</v>
      </c>
      <c r="I34" s="6">
        <f t="shared" si="20"/>
        <v>5200</v>
      </c>
      <c r="J34" s="6">
        <f t="shared" si="21"/>
        <v>0</v>
      </c>
      <c r="K34" s="6">
        <f t="shared" si="22"/>
        <v>5200</v>
      </c>
    </row>
    <row r="35" spans="1:11" s="37" customFormat="1" ht="31.5" x14ac:dyDescent="0.25">
      <c r="A35" s="17" t="s">
        <v>676</v>
      </c>
      <c r="B35" s="17" t="s">
        <v>214</v>
      </c>
      <c r="C35" s="18">
        <f>SUM(C31:C34)</f>
        <v>92500</v>
      </c>
      <c r="D35" s="18">
        <f t="shared" ref="D35:H35" si="25">SUM(D31:D34)</f>
        <v>0</v>
      </c>
      <c r="E35" s="18">
        <f t="shared" si="25"/>
        <v>92500</v>
      </c>
      <c r="F35" s="18">
        <f t="shared" si="25"/>
        <v>200</v>
      </c>
      <c r="G35" s="18">
        <f t="shared" si="25"/>
        <v>0</v>
      </c>
      <c r="H35" s="18">
        <f t="shared" si="25"/>
        <v>200</v>
      </c>
      <c r="I35" s="18">
        <f>SUM(I31:I34)</f>
        <v>92700</v>
      </c>
      <c r="J35" s="18">
        <f t="shared" ref="J35:K35" si="26">SUM(J31:J34)</f>
        <v>0</v>
      </c>
      <c r="K35" s="18">
        <f t="shared" si="26"/>
        <v>92700</v>
      </c>
    </row>
    <row r="36" spans="1:11" s="10" customFormat="1" ht="31.5" x14ac:dyDescent="0.25">
      <c r="A36" s="8" t="s">
        <v>677</v>
      </c>
      <c r="B36" s="8" t="s">
        <v>176</v>
      </c>
      <c r="C36" s="9">
        <f>SUM(C24+C30+C35)</f>
        <v>18387500</v>
      </c>
      <c r="D36" s="9">
        <f t="shared" ref="D36:K36" si="27">SUM(D24+D30+D35)</f>
        <v>0</v>
      </c>
      <c r="E36" s="9">
        <f t="shared" si="27"/>
        <v>18387500</v>
      </c>
      <c r="F36" s="9">
        <f t="shared" si="27"/>
        <v>200</v>
      </c>
      <c r="G36" s="9">
        <f t="shared" si="27"/>
        <v>0</v>
      </c>
      <c r="H36" s="9">
        <f t="shared" si="27"/>
        <v>200</v>
      </c>
      <c r="I36" s="9">
        <f t="shared" si="27"/>
        <v>18387700</v>
      </c>
      <c r="J36" s="9">
        <f t="shared" si="27"/>
        <v>0</v>
      </c>
      <c r="K36" s="9">
        <f t="shared" si="27"/>
        <v>18387700</v>
      </c>
    </row>
    <row r="37" spans="1:11" s="10" customFormat="1" x14ac:dyDescent="0.25">
      <c r="A37" s="8" t="s">
        <v>678</v>
      </c>
      <c r="B37" s="8" t="s">
        <v>177</v>
      </c>
      <c r="C37" s="9">
        <v>3978827</v>
      </c>
      <c r="D37" s="9">
        <v>1292298</v>
      </c>
      <c r="E37" s="9">
        <f>SUM(C37:D37)</f>
        <v>5271125</v>
      </c>
      <c r="F37" s="9">
        <v>1371086</v>
      </c>
      <c r="G37" s="9">
        <v>31995</v>
      </c>
      <c r="H37" s="9">
        <f>SUM(F37:G37)</f>
        <v>1403081</v>
      </c>
      <c r="I37" s="9">
        <f t="shared" ref="I37:K38" si="28">SUM(C37+F37)</f>
        <v>5349913</v>
      </c>
      <c r="J37" s="9">
        <f t="shared" si="28"/>
        <v>1324293</v>
      </c>
      <c r="K37" s="9">
        <f t="shared" si="28"/>
        <v>6674206</v>
      </c>
    </row>
    <row r="38" spans="1:11" s="10" customFormat="1" x14ac:dyDescent="0.25">
      <c r="A38" s="11" t="s">
        <v>223</v>
      </c>
      <c r="B38" s="11" t="s">
        <v>215</v>
      </c>
      <c r="C38" s="13">
        <v>393785</v>
      </c>
      <c r="D38" s="13"/>
      <c r="E38" s="13">
        <f>SUM(C38:D38)</f>
        <v>393785</v>
      </c>
      <c r="F38" s="390">
        <v>0</v>
      </c>
      <c r="G38" s="391"/>
      <c r="H38" s="391">
        <f>SUM(F38:G38)</f>
        <v>0</v>
      </c>
      <c r="I38" s="14">
        <f t="shared" si="28"/>
        <v>393785</v>
      </c>
      <c r="J38" s="14">
        <f t="shared" si="28"/>
        <v>0</v>
      </c>
      <c r="K38" s="14">
        <f t="shared" si="28"/>
        <v>393785</v>
      </c>
    </row>
    <row r="39" spans="1:11" s="10" customFormat="1" ht="31.5" x14ac:dyDescent="0.25">
      <c r="A39" s="201" t="s">
        <v>224</v>
      </c>
      <c r="B39" s="11" t="s">
        <v>225</v>
      </c>
      <c r="C39" s="200">
        <v>3046495</v>
      </c>
      <c r="D39" s="200">
        <v>324</v>
      </c>
      <c r="E39" s="13">
        <f t="shared" ref="E39:E43" si="29">SUM(C39:D39)</f>
        <v>3046819</v>
      </c>
      <c r="F39" s="200">
        <v>373319</v>
      </c>
      <c r="G39" s="375">
        <v>4136</v>
      </c>
      <c r="H39" s="391">
        <f t="shared" ref="H39:H43" si="30">SUM(F39:G39)</f>
        <v>377455</v>
      </c>
      <c r="I39" s="14">
        <f t="shared" ref="I39:I43" si="31">SUM(C39+F39)</f>
        <v>3419814</v>
      </c>
      <c r="J39" s="14">
        <f t="shared" ref="J39:J43" si="32">SUM(D39+G39)</f>
        <v>4460</v>
      </c>
      <c r="K39" s="14">
        <f t="shared" ref="K39:K43" si="33">SUM(E39+H39)</f>
        <v>3424274</v>
      </c>
    </row>
    <row r="40" spans="1:11" x14ac:dyDescent="0.25">
      <c r="A40" s="199" t="s">
        <v>226</v>
      </c>
      <c r="B40" s="11" t="s">
        <v>216</v>
      </c>
      <c r="C40" s="6">
        <v>78000</v>
      </c>
      <c r="D40" s="6">
        <v>38000</v>
      </c>
      <c r="E40" s="13">
        <f t="shared" si="29"/>
        <v>116000</v>
      </c>
      <c r="F40" s="6">
        <v>0</v>
      </c>
      <c r="G40" s="5"/>
      <c r="H40" s="391">
        <f t="shared" si="30"/>
        <v>0</v>
      </c>
      <c r="I40" s="14">
        <f t="shared" si="31"/>
        <v>78000</v>
      </c>
      <c r="J40" s="14">
        <f t="shared" si="32"/>
        <v>38000</v>
      </c>
      <c r="K40" s="14">
        <f t="shared" si="33"/>
        <v>116000</v>
      </c>
    </row>
    <row r="41" spans="1:11" ht="30.75" customHeight="1" x14ac:dyDescent="0.25">
      <c r="A41" s="34" t="s">
        <v>679</v>
      </c>
      <c r="B41" s="34" t="s">
        <v>217</v>
      </c>
      <c r="C41" s="35">
        <v>278800</v>
      </c>
      <c r="D41" s="35"/>
      <c r="E41" s="13">
        <f t="shared" si="29"/>
        <v>278800</v>
      </c>
      <c r="F41" s="35">
        <v>0</v>
      </c>
      <c r="G41" s="35"/>
      <c r="H41" s="391">
        <f t="shared" si="30"/>
        <v>0</v>
      </c>
      <c r="I41" s="14">
        <f t="shared" si="31"/>
        <v>278800</v>
      </c>
      <c r="J41" s="14">
        <f t="shared" si="32"/>
        <v>0</v>
      </c>
      <c r="K41" s="14">
        <f t="shared" si="33"/>
        <v>278800</v>
      </c>
    </row>
    <row r="42" spans="1:11" s="27" customFormat="1" x14ac:dyDescent="0.25">
      <c r="A42" s="919" t="s">
        <v>1269</v>
      </c>
      <c r="B42" s="919" t="s">
        <v>1267</v>
      </c>
      <c r="C42" s="35">
        <v>0</v>
      </c>
      <c r="D42" s="35">
        <v>1200</v>
      </c>
      <c r="E42" s="13">
        <f t="shared" si="29"/>
        <v>1200</v>
      </c>
      <c r="F42" s="35">
        <v>0</v>
      </c>
      <c r="G42" s="35"/>
      <c r="H42" s="391">
        <f t="shared" si="30"/>
        <v>0</v>
      </c>
      <c r="I42" s="14">
        <f t="shared" si="31"/>
        <v>0</v>
      </c>
      <c r="J42" s="14">
        <f t="shared" si="32"/>
        <v>1200</v>
      </c>
      <c r="K42" s="14">
        <f t="shared" si="33"/>
        <v>1200</v>
      </c>
    </row>
    <row r="43" spans="1:11" s="27" customFormat="1" x14ac:dyDescent="0.25">
      <c r="A43" s="919" t="s">
        <v>1270</v>
      </c>
      <c r="B43" s="919" t="s">
        <v>1268</v>
      </c>
      <c r="C43" s="35">
        <v>0</v>
      </c>
      <c r="D43" s="35">
        <v>2860</v>
      </c>
      <c r="E43" s="13">
        <f t="shared" si="29"/>
        <v>2860</v>
      </c>
      <c r="F43" s="35">
        <v>0</v>
      </c>
      <c r="G43" s="35"/>
      <c r="H43" s="391">
        <f t="shared" si="30"/>
        <v>0</v>
      </c>
      <c r="I43" s="14">
        <f t="shared" si="31"/>
        <v>0</v>
      </c>
      <c r="J43" s="14">
        <f t="shared" si="32"/>
        <v>2860</v>
      </c>
      <c r="K43" s="14">
        <f t="shared" si="33"/>
        <v>2860</v>
      </c>
    </row>
    <row r="44" spans="1:11" s="28" customFormat="1" ht="31.5" x14ac:dyDescent="0.25">
      <c r="A44" s="920" t="s">
        <v>1271</v>
      </c>
      <c r="B44" s="920" t="s">
        <v>178</v>
      </c>
      <c r="C44" s="7">
        <f t="shared" ref="C44:K44" si="34">SUM(C41:C43)</f>
        <v>278800</v>
      </c>
      <c r="D44" s="7">
        <f t="shared" si="34"/>
        <v>4060</v>
      </c>
      <c r="E44" s="7">
        <f t="shared" si="34"/>
        <v>282860</v>
      </c>
      <c r="F44" s="7">
        <f t="shared" si="34"/>
        <v>0</v>
      </c>
      <c r="G44" s="7">
        <f t="shared" si="34"/>
        <v>0</v>
      </c>
      <c r="H44" s="7">
        <f t="shared" si="34"/>
        <v>0</v>
      </c>
      <c r="I44" s="7">
        <f t="shared" si="34"/>
        <v>278800</v>
      </c>
      <c r="J44" s="7">
        <f t="shared" si="34"/>
        <v>4060</v>
      </c>
      <c r="K44" s="7">
        <f t="shared" si="34"/>
        <v>282860</v>
      </c>
    </row>
    <row r="45" spans="1:11" s="10" customFormat="1" x14ac:dyDescent="0.25">
      <c r="A45" s="29" t="s">
        <v>680</v>
      </c>
      <c r="B45" s="29" t="s">
        <v>179</v>
      </c>
      <c r="C45" s="31">
        <v>413862</v>
      </c>
      <c r="D45" s="31">
        <v>7500</v>
      </c>
      <c r="E45" s="31">
        <f>SUM(C45:D45)</f>
        <v>421362</v>
      </c>
      <c r="F45" s="31">
        <v>102000</v>
      </c>
      <c r="G45" s="31">
        <v>36451</v>
      </c>
      <c r="H45" s="31">
        <f>SUM(F45:G45)</f>
        <v>138451</v>
      </c>
      <c r="I45" s="7">
        <f>SUM(C45+F45)</f>
        <v>515862</v>
      </c>
      <c r="J45" s="7">
        <f t="shared" ref="J45:K46" si="35">SUM(D45+G45)</f>
        <v>43951</v>
      </c>
      <c r="K45" s="7">
        <f t="shared" si="35"/>
        <v>559813</v>
      </c>
    </row>
    <row r="46" spans="1:11" s="10" customFormat="1" ht="16.5" thickBot="1" x14ac:dyDescent="0.3">
      <c r="A46" s="42" t="s">
        <v>681</v>
      </c>
      <c r="B46" s="42" t="s">
        <v>180</v>
      </c>
      <c r="C46" s="228">
        <v>116387</v>
      </c>
      <c r="D46" s="228">
        <v>3988</v>
      </c>
      <c r="E46" s="31">
        <f>SUM(C46:D46)</f>
        <v>120375</v>
      </c>
      <c r="F46" s="228">
        <v>0</v>
      </c>
      <c r="G46" s="228"/>
      <c r="H46" s="31">
        <f>SUM(F46:G46)</f>
        <v>0</v>
      </c>
      <c r="I46" s="41">
        <f>SUM(C46+F46)</f>
        <v>116387</v>
      </c>
      <c r="J46" s="41">
        <f t="shared" si="35"/>
        <v>3988</v>
      </c>
      <c r="K46" s="41">
        <f t="shared" si="35"/>
        <v>120375</v>
      </c>
    </row>
    <row r="47" spans="1:11" s="10" customFormat="1" ht="33" thickTop="1" thickBot="1" x14ac:dyDescent="0.3">
      <c r="A47" s="43" t="s">
        <v>682</v>
      </c>
      <c r="B47" s="43"/>
      <c r="C47" s="46">
        <f t="shared" ref="C47:K47" si="36">SUM(C45+C37+C36+C19)</f>
        <v>27331133</v>
      </c>
      <c r="D47" s="46">
        <f t="shared" si="36"/>
        <v>1485464</v>
      </c>
      <c r="E47" s="46">
        <f t="shared" si="36"/>
        <v>28816597</v>
      </c>
      <c r="F47" s="46">
        <f t="shared" si="36"/>
        <v>2579920</v>
      </c>
      <c r="G47" s="46">
        <f t="shared" si="36"/>
        <v>349518</v>
      </c>
      <c r="H47" s="46">
        <f t="shared" si="36"/>
        <v>2929438</v>
      </c>
      <c r="I47" s="46">
        <f t="shared" si="36"/>
        <v>29911053</v>
      </c>
      <c r="J47" s="46">
        <f t="shared" si="36"/>
        <v>1834982</v>
      </c>
      <c r="K47" s="46">
        <f t="shared" si="36"/>
        <v>31746035</v>
      </c>
    </row>
    <row r="48" spans="1:11" s="10" customFormat="1" ht="33" thickTop="1" thickBot="1" x14ac:dyDescent="0.3">
      <c r="A48" s="43" t="s">
        <v>683</v>
      </c>
      <c r="B48" s="43"/>
      <c r="C48" s="46">
        <f t="shared" ref="C48:K48" si="37">SUM(C22+C46+C44)</f>
        <v>15182737</v>
      </c>
      <c r="D48" s="46">
        <f t="shared" si="37"/>
        <v>624528</v>
      </c>
      <c r="E48" s="46">
        <f t="shared" si="37"/>
        <v>15807265</v>
      </c>
      <c r="F48" s="46">
        <f t="shared" si="37"/>
        <v>0</v>
      </c>
      <c r="G48" s="46">
        <f t="shared" si="37"/>
        <v>0</v>
      </c>
      <c r="H48" s="46">
        <f t="shared" si="37"/>
        <v>0</v>
      </c>
      <c r="I48" s="46">
        <f t="shared" si="37"/>
        <v>15182737</v>
      </c>
      <c r="J48" s="46">
        <f t="shared" si="37"/>
        <v>624528</v>
      </c>
      <c r="K48" s="46">
        <f t="shared" si="37"/>
        <v>15807265</v>
      </c>
    </row>
    <row r="49" spans="1:13" ht="33" thickTop="1" thickBot="1" x14ac:dyDescent="0.3">
      <c r="A49" s="43" t="s">
        <v>684</v>
      </c>
      <c r="B49" s="43" t="s">
        <v>288</v>
      </c>
      <c r="C49" s="33">
        <f>SUM(C47+C48)</f>
        <v>42513870</v>
      </c>
      <c r="D49" s="33">
        <f t="shared" ref="D49:H49" si="38">SUM(D47+D48)</f>
        <v>2109992</v>
      </c>
      <c r="E49" s="33">
        <f t="shared" si="38"/>
        <v>44623862</v>
      </c>
      <c r="F49" s="33">
        <f t="shared" si="38"/>
        <v>2579920</v>
      </c>
      <c r="G49" s="33">
        <f t="shared" si="38"/>
        <v>349518</v>
      </c>
      <c r="H49" s="33">
        <f t="shared" si="38"/>
        <v>2929438</v>
      </c>
      <c r="I49" s="33">
        <f>SUM(I47+I48)</f>
        <v>45093790</v>
      </c>
      <c r="J49" s="33">
        <f t="shared" ref="J49:K49" si="39">SUM(J47+J48)</f>
        <v>2459510</v>
      </c>
      <c r="K49" s="33">
        <f t="shared" si="39"/>
        <v>47553300</v>
      </c>
    </row>
    <row r="50" spans="1:13" ht="15.75" customHeight="1" thickTop="1" thickBot="1" x14ac:dyDescent="0.3">
      <c r="A50" s="48"/>
      <c r="B50" s="197"/>
      <c r="C50" s="49"/>
      <c r="D50" s="49"/>
      <c r="E50" s="49"/>
      <c r="F50" s="49"/>
      <c r="G50" s="49"/>
      <c r="H50" s="49"/>
      <c r="I50" s="50"/>
      <c r="J50" s="50"/>
      <c r="K50" s="50"/>
    </row>
    <row r="51" spans="1:13" ht="32.25" thickTop="1" x14ac:dyDescent="0.25">
      <c r="A51" s="51" t="s">
        <v>324</v>
      </c>
      <c r="B51" s="51"/>
      <c r="C51" s="312">
        <f>SUM(C52-C53)</f>
        <v>-16186202</v>
      </c>
      <c r="D51" s="313">
        <f t="shared" ref="D51:H51" si="40">SUM(D52-D53)</f>
        <v>320906</v>
      </c>
      <c r="E51" s="312">
        <f t="shared" si="40"/>
        <v>-15865296</v>
      </c>
      <c r="F51" s="389">
        <f t="shared" si="40"/>
        <v>-11372693</v>
      </c>
      <c r="G51" s="313">
        <f t="shared" si="40"/>
        <v>-373059</v>
      </c>
      <c r="H51" s="323">
        <f t="shared" si="40"/>
        <v>-11745752</v>
      </c>
      <c r="I51" s="383">
        <f>SUM(I52-I53)</f>
        <v>-27558895</v>
      </c>
      <c r="J51" s="323">
        <f t="shared" ref="J51:K51" si="41">SUM(J52-J53)</f>
        <v>-52153</v>
      </c>
      <c r="K51" s="323">
        <f t="shared" si="41"/>
        <v>-27611048</v>
      </c>
    </row>
    <row r="52" spans="1:13" s="20" customFormat="1" x14ac:dyDescent="0.25">
      <c r="A52" s="287" t="s">
        <v>228</v>
      </c>
      <c r="B52" s="287" t="s">
        <v>288</v>
      </c>
      <c r="C52" s="314">
        <f>SUM(C49)</f>
        <v>42513870</v>
      </c>
      <c r="D52" s="315">
        <f t="shared" ref="D52:H52" si="42">SUM(D49)</f>
        <v>2109992</v>
      </c>
      <c r="E52" s="324">
        <f t="shared" si="42"/>
        <v>44623862</v>
      </c>
      <c r="F52" s="314">
        <f t="shared" si="42"/>
        <v>2579920</v>
      </c>
      <c r="G52" s="315">
        <f t="shared" si="42"/>
        <v>349518</v>
      </c>
      <c r="H52" s="324">
        <f t="shared" si="42"/>
        <v>2929438</v>
      </c>
      <c r="I52" s="384">
        <f>SUM(I49)</f>
        <v>45093790</v>
      </c>
      <c r="J52" s="324">
        <f t="shared" ref="J52:K52" si="43">SUM(J49)</f>
        <v>2459510</v>
      </c>
      <c r="K52" s="324">
        <f t="shared" si="43"/>
        <v>47553300</v>
      </c>
    </row>
    <row r="53" spans="1:13" s="20" customFormat="1" x14ac:dyDescent="0.25">
      <c r="A53" s="287" t="s">
        <v>229</v>
      </c>
      <c r="B53" s="287" t="s">
        <v>284</v>
      </c>
      <c r="C53" s="316">
        <f>'4 kiadás(szűkített)'!C22</f>
        <v>58700072</v>
      </c>
      <c r="D53" s="317">
        <f>'4 kiadás(szűkített)'!D22</f>
        <v>1789086</v>
      </c>
      <c r="E53" s="325">
        <f>'4 kiadás(szűkített)'!E22</f>
        <v>60489158</v>
      </c>
      <c r="F53" s="374">
        <f>'4 kiadás(szűkített)'!F22</f>
        <v>13952613</v>
      </c>
      <c r="G53" s="317">
        <f>'4 kiadás(szűkített)'!G22</f>
        <v>722577</v>
      </c>
      <c r="H53" s="325">
        <f>'4 kiadás(szűkített)'!H22</f>
        <v>14675190</v>
      </c>
      <c r="I53" s="385">
        <f>SUM(C53+F53)</f>
        <v>72652685</v>
      </c>
      <c r="J53" s="325">
        <f>SUM(D53+G53)</f>
        <v>2511663</v>
      </c>
      <c r="K53" s="325">
        <f>SUM(E53+H53)</f>
        <v>75164348</v>
      </c>
    </row>
    <row r="54" spans="1:13" s="20" customFormat="1" x14ac:dyDescent="0.25">
      <c r="A54" s="287"/>
      <c r="B54" s="287"/>
      <c r="C54" s="374"/>
      <c r="D54" s="317"/>
      <c r="E54" s="325"/>
      <c r="F54" s="374"/>
      <c r="G54" s="594"/>
      <c r="H54" s="325"/>
      <c r="I54" s="385"/>
      <c r="J54" s="325"/>
      <c r="K54" s="325"/>
    </row>
    <row r="55" spans="1:13" x14ac:dyDescent="0.25">
      <c r="A55" s="55" t="s">
        <v>519</v>
      </c>
      <c r="B55" s="55"/>
      <c r="C55" s="233">
        <f>SUM(C61-C62)</f>
        <v>16186202</v>
      </c>
      <c r="D55" s="376">
        <f t="shared" ref="D55:K55" si="44">SUM(D61-D62)</f>
        <v>-320906</v>
      </c>
      <c r="E55" s="326">
        <f t="shared" si="44"/>
        <v>15865296</v>
      </c>
      <c r="F55" s="376">
        <f t="shared" si="44"/>
        <v>11372693</v>
      </c>
      <c r="G55" s="318">
        <f t="shared" si="44"/>
        <v>373059</v>
      </c>
      <c r="H55" s="386">
        <f t="shared" si="44"/>
        <v>11745752</v>
      </c>
      <c r="I55" s="326">
        <f t="shared" si="44"/>
        <v>27558895</v>
      </c>
      <c r="J55" s="326">
        <f t="shared" si="44"/>
        <v>52153</v>
      </c>
      <c r="K55" s="326">
        <f t="shared" si="44"/>
        <v>27611048</v>
      </c>
    </row>
    <row r="56" spans="1:13" ht="31.5" x14ac:dyDescent="0.25">
      <c r="A56" s="56" t="s">
        <v>192</v>
      </c>
      <c r="B56" s="56"/>
      <c r="C56" s="232">
        <v>2002703</v>
      </c>
      <c r="D56" s="53"/>
      <c r="E56" s="290">
        <f>SUM(C56:D56)</f>
        <v>2002703</v>
      </c>
      <c r="F56" s="381">
        <v>580031</v>
      </c>
      <c r="G56" s="377"/>
      <c r="H56" s="290">
        <f>SUM(F56:G56)</f>
        <v>580031</v>
      </c>
      <c r="I56" s="291">
        <f>SUM(C56)+F56</f>
        <v>2582734</v>
      </c>
      <c r="J56" s="290">
        <f t="shared" ref="J56:K58" si="45">SUM(D56+G56)</f>
        <v>0</v>
      </c>
      <c r="K56" s="290">
        <f t="shared" si="45"/>
        <v>2582734</v>
      </c>
      <c r="M56" s="687"/>
    </row>
    <row r="57" spans="1:13" ht="31.5" x14ac:dyDescent="0.25">
      <c r="A57" s="56" t="s">
        <v>181</v>
      </c>
      <c r="B57" s="56"/>
      <c r="C57" s="232">
        <v>10814733</v>
      </c>
      <c r="D57" s="53"/>
      <c r="E57" s="290">
        <f>SUM(C57:D57)</f>
        <v>10814733</v>
      </c>
      <c r="F57" s="381">
        <v>0</v>
      </c>
      <c r="G57" s="377"/>
      <c r="H57" s="290">
        <f>SUM(F57:G57)</f>
        <v>0</v>
      </c>
      <c r="I57" s="291">
        <f>SUM(C57)+F57</f>
        <v>10814733</v>
      </c>
      <c r="J57" s="290">
        <f t="shared" si="45"/>
        <v>0</v>
      </c>
      <c r="K57" s="290">
        <f t="shared" si="45"/>
        <v>10814733</v>
      </c>
    </row>
    <row r="58" spans="1:13" x14ac:dyDescent="0.25">
      <c r="A58" s="52" t="s">
        <v>182</v>
      </c>
      <c r="B58" s="52" t="s">
        <v>227</v>
      </c>
      <c r="C58" s="232">
        <f t="shared" ref="C58:H58" si="46">SUM(C56:C57)</f>
        <v>12817436</v>
      </c>
      <c r="D58" s="53">
        <f t="shared" si="46"/>
        <v>0</v>
      </c>
      <c r="E58" s="290">
        <f t="shared" si="46"/>
        <v>12817436</v>
      </c>
      <c r="F58" s="381">
        <f t="shared" si="46"/>
        <v>580031</v>
      </c>
      <c r="G58" s="377">
        <f t="shared" si="46"/>
        <v>0</v>
      </c>
      <c r="H58" s="290">
        <f t="shared" si="46"/>
        <v>580031</v>
      </c>
      <c r="I58" s="291">
        <f>SUM(C58+F58)</f>
        <v>13397467</v>
      </c>
      <c r="J58" s="290">
        <f t="shared" si="45"/>
        <v>0</v>
      </c>
      <c r="K58" s="290">
        <f t="shared" si="45"/>
        <v>13397467</v>
      </c>
      <c r="M58" s="687"/>
    </row>
    <row r="59" spans="1:13" x14ac:dyDescent="0.25">
      <c r="A59" s="292" t="s">
        <v>325</v>
      </c>
      <c r="B59" s="292" t="s">
        <v>326</v>
      </c>
      <c r="C59" s="319"/>
      <c r="D59" s="320"/>
      <c r="E59" s="327"/>
      <c r="F59" s="382">
        <v>10792662</v>
      </c>
      <c r="G59" s="378">
        <v>373059</v>
      </c>
      <c r="H59" s="327">
        <f>SUM(F59:G59)</f>
        <v>11165721</v>
      </c>
      <c r="I59" s="387">
        <f t="shared" ref="I59:K59" si="47">SUM(C59+F59)</f>
        <v>10792662</v>
      </c>
      <c r="J59" s="327">
        <f t="shared" si="47"/>
        <v>373059</v>
      </c>
      <c r="K59" s="327">
        <f t="shared" si="47"/>
        <v>11165721</v>
      </c>
    </row>
    <row r="60" spans="1:13" ht="31.5" x14ac:dyDescent="0.25">
      <c r="A60" s="292" t="s">
        <v>513</v>
      </c>
      <c r="B60" s="292" t="s">
        <v>510</v>
      </c>
      <c r="C60" s="319">
        <v>28800000</v>
      </c>
      <c r="D60" s="320">
        <v>18350000</v>
      </c>
      <c r="E60" s="327">
        <f>SUM(C60:D60)</f>
        <v>47150000</v>
      </c>
      <c r="F60" s="382"/>
      <c r="G60" s="378"/>
      <c r="H60" s="327"/>
      <c r="I60" s="387">
        <f t="shared" ref="I60" si="48">SUM(C60+F60)</f>
        <v>28800000</v>
      </c>
      <c r="J60" s="327">
        <f t="shared" ref="J60" si="49">SUM(D60+G60)</f>
        <v>18350000</v>
      </c>
      <c r="K60" s="327">
        <f t="shared" ref="K60" si="50">SUM(E60+H60)</f>
        <v>47150000</v>
      </c>
    </row>
    <row r="61" spans="1:13" s="20" customFormat="1" ht="31.5" x14ac:dyDescent="0.25">
      <c r="A61" s="298" t="s">
        <v>520</v>
      </c>
      <c r="B61" s="298" t="s">
        <v>183</v>
      </c>
      <c r="C61" s="321">
        <f>SUM(C58+C59+C60)</f>
        <v>41617436</v>
      </c>
      <c r="D61" s="322">
        <f>SUM(D58:D60)</f>
        <v>18350000</v>
      </c>
      <c r="E61" s="328">
        <f>SUM(E58:E60)</f>
        <v>59967436</v>
      </c>
      <c r="F61" s="380">
        <f>SUM(F58+F59)</f>
        <v>11372693</v>
      </c>
      <c r="G61" s="379">
        <f>SUM(G58:G59)</f>
        <v>373059</v>
      </c>
      <c r="H61" s="328">
        <f>SUM(H58:H59)</f>
        <v>11745752</v>
      </c>
      <c r="I61" s="388">
        <f>SUM(I58+I59+I60)</f>
        <v>52990129</v>
      </c>
      <c r="J61" s="388">
        <f t="shared" ref="J61:K61" si="51">SUM(J58+J59+J60)</f>
        <v>18723059</v>
      </c>
      <c r="K61" s="388">
        <f t="shared" si="51"/>
        <v>71713188</v>
      </c>
    </row>
    <row r="62" spans="1:13" s="20" customFormat="1" x14ac:dyDescent="0.25">
      <c r="A62" s="298" t="s">
        <v>327</v>
      </c>
      <c r="B62" s="298" t="s">
        <v>222</v>
      </c>
      <c r="C62" s="595">
        <f>'4 kiadás(szűkített)'!C26</f>
        <v>25431234</v>
      </c>
      <c r="D62" s="315">
        <f>'4 kiadás(szűkített)'!D26</f>
        <v>18670906</v>
      </c>
      <c r="E62" s="324">
        <f>'4 kiadás(szűkített)'!E26</f>
        <v>44102140</v>
      </c>
      <c r="F62" s="314">
        <f>'4 kiadás(szűkített)'!F26</f>
        <v>0</v>
      </c>
      <c r="G62" s="315">
        <f>'4 kiadás(szűkített)'!G26</f>
        <v>0</v>
      </c>
      <c r="H62" s="324">
        <f>'4 kiadás(szűkített)'!H26</f>
        <v>0</v>
      </c>
      <c r="I62" s="384">
        <f>SUM(C62+F62)</f>
        <v>25431234</v>
      </c>
      <c r="J62" s="324">
        <f>SUM(D62+G62)</f>
        <v>18670906</v>
      </c>
      <c r="K62" s="324">
        <f t="shared" ref="K62" si="52">SUM(E62:H62)</f>
        <v>44102140</v>
      </c>
    </row>
    <row r="63" spans="1:13" s="57" customFormat="1" ht="16.5" thickBot="1" x14ac:dyDescent="0.3">
      <c r="A63" s="58" t="s">
        <v>521</v>
      </c>
      <c r="B63" s="58"/>
      <c r="C63" s="424">
        <f>SUM(C51+C55)</f>
        <v>0</v>
      </c>
      <c r="D63" s="241">
        <f t="shared" ref="D63:K63" si="53">SUM(D51+D55)</f>
        <v>0</v>
      </c>
      <c r="E63" s="305">
        <f t="shared" si="53"/>
        <v>0</v>
      </c>
      <c r="F63" s="424">
        <f t="shared" si="53"/>
        <v>0</v>
      </c>
      <c r="G63" s="241">
        <f t="shared" si="53"/>
        <v>0</v>
      </c>
      <c r="H63" s="305">
        <f t="shared" si="53"/>
        <v>0</v>
      </c>
      <c r="I63" s="424">
        <f t="shared" si="53"/>
        <v>0</v>
      </c>
      <c r="J63" s="424">
        <f t="shared" si="53"/>
        <v>0</v>
      </c>
      <c r="K63" s="58">
        <f t="shared" si="53"/>
        <v>0</v>
      </c>
    </row>
    <row r="64" spans="1:13" s="57" customFormat="1" ht="16.5" thickTop="1" x14ac:dyDescent="0.25"/>
    <row r="65" spans="1:11" s="57" customFormat="1" x14ac:dyDescent="0.25"/>
    <row r="66" spans="1:11" s="57" customFormat="1" x14ac:dyDescent="0.25"/>
    <row r="67" spans="1:11" s="57" customFormat="1" x14ac:dyDescent="0.25">
      <c r="A67" s="60"/>
      <c r="B67" s="60"/>
    </row>
    <row r="68" spans="1:11" s="62" customFormat="1" x14ac:dyDescent="0.25">
      <c r="A68" s="61"/>
      <c r="B68" s="61"/>
      <c r="C68" s="57"/>
      <c r="D68" s="57"/>
      <c r="E68" s="57"/>
      <c r="F68" s="57"/>
      <c r="G68" s="57"/>
      <c r="H68" s="57"/>
      <c r="I68" s="57"/>
      <c r="J68" s="57"/>
      <c r="K68" s="57"/>
    </row>
    <row r="69" spans="1:11" s="62" customFormat="1" x14ac:dyDescent="0.25">
      <c r="A69" s="63"/>
      <c r="B69" s="63"/>
      <c r="C69" s="57"/>
      <c r="D69" s="57"/>
      <c r="E69" s="57"/>
      <c r="F69" s="57"/>
      <c r="G69" s="57"/>
      <c r="H69" s="57"/>
      <c r="I69" s="57"/>
      <c r="J69" s="57"/>
      <c r="K69" s="57"/>
    </row>
    <row r="70" spans="1:11" s="62" customFormat="1" x14ac:dyDescent="0.25">
      <c r="A70" s="64"/>
      <c r="B70" s="64"/>
    </row>
    <row r="71" spans="1:11" s="62" customFormat="1" x14ac:dyDescent="0.25">
      <c r="A71" s="65"/>
      <c r="B71" s="65"/>
    </row>
    <row r="72" spans="1:11" s="62" customFormat="1" x14ac:dyDescent="0.25">
      <c r="A72" s="66"/>
      <c r="B72" s="66"/>
    </row>
    <row r="73" spans="1:11" s="62" customFormat="1" x14ac:dyDescent="0.25">
      <c r="A73" s="64"/>
      <c r="B73" s="64"/>
    </row>
    <row r="74" spans="1:11" s="62" customFormat="1" x14ac:dyDescent="0.25">
      <c r="A74" s="65"/>
      <c r="B74" s="65"/>
    </row>
    <row r="75" spans="1:11" s="62" customFormat="1" x14ac:dyDescent="0.25">
      <c r="A75" s="65"/>
      <c r="B75" s="65"/>
    </row>
    <row r="76" spans="1:11" s="62" customFormat="1" x14ac:dyDescent="0.25">
      <c r="A76" s="64"/>
      <c r="B76" s="64"/>
    </row>
    <row r="77" spans="1:11" s="62" customFormat="1" x14ac:dyDescent="0.25">
      <c r="A77" s="65"/>
      <c r="B77" s="65"/>
    </row>
    <row r="78" spans="1:11" s="62" customFormat="1" x14ac:dyDescent="0.25">
      <c r="A78" s="65"/>
      <c r="B78" s="65"/>
    </row>
    <row r="79" spans="1:11" s="62" customFormat="1" x14ac:dyDescent="0.25">
      <c r="A79" s="65"/>
      <c r="B79" s="65"/>
    </row>
    <row r="80" spans="1:11" s="62" customFormat="1" x14ac:dyDescent="0.25">
      <c r="A80" s="65"/>
      <c r="B80" s="65"/>
    </row>
    <row r="81" spans="1:11" s="62" customFormat="1" x14ac:dyDescent="0.25">
      <c r="A81" s="64"/>
      <c r="B81" s="64"/>
    </row>
    <row r="82" spans="1:11" s="62" customFormat="1" x14ac:dyDescent="0.25">
      <c r="A82" s="65"/>
      <c r="B82" s="65"/>
    </row>
    <row r="83" spans="1:11" s="62" customFormat="1" x14ac:dyDescent="0.25">
      <c r="A83" s="65"/>
      <c r="B83" s="65"/>
    </row>
    <row r="84" spans="1:11" s="62" customFormat="1" x14ac:dyDescent="0.25">
      <c r="A84" s="65"/>
      <c r="B84" s="65"/>
    </row>
    <row r="85" spans="1:11" s="62" customFormat="1" x14ac:dyDescent="0.25">
      <c r="A85" s="65"/>
      <c r="B85" s="65"/>
    </row>
    <row r="86" spans="1:11" s="62" customFormat="1" x14ac:dyDescent="0.25">
      <c r="A86" s="65"/>
      <c r="B86" s="65"/>
    </row>
    <row r="87" spans="1:11" x14ac:dyDescent="0.25">
      <c r="A87" s="65"/>
      <c r="B87" s="65"/>
      <c r="C87" s="62"/>
      <c r="D87" s="62"/>
      <c r="E87" s="62"/>
      <c r="F87" s="62"/>
      <c r="G87" s="62"/>
      <c r="H87" s="62"/>
      <c r="I87" s="62"/>
      <c r="J87" s="62"/>
      <c r="K87" s="62"/>
    </row>
    <row r="88" spans="1:11" x14ac:dyDescent="0.25">
      <c r="A88" s="65"/>
      <c r="B88" s="65"/>
      <c r="C88" s="62"/>
      <c r="D88" s="62"/>
      <c r="E88" s="62"/>
      <c r="F88" s="62"/>
      <c r="G88" s="62"/>
      <c r="H88" s="62"/>
      <c r="I88" s="62"/>
      <c r="J88" s="62"/>
      <c r="K88" s="62"/>
    </row>
    <row r="89" spans="1:11" x14ac:dyDescent="0.25">
      <c r="A89" s="67"/>
      <c r="B89" s="67"/>
    </row>
    <row r="90" spans="1:11" x14ac:dyDescent="0.25">
      <c r="A90" s="67"/>
      <c r="B90" s="67"/>
    </row>
    <row r="91" spans="1:11" x14ac:dyDescent="0.25">
      <c r="A91" s="67"/>
      <c r="B91" s="67"/>
    </row>
    <row r="92" spans="1:11" x14ac:dyDescent="0.25">
      <c r="A92" s="67"/>
      <c r="B92" s="67"/>
    </row>
    <row r="93" spans="1:11" x14ac:dyDescent="0.25">
      <c r="A93" s="67"/>
      <c r="B93" s="67"/>
    </row>
    <row r="94" spans="1:11" x14ac:dyDescent="0.25">
      <c r="A94" s="67"/>
      <c r="B94" s="67"/>
    </row>
    <row r="95" spans="1:11" x14ac:dyDescent="0.25">
      <c r="A95" s="67"/>
      <c r="B95" s="67"/>
    </row>
    <row r="96" spans="1:11" x14ac:dyDescent="0.25">
      <c r="A96" s="67"/>
      <c r="B96" s="67"/>
    </row>
    <row r="97" spans="1:2" x14ac:dyDescent="0.25">
      <c r="A97" s="67"/>
      <c r="B97" s="67"/>
    </row>
    <row r="98" spans="1:2" x14ac:dyDescent="0.25">
      <c r="A98" s="67"/>
      <c r="B98" s="67"/>
    </row>
    <row r="99" spans="1:2" x14ac:dyDescent="0.25">
      <c r="A99" s="67"/>
      <c r="B99" s="67"/>
    </row>
    <row r="100" spans="1:2" x14ac:dyDescent="0.25">
      <c r="A100" s="67"/>
      <c r="B100" s="67"/>
    </row>
    <row r="101" spans="1:2" x14ac:dyDescent="0.25">
      <c r="A101" s="67"/>
      <c r="B101" s="67"/>
    </row>
    <row r="102" spans="1:2" x14ac:dyDescent="0.25">
      <c r="A102" s="67"/>
      <c r="B102" s="67"/>
    </row>
    <row r="103" spans="1:2" x14ac:dyDescent="0.25">
      <c r="A103" s="67"/>
      <c r="B103" s="67"/>
    </row>
    <row r="104" spans="1:2" x14ac:dyDescent="0.25">
      <c r="A104" s="67"/>
      <c r="B104" s="67"/>
    </row>
    <row r="105" spans="1:2" x14ac:dyDescent="0.25">
      <c r="A105" s="67"/>
      <c r="B105" s="67"/>
    </row>
    <row r="106" spans="1:2" x14ac:dyDescent="0.25">
      <c r="A106" s="67"/>
      <c r="B106" s="67"/>
    </row>
    <row r="107" spans="1:2" x14ac:dyDescent="0.25">
      <c r="A107" s="67"/>
      <c r="B107" s="67"/>
    </row>
    <row r="108" spans="1:2" x14ac:dyDescent="0.25">
      <c r="A108" s="67"/>
      <c r="B108" s="67"/>
    </row>
    <row r="109" spans="1:2" x14ac:dyDescent="0.25">
      <c r="A109" s="67"/>
      <c r="B109" s="67"/>
    </row>
    <row r="110" spans="1:2" x14ac:dyDescent="0.25">
      <c r="A110" s="67"/>
      <c r="B110" s="67"/>
    </row>
    <row r="111" spans="1:2" x14ac:dyDescent="0.25">
      <c r="A111" s="67"/>
      <c r="B111" s="67"/>
    </row>
    <row r="112" spans="1:2" x14ac:dyDescent="0.25">
      <c r="A112" s="67"/>
      <c r="B112" s="67"/>
    </row>
    <row r="113" spans="1:2" x14ac:dyDescent="0.25">
      <c r="A113" s="67"/>
      <c r="B113" s="67"/>
    </row>
    <row r="114" spans="1:2" x14ac:dyDescent="0.25">
      <c r="A114" s="67"/>
      <c r="B114" s="67"/>
    </row>
    <row r="115" spans="1:2" x14ac:dyDescent="0.25">
      <c r="A115" s="67"/>
      <c r="B115" s="67"/>
    </row>
    <row r="116" spans="1:2" x14ac:dyDescent="0.25">
      <c r="A116" s="67"/>
      <c r="B116" s="67"/>
    </row>
    <row r="117" spans="1:2" x14ac:dyDescent="0.25">
      <c r="A117" s="67"/>
      <c r="B117" s="67"/>
    </row>
    <row r="118" spans="1:2" x14ac:dyDescent="0.25">
      <c r="A118" s="67"/>
      <c r="B118" s="67"/>
    </row>
    <row r="119" spans="1:2" x14ac:dyDescent="0.25">
      <c r="A119" s="67"/>
      <c r="B119" s="67"/>
    </row>
    <row r="120" spans="1:2" x14ac:dyDescent="0.25">
      <c r="A120" s="67"/>
      <c r="B120" s="67"/>
    </row>
    <row r="121" spans="1:2" x14ac:dyDescent="0.25">
      <c r="A121" s="67"/>
      <c r="B121" s="67"/>
    </row>
    <row r="122" spans="1:2" x14ac:dyDescent="0.25">
      <c r="A122" s="67"/>
      <c r="B122" s="67"/>
    </row>
    <row r="123" spans="1:2" x14ac:dyDescent="0.25">
      <c r="A123" s="67"/>
      <c r="B123" s="67"/>
    </row>
    <row r="124" spans="1:2" x14ac:dyDescent="0.25">
      <c r="A124" s="67"/>
      <c r="B124" s="67"/>
    </row>
    <row r="125" spans="1:2" x14ac:dyDescent="0.25">
      <c r="A125" s="67"/>
      <c r="B125" s="67"/>
    </row>
    <row r="126" spans="1:2" x14ac:dyDescent="0.25">
      <c r="A126" s="67"/>
      <c r="B126" s="67"/>
    </row>
    <row r="127" spans="1:2" x14ac:dyDescent="0.25">
      <c r="A127" s="67"/>
      <c r="B127" s="67"/>
    </row>
    <row r="128" spans="1:2" x14ac:dyDescent="0.25">
      <c r="A128" s="67"/>
      <c r="B128" s="67"/>
    </row>
    <row r="129" spans="1:2" x14ac:dyDescent="0.25">
      <c r="A129" s="67"/>
      <c r="B129" s="67"/>
    </row>
    <row r="130" spans="1:2" x14ac:dyDescent="0.25">
      <c r="A130" s="67"/>
      <c r="B130" s="67"/>
    </row>
    <row r="131" spans="1:2" x14ac:dyDescent="0.25">
      <c r="A131" s="67"/>
      <c r="B131" s="67"/>
    </row>
    <row r="132" spans="1:2" x14ac:dyDescent="0.25">
      <c r="A132" s="67"/>
      <c r="B132" s="67"/>
    </row>
    <row r="133" spans="1:2" x14ac:dyDescent="0.25">
      <c r="A133" s="67"/>
      <c r="B133" s="67"/>
    </row>
    <row r="134" spans="1:2" x14ac:dyDescent="0.25">
      <c r="A134" s="67"/>
      <c r="B134" s="67"/>
    </row>
    <row r="135" spans="1:2" x14ac:dyDescent="0.25">
      <c r="A135" s="67"/>
      <c r="B135" s="67"/>
    </row>
    <row r="136" spans="1:2" x14ac:dyDescent="0.25">
      <c r="A136" s="67"/>
      <c r="B136" s="67"/>
    </row>
    <row r="137" spans="1:2" x14ac:dyDescent="0.25">
      <c r="A137" s="67"/>
      <c r="B137" s="67"/>
    </row>
    <row r="138" spans="1:2" x14ac:dyDescent="0.25">
      <c r="A138" s="67"/>
      <c r="B138" s="67"/>
    </row>
    <row r="139" spans="1:2" x14ac:dyDescent="0.25">
      <c r="A139" s="67"/>
      <c r="B139" s="67"/>
    </row>
    <row r="140" spans="1:2" x14ac:dyDescent="0.25">
      <c r="A140" s="67"/>
      <c r="B140" s="67"/>
    </row>
    <row r="141" spans="1:2" x14ac:dyDescent="0.25">
      <c r="A141" s="67"/>
      <c r="B141" s="67"/>
    </row>
    <row r="142" spans="1:2" x14ac:dyDescent="0.25">
      <c r="A142" s="67"/>
      <c r="B142" s="67"/>
    </row>
    <row r="143" spans="1:2" x14ac:dyDescent="0.25">
      <c r="A143" s="67"/>
      <c r="B143" s="67"/>
    </row>
    <row r="144" spans="1:2" x14ac:dyDescent="0.25">
      <c r="A144" s="67"/>
      <c r="B144" s="67"/>
    </row>
    <row r="145" spans="1:2" x14ac:dyDescent="0.25">
      <c r="A145" s="67"/>
      <c r="B145" s="67"/>
    </row>
    <row r="146" spans="1:2" x14ac:dyDescent="0.25">
      <c r="A146" s="67"/>
      <c r="B146" s="67"/>
    </row>
    <row r="147" spans="1:2" x14ac:dyDescent="0.25">
      <c r="A147" s="67"/>
      <c r="B147" s="67"/>
    </row>
    <row r="148" spans="1:2" x14ac:dyDescent="0.25">
      <c r="A148" s="67"/>
      <c r="B148" s="67"/>
    </row>
    <row r="149" spans="1:2" x14ac:dyDescent="0.25">
      <c r="A149" s="67"/>
      <c r="B149" s="67"/>
    </row>
    <row r="150" spans="1:2" x14ac:dyDescent="0.25">
      <c r="A150" s="67"/>
      <c r="B150" s="67"/>
    </row>
    <row r="151" spans="1:2" x14ac:dyDescent="0.25">
      <c r="A151" s="67"/>
      <c r="B151" s="67"/>
    </row>
    <row r="152" spans="1:2" x14ac:dyDescent="0.25">
      <c r="A152" s="67"/>
      <c r="B152" s="67"/>
    </row>
    <row r="153" spans="1:2" x14ac:dyDescent="0.25">
      <c r="A153" s="67"/>
      <c r="B153" s="67"/>
    </row>
    <row r="154" spans="1:2" x14ac:dyDescent="0.25">
      <c r="A154" s="67"/>
      <c r="B154" s="67"/>
    </row>
    <row r="155" spans="1:2" x14ac:dyDescent="0.25">
      <c r="A155" s="67"/>
      <c r="B155" s="67"/>
    </row>
    <row r="156" spans="1:2" x14ac:dyDescent="0.25">
      <c r="A156" s="67"/>
      <c r="B156" s="67"/>
    </row>
    <row r="157" spans="1:2" x14ac:dyDescent="0.25">
      <c r="A157" s="67"/>
      <c r="B157" s="67"/>
    </row>
    <row r="158" spans="1:2" x14ac:dyDescent="0.25">
      <c r="A158" s="67"/>
      <c r="B158" s="67"/>
    </row>
    <row r="159" spans="1:2" x14ac:dyDescent="0.25">
      <c r="A159" s="67"/>
      <c r="B159" s="67"/>
    </row>
    <row r="160" spans="1:2" x14ac:dyDescent="0.25">
      <c r="A160" s="67"/>
      <c r="B160" s="67"/>
    </row>
    <row r="161" spans="1:2" x14ac:dyDescent="0.25">
      <c r="A161" s="67"/>
      <c r="B161" s="67"/>
    </row>
    <row r="162" spans="1:2" x14ac:dyDescent="0.25">
      <c r="A162" s="67"/>
      <c r="B162" s="67"/>
    </row>
    <row r="163" spans="1:2" x14ac:dyDescent="0.25">
      <c r="A163" s="67"/>
      <c r="B163" s="67"/>
    </row>
    <row r="164" spans="1:2" x14ac:dyDescent="0.25">
      <c r="A164" s="67"/>
      <c r="B164" s="67"/>
    </row>
    <row r="165" spans="1:2" x14ac:dyDescent="0.25">
      <c r="A165" s="67"/>
      <c r="B165" s="67"/>
    </row>
    <row r="166" spans="1:2" x14ac:dyDescent="0.25">
      <c r="A166" s="67"/>
      <c r="B166" s="67"/>
    </row>
    <row r="167" spans="1:2" x14ac:dyDescent="0.25">
      <c r="A167" s="67"/>
      <c r="B167" s="67"/>
    </row>
    <row r="168" spans="1:2" x14ac:dyDescent="0.25">
      <c r="A168" s="67"/>
      <c r="B168" s="67"/>
    </row>
    <row r="169" spans="1:2" x14ac:dyDescent="0.25">
      <c r="A169" s="67"/>
      <c r="B169" s="67"/>
    </row>
    <row r="170" spans="1:2" x14ac:dyDescent="0.25">
      <c r="A170" s="67"/>
      <c r="B170" s="67"/>
    </row>
    <row r="171" spans="1:2" x14ac:dyDescent="0.25">
      <c r="A171" s="67"/>
      <c r="B171" s="67"/>
    </row>
    <row r="172" spans="1:2" x14ac:dyDescent="0.25">
      <c r="A172" s="67"/>
      <c r="B172" s="67"/>
    </row>
    <row r="173" spans="1:2" x14ac:dyDescent="0.25">
      <c r="A173" s="67"/>
      <c r="B173" s="67"/>
    </row>
    <row r="174" spans="1:2" x14ac:dyDescent="0.25">
      <c r="A174" s="67"/>
      <c r="B174" s="67"/>
    </row>
    <row r="175" spans="1:2" x14ac:dyDescent="0.25">
      <c r="A175" s="67"/>
      <c r="B175" s="67"/>
    </row>
    <row r="176" spans="1:2" x14ac:dyDescent="0.25">
      <c r="A176" s="67"/>
      <c r="B176" s="67"/>
    </row>
    <row r="177" spans="1:2" x14ac:dyDescent="0.25">
      <c r="A177" s="67"/>
      <c r="B177" s="67"/>
    </row>
    <row r="178" spans="1:2" x14ac:dyDescent="0.25">
      <c r="A178" s="67"/>
      <c r="B178" s="67"/>
    </row>
    <row r="179" spans="1:2" x14ac:dyDescent="0.25">
      <c r="A179" s="67"/>
      <c r="B179" s="67"/>
    </row>
    <row r="180" spans="1:2" x14ac:dyDescent="0.25">
      <c r="A180" s="67"/>
      <c r="B180" s="67"/>
    </row>
    <row r="181" spans="1:2" x14ac:dyDescent="0.25">
      <c r="A181" s="67"/>
      <c r="B181" s="67"/>
    </row>
    <row r="182" spans="1:2" x14ac:dyDescent="0.25">
      <c r="A182" s="67"/>
      <c r="B182" s="67"/>
    </row>
    <row r="183" spans="1:2" x14ac:dyDescent="0.25">
      <c r="A183" s="67"/>
      <c r="B183" s="67"/>
    </row>
    <row r="184" spans="1:2" x14ac:dyDescent="0.25">
      <c r="A184" s="67"/>
      <c r="B184" s="67"/>
    </row>
    <row r="185" spans="1:2" x14ac:dyDescent="0.25">
      <c r="A185" s="67"/>
      <c r="B185" s="67"/>
    </row>
    <row r="186" spans="1:2" x14ac:dyDescent="0.25">
      <c r="A186" s="67"/>
      <c r="B186" s="67"/>
    </row>
    <row r="187" spans="1:2" x14ac:dyDescent="0.25">
      <c r="A187" s="67"/>
      <c r="B187" s="67"/>
    </row>
    <row r="188" spans="1:2" x14ac:dyDescent="0.25">
      <c r="A188" s="67"/>
      <c r="B188" s="67"/>
    </row>
    <row r="189" spans="1:2" x14ac:dyDescent="0.25">
      <c r="A189" s="67"/>
      <c r="B189" s="67"/>
    </row>
    <row r="190" spans="1:2" x14ac:dyDescent="0.25">
      <c r="A190" s="67"/>
      <c r="B190" s="67"/>
    </row>
    <row r="191" spans="1:2" x14ac:dyDescent="0.25">
      <c r="A191" s="67"/>
      <c r="B191" s="67"/>
    </row>
    <row r="192" spans="1:2" x14ac:dyDescent="0.25">
      <c r="A192" s="67"/>
      <c r="B192" s="67"/>
    </row>
    <row r="193" spans="1:2" x14ac:dyDescent="0.25">
      <c r="A193" s="67"/>
      <c r="B193" s="67"/>
    </row>
    <row r="194" spans="1:2" x14ac:dyDescent="0.25">
      <c r="A194" s="67"/>
      <c r="B194" s="67"/>
    </row>
    <row r="195" spans="1:2" x14ac:dyDescent="0.25">
      <c r="A195" s="67"/>
      <c r="B195" s="67"/>
    </row>
    <row r="196" spans="1:2" x14ac:dyDescent="0.25">
      <c r="A196" s="67"/>
      <c r="B196" s="67"/>
    </row>
    <row r="197" spans="1:2" x14ac:dyDescent="0.25">
      <c r="A197" s="67"/>
      <c r="B197" s="67"/>
    </row>
    <row r="198" spans="1:2" x14ac:dyDescent="0.25">
      <c r="A198" s="67"/>
      <c r="B198" s="67"/>
    </row>
    <row r="199" spans="1:2" x14ac:dyDescent="0.25">
      <c r="A199" s="67"/>
      <c r="B199" s="67"/>
    </row>
    <row r="200" spans="1:2" x14ac:dyDescent="0.25">
      <c r="A200" s="67"/>
      <c r="B200" s="67"/>
    </row>
    <row r="201" spans="1:2" x14ac:dyDescent="0.25">
      <c r="A201" s="67"/>
      <c r="B201" s="67"/>
    </row>
    <row r="202" spans="1:2" x14ac:dyDescent="0.25">
      <c r="A202" s="67"/>
      <c r="B202" s="67"/>
    </row>
    <row r="203" spans="1:2" x14ac:dyDescent="0.25">
      <c r="A203" s="67"/>
      <c r="B203" s="67"/>
    </row>
    <row r="204" spans="1:2" x14ac:dyDescent="0.25">
      <c r="A204" s="67"/>
      <c r="B204" s="67"/>
    </row>
    <row r="205" spans="1:2" x14ac:dyDescent="0.25">
      <c r="A205" s="67"/>
      <c r="B205" s="67"/>
    </row>
    <row r="206" spans="1:2" x14ac:dyDescent="0.25">
      <c r="A206" s="67"/>
      <c r="B206" s="67"/>
    </row>
    <row r="207" spans="1:2" x14ac:dyDescent="0.25">
      <c r="A207" s="67"/>
      <c r="B207" s="67"/>
    </row>
    <row r="208" spans="1:2" x14ac:dyDescent="0.25">
      <c r="A208" s="67"/>
      <c r="B208" s="67"/>
    </row>
    <row r="209" spans="1:2" x14ac:dyDescent="0.25">
      <c r="A209" s="67"/>
      <c r="B209" s="67"/>
    </row>
    <row r="210" spans="1:2" x14ac:dyDescent="0.25">
      <c r="A210" s="67"/>
      <c r="B210" s="67"/>
    </row>
    <row r="211" spans="1:2" x14ac:dyDescent="0.25">
      <c r="A211" s="67"/>
      <c r="B211" s="67"/>
    </row>
    <row r="212" spans="1:2" x14ac:dyDescent="0.25">
      <c r="A212" s="67"/>
      <c r="B212" s="67"/>
    </row>
    <row r="213" spans="1:2" x14ac:dyDescent="0.25">
      <c r="A213" s="67"/>
      <c r="B213" s="67"/>
    </row>
    <row r="214" spans="1:2" x14ac:dyDescent="0.25">
      <c r="A214" s="67"/>
      <c r="B214" s="67"/>
    </row>
    <row r="215" spans="1:2" x14ac:dyDescent="0.25">
      <c r="A215" s="67"/>
      <c r="B215" s="67"/>
    </row>
    <row r="216" spans="1:2" x14ac:dyDescent="0.25">
      <c r="A216" s="67"/>
      <c r="B216" s="67"/>
    </row>
    <row r="217" spans="1:2" x14ac:dyDescent="0.25">
      <c r="A217" s="67"/>
      <c r="B217" s="67"/>
    </row>
    <row r="218" spans="1:2" x14ac:dyDescent="0.25">
      <c r="A218" s="67"/>
      <c r="B218" s="67"/>
    </row>
    <row r="219" spans="1:2" x14ac:dyDescent="0.25">
      <c r="A219" s="67"/>
      <c r="B219" s="67"/>
    </row>
    <row r="220" spans="1:2" x14ac:dyDescent="0.25">
      <c r="A220" s="67"/>
      <c r="B220" s="67"/>
    </row>
    <row r="221" spans="1:2" x14ac:dyDescent="0.25">
      <c r="A221" s="67"/>
      <c r="B221" s="67"/>
    </row>
    <row r="222" spans="1:2" x14ac:dyDescent="0.25">
      <c r="A222" s="67"/>
      <c r="B222" s="67"/>
    </row>
    <row r="223" spans="1:2" x14ac:dyDescent="0.25">
      <c r="A223" s="67"/>
      <c r="B223" s="67"/>
    </row>
    <row r="224" spans="1:2" x14ac:dyDescent="0.25">
      <c r="A224" s="67"/>
      <c r="B224" s="67"/>
    </row>
    <row r="225" spans="1:2" x14ac:dyDescent="0.25">
      <c r="A225" s="67"/>
      <c r="B225" s="67"/>
    </row>
    <row r="226" spans="1:2" x14ac:dyDescent="0.25">
      <c r="A226" s="67"/>
      <c r="B226" s="67"/>
    </row>
    <row r="227" spans="1:2" x14ac:dyDescent="0.25">
      <c r="A227" s="67"/>
      <c r="B227" s="67"/>
    </row>
    <row r="228" spans="1:2" x14ac:dyDescent="0.25">
      <c r="A228" s="67"/>
      <c r="B228" s="67"/>
    </row>
    <row r="229" spans="1:2" x14ac:dyDescent="0.25">
      <c r="A229" s="67"/>
      <c r="B229" s="67"/>
    </row>
    <row r="230" spans="1:2" x14ac:dyDescent="0.25">
      <c r="A230" s="67"/>
      <c r="B230" s="67"/>
    </row>
    <row r="231" spans="1:2" x14ac:dyDescent="0.25">
      <c r="A231" s="67"/>
      <c r="B231" s="67"/>
    </row>
    <row r="232" spans="1:2" x14ac:dyDescent="0.25">
      <c r="A232" s="67"/>
      <c r="B232" s="67"/>
    </row>
    <row r="233" spans="1:2" x14ac:dyDescent="0.25">
      <c r="A233" s="67"/>
      <c r="B233" s="67"/>
    </row>
    <row r="234" spans="1:2" x14ac:dyDescent="0.25">
      <c r="A234" s="67"/>
      <c r="B234" s="67"/>
    </row>
    <row r="235" spans="1:2" x14ac:dyDescent="0.25">
      <c r="A235" s="67"/>
      <c r="B235" s="67"/>
    </row>
    <row r="236" spans="1:2" x14ac:dyDescent="0.25">
      <c r="A236" s="67"/>
      <c r="B236" s="67"/>
    </row>
    <row r="237" spans="1:2" x14ac:dyDescent="0.25">
      <c r="A237" s="67"/>
      <c r="B237" s="67"/>
    </row>
    <row r="238" spans="1:2" x14ac:dyDescent="0.25">
      <c r="A238" s="67"/>
      <c r="B238" s="67"/>
    </row>
    <row r="239" spans="1:2" x14ac:dyDescent="0.25">
      <c r="A239" s="67"/>
      <c r="B239" s="67"/>
    </row>
    <row r="240" spans="1:2" x14ac:dyDescent="0.25">
      <c r="A240" s="67"/>
      <c r="B240" s="67"/>
    </row>
    <row r="241" spans="1:2" x14ac:dyDescent="0.25">
      <c r="A241" s="67"/>
      <c r="B241" s="67"/>
    </row>
    <row r="242" spans="1:2" x14ac:dyDescent="0.25">
      <c r="A242" s="67"/>
      <c r="B242" s="67"/>
    </row>
    <row r="243" spans="1:2" x14ac:dyDescent="0.25">
      <c r="A243" s="67"/>
      <c r="B243" s="67"/>
    </row>
    <row r="244" spans="1:2" x14ac:dyDescent="0.25">
      <c r="A244" s="67"/>
      <c r="B244" s="67"/>
    </row>
    <row r="245" spans="1:2" x14ac:dyDescent="0.25">
      <c r="A245" s="67"/>
      <c r="B245" s="67"/>
    </row>
    <row r="246" spans="1:2" x14ac:dyDescent="0.25">
      <c r="A246" s="67"/>
      <c r="B246" s="67"/>
    </row>
    <row r="247" spans="1:2" x14ac:dyDescent="0.25">
      <c r="A247" s="67"/>
      <c r="B247" s="67"/>
    </row>
    <row r="248" spans="1:2" x14ac:dyDescent="0.25">
      <c r="A248" s="67"/>
      <c r="B248" s="67"/>
    </row>
    <row r="249" spans="1:2" x14ac:dyDescent="0.25">
      <c r="A249" s="67"/>
      <c r="B249" s="67"/>
    </row>
    <row r="250" spans="1:2" x14ac:dyDescent="0.25">
      <c r="A250" s="67"/>
      <c r="B250" s="67"/>
    </row>
    <row r="251" spans="1:2" x14ac:dyDescent="0.25">
      <c r="A251" s="67"/>
      <c r="B251" s="67"/>
    </row>
    <row r="252" spans="1:2" x14ac:dyDescent="0.25">
      <c r="A252" s="67"/>
      <c r="B252" s="67"/>
    </row>
    <row r="253" spans="1:2" x14ac:dyDescent="0.25">
      <c r="A253" s="67"/>
      <c r="B253" s="67"/>
    </row>
    <row r="254" spans="1:2" x14ac:dyDescent="0.25">
      <c r="A254" s="67"/>
      <c r="B254" s="67"/>
    </row>
    <row r="255" spans="1:2" x14ac:dyDescent="0.25">
      <c r="A255" s="67"/>
      <c r="B255" s="67"/>
    </row>
    <row r="256" spans="1:2" x14ac:dyDescent="0.25">
      <c r="A256" s="67"/>
      <c r="B256" s="67"/>
    </row>
    <row r="257" spans="1:2" x14ac:dyDescent="0.25">
      <c r="A257" s="67"/>
      <c r="B257" s="67"/>
    </row>
    <row r="258" spans="1:2" x14ac:dyDescent="0.25">
      <c r="A258" s="67"/>
      <c r="B258" s="67"/>
    </row>
    <row r="259" spans="1:2" x14ac:dyDescent="0.25">
      <c r="A259" s="67"/>
      <c r="B259" s="67"/>
    </row>
    <row r="260" spans="1:2" x14ac:dyDescent="0.25">
      <c r="A260" s="67"/>
      <c r="B260" s="67"/>
    </row>
    <row r="261" spans="1:2" x14ac:dyDescent="0.25">
      <c r="A261" s="67"/>
      <c r="B261" s="67"/>
    </row>
    <row r="262" spans="1:2" x14ac:dyDescent="0.25">
      <c r="A262" s="67"/>
      <c r="B262" s="67"/>
    </row>
    <row r="263" spans="1:2" x14ac:dyDescent="0.25">
      <c r="A263" s="67"/>
      <c r="B263" s="67"/>
    </row>
    <row r="264" spans="1:2" x14ac:dyDescent="0.25">
      <c r="A264" s="67"/>
      <c r="B264" s="67"/>
    </row>
    <row r="265" spans="1:2" x14ac:dyDescent="0.25">
      <c r="A265" s="67"/>
      <c r="B265" s="67"/>
    </row>
    <row r="266" spans="1:2" x14ac:dyDescent="0.25">
      <c r="A266" s="67"/>
      <c r="B266" s="67"/>
    </row>
    <row r="267" spans="1:2" x14ac:dyDescent="0.25">
      <c r="A267" s="67"/>
      <c r="B267" s="67"/>
    </row>
    <row r="268" spans="1:2" x14ac:dyDescent="0.25">
      <c r="A268" s="67"/>
      <c r="B268" s="67"/>
    </row>
    <row r="269" spans="1:2" x14ac:dyDescent="0.25">
      <c r="A269" s="67"/>
      <c r="B269" s="67"/>
    </row>
    <row r="270" spans="1:2" x14ac:dyDescent="0.25">
      <c r="A270" s="67"/>
      <c r="B270" s="67"/>
    </row>
    <row r="271" spans="1:2" x14ac:dyDescent="0.25">
      <c r="A271" s="67"/>
      <c r="B271" s="67"/>
    </row>
    <row r="272" spans="1:2" x14ac:dyDescent="0.25">
      <c r="A272" s="67"/>
      <c r="B272" s="67"/>
    </row>
    <row r="273" spans="1:2" x14ac:dyDescent="0.25">
      <c r="A273" s="67"/>
      <c r="B273" s="67"/>
    </row>
    <row r="274" spans="1:2" x14ac:dyDescent="0.25">
      <c r="A274" s="67"/>
      <c r="B274" s="67"/>
    </row>
    <row r="275" spans="1:2" x14ac:dyDescent="0.25">
      <c r="A275" s="67"/>
      <c r="B275" s="67"/>
    </row>
    <row r="276" spans="1:2" x14ac:dyDescent="0.25">
      <c r="A276" s="67"/>
      <c r="B276" s="67"/>
    </row>
    <row r="277" spans="1:2" x14ac:dyDescent="0.25">
      <c r="A277" s="67"/>
      <c r="B277" s="67"/>
    </row>
    <row r="278" spans="1:2" x14ac:dyDescent="0.25">
      <c r="A278" s="67"/>
      <c r="B278" s="67"/>
    </row>
    <row r="279" spans="1:2" x14ac:dyDescent="0.25">
      <c r="A279" s="67"/>
      <c r="B279" s="67"/>
    </row>
    <row r="280" spans="1:2" x14ac:dyDescent="0.25">
      <c r="A280" s="67"/>
      <c r="B280" s="67"/>
    </row>
    <row r="281" spans="1:2" x14ac:dyDescent="0.25">
      <c r="A281" s="67"/>
      <c r="B281" s="67"/>
    </row>
    <row r="282" spans="1:2" x14ac:dyDescent="0.25">
      <c r="A282" s="67"/>
      <c r="B282" s="67"/>
    </row>
    <row r="283" spans="1:2" x14ac:dyDescent="0.25">
      <c r="A283" s="67"/>
      <c r="B283" s="67"/>
    </row>
    <row r="284" spans="1:2" x14ac:dyDescent="0.25">
      <c r="A284" s="67"/>
      <c r="B284" s="67"/>
    </row>
    <row r="285" spans="1:2" x14ac:dyDescent="0.25">
      <c r="A285" s="67"/>
      <c r="B285" s="67"/>
    </row>
    <row r="286" spans="1:2" x14ac:dyDescent="0.25">
      <c r="A286" s="67"/>
      <c r="B286" s="67"/>
    </row>
    <row r="287" spans="1:2" x14ac:dyDescent="0.25">
      <c r="A287" s="67"/>
      <c r="B287" s="67"/>
    </row>
    <row r="288" spans="1:2" x14ac:dyDescent="0.25">
      <c r="A288" s="67"/>
      <c r="B288" s="67"/>
    </row>
    <row r="289" spans="1:2" x14ac:dyDescent="0.25">
      <c r="A289" s="67"/>
      <c r="B289" s="67"/>
    </row>
    <row r="290" spans="1:2" x14ac:dyDescent="0.25">
      <c r="A290" s="67"/>
      <c r="B290" s="67"/>
    </row>
    <row r="291" spans="1:2" x14ac:dyDescent="0.25">
      <c r="A291" s="67"/>
      <c r="B291" s="67"/>
    </row>
    <row r="292" spans="1:2" x14ac:dyDescent="0.25">
      <c r="A292" s="67"/>
      <c r="B292" s="67"/>
    </row>
    <row r="293" spans="1:2" x14ac:dyDescent="0.25">
      <c r="A293" s="67"/>
      <c r="B293" s="67"/>
    </row>
    <row r="294" spans="1:2" x14ac:dyDescent="0.25">
      <c r="A294" s="67"/>
      <c r="B294" s="67"/>
    </row>
    <row r="295" spans="1:2" x14ac:dyDescent="0.25">
      <c r="A295" s="67"/>
      <c r="B295" s="67"/>
    </row>
    <row r="296" spans="1:2" x14ac:dyDescent="0.25">
      <c r="A296" s="67"/>
      <c r="B296" s="67"/>
    </row>
    <row r="297" spans="1:2" x14ac:dyDescent="0.25">
      <c r="A297" s="67"/>
      <c r="B297" s="67"/>
    </row>
    <row r="298" spans="1:2" x14ac:dyDescent="0.25">
      <c r="A298" s="67"/>
      <c r="B298" s="67"/>
    </row>
    <row r="299" spans="1:2" x14ac:dyDescent="0.25">
      <c r="A299" s="67"/>
      <c r="B299" s="67"/>
    </row>
    <row r="300" spans="1:2" x14ac:dyDescent="0.25">
      <c r="A300" s="67"/>
      <c r="B300" s="67"/>
    </row>
    <row r="301" spans="1:2" x14ac:dyDescent="0.25">
      <c r="A301" s="67"/>
      <c r="B301" s="67"/>
    </row>
    <row r="302" spans="1:2" x14ac:dyDescent="0.25">
      <c r="A302" s="67"/>
      <c r="B302" s="67"/>
    </row>
    <row r="303" spans="1:2" x14ac:dyDescent="0.25">
      <c r="A303" s="67"/>
      <c r="B303" s="67"/>
    </row>
    <row r="304" spans="1:2" x14ac:dyDescent="0.25">
      <c r="A304" s="67"/>
      <c r="B304" s="67"/>
    </row>
    <row r="305" spans="1:2" x14ac:dyDescent="0.25">
      <c r="A305" s="67"/>
      <c r="B305" s="67"/>
    </row>
    <row r="306" spans="1:2" x14ac:dyDescent="0.25">
      <c r="A306" s="67"/>
      <c r="B306" s="67"/>
    </row>
    <row r="307" spans="1:2" x14ac:dyDescent="0.25">
      <c r="A307" s="67"/>
      <c r="B307" s="67"/>
    </row>
    <row r="308" spans="1:2" x14ac:dyDescent="0.25">
      <c r="A308" s="67"/>
      <c r="B308" s="67"/>
    </row>
    <row r="309" spans="1:2" x14ac:dyDescent="0.25">
      <c r="A309" s="67"/>
      <c r="B309" s="67"/>
    </row>
    <row r="310" spans="1:2" x14ac:dyDescent="0.25">
      <c r="A310" s="67"/>
      <c r="B310" s="67"/>
    </row>
    <row r="311" spans="1:2" x14ac:dyDescent="0.25">
      <c r="A311" s="67"/>
      <c r="B311" s="67"/>
    </row>
    <row r="312" spans="1:2" x14ac:dyDescent="0.25">
      <c r="A312" s="67"/>
      <c r="B312" s="67"/>
    </row>
    <row r="313" spans="1:2" x14ac:dyDescent="0.25">
      <c r="A313" s="67"/>
      <c r="B313" s="67"/>
    </row>
    <row r="314" spans="1:2" x14ac:dyDescent="0.25">
      <c r="A314" s="67"/>
      <c r="B314" s="67"/>
    </row>
    <row r="315" spans="1:2" x14ac:dyDescent="0.25">
      <c r="A315" s="67"/>
      <c r="B315" s="67"/>
    </row>
    <row r="316" spans="1:2" x14ac:dyDescent="0.25">
      <c r="A316" s="67"/>
      <c r="B316" s="67"/>
    </row>
    <row r="317" spans="1:2" x14ac:dyDescent="0.25">
      <c r="A317" s="67"/>
      <c r="B317" s="67"/>
    </row>
    <row r="318" spans="1:2" x14ac:dyDescent="0.25">
      <c r="A318" s="67"/>
      <c r="B318" s="67"/>
    </row>
    <row r="319" spans="1:2" x14ac:dyDescent="0.25">
      <c r="A319" s="67"/>
      <c r="B319" s="67"/>
    </row>
    <row r="320" spans="1:2" x14ac:dyDescent="0.25">
      <c r="A320" s="67"/>
      <c r="B320" s="67"/>
    </row>
    <row r="321" spans="1:2" x14ac:dyDescent="0.25">
      <c r="A321" s="67"/>
      <c r="B321" s="67"/>
    </row>
    <row r="322" spans="1:2" x14ac:dyDescent="0.25">
      <c r="A322" s="67"/>
      <c r="B322" s="67"/>
    </row>
    <row r="323" spans="1:2" x14ac:dyDescent="0.25">
      <c r="A323" s="67"/>
      <c r="B323" s="67"/>
    </row>
    <row r="324" spans="1:2" x14ac:dyDescent="0.25">
      <c r="A324" s="67"/>
      <c r="B324" s="67"/>
    </row>
    <row r="325" spans="1:2" x14ac:dyDescent="0.25">
      <c r="A325" s="67"/>
      <c r="B325" s="67"/>
    </row>
    <row r="326" spans="1:2" x14ac:dyDescent="0.25">
      <c r="A326" s="67"/>
      <c r="B326" s="67"/>
    </row>
    <row r="327" spans="1:2" x14ac:dyDescent="0.25">
      <c r="A327" s="67"/>
      <c r="B327" s="67"/>
    </row>
    <row r="328" spans="1:2" x14ac:dyDescent="0.25">
      <c r="A328" s="67"/>
      <c r="B328" s="67"/>
    </row>
    <row r="329" spans="1:2" x14ac:dyDescent="0.25">
      <c r="A329" s="67"/>
      <c r="B329" s="67"/>
    </row>
    <row r="330" spans="1:2" x14ac:dyDescent="0.25">
      <c r="A330" s="67"/>
      <c r="B330" s="67"/>
    </row>
    <row r="331" spans="1:2" x14ac:dyDescent="0.25">
      <c r="A331" s="67"/>
      <c r="B331" s="67"/>
    </row>
    <row r="332" spans="1:2" x14ac:dyDescent="0.25">
      <c r="A332" s="67"/>
      <c r="B332" s="67"/>
    </row>
    <row r="333" spans="1:2" x14ac:dyDescent="0.25">
      <c r="A333" s="67"/>
      <c r="B333" s="67"/>
    </row>
    <row r="334" spans="1:2" x14ac:dyDescent="0.25">
      <c r="A334" s="67"/>
      <c r="B334" s="67"/>
    </row>
    <row r="335" spans="1:2" x14ac:dyDescent="0.25">
      <c r="A335" s="67"/>
      <c r="B335" s="67"/>
    </row>
    <row r="336" spans="1:2" x14ac:dyDescent="0.25">
      <c r="A336" s="67"/>
      <c r="B336" s="67"/>
    </row>
    <row r="337" spans="1:2" x14ac:dyDescent="0.25">
      <c r="A337" s="67"/>
      <c r="B337" s="67"/>
    </row>
    <row r="338" spans="1:2" x14ac:dyDescent="0.25">
      <c r="A338" s="67"/>
      <c r="B338" s="67"/>
    </row>
    <row r="339" spans="1:2" x14ac:dyDescent="0.25">
      <c r="A339" s="67"/>
      <c r="B339" s="67"/>
    </row>
    <row r="340" spans="1:2" x14ac:dyDescent="0.25">
      <c r="A340" s="67"/>
      <c r="B340" s="67"/>
    </row>
    <row r="341" spans="1:2" x14ac:dyDescent="0.25">
      <c r="A341" s="67"/>
      <c r="B341" s="67"/>
    </row>
    <row r="342" spans="1:2" x14ac:dyDescent="0.25">
      <c r="A342" s="67"/>
      <c r="B342" s="67"/>
    </row>
    <row r="343" spans="1:2" x14ac:dyDescent="0.25">
      <c r="A343" s="67"/>
      <c r="B343" s="67"/>
    </row>
    <row r="344" spans="1:2" x14ac:dyDescent="0.25">
      <c r="A344" s="67"/>
      <c r="B344" s="67"/>
    </row>
    <row r="345" spans="1:2" x14ac:dyDescent="0.25">
      <c r="A345" s="67"/>
      <c r="B345" s="67"/>
    </row>
    <row r="346" spans="1:2" x14ac:dyDescent="0.25">
      <c r="A346" s="67"/>
      <c r="B346" s="67"/>
    </row>
    <row r="347" spans="1:2" x14ac:dyDescent="0.25">
      <c r="A347" s="67"/>
      <c r="B347" s="67"/>
    </row>
    <row r="348" spans="1:2" x14ac:dyDescent="0.25">
      <c r="A348" s="67"/>
      <c r="B348" s="67"/>
    </row>
    <row r="349" spans="1:2" x14ac:dyDescent="0.25">
      <c r="A349" s="67"/>
      <c r="B349" s="67"/>
    </row>
    <row r="350" spans="1:2" x14ac:dyDescent="0.25">
      <c r="A350" s="67"/>
      <c r="B350" s="67"/>
    </row>
    <row r="351" spans="1:2" x14ac:dyDescent="0.25">
      <c r="A351" s="67"/>
      <c r="B351" s="67"/>
    </row>
    <row r="352" spans="1:2" x14ac:dyDescent="0.25">
      <c r="A352" s="67"/>
      <c r="B352" s="67"/>
    </row>
    <row r="353" spans="1:2" x14ac:dyDescent="0.25">
      <c r="A353" s="67"/>
      <c r="B353" s="67"/>
    </row>
    <row r="354" spans="1:2" x14ac:dyDescent="0.25">
      <c r="A354" s="67"/>
      <c r="B354" s="67"/>
    </row>
    <row r="355" spans="1:2" x14ac:dyDescent="0.25">
      <c r="A355" s="67"/>
      <c r="B355" s="67"/>
    </row>
    <row r="356" spans="1:2" x14ac:dyDescent="0.25">
      <c r="A356" s="67"/>
      <c r="B356" s="67"/>
    </row>
    <row r="357" spans="1:2" x14ac:dyDescent="0.25">
      <c r="A357" s="67"/>
      <c r="B357" s="67"/>
    </row>
    <row r="358" spans="1:2" x14ac:dyDescent="0.25">
      <c r="A358" s="67"/>
      <c r="B358" s="67"/>
    </row>
    <row r="359" spans="1:2" x14ac:dyDescent="0.25">
      <c r="A359" s="67"/>
      <c r="B359" s="67"/>
    </row>
    <row r="360" spans="1:2" x14ac:dyDescent="0.25">
      <c r="A360" s="67"/>
      <c r="B360" s="67"/>
    </row>
    <row r="361" spans="1:2" x14ac:dyDescent="0.25">
      <c r="A361" s="67"/>
      <c r="B361" s="67"/>
    </row>
    <row r="362" spans="1:2" x14ac:dyDescent="0.25">
      <c r="A362" s="67"/>
      <c r="B362" s="67"/>
    </row>
    <row r="363" spans="1:2" x14ac:dyDescent="0.25">
      <c r="A363" s="67"/>
      <c r="B363" s="67"/>
    </row>
    <row r="364" spans="1:2" x14ac:dyDescent="0.25">
      <c r="A364" s="67"/>
      <c r="B364" s="67"/>
    </row>
    <row r="365" spans="1:2" x14ac:dyDescent="0.25">
      <c r="A365" s="67"/>
      <c r="B365" s="67"/>
    </row>
    <row r="366" spans="1:2" x14ac:dyDescent="0.25">
      <c r="A366" s="67"/>
      <c r="B366" s="67"/>
    </row>
    <row r="367" spans="1:2" x14ac:dyDescent="0.25">
      <c r="A367" s="67"/>
      <c r="B367" s="67"/>
    </row>
    <row r="368" spans="1:2" x14ac:dyDescent="0.25">
      <c r="A368" s="67"/>
      <c r="B368" s="67"/>
    </row>
    <row r="369" spans="1:2" x14ac:dyDescent="0.25">
      <c r="A369" s="67"/>
      <c r="B369" s="67"/>
    </row>
    <row r="370" spans="1:2" x14ac:dyDescent="0.25">
      <c r="A370" s="67"/>
      <c r="B370" s="67"/>
    </row>
    <row r="371" spans="1:2" x14ac:dyDescent="0.25">
      <c r="A371" s="67"/>
      <c r="B371" s="67"/>
    </row>
    <row r="372" spans="1:2" x14ac:dyDescent="0.25">
      <c r="A372" s="67"/>
      <c r="B372" s="67"/>
    </row>
    <row r="373" spans="1:2" x14ac:dyDescent="0.25">
      <c r="A373" s="67"/>
      <c r="B373" s="67"/>
    </row>
    <row r="374" spans="1:2" x14ac:dyDescent="0.25">
      <c r="A374" s="67"/>
      <c r="B374" s="67"/>
    </row>
    <row r="375" spans="1:2" x14ac:dyDescent="0.25">
      <c r="A375" s="67"/>
      <c r="B375" s="67"/>
    </row>
    <row r="376" spans="1:2" x14ac:dyDescent="0.25">
      <c r="A376" s="67"/>
      <c r="B376" s="67"/>
    </row>
    <row r="377" spans="1:2" x14ac:dyDescent="0.25">
      <c r="A377" s="67"/>
      <c r="B377" s="67"/>
    </row>
    <row r="378" spans="1:2" x14ac:dyDescent="0.25">
      <c r="A378" s="67"/>
      <c r="B378" s="67"/>
    </row>
    <row r="379" spans="1:2" x14ac:dyDescent="0.25">
      <c r="A379" s="67"/>
      <c r="B379" s="67"/>
    </row>
    <row r="380" spans="1:2" x14ac:dyDescent="0.25">
      <c r="A380" s="67"/>
      <c r="B380" s="67"/>
    </row>
    <row r="381" spans="1:2" x14ac:dyDescent="0.25">
      <c r="A381" s="67"/>
      <c r="B381" s="67"/>
    </row>
    <row r="382" spans="1:2" x14ac:dyDescent="0.25">
      <c r="A382" s="67"/>
      <c r="B382" s="67"/>
    </row>
    <row r="383" spans="1:2" x14ac:dyDescent="0.25">
      <c r="A383" s="67"/>
      <c r="B383" s="67"/>
    </row>
    <row r="384" spans="1:2" x14ac:dyDescent="0.25">
      <c r="A384" s="67"/>
      <c r="B384" s="67"/>
    </row>
    <row r="385" spans="1:2" x14ac:dyDescent="0.25">
      <c r="A385" s="67"/>
      <c r="B385" s="67"/>
    </row>
    <row r="386" spans="1:2" x14ac:dyDescent="0.25">
      <c r="A386" s="67"/>
      <c r="B386" s="67"/>
    </row>
    <row r="387" spans="1:2" x14ac:dyDescent="0.25">
      <c r="A387" s="67"/>
      <c r="B387" s="67"/>
    </row>
    <row r="388" spans="1:2" x14ac:dyDescent="0.25">
      <c r="A388" s="67"/>
      <c r="B388" s="67"/>
    </row>
    <row r="389" spans="1:2" x14ac:dyDescent="0.25">
      <c r="A389" s="67"/>
      <c r="B389" s="67"/>
    </row>
    <row r="390" spans="1:2" x14ac:dyDescent="0.25">
      <c r="A390" s="67"/>
      <c r="B390" s="67"/>
    </row>
    <row r="391" spans="1:2" x14ac:dyDescent="0.25">
      <c r="A391" s="67"/>
      <c r="B391" s="67"/>
    </row>
    <row r="392" spans="1:2" x14ac:dyDescent="0.25">
      <c r="A392" s="67"/>
      <c r="B392" s="67"/>
    </row>
    <row r="393" spans="1:2" x14ac:dyDescent="0.25">
      <c r="A393" s="67"/>
      <c r="B393" s="67"/>
    </row>
    <row r="394" spans="1:2" x14ac:dyDescent="0.25">
      <c r="A394" s="67"/>
      <c r="B394" s="67"/>
    </row>
    <row r="395" spans="1:2" x14ac:dyDescent="0.25">
      <c r="A395" s="67"/>
      <c r="B395" s="67"/>
    </row>
    <row r="396" spans="1:2" x14ac:dyDescent="0.25">
      <c r="A396" s="67"/>
      <c r="B396" s="67"/>
    </row>
    <row r="397" spans="1:2" x14ac:dyDescent="0.25">
      <c r="A397" s="67"/>
      <c r="B397" s="67"/>
    </row>
    <row r="398" spans="1:2" x14ac:dyDescent="0.25">
      <c r="A398" s="67"/>
      <c r="B398" s="67"/>
    </row>
    <row r="399" spans="1:2" x14ac:dyDescent="0.25">
      <c r="A399" s="67"/>
      <c r="B399" s="67"/>
    </row>
    <row r="400" spans="1:2" x14ac:dyDescent="0.25">
      <c r="A400" s="67"/>
      <c r="B400" s="67"/>
    </row>
    <row r="401" spans="1:2" x14ac:dyDescent="0.25">
      <c r="A401" s="67"/>
      <c r="B401" s="67"/>
    </row>
    <row r="402" spans="1:2" x14ac:dyDescent="0.25">
      <c r="A402" s="67"/>
      <c r="B402" s="67"/>
    </row>
    <row r="403" spans="1:2" x14ac:dyDescent="0.25">
      <c r="A403" s="67"/>
      <c r="B403" s="67"/>
    </row>
    <row r="404" spans="1:2" x14ac:dyDescent="0.25">
      <c r="A404" s="67"/>
      <c r="B404" s="67"/>
    </row>
    <row r="405" spans="1:2" x14ac:dyDescent="0.25">
      <c r="A405" s="67"/>
      <c r="B405" s="67"/>
    </row>
    <row r="406" spans="1:2" x14ac:dyDescent="0.25">
      <c r="A406" s="67"/>
      <c r="B406" s="67"/>
    </row>
    <row r="407" spans="1:2" x14ac:dyDescent="0.25">
      <c r="A407" s="67"/>
      <c r="B407" s="67"/>
    </row>
    <row r="408" spans="1:2" x14ac:dyDescent="0.25">
      <c r="A408" s="67"/>
      <c r="B408" s="67"/>
    </row>
    <row r="409" spans="1:2" x14ac:dyDescent="0.25">
      <c r="A409" s="67"/>
      <c r="B409" s="67"/>
    </row>
    <row r="410" spans="1:2" x14ac:dyDescent="0.25">
      <c r="A410" s="67"/>
      <c r="B410" s="67"/>
    </row>
    <row r="411" spans="1:2" x14ac:dyDescent="0.25">
      <c r="A411" s="67"/>
      <c r="B411" s="67"/>
    </row>
    <row r="412" spans="1:2" x14ac:dyDescent="0.25">
      <c r="A412" s="67"/>
      <c r="B412" s="67"/>
    </row>
    <row r="413" spans="1:2" x14ac:dyDescent="0.25">
      <c r="A413" s="67"/>
      <c r="B413" s="67"/>
    </row>
    <row r="414" spans="1:2" x14ac:dyDescent="0.25">
      <c r="A414" s="67"/>
      <c r="B414" s="67"/>
    </row>
    <row r="415" spans="1:2" x14ac:dyDescent="0.25">
      <c r="A415" s="67"/>
      <c r="B415" s="67"/>
    </row>
    <row r="416" spans="1:2" x14ac:dyDescent="0.25">
      <c r="A416" s="67"/>
      <c r="B416" s="67"/>
    </row>
    <row r="417" spans="1:2" x14ac:dyDescent="0.25">
      <c r="A417" s="67"/>
      <c r="B417" s="67"/>
    </row>
    <row r="418" spans="1:2" x14ac:dyDescent="0.25">
      <c r="A418" s="67"/>
      <c r="B418" s="67"/>
    </row>
    <row r="419" spans="1:2" x14ac:dyDescent="0.25">
      <c r="A419" s="67"/>
      <c r="B419" s="67"/>
    </row>
    <row r="420" spans="1:2" x14ac:dyDescent="0.25">
      <c r="A420" s="67"/>
      <c r="B420" s="67"/>
    </row>
    <row r="421" spans="1:2" x14ac:dyDescent="0.25">
      <c r="A421" s="67"/>
      <c r="B421" s="67"/>
    </row>
    <row r="422" spans="1:2" x14ac:dyDescent="0.25">
      <c r="A422" s="67"/>
      <c r="B422" s="67"/>
    </row>
    <row r="423" spans="1:2" x14ac:dyDescent="0.25">
      <c r="A423" s="67"/>
      <c r="B423" s="67"/>
    </row>
    <row r="424" spans="1:2" x14ac:dyDescent="0.25">
      <c r="A424" s="67"/>
      <c r="B424" s="67"/>
    </row>
    <row r="425" spans="1:2" x14ac:dyDescent="0.25">
      <c r="A425" s="67"/>
      <c r="B425" s="67"/>
    </row>
    <row r="426" spans="1:2" x14ac:dyDescent="0.25">
      <c r="A426" s="67"/>
      <c r="B426" s="67"/>
    </row>
    <row r="427" spans="1:2" x14ac:dyDescent="0.25">
      <c r="A427" s="67"/>
      <c r="B427" s="67"/>
    </row>
    <row r="428" spans="1:2" x14ac:dyDescent="0.25">
      <c r="A428" s="67"/>
      <c r="B428" s="67"/>
    </row>
    <row r="429" spans="1:2" x14ac:dyDescent="0.25">
      <c r="A429" s="67"/>
      <c r="B429" s="67"/>
    </row>
    <row r="430" spans="1:2" x14ac:dyDescent="0.25">
      <c r="A430" s="67"/>
      <c r="B430" s="67"/>
    </row>
    <row r="431" spans="1:2" x14ac:dyDescent="0.25">
      <c r="A431" s="67"/>
      <c r="B431" s="67"/>
    </row>
    <row r="432" spans="1:2" x14ac:dyDescent="0.25">
      <c r="A432" s="67"/>
      <c r="B432" s="67"/>
    </row>
    <row r="433" spans="1:2" x14ac:dyDescent="0.25">
      <c r="A433" s="67"/>
      <c r="B433" s="67"/>
    </row>
    <row r="434" spans="1:2" x14ac:dyDescent="0.25">
      <c r="A434" s="67"/>
      <c r="B434" s="67"/>
    </row>
    <row r="435" spans="1:2" x14ac:dyDescent="0.25">
      <c r="A435" s="67"/>
      <c r="B435" s="67"/>
    </row>
    <row r="436" spans="1:2" x14ac:dyDescent="0.25">
      <c r="A436" s="67"/>
      <c r="B436" s="67"/>
    </row>
    <row r="437" spans="1:2" x14ac:dyDescent="0.25">
      <c r="A437" s="67"/>
      <c r="B437" s="67"/>
    </row>
    <row r="438" spans="1:2" x14ac:dyDescent="0.25">
      <c r="A438" s="67"/>
      <c r="B438" s="67"/>
    </row>
    <row r="439" spans="1:2" x14ac:dyDescent="0.25">
      <c r="A439" s="67"/>
      <c r="B439" s="67"/>
    </row>
    <row r="440" spans="1:2" x14ac:dyDescent="0.25">
      <c r="A440" s="67"/>
      <c r="B440" s="67"/>
    </row>
    <row r="441" spans="1:2" x14ac:dyDescent="0.25">
      <c r="A441" s="67"/>
      <c r="B441" s="67"/>
    </row>
    <row r="442" spans="1:2" x14ac:dyDescent="0.25">
      <c r="A442" s="67"/>
      <c r="B442" s="67"/>
    </row>
    <row r="443" spans="1:2" x14ac:dyDescent="0.25">
      <c r="A443" s="67"/>
      <c r="B443" s="67"/>
    </row>
    <row r="444" spans="1:2" x14ac:dyDescent="0.25">
      <c r="A444" s="67"/>
      <c r="B444" s="67"/>
    </row>
    <row r="445" spans="1:2" x14ac:dyDescent="0.25">
      <c r="A445" s="67"/>
      <c r="B445" s="67"/>
    </row>
    <row r="446" spans="1:2" x14ac:dyDescent="0.25">
      <c r="A446" s="67"/>
      <c r="B446" s="67"/>
    </row>
    <row r="447" spans="1:2" x14ac:dyDescent="0.25">
      <c r="A447" s="67"/>
      <c r="B447" s="67"/>
    </row>
    <row r="448" spans="1:2" x14ac:dyDescent="0.25">
      <c r="A448" s="67"/>
      <c r="B448" s="67"/>
    </row>
    <row r="449" spans="1:2" x14ac:dyDescent="0.25">
      <c r="A449" s="67"/>
      <c r="B449" s="67"/>
    </row>
    <row r="450" spans="1:2" x14ac:dyDescent="0.25">
      <c r="A450" s="67"/>
      <c r="B450" s="67"/>
    </row>
    <row r="451" spans="1:2" x14ac:dyDescent="0.25">
      <c r="A451" s="67"/>
      <c r="B451" s="67"/>
    </row>
    <row r="452" spans="1:2" x14ac:dyDescent="0.25">
      <c r="A452" s="67"/>
      <c r="B452" s="67"/>
    </row>
    <row r="453" spans="1:2" x14ac:dyDescent="0.25">
      <c r="A453" s="67"/>
      <c r="B453" s="67"/>
    </row>
    <row r="454" spans="1:2" x14ac:dyDescent="0.25">
      <c r="A454" s="67"/>
      <c r="B454" s="67"/>
    </row>
    <row r="455" spans="1:2" x14ac:dyDescent="0.25">
      <c r="A455" s="67"/>
      <c r="B455" s="67"/>
    </row>
    <row r="456" spans="1:2" x14ac:dyDescent="0.25">
      <c r="A456" s="67"/>
      <c r="B456" s="67"/>
    </row>
    <row r="457" spans="1:2" x14ac:dyDescent="0.25">
      <c r="A457" s="67"/>
      <c r="B457" s="67"/>
    </row>
    <row r="458" spans="1:2" x14ac:dyDescent="0.25">
      <c r="A458" s="67"/>
      <c r="B458" s="67"/>
    </row>
    <row r="459" spans="1:2" x14ac:dyDescent="0.25">
      <c r="A459" s="67"/>
      <c r="B459" s="67"/>
    </row>
    <row r="460" spans="1:2" x14ac:dyDescent="0.25">
      <c r="A460" s="67"/>
      <c r="B460" s="67"/>
    </row>
    <row r="461" spans="1:2" x14ac:dyDescent="0.25">
      <c r="A461" s="67"/>
      <c r="B461" s="67"/>
    </row>
    <row r="462" spans="1:2" x14ac:dyDescent="0.25">
      <c r="A462" s="67"/>
      <c r="B462" s="67"/>
    </row>
    <row r="463" spans="1:2" x14ac:dyDescent="0.25">
      <c r="A463" s="67"/>
      <c r="B463" s="67"/>
    </row>
    <row r="464" spans="1:2" x14ac:dyDescent="0.25">
      <c r="A464" s="67"/>
      <c r="B464" s="67"/>
    </row>
    <row r="465" spans="1:2" x14ac:dyDescent="0.25">
      <c r="A465" s="67"/>
      <c r="B465" s="67"/>
    </row>
    <row r="466" spans="1:2" x14ac:dyDescent="0.25">
      <c r="A466" s="67"/>
      <c r="B466" s="67"/>
    </row>
    <row r="467" spans="1:2" x14ac:dyDescent="0.25">
      <c r="A467" s="67"/>
      <c r="B467" s="67"/>
    </row>
    <row r="468" spans="1:2" x14ac:dyDescent="0.25">
      <c r="A468" s="67"/>
      <c r="B468" s="67"/>
    </row>
    <row r="469" spans="1:2" x14ac:dyDescent="0.25">
      <c r="A469" s="67"/>
      <c r="B469" s="67"/>
    </row>
    <row r="470" spans="1:2" x14ac:dyDescent="0.25">
      <c r="A470" s="67"/>
      <c r="B470" s="67"/>
    </row>
    <row r="471" spans="1:2" x14ac:dyDescent="0.25">
      <c r="A471" s="67"/>
      <c r="B471" s="67"/>
    </row>
    <row r="472" spans="1:2" x14ac:dyDescent="0.25">
      <c r="A472" s="67"/>
      <c r="B472" s="67"/>
    </row>
    <row r="473" spans="1:2" x14ac:dyDescent="0.25">
      <c r="A473" s="67"/>
      <c r="B473" s="67"/>
    </row>
    <row r="474" spans="1:2" x14ac:dyDescent="0.25">
      <c r="A474" s="67"/>
      <c r="B474" s="67"/>
    </row>
    <row r="475" spans="1:2" x14ac:dyDescent="0.25">
      <c r="A475" s="67"/>
      <c r="B475" s="67"/>
    </row>
    <row r="476" spans="1:2" x14ac:dyDescent="0.25">
      <c r="A476" s="67"/>
      <c r="B476" s="67"/>
    </row>
    <row r="477" spans="1:2" x14ac:dyDescent="0.25">
      <c r="A477" s="67"/>
      <c r="B477" s="67"/>
    </row>
    <row r="478" spans="1:2" x14ac:dyDescent="0.25">
      <c r="A478" s="67"/>
      <c r="B478" s="67"/>
    </row>
    <row r="479" spans="1:2" x14ac:dyDescent="0.25">
      <c r="A479" s="67"/>
      <c r="B479" s="67"/>
    </row>
    <row r="480" spans="1:2" x14ac:dyDescent="0.25">
      <c r="A480" s="67"/>
      <c r="B480" s="67"/>
    </row>
    <row r="481" spans="1:2" x14ac:dyDescent="0.25">
      <c r="A481" s="67"/>
      <c r="B481" s="67"/>
    </row>
    <row r="482" spans="1:2" x14ac:dyDescent="0.25">
      <c r="A482" s="67"/>
      <c r="B482" s="67"/>
    </row>
    <row r="483" spans="1:2" x14ac:dyDescent="0.25">
      <c r="A483" s="67"/>
      <c r="B483" s="67"/>
    </row>
    <row r="484" spans="1:2" x14ac:dyDescent="0.25">
      <c r="A484" s="67"/>
      <c r="B484" s="67"/>
    </row>
    <row r="485" spans="1:2" x14ac:dyDescent="0.25">
      <c r="A485" s="67"/>
      <c r="B485" s="67"/>
    </row>
    <row r="486" spans="1:2" x14ac:dyDescent="0.25">
      <c r="A486" s="67"/>
      <c r="B486" s="67"/>
    </row>
    <row r="487" spans="1:2" x14ac:dyDescent="0.25">
      <c r="A487" s="67"/>
      <c r="B487" s="67"/>
    </row>
    <row r="488" spans="1:2" x14ac:dyDescent="0.25">
      <c r="A488" s="67"/>
      <c r="B488" s="67"/>
    </row>
    <row r="489" spans="1:2" x14ac:dyDescent="0.25">
      <c r="A489" s="67"/>
      <c r="B489" s="67"/>
    </row>
    <row r="490" spans="1:2" x14ac:dyDescent="0.25">
      <c r="A490" s="67"/>
      <c r="B490" s="67"/>
    </row>
    <row r="491" spans="1:2" x14ac:dyDescent="0.25">
      <c r="A491" s="67"/>
      <c r="B491" s="67"/>
    </row>
    <row r="492" spans="1:2" x14ac:dyDescent="0.25">
      <c r="A492" s="67"/>
      <c r="B492" s="67"/>
    </row>
    <row r="493" spans="1:2" x14ac:dyDescent="0.25">
      <c r="A493" s="67"/>
      <c r="B493" s="67"/>
    </row>
    <row r="494" spans="1:2" x14ac:dyDescent="0.25">
      <c r="A494" s="67"/>
      <c r="B494" s="67"/>
    </row>
    <row r="495" spans="1:2" x14ac:dyDescent="0.25">
      <c r="A495" s="67"/>
      <c r="B495" s="67"/>
    </row>
    <row r="496" spans="1:2" x14ac:dyDescent="0.25">
      <c r="A496" s="67"/>
      <c r="B496" s="67"/>
    </row>
    <row r="497" spans="1:2" x14ac:dyDescent="0.25">
      <c r="A497" s="67"/>
      <c r="B497" s="67"/>
    </row>
    <row r="498" spans="1:2" x14ac:dyDescent="0.25">
      <c r="A498" s="67"/>
      <c r="B498" s="67"/>
    </row>
    <row r="499" spans="1:2" x14ac:dyDescent="0.25">
      <c r="A499" s="67"/>
      <c r="B499" s="67"/>
    </row>
    <row r="500" spans="1:2" x14ac:dyDescent="0.25">
      <c r="A500" s="67"/>
      <c r="B500" s="67"/>
    </row>
    <row r="501" spans="1:2" x14ac:dyDescent="0.25">
      <c r="A501" s="67"/>
      <c r="B501" s="67"/>
    </row>
    <row r="502" spans="1:2" x14ac:dyDescent="0.25">
      <c r="A502" s="67"/>
      <c r="B502" s="67"/>
    </row>
    <row r="503" spans="1:2" x14ac:dyDescent="0.25">
      <c r="A503" s="67"/>
      <c r="B503" s="67"/>
    </row>
    <row r="504" spans="1:2" x14ac:dyDescent="0.25">
      <c r="A504" s="67"/>
      <c r="B504" s="67"/>
    </row>
    <row r="505" spans="1:2" x14ac:dyDescent="0.25">
      <c r="A505" s="67"/>
      <c r="B505" s="67"/>
    </row>
    <row r="506" spans="1:2" x14ac:dyDescent="0.25">
      <c r="A506" s="67"/>
      <c r="B506" s="67"/>
    </row>
    <row r="507" spans="1:2" x14ac:dyDescent="0.25">
      <c r="A507" s="67"/>
      <c r="B507" s="67"/>
    </row>
    <row r="508" spans="1:2" x14ac:dyDescent="0.25">
      <c r="A508" s="67"/>
      <c r="B508" s="67"/>
    </row>
    <row r="509" spans="1:2" x14ac:dyDescent="0.25">
      <c r="A509" s="67"/>
      <c r="B509" s="67"/>
    </row>
    <row r="510" spans="1:2" x14ac:dyDescent="0.25">
      <c r="A510" s="67"/>
      <c r="B510" s="67"/>
    </row>
    <row r="511" spans="1:2" x14ac:dyDescent="0.25">
      <c r="A511" s="67"/>
      <c r="B511" s="67"/>
    </row>
    <row r="512" spans="1:2" x14ac:dyDescent="0.25">
      <c r="A512" s="67"/>
      <c r="B512" s="67"/>
    </row>
    <row r="513" spans="1:2" x14ac:dyDescent="0.25">
      <c r="A513" s="67"/>
      <c r="B513" s="67"/>
    </row>
    <row r="514" spans="1:2" x14ac:dyDescent="0.25">
      <c r="A514" s="67"/>
      <c r="B514" s="67"/>
    </row>
    <row r="515" spans="1:2" x14ac:dyDescent="0.25">
      <c r="A515" s="67"/>
      <c r="B515" s="67"/>
    </row>
    <row r="516" spans="1:2" x14ac:dyDescent="0.25">
      <c r="A516" s="67"/>
      <c r="B516" s="67"/>
    </row>
    <row r="517" spans="1:2" x14ac:dyDescent="0.25">
      <c r="A517" s="67"/>
      <c r="B517" s="67"/>
    </row>
    <row r="518" spans="1:2" x14ac:dyDescent="0.25">
      <c r="A518" s="67"/>
      <c r="B518" s="67"/>
    </row>
    <row r="519" spans="1:2" x14ac:dyDescent="0.25">
      <c r="A519" s="67"/>
      <c r="B519" s="67"/>
    </row>
    <row r="520" spans="1:2" x14ac:dyDescent="0.25">
      <c r="A520" s="67"/>
      <c r="B520" s="67"/>
    </row>
    <row r="521" spans="1:2" x14ac:dyDescent="0.25">
      <c r="A521" s="67"/>
      <c r="B521" s="67"/>
    </row>
    <row r="522" spans="1:2" x14ac:dyDescent="0.25">
      <c r="A522" s="67"/>
      <c r="B522" s="67"/>
    </row>
    <row r="523" spans="1:2" x14ac:dyDescent="0.25">
      <c r="A523" s="67"/>
      <c r="B523" s="67"/>
    </row>
    <row r="524" spans="1:2" x14ac:dyDescent="0.25">
      <c r="A524" s="67"/>
      <c r="B524" s="67"/>
    </row>
    <row r="525" spans="1:2" x14ac:dyDescent="0.25">
      <c r="A525" s="67"/>
      <c r="B525" s="67"/>
    </row>
    <row r="526" spans="1:2" x14ac:dyDescent="0.25">
      <c r="A526" s="67"/>
      <c r="B526" s="67"/>
    </row>
    <row r="527" spans="1:2" x14ac:dyDescent="0.25">
      <c r="A527" s="67"/>
      <c r="B527" s="67"/>
    </row>
    <row r="528" spans="1:2" x14ac:dyDescent="0.25">
      <c r="A528" s="67"/>
      <c r="B528" s="67"/>
    </row>
    <row r="529" spans="1:2" x14ac:dyDescent="0.25">
      <c r="A529" s="67"/>
      <c r="B529" s="67"/>
    </row>
    <row r="530" spans="1:2" x14ac:dyDescent="0.25">
      <c r="A530" s="67"/>
      <c r="B530" s="67"/>
    </row>
    <row r="531" spans="1:2" x14ac:dyDescent="0.25">
      <c r="A531" s="67"/>
      <c r="B531" s="67"/>
    </row>
    <row r="532" spans="1:2" x14ac:dyDescent="0.25">
      <c r="A532" s="67"/>
      <c r="B532" s="67"/>
    </row>
    <row r="533" spans="1:2" x14ac:dyDescent="0.25">
      <c r="A533" s="67"/>
      <c r="B533" s="67"/>
    </row>
    <row r="534" spans="1:2" x14ac:dyDescent="0.25">
      <c r="A534" s="67"/>
      <c r="B534" s="67"/>
    </row>
    <row r="535" spans="1:2" x14ac:dyDescent="0.25">
      <c r="A535" s="67"/>
      <c r="B535" s="67"/>
    </row>
    <row r="536" spans="1:2" x14ac:dyDescent="0.25">
      <c r="A536" s="67"/>
      <c r="B536" s="67"/>
    </row>
    <row r="537" spans="1:2" x14ac:dyDescent="0.25">
      <c r="A537" s="67"/>
      <c r="B537" s="67"/>
    </row>
    <row r="538" spans="1:2" x14ac:dyDescent="0.25">
      <c r="A538" s="67"/>
      <c r="B538" s="67"/>
    </row>
    <row r="539" spans="1:2" x14ac:dyDescent="0.25">
      <c r="A539" s="67"/>
      <c r="B539" s="67"/>
    </row>
    <row r="540" spans="1:2" x14ac:dyDescent="0.25">
      <c r="A540" s="67"/>
      <c r="B540" s="67"/>
    </row>
    <row r="541" spans="1:2" x14ac:dyDescent="0.25">
      <c r="A541" s="67"/>
      <c r="B541" s="67"/>
    </row>
    <row r="542" spans="1:2" x14ac:dyDescent="0.25">
      <c r="A542" s="67"/>
      <c r="B542" s="67"/>
    </row>
    <row r="543" spans="1:2" x14ac:dyDescent="0.25">
      <c r="A543" s="67"/>
      <c r="B543" s="67"/>
    </row>
    <row r="544" spans="1:2" x14ac:dyDescent="0.25">
      <c r="A544" s="67"/>
      <c r="B544" s="67"/>
    </row>
    <row r="545" spans="1:2" x14ac:dyDescent="0.25">
      <c r="A545" s="67"/>
      <c r="B545" s="67"/>
    </row>
    <row r="546" spans="1:2" x14ac:dyDescent="0.25">
      <c r="A546" s="67"/>
      <c r="B546" s="67"/>
    </row>
    <row r="547" spans="1:2" x14ac:dyDescent="0.25">
      <c r="A547" s="67"/>
      <c r="B547" s="67"/>
    </row>
    <row r="548" spans="1:2" x14ac:dyDescent="0.25">
      <c r="A548" s="67"/>
      <c r="B548" s="67"/>
    </row>
    <row r="549" spans="1:2" x14ac:dyDescent="0.25">
      <c r="A549" s="67"/>
      <c r="B549" s="67"/>
    </row>
    <row r="550" spans="1:2" x14ac:dyDescent="0.25">
      <c r="A550" s="67"/>
      <c r="B550" s="67"/>
    </row>
    <row r="551" spans="1:2" x14ac:dyDescent="0.25">
      <c r="A551" s="67"/>
      <c r="B551" s="67"/>
    </row>
    <row r="552" spans="1:2" x14ac:dyDescent="0.25">
      <c r="A552" s="67"/>
      <c r="B552" s="67"/>
    </row>
    <row r="553" spans="1:2" x14ac:dyDescent="0.25">
      <c r="A553" s="67"/>
      <c r="B553" s="67"/>
    </row>
    <row r="554" spans="1:2" x14ac:dyDescent="0.25">
      <c r="A554" s="67"/>
      <c r="B554" s="67"/>
    </row>
    <row r="555" spans="1:2" x14ac:dyDescent="0.25">
      <c r="A555" s="67"/>
      <c r="B555" s="67"/>
    </row>
    <row r="556" spans="1:2" x14ac:dyDescent="0.25">
      <c r="A556" s="67"/>
      <c r="B556" s="67"/>
    </row>
    <row r="557" spans="1:2" x14ac:dyDescent="0.25">
      <c r="A557" s="67"/>
      <c r="B557" s="67"/>
    </row>
    <row r="558" spans="1:2" x14ac:dyDescent="0.25">
      <c r="A558" s="67"/>
      <c r="B558" s="67"/>
    </row>
    <row r="559" spans="1:2" x14ac:dyDescent="0.25">
      <c r="A559" s="67"/>
      <c r="B559" s="67"/>
    </row>
    <row r="560" spans="1:2" x14ac:dyDescent="0.25">
      <c r="A560" s="67"/>
      <c r="B560" s="67"/>
    </row>
    <row r="561" spans="1:2" x14ac:dyDescent="0.25">
      <c r="A561" s="67"/>
      <c r="B561" s="67"/>
    </row>
    <row r="562" spans="1:2" x14ac:dyDescent="0.25">
      <c r="A562" s="67"/>
      <c r="B562" s="67"/>
    </row>
    <row r="563" spans="1:2" x14ac:dyDescent="0.25">
      <c r="A563" s="67"/>
      <c r="B563" s="67"/>
    </row>
    <row r="564" spans="1:2" x14ac:dyDescent="0.25">
      <c r="A564" s="67"/>
      <c r="B564" s="67"/>
    </row>
    <row r="565" spans="1:2" x14ac:dyDescent="0.25">
      <c r="A565" s="67"/>
      <c r="B565" s="67"/>
    </row>
    <row r="566" spans="1:2" x14ac:dyDescent="0.25">
      <c r="A566" s="67"/>
      <c r="B566" s="67"/>
    </row>
    <row r="567" spans="1:2" x14ac:dyDescent="0.25">
      <c r="A567" s="67"/>
      <c r="B567" s="67"/>
    </row>
    <row r="568" spans="1:2" x14ac:dyDescent="0.25">
      <c r="A568" s="67"/>
      <c r="B568" s="67"/>
    </row>
    <row r="569" spans="1:2" x14ac:dyDescent="0.25">
      <c r="A569" s="67"/>
      <c r="B569" s="67"/>
    </row>
    <row r="570" spans="1:2" x14ac:dyDescent="0.25">
      <c r="A570" s="67"/>
      <c r="B570" s="67"/>
    </row>
    <row r="571" spans="1:2" x14ac:dyDescent="0.25">
      <c r="A571" s="67"/>
      <c r="B571" s="67"/>
    </row>
    <row r="572" spans="1:2" x14ac:dyDescent="0.25">
      <c r="A572" s="67"/>
      <c r="B572" s="67"/>
    </row>
    <row r="573" spans="1:2" x14ac:dyDescent="0.25">
      <c r="A573" s="67"/>
      <c r="B573" s="67"/>
    </row>
    <row r="574" spans="1:2" x14ac:dyDescent="0.25">
      <c r="A574" s="67"/>
      <c r="B574" s="67"/>
    </row>
    <row r="575" spans="1:2" x14ac:dyDescent="0.25">
      <c r="A575" s="67"/>
      <c r="B575" s="67"/>
    </row>
    <row r="576" spans="1:2" x14ac:dyDescent="0.25">
      <c r="A576" s="67"/>
      <c r="B576" s="67"/>
    </row>
    <row r="577" spans="1:2" x14ac:dyDescent="0.25">
      <c r="A577" s="67"/>
      <c r="B577" s="67"/>
    </row>
    <row r="578" spans="1:2" x14ac:dyDescent="0.25">
      <c r="A578" s="67"/>
      <c r="B578" s="67"/>
    </row>
    <row r="579" spans="1:2" x14ac:dyDescent="0.25">
      <c r="A579" s="67"/>
      <c r="B579" s="67"/>
    </row>
    <row r="580" spans="1:2" x14ac:dyDescent="0.25">
      <c r="A580" s="67"/>
      <c r="B580" s="67"/>
    </row>
    <row r="581" spans="1:2" x14ac:dyDescent="0.25">
      <c r="A581" s="67"/>
      <c r="B581" s="67"/>
    </row>
    <row r="582" spans="1:2" x14ac:dyDescent="0.25">
      <c r="A582" s="67"/>
      <c r="B582" s="67"/>
    </row>
    <row r="583" spans="1:2" x14ac:dyDescent="0.25">
      <c r="A583" s="67"/>
      <c r="B583" s="67"/>
    </row>
    <row r="584" spans="1:2" x14ac:dyDescent="0.25">
      <c r="A584" s="67"/>
      <c r="B584" s="67"/>
    </row>
    <row r="585" spans="1:2" x14ac:dyDescent="0.25">
      <c r="A585" s="67"/>
      <c r="B585" s="67"/>
    </row>
    <row r="586" spans="1:2" x14ac:dyDescent="0.25">
      <c r="A586" s="67"/>
      <c r="B586" s="67"/>
    </row>
    <row r="587" spans="1:2" x14ac:dyDescent="0.25">
      <c r="A587" s="67"/>
      <c r="B587" s="67"/>
    </row>
    <row r="588" spans="1:2" x14ac:dyDescent="0.25">
      <c r="A588" s="67"/>
      <c r="B588" s="67"/>
    </row>
    <row r="589" spans="1:2" x14ac:dyDescent="0.25">
      <c r="A589" s="67"/>
      <c r="B589" s="67"/>
    </row>
    <row r="590" spans="1:2" x14ac:dyDescent="0.25">
      <c r="A590" s="67"/>
      <c r="B590" s="67"/>
    </row>
    <row r="591" spans="1:2" x14ac:dyDescent="0.25">
      <c r="A591" s="67"/>
      <c r="B591" s="67"/>
    </row>
    <row r="592" spans="1:2" x14ac:dyDescent="0.25">
      <c r="A592" s="67"/>
      <c r="B592" s="67"/>
    </row>
    <row r="593" spans="1:2" x14ac:dyDescent="0.25">
      <c r="A593" s="67"/>
      <c r="B593" s="67"/>
    </row>
    <row r="594" spans="1:2" x14ac:dyDescent="0.25">
      <c r="A594" s="67"/>
      <c r="B594" s="67"/>
    </row>
    <row r="595" spans="1:2" x14ac:dyDescent="0.25">
      <c r="A595" s="67"/>
      <c r="B595" s="67"/>
    </row>
    <row r="596" spans="1:2" x14ac:dyDescent="0.25">
      <c r="A596" s="67"/>
      <c r="B596" s="67"/>
    </row>
    <row r="597" spans="1:2" x14ac:dyDescent="0.25">
      <c r="A597" s="67"/>
      <c r="B597" s="67"/>
    </row>
    <row r="598" spans="1:2" x14ac:dyDescent="0.25">
      <c r="A598" s="67"/>
      <c r="B598" s="67"/>
    </row>
    <row r="599" spans="1:2" x14ac:dyDescent="0.25">
      <c r="A599" s="67"/>
      <c r="B599" s="67"/>
    </row>
    <row r="600" spans="1:2" x14ac:dyDescent="0.25">
      <c r="A600" s="67"/>
      <c r="B600" s="67"/>
    </row>
    <row r="601" spans="1:2" x14ac:dyDescent="0.25">
      <c r="A601" s="67"/>
      <c r="B601" s="67"/>
    </row>
    <row r="602" spans="1:2" x14ac:dyDescent="0.25">
      <c r="A602" s="67"/>
      <c r="B602" s="67"/>
    </row>
    <row r="603" spans="1:2" x14ac:dyDescent="0.25">
      <c r="A603" s="67"/>
      <c r="B603" s="67"/>
    </row>
    <row r="604" spans="1:2" x14ac:dyDescent="0.25">
      <c r="A604" s="67"/>
      <c r="B604" s="67"/>
    </row>
    <row r="605" spans="1:2" x14ac:dyDescent="0.25">
      <c r="A605" s="67"/>
      <c r="B605" s="67"/>
    </row>
    <row r="606" spans="1:2" x14ac:dyDescent="0.25">
      <c r="A606" s="67"/>
      <c r="B606" s="67"/>
    </row>
    <row r="607" spans="1:2" x14ac:dyDescent="0.25">
      <c r="A607" s="67"/>
      <c r="B607" s="67"/>
    </row>
    <row r="608" spans="1:2" x14ac:dyDescent="0.25">
      <c r="A608" s="67"/>
      <c r="B608" s="67"/>
    </row>
    <row r="609" spans="1:2" x14ac:dyDescent="0.25">
      <c r="A609" s="67"/>
      <c r="B609" s="67"/>
    </row>
    <row r="610" spans="1:2" x14ac:dyDescent="0.25">
      <c r="A610" s="67"/>
      <c r="B610" s="67"/>
    </row>
    <row r="611" spans="1:2" x14ac:dyDescent="0.25">
      <c r="A611" s="67"/>
      <c r="B611" s="67"/>
    </row>
    <row r="612" spans="1:2" x14ac:dyDescent="0.25">
      <c r="A612" s="67"/>
      <c r="B612" s="67"/>
    </row>
    <row r="613" spans="1:2" x14ac:dyDescent="0.25">
      <c r="A613" s="67"/>
      <c r="B613" s="67"/>
    </row>
    <row r="614" spans="1:2" x14ac:dyDescent="0.25">
      <c r="A614" s="67"/>
      <c r="B614" s="67"/>
    </row>
    <row r="615" spans="1:2" x14ac:dyDescent="0.25">
      <c r="A615" s="67"/>
      <c r="B615" s="67"/>
    </row>
    <row r="616" spans="1:2" x14ac:dyDescent="0.25">
      <c r="A616" s="67"/>
      <c r="B616" s="67"/>
    </row>
    <row r="617" spans="1:2" x14ac:dyDescent="0.25">
      <c r="A617" s="67"/>
      <c r="B617" s="67"/>
    </row>
    <row r="618" spans="1:2" x14ac:dyDescent="0.25">
      <c r="A618" s="67"/>
      <c r="B618" s="67"/>
    </row>
    <row r="619" spans="1:2" x14ac:dyDescent="0.25">
      <c r="A619" s="67"/>
      <c r="B619" s="67"/>
    </row>
    <row r="620" spans="1:2" x14ac:dyDescent="0.25">
      <c r="A620" s="67"/>
      <c r="B620" s="67"/>
    </row>
    <row r="621" spans="1:2" x14ac:dyDescent="0.25">
      <c r="A621" s="67"/>
      <c r="B621" s="67"/>
    </row>
    <row r="622" spans="1:2" x14ac:dyDescent="0.25">
      <c r="A622" s="67"/>
      <c r="B622" s="67"/>
    </row>
    <row r="623" spans="1:2" x14ac:dyDescent="0.25">
      <c r="A623" s="67"/>
      <c r="B623" s="67"/>
    </row>
    <row r="624" spans="1:2" x14ac:dyDescent="0.25">
      <c r="A624" s="67"/>
      <c r="B624" s="67"/>
    </row>
    <row r="625" spans="1:2" x14ac:dyDescent="0.25">
      <c r="A625" s="67"/>
      <c r="B625" s="67"/>
    </row>
    <row r="626" spans="1:2" x14ac:dyDescent="0.25">
      <c r="A626" s="67"/>
      <c r="B626" s="67"/>
    </row>
    <row r="627" spans="1:2" x14ac:dyDescent="0.25">
      <c r="A627" s="67"/>
      <c r="B627" s="67"/>
    </row>
    <row r="628" spans="1:2" x14ac:dyDescent="0.25">
      <c r="A628" s="67"/>
      <c r="B628" s="67"/>
    </row>
    <row r="629" spans="1:2" x14ac:dyDescent="0.25">
      <c r="A629" s="67"/>
      <c r="B629" s="67"/>
    </row>
    <row r="630" spans="1:2" x14ac:dyDescent="0.25">
      <c r="A630" s="67"/>
      <c r="B630" s="67"/>
    </row>
    <row r="631" spans="1:2" x14ac:dyDescent="0.25">
      <c r="A631" s="67"/>
      <c r="B631" s="67"/>
    </row>
    <row r="632" spans="1:2" x14ac:dyDescent="0.25">
      <c r="A632" s="67"/>
      <c r="B632" s="67"/>
    </row>
    <row r="633" spans="1:2" x14ac:dyDescent="0.25">
      <c r="A633" s="67"/>
      <c r="B633" s="67"/>
    </row>
    <row r="634" spans="1:2" x14ac:dyDescent="0.25">
      <c r="A634" s="67"/>
      <c r="B634" s="67"/>
    </row>
    <row r="635" spans="1:2" x14ac:dyDescent="0.25">
      <c r="A635" s="67"/>
      <c r="B635" s="67"/>
    </row>
    <row r="636" spans="1:2" x14ac:dyDescent="0.25">
      <c r="A636" s="67"/>
      <c r="B636" s="67"/>
    </row>
    <row r="637" spans="1:2" x14ac:dyDescent="0.25">
      <c r="A637" s="67"/>
      <c r="B637" s="67"/>
    </row>
    <row r="638" spans="1:2" x14ac:dyDescent="0.25">
      <c r="A638" s="67"/>
      <c r="B638" s="67"/>
    </row>
    <row r="639" spans="1:2" x14ac:dyDescent="0.25">
      <c r="A639" s="67"/>
      <c r="B639" s="67"/>
    </row>
    <row r="640" spans="1:2" x14ac:dyDescent="0.25">
      <c r="A640" s="67"/>
      <c r="B640" s="67"/>
    </row>
    <row r="641" spans="1:2" x14ac:dyDescent="0.25">
      <c r="A641" s="67"/>
      <c r="B641" s="67"/>
    </row>
    <row r="642" spans="1:2" x14ac:dyDescent="0.25">
      <c r="A642" s="67"/>
      <c r="B642" s="67"/>
    </row>
    <row r="643" spans="1:2" x14ac:dyDescent="0.25">
      <c r="A643" s="67"/>
      <c r="B643" s="67"/>
    </row>
    <row r="644" spans="1:2" x14ac:dyDescent="0.25">
      <c r="A644" s="67"/>
      <c r="B644" s="67"/>
    </row>
    <row r="645" spans="1:2" x14ac:dyDescent="0.25">
      <c r="A645" s="67"/>
      <c r="B645" s="67"/>
    </row>
    <row r="646" spans="1:2" x14ac:dyDescent="0.25">
      <c r="A646" s="67"/>
      <c r="B646" s="67"/>
    </row>
    <row r="647" spans="1:2" x14ac:dyDescent="0.25">
      <c r="A647" s="67"/>
      <c r="B647" s="67"/>
    </row>
    <row r="648" spans="1:2" x14ac:dyDescent="0.25">
      <c r="A648" s="67"/>
      <c r="B648" s="67"/>
    </row>
    <row r="649" spans="1:2" x14ac:dyDescent="0.25">
      <c r="A649" s="67"/>
      <c r="B649" s="67"/>
    </row>
    <row r="650" spans="1:2" x14ac:dyDescent="0.25">
      <c r="A650" s="67"/>
      <c r="B650" s="67"/>
    </row>
    <row r="651" spans="1:2" x14ac:dyDescent="0.25">
      <c r="A651" s="67"/>
      <c r="B651" s="67"/>
    </row>
    <row r="652" spans="1:2" x14ac:dyDescent="0.25">
      <c r="A652" s="67"/>
      <c r="B652" s="67"/>
    </row>
    <row r="653" spans="1:2" x14ac:dyDescent="0.25">
      <c r="A653" s="67"/>
      <c r="B653" s="67"/>
    </row>
    <row r="654" spans="1:2" x14ac:dyDescent="0.25">
      <c r="A654" s="67"/>
      <c r="B654" s="67"/>
    </row>
    <row r="655" spans="1:2" x14ac:dyDescent="0.25">
      <c r="A655" s="67"/>
      <c r="B655" s="67"/>
    </row>
    <row r="656" spans="1:2" x14ac:dyDescent="0.25">
      <c r="A656" s="67"/>
      <c r="B656" s="67"/>
    </row>
    <row r="657" spans="1:2" x14ac:dyDescent="0.25">
      <c r="A657" s="67"/>
      <c r="B657" s="67"/>
    </row>
    <row r="658" spans="1:2" x14ac:dyDescent="0.25">
      <c r="A658" s="67"/>
      <c r="B658" s="67"/>
    </row>
    <row r="659" spans="1:2" x14ac:dyDescent="0.25">
      <c r="A659" s="67"/>
      <c r="B659" s="67"/>
    </row>
    <row r="660" spans="1:2" x14ac:dyDescent="0.25">
      <c r="A660" s="67"/>
      <c r="B660" s="67"/>
    </row>
    <row r="661" spans="1:2" x14ac:dyDescent="0.25">
      <c r="A661" s="67"/>
      <c r="B661" s="67"/>
    </row>
    <row r="662" spans="1:2" x14ac:dyDescent="0.25">
      <c r="A662" s="67"/>
      <c r="B662" s="67"/>
    </row>
    <row r="663" spans="1:2" x14ac:dyDescent="0.25">
      <c r="A663" s="67"/>
      <c r="B663" s="67"/>
    </row>
    <row r="664" spans="1:2" x14ac:dyDescent="0.25">
      <c r="A664" s="67"/>
      <c r="B664" s="67"/>
    </row>
    <row r="665" spans="1:2" x14ac:dyDescent="0.25">
      <c r="A665" s="67"/>
      <c r="B665" s="67"/>
    </row>
    <row r="666" spans="1:2" x14ac:dyDescent="0.25">
      <c r="A666" s="67"/>
      <c r="B666" s="67"/>
    </row>
    <row r="667" spans="1:2" x14ac:dyDescent="0.25">
      <c r="A667" s="67"/>
      <c r="B667" s="67"/>
    </row>
    <row r="668" spans="1:2" x14ac:dyDescent="0.25">
      <c r="A668" s="67"/>
      <c r="B668" s="67"/>
    </row>
    <row r="669" spans="1:2" x14ac:dyDescent="0.25">
      <c r="A669" s="67"/>
      <c r="B669" s="67"/>
    </row>
    <row r="670" spans="1:2" x14ac:dyDescent="0.25">
      <c r="A670" s="67"/>
      <c r="B670" s="67"/>
    </row>
    <row r="671" spans="1:2" x14ac:dyDescent="0.25">
      <c r="A671" s="67"/>
      <c r="B671" s="67"/>
    </row>
    <row r="672" spans="1:2" x14ac:dyDescent="0.25">
      <c r="A672" s="67"/>
      <c r="B672" s="67"/>
    </row>
    <row r="673" spans="1:2" x14ac:dyDescent="0.25">
      <c r="A673" s="67"/>
      <c r="B673" s="67"/>
    </row>
    <row r="674" spans="1:2" x14ac:dyDescent="0.25">
      <c r="A674" s="67"/>
      <c r="B674" s="67"/>
    </row>
    <row r="675" spans="1:2" x14ac:dyDescent="0.25">
      <c r="A675" s="67"/>
      <c r="B675" s="67"/>
    </row>
    <row r="676" spans="1:2" x14ac:dyDescent="0.25">
      <c r="A676" s="67"/>
      <c r="B676" s="67"/>
    </row>
    <row r="677" spans="1:2" x14ac:dyDescent="0.25">
      <c r="A677" s="67"/>
      <c r="B677" s="67"/>
    </row>
    <row r="678" spans="1:2" x14ac:dyDescent="0.25">
      <c r="A678" s="67"/>
      <c r="B678" s="67"/>
    </row>
    <row r="679" spans="1:2" x14ac:dyDescent="0.25">
      <c r="A679" s="67"/>
      <c r="B679" s="67"/>
    </row>
    <row r="680" spans="1:2" x14ac:dyDescent="0.25">
      <c r="A680" s="67"/>
      <c r="B680" s="67"/>
    </row>
    <row r="681" spans="1:2" x14ac:dyDescent="0.25">
      <c r="A681" s="67"/>
      <c r="B681" s="67"/>
    </row>
    <row r="682" spans="1:2" x14ac:dyDescent="0.25">
      <c r="A682" s="67"/>
      <c r="B682" s="67"/>
    </row>
    <row r="683" spans="1:2" x14ac:dyDescent="0.25">
      <c r="A683" s="67"/>
      <c r="B683" s="67"/>
    </row>
    <row r="684" spans="1:2" x14ac:dyDescent="0.25">
      <c r="A684" s="67"/>
      <c r="B684" s="67"/>
    </row>
    <row r="685" spans="1:2" x14ac:dyDescent="0.25">
      <c r="A685" s="67"/>
      <c r="B685" s="67"/>
    </row>
    <row r="686" spans="1:2" x14ac:dyDescent="0.25">
      <c r="A686" s="67"/>
      <c r="B686" s="67"/>
    </row>
    <row r="687" spans="1:2" x14ac:dyDescent="0.25">
      <c r="A687" s="67"/>
      <c r="B687" s="67"/>
    </row>
    <row r="688" spans="1:2" x14ac:dyDescent="0.25">
      <c r="A688" s="67"/>
      <c r="B688" s="67"/>
    </row>
    <row r="689" spans="1:2" x14ac:dyDescent="0.25">
      <c r="A689" s="67"/>
      <c r="B689" s="67"/>
    </row>
    <row r="690" spans="1:2" x14ac:dyDescent="0.25">
      <c r="A690" s="67"/>
      <c r="B690" s="67"/>
    </row>
    <row r="691" spans="1:2" x14ac:dyDescent="0.25">
      <c r="A691" s="67"/>
      <c r="B691" s="67"/>
    </row>
    <row r="692" spans="1:2" x14ac:dyDescent="0.25">
      <c r="A692" s="67"/>
      <c r="B692" s="67"/>
    </row>
    <row r="693" spans="1:2" x14ac:dyDescent="0.25">
      <c r="A693" s="67"/>
      <c r="B693" s="67"/>
    </row>
    <row r="694" spans="1:2" x14ac:dyDescent="0.25">
      <c r="A694" s="67"/>
      <c r="B694" s="67"/>
    </row>
    <row r="695" spans="1:2" x14ac:dyDescent="0.25">
      <c r="A695" s="67"/>
      <c r="B695" s="67"/>
    </row>
    <row r="696" spans="1:2" x14ac:dyDescent="0.25">
      <c r="A696" s="67"/>
      <c r="B696" s="67"/>
    </row>
    <row r="697" spans="1:2" x14ac:dyDescent="0.25">
      <c r="A697" s="67"/>
      <c r="B697" s="67"/>
    </row>
    <row r="698" spans="1:2" x14ac:dyDescent="0.25">
      <c r="A698" s="67"/>
      <c r="B698" s="67"/>
    </row>
    <row r="699" spans="1:2" x14ac:dyDescent="0.25">
      <c r="A699" s="67"/>
      <c r="B699" s="67"/>
    </row>
    <row r="700" spans="1:2" x14ac:dyDescent="0.25">
      <c r="A700" s="67"/>
      <c r="B700" s="67"/>
    </row>
    <row r="701" spans="1:2" x14ac:dyDescent="0.25">
      <c r="A701" s="67"/>
      <c r="B701" s="67"/>
    </row>
    <row r="702" spans="1:2" x14ac:dyDescent="0.25">
      <c r="A702" s="67"/>
      <c r="B702" s="67"/>
    </row>
    <row r="703" spans="1:2" x14ac:dyDescent="0.25">
      <c r="A703" s="67"/>
      <c r="B703" s="67"/>
    </row>
    <row r="704" spans="1:2" x14ac:dyDescent="0.25">
      <c r="A704" s="67"/>
      <c r="B704" s="67"/>
    </row>
    <row r="705" spans="1:2" x14ac:dyDescent="0.25">
      <c r="A705" s="67"/>
      <c r="B705" s="67"/>
    </row>
    <row r="706" spans="1:2" x14ac:dyDescent="0.25">
      <c r="A706" s="67"/>
      <c r="B706" s="67"/>
    </row>
    <row r="707" spans="1:2" x14ac:dyDescent="0.25">
      <c r="A707" s="67"/>
      <c r="B707" s="67"/>
    </row>
    <row r="708" spans="1:2" x14ac:dyDescent="0.25">
      <c r="A708" s="67"/>
      <c r="B708" s="67"/>
    </row>
    <row r="709" spans="1:2" x14ac:dyDescent="0.25">
      <c r="A709" s="67"/>
      <c r="B709" s="67"/>
    </row>
    <row r="710" spans="1:2" x14ac:dyDescent="0.25">
      <c r="A710" s="67"/>
      <c r="B710" s="67"/>
    </row>
    <row r="711" spans="1:2" x14ac:dyDescent="0.25">
      <c r="A711" s="67"/>
      <c r="B711" s="67"/>
    </row>
    <row r="712" spans="1:2" x14ac:dyDescent="0.25">
      <c r="A712" s="67"/>
      <c r="B712" s="67"/>
    </row>
    <row r="713" spans="1:2" x14ac:dyDescent="0.25">
      <c r="A713" s="67"/>
      <c r="B713" s="67"/>
    </row>
    <row r="714" spans="1:2" x14ac:dyDescent="0.25">
      <c r="A714" s="67"/>
      <c r="B714" s="67"/>
    </row>
    <row r="715" spans="1:2" x14ac:dyDescent="0.25">
      <c r="A715" s="67"/>
      <c r="B715" s="67"/>
    </row>
    <row r="716" spans="1:2" x14ac:dyDescent="0.25">
      <c r="A716" s="67"/>
      <c r="B716" s="67"/>
    </row>
    <row r="717" spans="1:2" x14ac:dyDescent="0.25">
      <c r="A717" s="67"/>
      <c r="B717" s="67"/>
    </row>
    <row r="718" spans="1:2" x14ac:dyDescent="0.25">
      <c r="A718" s="67"/>
      <c r="B718" s="67"/>
    </row>
    <row r="719" spans="1:2" x14ac:dyDescent="0.25">
      <c r="A719" s="67"/>
      <c r="B719" s="67"/>
    </row>
    <row r="720" spans="1:2" x14ac:dyDescent="0.25">
      <c r="A720" s="67"/>
      <c r="B720" s="67"/>
    </row>
    <row r="721" spans="1:2" x14ac:dyDescent="0.25">
      <c r="A721" s="67"/>
      <c r="B721" s="67"/>
    </row>
    <row r="722" spans="1:2" x14ac:dyDescent="0.25">
      <c r="A722" s="67"/>
      <c r="B722" s="67"/>
    </row>
    <row r="723" spans="1:2" x14ac:dyDescent="0.25">
      <c r="A723" s="67"/>
      <c r="B723" s="67"/>
    </row>
    <row r="724" spans="1:2" x14ac:dyDescent="0.25">
      <c r="A724" s="67"/>
      <c r="B724" s="67"/>
    </row>
    <row r="725" spans="1:2" x14ac:dyDescent="0.25">
      <c r="A725" s="67"/>
      <c r="B725" s="67"/>
    </row>
    <row r="726" spans="1:2" x14ac:dyDescent="0.25">
      <c r="A726" s="67"/>
      <c r="B726" s="67"/>
    </row>
    <row r="727" spans="1:2" x14ac:dyDescent="0.25">
      <c r="A727" s="67"/>
      <c r="B727" s="67"/>
    </row>
    <row r="728" spans="1:2" x14ac:dyDescent="0.25">
      <c r="A728" s="67"/>
      <c r="B728" s="67"/>
    </row>
    <row r="729" spans="1:2" x14ac:dyDescent="0.25">
      <c r="A729" s="67"/>
      <c r="B729" s="67"/>
    </row>
    <row r="730" spans="1:2" x14ac:dyDescent="0.25">
      <c r="A730" s="67"/>
      <c r="B730" s="67"/>
    </row>
    <row r="731" spans="1:2" x14ac:dyDescent="0.25">
      <c r="A731" s="67"/>
      <c r="B731" s="67"/>
    </row>
    <row r="732" spans="1:2" x14ac:dyDescent="0.25">
      <c r="A732" s="67"/>
      <c r="B732" s="67"/>
    </row>
    <row r="733" spans="1:2" x14ac:dyDescent="0.25">
      <c r="A733" s="67"/>
      <c r="B733" s="67"/>
    </row>
    <row r="734" spans="1:2" x14ac:dyDescent="0.25">
      <c r="A734" s="67"/>
      <c r="B734" s="67"/>
    </row>
    <row r="735" spans="1:2" x14ac:dyDescent="0.25">
      <c r="A735" s="67"/>
      <c r="B735" s="67"/>
    </row>
    <row r="736" spans="1:2" x14ac:dyDescent="0.25">
      <c r="A736" s="67"/>
      <c r="B736" s="67"/>
    </row>
    <row r="737" spans="1:2" x14ac:dyDescent="0.25">
      <c r="A737" s="67"/>
      <c r="B737" s="67"/>
    </row>
    <row r="738" spans="1:2" x14ac:dyDescent="0.25">
      <c r="A738" s="67"/>
      <c r="B738" s="67"/>
    </row>
    <row r="739" spans="1:2" x14ac:dyDescent="0.25">
      <c r="A739" s="67"/>
      <c r="B739" s="67"/>
    </row>
    <row r="740" spans="1:2" x14ac:dyDescent="0.25">
      <c r="A740" s="67"/>
      <c r="B740" s="67"/>
    </row>
    <row r="741" spans="1:2" x14ac:dyDescent="0.25">
      <c r="A741" s="67"/>
      <c r="B741" s="67"/>
    </row>
    <row r="742" spans="1:2" x14ac:dyDescent="0.25">
      <c r="A742" s="67"/>
      <c r="B742" s="67"/>
    </row>
    <row r="743" spans="1:2" x14ac:dyDescent="0.25">
      <c r="A743" s="67"/>
      <c r="B743" s="67"/>
    </row>
    <row r="744" spans="1:2" x14ac:dyDescent="0.25">
      <c r="A744" s="67"/>
      <c r="B744" s="67"/>
    </row>
    <row r="745" spans="1:2" x14ac:dyDescent="0.25">
      <c r="A745" s="67"/>
      <c r="B745" s="67"/>
    </row>
    <row r="746" spans="1:2" x14ac:dyDescent="0.25">
      <c r="A746" s="67"/>
      <c r="B746" s="67"/>
    </row>
    <row r="747" spans="1:2" x14ac:dyDescent="0.25">
      <c r="A747" s="67"/>
      <c r="B747" s="67"/>
    </row>
    <row r="748" spans="1:2" x14ac:dyDescent="0.25">
      <c r="A748" s="67"/>
      <c r="B748" s="67"/>
    </row>
    <row r="749" spans="1:2" x14ac:dyDescent="0.25">
      <c r="A749" s="67"/>
      <c r="B749" s="67"/>
    </row>
    <row r="750" spans="1:2" x14ac:dyDescent="0.25">
      <c r="A750" s="67"/>
      <c r="B750" s="67"/>
    </row>
    <row r="751" spans="1:2" x14ac:dyDescent="0.25">
      <c r="A751" s="67"/>
      <c r="B751" s="67"/>
    </row>
    <row r="752" spans="1:2" x14ac:dyDescent="0.25">
      <c r="A752" s="67"/>
      <c r="B752" s="67"/>
    </row>
    <row r="753" spans="1:2" x14ac:dyDescent="0.25">
      <c r="A753" s="67"/>
      <c r="B753" s="67"/>
    </row>
    <row r="754" spans="1:2" x14ac:dyDescent="0.25">
      <c r="A754" s="67"/>
      <c r="B754" s="67"/>
    </row>
    <row r="755" spans="1:2" x14ac:dyDescent="0.25">
      <c r="A755" s="67"/>
      <c r="B755" s="67"/>
    </row>
    <row r="756" spans="1:2" x14ac:dyDescent="0.25">
      <c r="A756" s="67"/>
      <c r="B756" s="67"/>
    </row>
    <row r="757" spans="1:2" x14ac:dyDescent="0.25">
      <c r="A757" s="67"/>
      <c r="B757" s="67"/>
    </row>
    <row r="758" spans="1:2" x14ac:dyDescent="0.25">
      <c r="A758" s="67"/>
      <c r="B758" s="67"/>
    </row>
    <row r="759" spans="1:2" x14ac:dyDescent="0.25">
      <c r="A759" s="67"/>
      <c r="B759" s="67"/>
    </row>
    <row r="760" spans="1:2" x14ac:dyDescent="0.25">
      <c r="A760" s="67"/>
      <c r="B760" s="67"/>
    </row>
    <row r="761" spans="1:2" x14ac:dyDescent="0.25">
      <c r="A761" s="67"/>
      <c r="B761" s="67"/>
    </row>
    <row r="762" spans="1:2" x14ac:dyDescent="0.25">
      <c r="A762" s="67"/>
      <c r="B762" s="67"/>
    </row>
    <row r="763" spans="1:2" x14ac:dyDescent="0.25">
      <c r="A763" s="67"/>
      <c r="B763" s="67"/>
    </row>
    <row r="764" spans="1:2" x14ac:dyDescent="0.25">
      <c r="A764" s="67"/>
      <c r="B764" s="67"/>
    </row>
    <row r="765" spans="1:2" x14ac:dyDescent="0.25">
      <c r="A765" s="67"/>
      <c r="B765" s="67"/>
    </row>
    <row r="766" spans="1:2" x14ac:dyDescent="0.25">
      <c r="A766" s="67"/>
      <c r="B766" s="67"/>
    </row>
    <row r="767" spans="1:2" x14ac:dyDescent="0.25">
      <c r="A767" s="67"/>
      <c r="B767" s="67"/>
    </row>
    <row r="768" spans="1:2" x14ac:dyDescent="0.25">
      <c r="A768" s="67"/>
      <c r="B768" s="67"/>
    </row>
    <row r="769" spans="1:2" x14ac:dyDescent="0.25">
      <c r="A769" s="67"/>
      <c r="B769" s="67"/>
    </row>
    <row r="770" spans="1:2" x14ac:dyDescent="0.25">
      <c r="A770" s="67"/>
      <c r="B770" s="67"/>
    </row>
    <row r="771" spans="1:2" x14ac:dyDescent="0.25">
      <c r="A771" s="67"/>
      <c r="B771" s="67"/>
    </row>
    <row r="772" spans="1:2" x14ac:dyDescent="0.25">
      <c r="A772" s="67"/>
      <c r="B772" s="67"/>
    </row>
    <row r="773" spans="1:2" x14ac:dyDescent="0.25">
      <c r="A773" s="67"/>
      <c r="B773" s="67"/>
    </row>
    <row r="774" spans="1:2" x14ac:dyDescent="0.25">
      <c r="A774" s="67"/>
      <c r="B774" s="67"/>
    </row>
    <row r="775" spans="1:2" x14ac:dyDescent="0.25">
      <c r="A775" s="67"/>
      <c r="B775" s="67"/>
    </row>
    <row r="776" spans="1:2" x14ac:dyDescent="0.25">
      <c r="A776" s="67"/>
      <c r="B776" s="67"/>
    </row>
    <row r="777" spans="1:2" x14ac:dyDescent="0.25">
      <c r="A777" s="67"/>
      <c r="B777" s="67"/>
    </row>
    <row r="778" spans="1:2" x14ac:dyDescent="0.25">
      <c r="A778" s="67"/>
      <c r="B778" s="67"/>
    </row>
    <row r="779" spans="1:2" x14ac:dyDescent="0.25">
      <c r="A779" s="67"/>
      <c r="B779" s="67"/>
    </row>
    <row r="780" spans="1:2" x14ac:dyDescent="0.25">
      <c r="A780" s="67"/>
      <c r="B780" s="67"/>
    </row>
    <row r="781" spans="1:2" x14ac:dyDescent="0.25">
      <c r="A781" s="67"/>
      <c r="B781" s="67"/>
    </row>
    <row r="782" spans="1:2" x14ac:dyDescent="0.25">
      <c r="A782" s="67"/>
      <c r="B782" s="67"/>
    </row>
    <row r="783" spans="1:2" x14ac:dyDescent="0.25">
      <c r="A783" s="67"/>
      <c r="B783" s="67"/>
    </row>
    <row r="784" spans="1:2" x14ac:dyDescent="0.25">
      <c r="A784" s="67"/>
      <c r="B784" s="67"/>
    </row>
    <row r="785" spans="1:2" x14ac:dyDescent="0.25">
      <c r="A785" s="67"/>
      <c r="B785" s="67"/>
    </row>
    <row r="786" spans="1:2" x14ac:dyDescent="0.25">
      <c r="A786" s="67"/>
      <c r="B786" s="67"/>
    </row>
    <row r="787" spans="1:2" x14ac:dyDescent="0.25">
      <c r="A787" s="67"/>
      <c r="B787" s="67"/>
    </row>
    <row r="788" spans="1:2" x14ac:dyDescent="0.25">
      <c r="A788" s="67"/>
      <c r="B788" s="67"/>
    </row>
    <row r="789" spans="1:2" x14ac:dyDescent="0.25">
      <c r="A789" s="67"/>
      <c r="B789" s="67"/>
    </row>
    <row r="790" spans="1:2" x14ac:dyDescent="0.25">
      <c r="A790" s="67"/>
      <c r="B790" s="67"/>
    </row>
    <row r="791" spans="1:2" x14ac:dyDescent="0.25">
      <c r="A791" s="67"/>
      <c r="B791" s="67"/>
    </row>
    <row r="792" spans="1:2" x14ac:dyDescent="0.25">
      <c r="A792" s="67"/>
      <c r="B792" s="67"/>
    </row>
    <row r="793" spans="1:2" x14ac:dyDescent="0.25">
      <c r="A793" s="67"/>
      <c r="B793" s="67"/>
    </row>
    <row r="794" spans="1:2" x14ac:dyDescent="0.25">
      <c r="A794" s="67"/>
      <c r="B794" s="67"/>
    </row>
    <row r="795" spans="1:2" x14ac:dyDescent="0.25">
      <c r="A795" s="67"/>
      <c r="B795" s="67"/>
    </row>
    <row r="796" spans="1:2" x14ac:dyDescent="0.25">
      <c r="A796" s="67"/>
      <c r="B796" s="67"/>
    </row>
    <row r="797" spans="1:2" x14ac:dyDescent="0.25">
      <c r="A797" s="67"/>
      <c r="B797" s="67"/>
    </row>
    <row r="798" spans="1:2" x14ac:dyDescent="0.25">
      <c r="A798" s="67"/>
      <c r="B798" s="67"/>
    </row>
    <row r="799" spans="1:2" x14ac:dyDescent="0.25">
      <c r="A799" s="67"/>
      <c r="B799" s="67"/>
    </row>
    <row r="800" spans="1:2" x14ac:dyDescent="0.25">
      <c r="A800" s="67"/>
      <c r="B800" s="67"/>
    </row>
    <row r="801" spans="1:2" x14ac:dyDescent="0.25">
      <c r="A801" s="67"/>
      <c r="B801" s="67"/>
    </row>
    <row r="802" spans="1:2" x14ac:dyDescent="0.25">
      <c r="A802" s="67"/>
      <c r="B802" s="67"/>
    </row>
    <row r="803" spans="1:2" x14ac:dyDescent="0.25">
      <c r="A803" s="67"/>
      <c r="B803" s="67"/>
    </row>
    <row r="804" spans="1:2" x14ac:dyDescent="0.25">
      <c r="A804" s="67"/>
      <c r="B804" s="67"/>
    </row>
    <row r="805" spans="1:2" x14ac:dyDescent="0.25">
      <c r="A805" s="67"/>
      <c r="B805" s="67"/>
    </row>
    <row r="806" spans="1:2" x14ac:dyDescent="0.25">
      <c r="A806" s="67"/>
      <c r="B806" s="67"/>
    </row>
    <row r="807" spans="1:2" x14ac:dyDescent="0.25">
      <c r="A807" s="67"/>
      <c r="B807" s="67"/>
    </row>
    <row r="808" spans="1:2" x14ac:dyDescent="0.25">
      <c r="A808" s="67"/>
      <c r="B808" s="67"/>
    </row>
    <row r="809" spans="1:2" x14ac:dyDescent="0.25">
      <c r="A809" s="67"/>
      <c r="B809" s="67"/>
    </row>
    <row r="810" spans="1:2" x14ac:dyDescent="0.25">
      <c r="A810" s="67"/>
      <c r="B810" s="67"/>
    </row>
    <row r="811" spans="1:2" x14ac:dyDescent="0.25">
      <c r="A811" s="67"/>
      <c r="B811" s="67"/>
    </row>
    <row r="812" spans="1:2" x14ac:dyDescent="0.25">
      <c r="A812" s="67"/>
      <c r="B812" s="67"/>
    </row>
    <row r="813" spans="1:2" x14ac:dyDescent="0.25">
      <c r="A813" s="67"/>
      <c r="B813" s="67"/>
    </row>
    <row r="814" spans="1:2" x14ac:dyDescent="0.25">
      <c r="A814" s="67"/>
      <c r="B814" s="67"/>
    </row>
    <row r="815" spans="1:2" x14ac:dyDescent="0.25">
      <c r="A815" s="67"/>
      <c r="B815" s="67"/>
    </row>
    <row r="816" spans="1:2" x14ac:dyDescent="0.25">
      <c r="A816" s="67"/>
      <c r="B816" s="67"/>
    </row>
    <row r="817" spans="1:2" x14ac:dyDescent="0.25">
      <c r="A817" s="67"/>
      <c r="B817" s="67"/>
    </row>
    <row r="818" spans="1:2" x14ac:dyDescent="0.25">
      <c r="A818" s="67"/>
      <c r="B818" s="67"/>
    </row>
    <row r="819" spans="1:2" x14ac:dyDescent="0.25">
      <c r="A819" s="67"/>
      <c r="B819" s="67"/>
    </row>
    <row r="820" spans="1:2" x14ac:dyDescent="0.25">
      <c r="A820" s="67"/>
      <c r="B820" s="67"/>
    </row>
    <row r="821" spans="1:2" x14ac:dyDescent="0.25">
      <c r="A821" s="67"/>
      <c r="B821" s="67"/>
    </row>
    <row r="822" spans="1:2" x14ac:dyDescent="0.25">
      <c r="A822" s="67"/>
      <c r="B822" s="67"/>
    </row>
    <row r="823" spans="1:2" x14ac:dyDescent="0.25">
      <c r="A823" s="67"/>
      <c r="B823" s="67"/>
    </row>
    <row r="824" spans="1:2" x14ac:dyDescent="0.25">
      <c r="A824" s="67"/>
      <c r="B824" s="67"/>
    </row>
    <row r="825" spans="1:2" x14ac:dyDescent="0.25">
      <c r="A825" s="67"/>
      <c r="B825" s="67"/>
    </row>
    <row r="826" spans="1:2" x14ac:dyDescent="0.25">
      <c r="A826" s="67"/>
      <c r="B826" s="67"/>
    </row>
    <row r="827" spans="1:2" x14ac:dyDescent="0.25">
      <c r="A827" s="67"/>
      <c r="B827" s="67"/>
    </row>
    <row r="828" spans="1:2" x14ac:dyDescent="0.25">
      <c r="A828" s="67"/>
      <c r="B828" s="67"/>
    </row>
    <row r="829" spans="1:2" x14ac:dyDescent="0.25">
      <c r="A829" s="67"/>
      <c r="B829" s="67"/>
    </row>
    <row r="830" spans="1:2" x14ac:dyDescent="0.25">
      <c r="A830" s="67"/>
      <c r="B830" s="67"/>
    </row>
    <row r="831" spans="1:2" x14ac:dyDescent="0.25">
      <c r="A831" s="67"/>
      <c r="B831" s="67"/>
    </row>
    <row r="832" spans="1:2" x14ac:dyDescent="0.25">
      <c r="A832" s="67"/>
      <c r="B832" s="67"/>
    </row>
    <row r="833" spans="1:2" x14ac:dyDescent="0.25">
      <c r="A833" s="67"/>
      <c r="B833" s="67"/>
    </row>
    <row r="834" spans="1:2" x14ac:dyDescent="0.25">
      <c r="A834" s="67"/>
      <c r="B834" s="67"/>
    </row>
    <row r="835" spans="1:2" x14ac:dyDescent="0.25">
      <c r="A835" s="67"/>
      <c r="B835" s="67"/>
    </row>
    <row r="836" spans="1:2" x14ac:dyDescent="0.25">
      <c r="A836" s="67"/>
      <c r="B836" s="67"/>
    </row>
    <row r="837" spans="1:2" x14ac:dyDescent="0.25">
      <c r="A837" s="67"/>
      <c r="B837" s="67"/>
    </row>
    <row r="838" spans="1:2" x14ac:dyDescent="0.25">
      <c r="A838" s="67"/>
      <c r="B838" s="67"/>
    </row>
    <row r="839" spans="1:2" x14ac:dyDescent="0.25">
      <c r="A839" s="67"/>
      <c r="B839" s="67"/>
    </row>
    <row r="840" spans="1:2" x14ac:dyDescent="0.25">
      <c r="A840" s="67"/>
      <c r="B840" s="67"/>
    </row>
    <row r="841" spans="1:2" x14ac:dyDescent="0.25">
      <c r="A841" s="67"/>
      <c r="B841" s="67"/>
    </row>
    <row r="842" spans="1:2" x14ac:dyDescent="0.25">
      <c r="A842" s="67"/>
      <c r="B842" s="67"/>
    </row>
    <row r="843" spans="1:2" x14ac:dyDescent="0.25">
      <c r="A843" s="67"/>
      <c r="B843" s="67"/>
    </row>
    <row r="844" spans="1:2" x14ac:dyDescent="0.25">
      <c r="A844" s="67"/>
      <c r="B844" s="67"/>
    </row>
    <row r="845" spans="1:2" x14ac:dyDescent="0.25">
      <c r="A845" s="67"/>
      <c r="B845" s="67"/>
    </row>
    <row r="846" spans="1:2" x14ac:dyDescent="0.25">
      <c r="A846" s="67"/>
      <c r="B846" s="67"/>
    </row>
    <row r="847" spans="1:2" x14ac:dyDescent="0.25">
      <c r="A847" s="67"/>
      <c r="B847" s="67"/>
    </row>
    <row r="848" spans="1:2" x14ac:dyDescent="0.25">
      <c r="A848" s="67"/>
      <c r="B848" s="67"/>
    </row>
    <row r="849" spans="1:2" x14ac:dyDescent="0.25">
      <c r="A849" s="67"/>
      <c r="B849" s="67"/>
    </row>
    <row r="850" spans="1:2" x14ac:dyDescent="0.25">
      <c r="A850" s="67"/>
      <c r="B850" s="67"/>
    </row>
    <row r="851" spans="1:2" x14ac:dyDescent="0.25">
      <c r="A851" s="67"/>
      <c r="B851" s="67"/>
    </row>
    <row r="852" spans="1:2" x14ac:dyDescent="0.25">
      <c r="A852" s="67"/>
      <c r="B852" s="67"/>
    </row>
    <row r="853" spans="1:2" x14ac:dyDescent="0.25">
      <c r="A853" s="67"/>
      <c r="B853" s="67"/>
    </row>
    <row r="854" spans="1:2" x14ac:dyDescent="0.25">
      <c r="A854" s="67"/>
      <c r="B854" s="67"/>
    </row>
    <row r="855" spans="1:2" x14ac:dyDescent="0.25">
      <c r="A855" s="67"/>
      <c r="B855" s="67"/>
    </row>
    <row r="856" spans="1:2" x14ac:dyDescent="0.25">
      <c r="A856" s="67"/>
      <c r="B856" s="67"/>
    </row>
    <row r="857" spans="1:2" x14ac:dyDescent="0.25">
      <c r="A857" s="67"/>
      <c r="B857" s="67"/>
    </row>
    <row r="858" spans="1:2" x14ac:dyDescent="0.25">
      <c r="A858" s="67"/>
      <c r="B858" s="67"/>
    </row>
    <row r="859" spans="1:2" x14ac:dyDescent="0.25">
      <c r="A859" s="67"/>
      <c r="B859" s="67"/>
    </row>
    <row r="860" spans="1:2" x14ac:dyDescent="0.25">
      <c r="A860" s="67"/>
      <c r="B860" s="67"/>
    </row>
    <row r="861" spans="1:2" x14ac:dyDescent="0.25">
      <c r="A861" s="67"/>
      <c r="B861" s="67"/>
    </row>
    <row r="862" spans="1:2" x14ac:dyDescent="0.25">
      <c r="A862" s="67"/>
      <c r="B862" s="67"/>
    </row>
    <row r="863" spans="1:2" x14ac:dyDescent="0.25">
      <c r="A863" s="67"/>
      <c r="B863" s="67"/>
    </row>
    <row r="864" spans="1:2" x14ac:dyDescent="0.25">
      <c r="A864" s="67"/>
      <c r="B864" s="67"/>
    </row>
    <row r="865" spans="1:2" x14ac:dyDescent="0.25">
      <c r="A865" s="67"/>
      <c r="B865" s="67"/>
    </row>
    <row r="866" spans="1:2" x14ac:dyDescent="0.25">
      <c r="A866" s="67"/>
      <c r="B866" s="67"/>
    </row>
    <row r="867" spans="1:2" x14ac:dyDescent="0.25">
      <c r="A867" s="67"/>
      <c r="B867" s="67"/>
    </row>
    <row r="868" spans="1:2" x14ac:dyDescent="0.25">
      <c r="A868" s="67"/>
      <c r="B868" s="67"/>
    </row>
    <row r="869" spans="1:2" x14ac:dyDescent="0.25">
      <c r="A869" s="67"/>
      <c r="B869" s="67"/>
    </row>
    <row r="870" spans="1:2" x14ac:dyDescent="0.25">
      <c r="A870" s="67"/>
      <c r="B870" s="67"/>
    </row>
    <row r="871" spans="1:2" x14ac:dyDescent="0.25">
      <c r="A871" s="67"/>
      <c r="B871" s="67"/>
    </row>
    <row r="872" spans="1:2" x14ac:dyDescent="0.25">
      <c r="A872" s="67"/>
      <c r="B872" s="67"/>
    </row>
    <row r="873" spans="1:2" x14ac:dyDescent="0.25">
      <c r="A873" s="67"/>
      <c r="B873" s="67"/>
    </row>
    <row r="874" spans="1:2" x14ac:dyDescent="0.25">
      <c r="A874" s="67"/>
      <c r="B874" s="67"/>
    </row>
    <row r="875" spans="1:2" x14ac:dyDescent="0.25">
      <c r="A875" s="67"/>
      <c r="B875" s="67"/>
    </row>
    <row r="876" spans="1:2" x14ac:dyDescent="0.25">
      <c r="A876" s="67"/>
      <c r="B876" s="67"/>
    </row>
    <row r="877" spans="1:2" x14ac:dyDescent="0.25">
      <c r="A877" s="67"/>
      <c r="B877" s="67"/>
    </row>
    <row r="878" spans="1:2" x14ac:dyDescent="0.25">
      <c r="A878" s="67"/>
      <c r="B878" s="67"/>
    </row>
    <row r="879" spans="1:2" x14ac:dyDescent="0.25">
      <c r="A879" s="67"/>
      <c r="B879" s="67"/>
    </row>
    <row r="880" spans="1:2" x14ac:dyDescent="0.25">
      <c r="A880" s="67"/>
      <c r="B880" s="67"/>
    </row>
    <row r="881" spans="1:2" x14ac:dyDescent="0.25">
      <c r="A881" s="67"/>
      <c r="B881" s="67"/>
    </row>
    <row r="882" spans="1:2" x14ac:dyDescent="0.25">
      <c r="A882" s="67"/>
      <c r="B882" s="67"/>
    </row>
    <row r="883" spans="1:2" x14ac:dyDescent="0.25">
      <c r="A883" s="67"/>
      <c r="B883" s="67"/>
    </row>
    <row r="884" spans="1:2" x14ac:dyDescent="0.25">
      <c r="A884" s="67"/>
      <c r="B884" s="67"/>
    </row>
    <row r="885" spans="1:2" x14ac:dyDescent="0.25">
      <c r="A885" s="67"/>
      <c r="B885" s="67"/>
    </row>
    <row r="886" spans="1:2" x14ac:dyDescent="0.25">
      <c r="A886" s="67"/>
      <c r="B886" s="67"/>
    </row>
    <row r="887" spans="1:2" x14ac:dyDescent="0.25">
      <c r="A887" s="67"/>
      <c r="B887" s="67"/>
    </row>
    <row r="888" spans="1:2" x14ac:dyDescent="0.25">
      <c r="A888" s="67"/>
      <c r="B888" s="67"/>
    </row>
    <row r="889" spans="1:2" x14ac:dyDescent="0.25">
      <c r="A889" s="67"/>
      <c r="B889" s="67"/>
    </row>
    <row r="890" spans="1:2" x14ac:dyDescent="0.25">
      <c r="A890" s="67"/>
      <c r="B890" s="67"/>
    </row>
    <row r="891" spans="1:2" x14ac:dyDescent="0.25">
      <c r="A891" s="67"/>
      <c r="B891" s="67"/>
    </row>
    <row r="892" spans="1:2" x14ac:dyDescent="0.25">
      <c r="A892" s="67"/>
      <c r="B892" s="67"/>
    </row>
    <row r="893" spans="1:2" x14ac:dyDescent="0.25">
      <c r="A893" s="67"/>
      <c r="B893" s="67"/>
    </row>
    <row r="894" spans="1:2" x14ac:dyDescent="0.25">
      <c r="A894" s="67"/>
      <c r="B894" s="67"/>
    </row>
    <row r="895" spans="1:2" x14ac:dyDescent="0.25">
      <c r="A895" s="67"/>
      <c r="B895" s="67"/>
    </row>
    <row r="896" spans="1:2" x14ac:dyDescent="0.25">
      <c r="A896" s="67"/>
      <c r="B896" s="67"/>
    </row>
    <row r="897" spans="1:2" x14ac:dyDescent="0.25">
      <c r="A897" s="67"/>
      <c r="B897" s="67"/>
    </row>
    <row r="898" spans="1:2" x14ac:dyDescent="0.25">
      <c r="A898" s="67"/>
      <c r="B898" s="67"/>
    </row>
    <row r="899" spans="1:2" x14ac:dyDescent="0.25">
      <c r="A899" s="67"/>
      <c r="B899" s="67"/>
    </row>
    <row r="900" spans="1:2" x14ac:dyDescent="0.25">
      <c r="A900" s="67"/>
      <c r="B900" s="67"/>
    </row>
    <row r="901" spans="1:2" x14ac:dyDescent="0.25">
      <c r="A901" s="67"/>
      <c r="B901" s="67"/>
    </row>
    <row r="902" spans="1:2" x14ac:dyDescent="0.25">
      <c r="A902" s="67"/>
      <c r="B902" s="67"/>
    </row>
    <row r="903" spans="1:2" x14ac:dyDescent="0.25">
      <c r="A903" s="67"/>
      <c r="B903" s="67"/>
    </row>
    <row r="904" spans="1:2" x14ac:dyDescent="0.25">
      <c r="A904" s="67"/>
      <c r="B904" s="67"/>
    </row>
    <row r="905" spans="1:2" x14ac:dyDescent="0.25">
      <c r="A905" s="67"/>
      <c r="B905" s="67"/>
    </row>
    <row r="906" spans="1:2" x14ac:dyDescent="0.25">
      <c r="A906" s="67"/>
      <c r="B906" s="67"/>
    </row>
    <row r="907" spans="1:2" x14ac:dyDescent="0.25">
      <c r="A907" s="67"/>
      <c r="B907" s="67"/>
    </row>
    <row r="908" spans="1:2" x14ac:dyDescent="0.25">
      <c r="A908" s="67"/>
      <c r="B908" s="67"/>
    </row>
    <row r="909" spans="1:2" x14ac:dyDescent="0.25">
      <c r="A909" s="67"/>
      <c r="B909" s="67"/>
    </row>
    <row r="910" spans="1:2" x14ac:dyDescent="0.25">
      <c r="A910" s="67"/>
      <c r="B910" s="67"/>
    </row>
    <row r="911" spans="1:2" x14ac:dyDescent="0.25">
      <c r="A911" s="67"/>
      <c r="B911" s="67"/>
    </row>
    <row r="912" spans="1:2" x14ac:dyDescent="0.25">
      <c r="A912" s="67"/>
      <c r="B912" s="67"/>
    </row>
    <row r="913" spans="1:2" x14ac:dyDescent="0.25">
      <c r="A913" s="67"/>
      <c r="B913" s="67"/>
    </row>
    <row r="914" spans="1:2" x14ac:dyDescent="0.25">
      <c r="A914" s="67"/>
      <c r="B914" s="67"/>
    </row>
    <row r="915" spans="1:2" x14ac:dyDescent="0.25">
      <c r="A915" s="67"/>
      <c r="B915" s="67"/>
    </row>
    <row r="916" spans="1:2" x14ac:dyDescent="0.25">
      <c r="A916" s="67"/>
      <c r="B916" s="67"/>
    </row>
    <row r="917" spans="1:2" x14ac:dyDescent="0.25">
      <c r="A917" s="67"/>
      <c r="B917" s="67"/>
    </row>
    <row r="918" spans="1:2" x14ac:dyDescent="0.25">
      <c r="A918" s="67"/>
      <c r="B918" s="67"/>
    </row>
    <row r="919" spans="1:2" x14ac:dyDescent="0.25">
      <c r="A919" s="67"/>
      <c r="B919" s="67"/>
    </row>
    <row r="920" spans="1:2" x14ac:dyDescent="0.25">
      <c r="A920" s="67"/>
      <c r="B920" s="67"/>
    </row>
    <row r="921" spans="1:2" x14ac:dyDescent="0.25">
      <c r="A921" s="67"/>
      <c r="B921" s="67"/>
    </row>
    <row r="922" spans="1:2" x14ac:dyDescent="0.25">
      <c r="A922" s="67"/>
      <c r="B922" s="67"/>
    </row>
    <row r="923" spans="1:2" x14ac:dyDescent="0.25">
      <c r="A923" s="67"/>
      <c r="B923" s="67"/>
    </row>
    <row r="924" spans="1:2" x14ac:dyDescent="0.25">
      <c r="A924" s="67"/>
      <c r="B924" s="67"/>
    </row>
    <row r="925" spans="1:2" x14ac:dyDescent="0.25">
      <c r="A925" s="67"/>
      <c r="B925" s="67"/>
    </row>
    <row r="926" spans="1:2" x14ac:dyDescent="0.25">
      <c r="A926" s="67"/>
      <c r="B926" s="67"/>
    </row>
    <row r="927" spans="1:2" x14ac:dyDescent="0.25">
      <c r="A927" s="67"/>
      <c r="B927" s="67"/>
    </row>
    <row r="928" spans="1:2" x14ac:dyDescent="0.25">
      <c r="A928" s="67"/>
      <c r="B928" s="67"/>
    </row>
    <row r="929" spans="1:2" x14ac:dyDescent="0.25">
      <c r="A929" s="67"/>
      <c r="B929" s="67"/>
    </row>
    <row r="930" spans="1:2" x14ac:dyDescent="0.25">
      <c r="A930" s="67"/>
      <c r="B930" s="67"/>
    </row>
    <row r="931" spans="1:2" x14ac:dyDescent="0.25">
      <c r="A931" s="67"/>
      <c r="B931" s="67"/>
    </row>
    <row r="932" spans="1:2" x14ac:dyDescent="0.25">
      <c r="A932" s="67"/>
      <c r="B932" s="67"/>
    </row>
    <row r="933" spans="1:2" x14ac:dyDescent="0.25">
      <c r="A933" s="67"/>
      <c r="B933" s="67"/>
    </row>
    <row r="934" spans="1:2" x14ac:dyDescent="0.25">
      <c r="A934" s="67"/>
      <c r="B934" s="67"/>
    </row>
    <row r="935" spans="1:2" x14ac:dyDescent="0.25">
      <c r="A935" s="67"/>
      <c r="B935" s="67"/>
    </row>
    <row r="936" spans="1:2" x14ac:dyDescent="0.25">
      <c r="A936" s="67"/>
      <c r="B936" s="67"/>
    </row>
    <row r="937" spans="1:2" x14ac:dyDescent="0.25">
      <c r="A937" s="67"/>
      <c r="B937" s="67"/>
    </row>
    <row r="938" spans="1:2" x14ac:dyDescent="0.25">
      <c r="A938" s="67"/>
      <c r="B938" s="67"/>
    </row>
    <row r="939" spans="1:2" x14ac:dyDescent="0.25">
      <c r="A939" s="67"/>
      <c r="B939" s="67"/>
    </row>
    <row r="940" spans="1:2" x14ac:dyDescent="0.25">
      <c r="A940" s="67"/>
      <c r="B940" s="67"/>
    </row>
    <row r="941" spans="1:2" x14ac:dyDescent="0.25">
      <c r="A941" s="67"/>
      <c r="B941" s="67"/>
    </row>
    <row r="942" spans="1:2" x14ac:dyDescent="0.25">
      <c r="A942" s="67"/>
      <c r="B942" s="67"/>
    </row>
    <row r="943" spans="1:2" x14ac:dyDescent="0.25">
      <c r="A943" s="67"/>
      <c r="B943" s="67"/>
    </row>
    <row r="944" spans="1:2" x14ac:dyDescent="0.25">
      <c r="A944" s="67"/>
      <c r="B944" s="67"/>
    </row>
    <row r="945" spans="1:2" x14ac:dyDescent="0.25">
      <c r="A945" s="67"/>
      <c r="B945" s="67"/>
    </row>
    <row r="946" spans="1:2" x14ac:dyDescent="0.25">
      <c r="A946" s="67"/>
      <c r="B946" s="67"/>
    </row>
    <row r="947" spans="1:2" x14ac:dyDescent="0.25">
      <c r="A947" s="67"/>
      <c r="B947" s="67"/>
    </row>
    <row r="948" spans="1:2" x14ac:dyDescent="0.25">
      <c r="A948" s="67"/>
      <c r="B948" s="67"/>
    </row>
    <row r="949" spans="1:2" x14ac:dyDescent="0.25">
      <c r="A949" s="67"/>
      <c r="B949" s="67"/>
    </row>
    <row r="950" spans="1:2" x14ac:dyDescent="0.25">
      <c r="A950" s="67"/>
      <c r="B950" s="67"/>
    </row>
    <row r="951" spans="1:2" x14ac:dyDescent="0.25">
      <c r="A951" s="67"/>
      <c r="B951" s="67"/>
    </row>
    <row r="952" spans="1:2" x14ac:dyDescent="0.25">
      <c r="A952" s="67"/>
      <c r="B952" s="67"/>
    </row>
    <row r="953" spans="1:2" x14ac:dyDescent="0.25">
      <c r="A953" s="67"/>
      <c r="B953" s="67"/>
    </row>
    <row r="954" spans="1:2" x14ac:dyDescent="0.25">
      <c r="A954" s="67"/>
      <c r="B954" s="67"/>
    </row>
    <row r="955" spans="1:2" x14ac:dyDescent="0.25">
      <c r="A955" s="67"/>
      <c r="B955" s="67"/>
    </row>
    <row r="956" spans="1:2" x14ac:dyDescent="0.25">
      <c r="A956" s="67"/>
      <c r="B956" s="67"/>
    </row>
    <row r="957" spans="1:2" x14ac:dyDescent="0.25">
      <c r="A957" s="67"/>
      <c r="B957" s="67"/>
    </row>
    <row r="958" spans="1:2" x14ac:dyDescent="0.25">
      <c r="A958" s="67"/>
      <c r="B958" s="67"/>
    </row>
    <row r="959" spans="1:2" x14ac:dyDescent="0.25">
      <c r="A959" s="67"/>
      <c r="B959" s="67"/>
    </row>
    <row r="960" spans="1:2" x14ac:dyDescent="0.25">
      <c r="A960" s="67"/>
      <c r="B960" s="67"/>
    </row>
    <row r="961" spans="1:2" x14ac:dyDescent="0.25">
      <c r="A961" s="67"/>
      <c r="B961" s="67"/>
    </row>
    <row r="962" spans="1:2" x14ac:dyDescent="0.25">
      <c r="A962" s="67"/>
      <c r="B962" s="67"/>
    </row>
    <row r="963" spans="1:2" x14ac:dyDescent="0.25">
      <c r="A963" s="67"/>
      <c r="B963" s="67"/>
    </row>
    <row r="964" spans="1:2" x14ac:dyDescent="0.25">
      <c r="A964" s="67"/>
      <c r="B964" s="67"/>
    </row>
    <row r="965" spans="1:2" x14ac:dyDescent="0.25">
      <c r="A965" s="67"/>
      <c r="B965" s="67"/>
    </row>
    <row r="966" spans="1:2" x14ac:dyDescent="0.25">
      <c r="A966" s="67"/>
      <c r="B966" s="67"/>
    </row>
    <row r="967" spans="1:2" x14ac:dyDescent="0.25">
      <c r="A967" s="67"/>
      <c r="B967" s="67"/>
    </row>
    <row r="968" spans="1:2" x14ac:dyDescent="0.25">
      <c r="A968" s="67"/>
      <c r="B968" s="67"/>
    </row>
    <row r="969" spans="1:2" x14ac:dyDescent="0.25">
      <c r="A969" s="67"/>
      <c r="B969" s="67"/>
    </row>
    <row r="970" spans="1:2" x14ac:dyDescent="0.25">
      <c r="A970" s="67"/>
      <c r="B970" s="67"/>
    </row>
    <row r="971" spans="1:2" x14ac:dyDescent="0.25">
      <c r="A971" s="67"/>
      <c r="B971" s="67"/>
    </row>
    <row r="972" spans="1:2" x14ac:dyDescent="0.25">
      <c r="A972" s="67"/>
      <c r="B972" s="67"/>
    </row>
    <row r="973" spans="1:2" x14ac:dyDescent="0.25">
      <c r="A973" s="67"/>
      <c r="B973" s="67"/>
    </row>
    <row r="974" spans="1:2" x14ac:dyDescent="0.25">
      <c r="A974" s="67"/>
      <c r="B974" s="67"/>
    </row>
    <row r="975" spans="1:2" x14ac:dyDescent="0.25">
      <c r="A975" s="67"/>
      <c r="B975" s="67"/>
    </row>
    <row r="976" spans="1:2" x14ac:dyDescent="0.25">
      <c r="A976" s="67"/>
      <c r="B976" s="67"/>
    </row>
    <row r="977" spans="1:2" x14ac:dyDescent="0.25">
      <c r="A977" s="67"/>
      <c r="B977" s="67"/>
    </row>
    <row r="978" spans="1:2" x14ac:dyDescent="0.25">
      <c r="A978" s="67"/>
      <c r="B978" s="67"/>
    </row>
    <row r="979" spans="1:2" x14ac:dyDescent="0.25">
      <c r="A979" s="67"/>
      <c r="B979" s="67"/>
    </row>
    <row r="980" spans="1:2" x14ac:dyDescent="0.25">
      <c r="A980" s="67"/>
      <c r="B980" s="67"/>
    </row>
    <row r="981" spans="1:2" x14ac:dyDescent="0.25">
      <c r="A981" s="67"/>
      <c r="B981" s="67"/>
    </row>
    <row r="982" spans="1:2" x14ac:dyDescent="0.25">
      <c r="A982" s="67"/>
      <c r="B982" s="67"/>
    </row>
    <row r="983" spans="1:2" x14ac:dyDescent="0.25">
      <c r="A983" s="67"/>
      <c r="B983" s="67"/>
    </row>
    <row r="984" spans="1:2" x14ac:dyDescent="0.25">
      <c r="A984" s="67"/>
      <c r="B984" s="67"/>
    </row>
    <row r="985" spans="1:2" x14ac:dyDescent="0.25">
      <c r="A985" s="67"/>
      <c r="B985" s="67"/>
    </row>
    <row r="986" spans="1:2" x14ac:dyDescent="0.25">
      <c r="A986" s="67"/>
      <c r="B986" s="67"/>
    </row>
    <row r="987" spans="1:2" x14ac:dyDescent="0.25">
      <c r="A987" s="67"/>
      <c r="B987" s="67"/>
    </row>
    <row r="988" spans="1:2" x14ac:dyDescent="0.25">
      <c r="A988" s="67"/>
      <c r="B988" s="67"/>
    </row>
    <row r="989" spans="1:2" x14ac:dyDescent="0.25">
      <c r="A989" s="67"/>
      <c r="B989" s="67"/>
    </row>
    <row r="990" spans="1:2" x14ac:dyDescent="0.25">
      <c r="A990" s="67"/>
      <c r="B990" s="67"/>
    </row>
    <row r="991" spans="1:2" x14ac:dyDescent="0.25">
      <c r="A991" s="67"/>
      <c r="B991" s="67"/>
    </row>
    <row r="992" spans="1:2" x14ac:dyDescent="0.25">
      <c r="A992" s="67"/>
      <c r="B992" s="67"/>
    </row>
    <row r="993" spans="1:2" x14ac:dyDescent="0.25">
      <c r="A993" s="67"/>
      <c r="B993" s="67"/>
    </row>
    <row r="994" spans="1:2" x14ac:dyDescent="0.25">
      <c r="A994" s="67"/>
      <c r="B994" s="67"/>
    </row>
    <row r="995" spans="1:2" x14ac:dyDescent="0.25">
      <c r="A995" s="67"/>
      <c r="B995" s="67"/>
    </row>
    <row r="996" spans="1:2" x14ac:dyDescent="0.25">
      <c r="A996" s="67"/>
      <c r="B996" s="67"/>
    </row>
    <row r="997" spans="1:2" x14ac:dyDescent="0.25">
      <c r="A997" s="67"/>
      <c r="B997" s="67"/>
    </row>
    <row r="998" spans="1:2" x14ac:dyDescent="0.25">
      <c r="A998" s="67"/>
      <c r="B998" s="67"/>
    </row>
    <row r="999" spans="1:2" x14ac:dyDescent="0.25">
      <c r="A999" s="67"/>
      <c r="B999" s="67"/>
    </row>
    <row r="1000" spans="1:2" x14ac:dyDescent="0.25">
      <c r="A1000" s="67"/>
      <c r="B1000" s="67"/>
    </row>
    <row r="1001" spans="1:2" x14ac:dyDescent="0.25">
      <c r="A1001" s="67"/>
      <c r="B1001" s="67"/>
    </row>
    <row r="1002" spans="1:2" x14ac:dyDescent="0.25">
      <c r="A1002" s="67"/>
      <c r="B1002" s="67"/>
    </row>
    <row r="1003" spans="1:2" x14ac:dyDescent="0.25">
      <c r="A1003" s="67"/>
      <c r="B1003" s="67"/>
    </row>
    <row r="1004" spans="1:2" x14ac:dyDescent="0.25">
      <c r="A1004" s="67"/>
      <c r="B1004" s="67"/>
    </row>
    <row r="1005" spans="1:2" x14ac:dyDescent="0.25">
      <c r="A1005" s="67"/>
      <c r="B1005" s="67"/>
    </row>
    <row r="1006" spans="1:2" x14ac:dyDescent="0.25">
      <c r="A1006" s="67"/>
      <c r="B1006" s="67"/>
    </row>
    <row r="1007" spans="1:2" x14ac:dyDescent="0.25">
      <c r="A1007" s="67"/>
      <c r="B1007" s="67"/>
    </row>
    <row r="1008" spans="1:2" x14ac:dyDescent="0.25">
      <c r="A1008" s="67"/>
      <c r="B1008" s="67"/>
    </row>
    <row r="1009" spans="1:2" x14ac:dyDescent="0.25">
      <c r="A1009" s="67"/>
      <c r="B1009" s="67"/>
    </row>
    <row r="1010" spans="1:2" x14ac:dyDescent="0.25">
      <c r="A1010" s="67"/>
      <c r="B1010" s="67"/>
    </row>
    <row r="1011" spans="1:2" x14ac:dyDescent="0.25">
      <c r="A1011" s="67"/>
      <c r="B1011" s="67"/>
    </row>
    <row r="1012" spans="1:2" x14ac:dyDescent="0.25">
      <c r="A1012" s="67"/>
      <c r="B1012" s="67"/>
    </row>
    <row r="1013" spans="1:2" x14ac:dyDescent="0.25">
      <c r="A1013" s="67"/>
      <c r="B1013" s="67"/>
    </row>
    <row r="1014" spans="1:2" x14ac:dyDescent="0.25">
      <c r="A1014" s="67"/>
      <c r="B1014" s="67"/>
    </row>
    <row r="1015" spans="1:2" x14ac:dyDescent="0.25">
      <c r="A1015" s="67"/>
      <c r="B1015" s="67"/>
    </row>
    <row r="1016" spans="1:2" x14ac:dyDescent="0.25">
      <c r="A1016" s="67"/>
      <c r="B1016" s="67"/>
    </row>
    <row r="1017" spans="1:2" x14ac:dyDescent="0.25">
      <c r="A1017" s="67"/>
      <c r="B1017" s="67"/>
    </row>
    <row r="1018" spans="1:2" x14ac:dyDescent="0.25">
      <c r="A1018" s="67"/>
      <c r="B1018" s="67"/>
    </row>
    <row r="1019" spans="1:2" x14ac:dyDescent="0.25">
      <c r="A1019" s="67"/>
      <c r="B1019" s="67"/>
    </row>
    <row r="1020" spans="1:2" x14ac:dyDescent="0.25">
      <c r="A1020" s="67"/>
      <c r="B1020" s="67"/>
    </row>
    <row r="1021" spans="1:2" x14ac:dyDescent="0.25">
      <c r="A1021" s="67"/>
      <c r="B1021" s="67"/>
    </row>
    <row r="1022" spans="1:2" x14ac:dyDescent="0.25">
      <c r="A1022" s="67"/>
      <c r="B1022" s="67"/>
    </row>
    <row r="1023" spans="1:2" x14ac:dyDescent="0.25">
      <c r="A1023" s="67"/>
      <c r="B1023" s="67"/>
    </row>
    <row r="1024" spans="1:2" x14ac:dyDescent="0.25">
      <c r="A1024" s="67"/>
      <c r="B1024" s="67"/>
    </row>
    <row r="1025" spans="1:2" x14ac:dyDescent="0.25">
      <c r="A1025" s="67"/>
      <c r="B1025" s="67"/>
    </row>
    <row r="1026" spans="1:2" x14ac:dyDescent="0.25">
      <c r="A1026" s="67"/>
      <c r="B1026" s="67"/>
    </row>
    <row r="1027" spans="1:2" x14ac:dyDescent="0.25">
      <c r="A1027" s="67"/>
      <c r="B1027" s="67"/>
    </row>
    <row r="1028" spans="1:2" x14ac:dyDescent="0.25">
      <c r="A1028" s="67"/>
      <c r="B1028" s="67"/>
    </row>
    <row r="1029" spans="1:2" x14ac:dyDescent="0.25">
      <c r="A1029" s="67"/>
      <c r="B1029" s="67"/>
    </row>
    <row r="1030" spans="1:2" x14ac:dyDescent="0.25">
      <c r="A1030" s="67"/>
      <c r="B1030" s="67"/>
    </row>
    <row r="1031" spans="1:2" x14ac:dyDescent="0.25">
      <c r="A1031" s="67"/>
      <c r="B1031" s="67"/>
    </row>
    <row r="1032" spans="1:2" x14ac:dyDescent="0.25">
      <c r="A1032" s="67"/>
      <c r="B1032" s="67"/>
    </row>
    <row r="1033" spans="1:2" x14ac:dyDescent="0.25">
      <c r="A1033" s="67"/>
      <c r="B1033" s="67"/>
    </row>
    <row r="1034" spans="1:2" x14ac:dyDescent="0.25">
      <c r="A1034" s="67"/>
      <c r="B1034" s="67"/>
    </row>
    <row r="1035" spans="1:2" x14ac:dyDescent="0.25">
      <c r="A1035" s="67"/>
      <c r="B1035" s="67"/>
    </row>
    <row r="1036" spans="1:2" x14ac:dyDescent="0.25">
      <c r="A1036" s="67"/>
      <c r="B1036" s="67"/>
    </row>
    <row r="1037" spans="1:2" x14ac:dyDescent="0.25">
      <c r="A1037" s="67"/>
      <c r="B1037" s="67"/>
    </row>
    <row r="1038" spans="1:2" x14ac:dyDescent="0.25">
      <c r="A1038" s="67"/>
      <c r="B1038" s="67"/>
    </row>
    <row r="1039" spans="1:2" x14ac:dyDescent="0.25">
      <c r="A1039" s="67"/>
      <c r="B1039" s="67"/>
    </row>
    <row r="1040" spans="1:2" x14ac:dyDescent="0.25">
      <c r="A1040" s="67"/>
      <c r="B1040" s="67"/>
    </row>
    <row r="1041" spans="1:2" x14ac:dyDescent="0.25">
      <c r="A1041" s="67"/>
      <c r="B1041" s="67"/>
    </row>
    <row r="1042" spans="1:2" x14ac:dyDescent="0.25">
      <c r="A1042" s="67"/>
      <c r="B1042" s="67"/>
    </row>
    <row r="1043" spans="1:2" x14ac:dyDescent="0.25">
      <c r="A1043" s="67"/>
      <c r="B1043" s="67"/>
    </row>
    <row r="1044" spans="1:2" x14ac:dyDescent="0.25">
      <c r="A1044" s="67"/>
      <c r="B1044" s="67"/>
    </row>
    <row r="1045" spans="1:2" x14ac:dyDescent="0.25">
      <c r="A1045" s="67"/>
      <c r="B1045" s="67"/>
    </row>
    <row r="1046" spans="1:2" x14ac:dyDescent="0.25">
      <c r="A1046" s="67"/>
      <c r="B1046" s="67"/>
    </row>
    <row r="1047" spans="1:2" x14ac:dyDescent="0.25">
      <c r="A1047" s="67"/>
      <c r="B1047" s="67"/>
    </row>
    <row r="1048" spans="1:2" x14ac:dyDescent="0.25">
      <c r="A1048" s="67"/>
      <c r="B1048" s="67"/>
    </row>
    <row r="1049" spans="1:2" x14ac:dyDescent="0.25">
      <c r="A1049" s="67"/>
      <c r="B1049" s="67"/>
    </row>
    <row r="1050" spans="1:2" x14ac:dyDescent="0.25">
      <c r="A1050" s="67"/>
      <c r="B1050" s="67"/>
    </row>
    <row r="1051" spans="1:2" x14ac:dyDescent="0.25">
      <c r="A1051" s="67"/>
      <c r="B1051" s="67"/>
    </row>
    <row r="1052" spans="1:2" x14ac:dyDescent="0.25">
      <c r="A1052" s="67"/>
      <c r="B1052" s="67"/>
    </row>
    <row r="1053" spans="1:2" x14ac:dyDescent="0.25">
      <c r="A1053" s="67"/>
      <c r="B1053" s="67"/>
    </row>
    <row r="1054" spans="1:2" x14ac:dyDescent="0.25">
      <c r="A1054" s="67"/>
      <c r="B1054" s="67"/>
    </row>
    <row r="1055" spans="1:2" x14ac:dyDescent="0.25">
      <c r="A1055" s="67"/>
      <c r="B1055" s="67"/>
    </row>
    <row r="1056" spans="1:2" x14ac:dyDescent="0.25">
      <c r="A1056" s="67"/>
      <c r="B1056" s="67"/>
    </row>
    <row r="1057" spans="1:2" x14ac:dyDescent="0.25">
      <c r="A1057" s="67"/>
      <c r="B1057" s="67"/>
    </row>
    <row r="1058" spans="1:2" x14ac:dyDescent="0.25">
      <c r="A1058" s="67"/>
      <c r="B1058" s="67"/>
    </row>
    <row r="1059" spans="1:2" x14ac:dyDescent="0.25">
      <c r="A1059" s="67"/>
      <c r="B1059" s="67"/>
    </row>
    <row r="1060" spans="1:2" x14ac:dyDescent="0.25">
      <c r="A1060" s="67"/>
      <c r="B1060" s="67"/>
    </row>
    <row r="1061" spans="1:2" x14ac:dyDescent="0.25">
      <c r="A1061" s="67"/>
      <c r="B1061" s="67"/>
    </row>
    <row r="1062" spans="1:2" x14ac:dyDescent="0.25">
      <c r="A1062" s="67"/>
      <c r="B1062" s="67"/>
    </row>
    <row r="1063" spans="1:2" x14ac:dyDescent="0.25">
      <c r="A1063" s="67"/>
      <c r="B1063" s="67"/>
    </row>
    <row r="1064" spans="1:2" x14ac:dyDescent="0.25">
      <c r="A1064" s="67"/>
      <c r="B1064" s="67"/>
    </row>
    <row r="1065" spans="1:2" x14ac:dyDescent="0.25">
      <c r="A1065" s="67"/>
      <c r="B1065" s="67"/>
    </row>
    <row r="1066" spans="1:2" x14ac:dyDescent="0.25">
      <c r="A1066" s="67"/>
      <c r="B1066" s="67"/>
    </row>
    <row r="1067" spans="1:2" x14ac:dyDescent="0.25">
      <c r="A1067" s="67"/>
      <c r="B1067" s="67"/>
    </row>
    <row r="1068" spans="1:2" x14ac:dyDescent="0.25">
      <c r="A1068" s="67"/>
      <c r="B1068" s="67"/>
    </row>
    <row r="1069" spans="1:2" x14ac:dyDescent="0.25">
      <c r="A1069" s="67"/>
      <c r="B1069" s="67"/>
    </row>
    <row r="1070" spans="1:2" x14ac:dyDescent="0.25">
      <c r="A1070" s="67"/>
      <c r="B1070" s="67"/>
    </row>
    <row r="1071" spans="1:2" x14ac:dyDescent="0.25">
      <c r="A1071" s="67"/>
      <c r="B1071" s="67"/>
    </row>
    <row r="1072" spans="1:2" x14ac:dyDescent="0.25">
      <c r="A1072" s="67"/>
      <c r="B1072" s="67"/>
    </row>
    <row r="1073" spans="1:2" x14ac:dyDescent="0.25">
      <c r="A1073" s="67"/>
      <c r="B1073" s="67"/>
    </row>
    <row r="1074" spans="1:2" x14ac:dyDescent="0.25">
      <c r="A1074" s="67"/>
      <c r="B1074" s="67"/>
    </row>
    <row r="1075" spans="1:2" x14ac:dyDescent="0.25">
      <c r="A1075" s="67"/>
      <c r="B1075" s="67"/>
    </row>
    <row r="1076" spans="1:2" x14ac:dyDescent="0.25">
      <c r="A1076" s="67"/>
      <c r="B1076" s="67"/>
    </row>
    <row r="1077" spans="1:2" x14ac:dyDescent="0.25">
      <c r="A1077" s="67"/>
      <c r="B1077" s="67"/>
    </row>
    <row r="1078" spans="1:2" x14ac:dyDescent="0.25">
      <c r="A1078" s="67"/>
      <c r="B1078" s="67"/>
    </row>
    <row r="1079" spans="1:2" x14ac:dyDescent="0.25">
      <c r="A1079" s="67"/>
      <c r="B1079" s="67"/>
    </row>
    <row r="1080" spans="1:2" x14ac:dyDescent="0.25">
      <c r="A1080" s="67"/>
      <c r="B1080" s="67"/>
    </row>
    <row r="1081" spans="1:2" x14ac:dyDescent="0.25">
      <c r="A1081" s="67"/>
      <c r="B1081" s="67"/>
    </row>
    <row r="1082" spans="1:2" x14ac:dyDescent="0.25">
      <c r="A1082" s="67"/>
      <c r="B1082" s="67"/>
    </row>
    <row r="1083" spans="1:2" x14ac:dyDescent="0.25">
      <c r="A1083" s="67"/>
      <c r="B1083" s="67"/>
    </row>
    <row r="1084" spans="1:2" x14ac:dyDescent="0.25">
      <c r="A1084" s="67"/>
      <c r="B1084" s="67"/>
    </row>
    <row r="1085" spans="1:2" x14ac:dyDescent="0.25">
      <c r="A1085" s="67"/>
      <c r="B1085" s="67"/>
    </row>
    <row r="1086" spans="1:2" x14ac:dyDescent="0.25">
      <c r="A1086" s="67"/>
      <c r="B1086" s="67"/>
    </row>
    <row r="1087" spans="1:2" x14ac:dyDescent="0.25">
      <c r="A1087" s="67"/>
      <c r="B1087" s="67"/>
    </row>
    <row r="1088" spans="1:2" x14ac:dyDescent="0.25">
      <c r="A1088" s="67"/>
      <c r="B1088" s="67"/>
    </row>
    <row r="1089" spans="1:2" x14ac:dyDescent="0.25">
      <c r="A1089" s="67"/>
      <c r="B1089" s="67"/>
    </row>
    <row r="1090" spans="1:2" x14ac:dyDescent="0.25">
      <c r="A1090" s="67"/>
      <c r="B1090" s="67"/>
    </row>
    <row r="1091" spans="1:2" x14ac:dyDescent="0.25">
      <c r="A1091" s="67"/>
      <c r="B1091" s="67"/>
    </row>
    <row r="1092" spans="1:2" x14ac:dyDescent="0.25">
      <c r="A1092" s="67"/>
      <c r="B1092" s="67"/>
    </row>
    <row r="1093" spans="1:2" x14ac:dyDescent="0.25">
      <c r="A1093" s="67"/>
      <c r="B1093" s="67"/>
    </row>
    <row r="1094" spans="1:2" x14ac:dyDescent="0.25">
      <c r="A1094" s="67"/>
      <c r="B1094" s="67"/>
    </row>
    <row r="1095" spans="1:2" x14ac:dyDescent="0.25">
      <c r="A1095" s="67"/>
      <c r="B1095" s="67"/>
    </row>
    <row r="1096" spans="1:2" x14ac:dyDescent="0.25">
      <c r="A1096" s="67"/>
      <c r="B1096" s="67"/>
    </row>
    <row r="1097" spans="1:2" x14ac:dyDescent="0.25">
      <c r="A1097" s="67"/>
      <c r="B1097" s="67"/>
    </row>
    <row r="1098" spans="1:2" x14ac:dyDescent="0.25">
      <c r="A1098" s="67"/>
      <c r="B1098" s="67"/>
    </row>
    <row r="1099" spans="1:2" x14ac:dyDescent="0.25">
      <c r="A1099" s="67"/>
      <c r="B1099" s="67"/>
    </row>
    <row r="1100" spans="1:2" x14ac:dyDescent="0.25">
      <c r="A1100" s="67"/>
      <c r="B1100" s="67"/>
    </row>
    <row r="1101" spans="1:2" x14ac:dyDescent="0.25">
      <c r="A1101" s="67"/>
      <c r="B1101" s="67"/>
    </row>
    <row r="1102" spans="1:2" x14ac:dyDescent="0.25">
      <c r="A1102" s="67"/>
      <c r="B1102" s="67"/>
    </row>
    <row r="1103" spans="1:2" x14ac:dyDescent="0.25">
      <c r="A1103" s="67"/>
      <c r="B1103" s="67"/>
    </row>
    <row r="1104" spans="1:2" x14ac:dyDescent="0.25">
      <c r="A1104" s="67"/>
      <c r="B1104" s="67"/>
    </row>
    <row r="1105" spans="1:2" x14ac:dyDescent="0.25">
      <c r="A1105" s="67"/>
      <c r="B1105" s="67"/>
    </row>
    <row r="1106" spans="1:2" x14ac:dyDescent="0.25">
      <c r="A1106" s="67"/>
      <c r="B1106" s="67"/>
    </row>
    <row r="1107" spans="1:2" x14ac:dyDescent="0.25">
      <c r="A1107" s="67"/>
      <c r="B1107" s="67"/>
    </row>
    <row r="1108" spans="1:2" x14ac:dyDescent="0.25">
      <c r="A1108" s="67"/>
      <c r="B1108" s="67"/>
    </row>
    <row r="1109" spans="1:2" x14ac:dyDescent="0.25">
      <c r="A1109" s="67"/>
      <c r="B1109" s="67"/>
    </row>
    <row r="1110" spans="1:2" x14ac:dyDescent="0.25">
      <c r="A1110" s="67"/>
      <c r="B1110" s="67"/>
    </row>
    <row r="1111" spans="1:2" x14ac:dyDescent="0.25">
      <c r="A1111" s="67"/>
      <c r="B1111" s="67"/>
    </row>
    <row r="1112" spans="1:2" x14ac:dyDescent="0.25">
      <c r="A1112" s="67"/>
      <c r="B1112" s="67"/>
    </row>
    <row r="1113" spans="1:2" x14ac:dyDescent="0.25">
      <c r="A1113" s="67"/>
      <c r="B1113" s="67"/>
    </row>
    <row r="1114" spans="1:2" x14ac:dyDescent="0.25">
      <c r="A1114" s="67"/>
      <c r="B1114" s="67"/>
    </row>
    <row r="1115" spans="1:2" x14ac:dyDescent="0.25">
      <c r="A1115" s="67"/>
      <c r="B1115" s="67"/>
    </row>
    <row r="1116" spans="1:2" x14ac:dyDescent="0.25">
      <c r="A1116" s="67"/>
      <c r="B1116" s="67"/>
    </row>
    <row r="1117" spans="1:2" x14ac:dyDescent="0.25">
      <c r="A1117" s="67"/>
      <c r="B1117" s="67"/>
    </row>
    <row r="1118" spans="1:2" x14ac:dyDescent="0.25">
      <c r="A1118" s="67"/>
      <c r="B1118" s="67"/>
    </row>
    <row r="1119" spans="1:2" x14ac:dyDescent="0.25">
      <c r="A1119" s="67"/>
      <c r="B1119" s="67"/>
    </row>
    <row r="1120" spans="1:2" x14ac:dyDescent="0.25">
      <c r="A1120" s="67"/>
      <c r="B1120" s="67"/>
    </row>
    <row r="1121" spans="1:2" x14ac:dyDescent="0.25">
      <c r="A1121" s="67"/>
      <c r="B1121" s="67"/>
    </row>
    <row r="1122" spans="1:2" x14ac:dyDescent="0.25">
      <c r="A1122" s="67"/>
      <c r="B1122" s="67"/>
    </row>
    <row r="1123" spans="1:2" x14ac:dyDescent="0.25">
      <c r="A1123" s="67"/>
      <c r="B1123" s="67"/>
    </row>
    <row r="1124" spans="1:2" x14ac:dyDescent="0.25">
      <c r="A1124" s="67"/>
      <c r="B1124" s="67"/>
    </row>
    <row r="1125" spans="1:2" x14ac:dyDescent="0.25">
      <c r="A1125" s="67"/>
      <c r="B1125" s="67"/>
    </row>
    <row r="1126" spans="1:2" x14ac:dyDescent="0.25">
      <c r="A1126" s="67"/>
      <c r="B1126" s="67"/>
    </row>
    <row r="1127" spans="1:2" x14ac:dyDescent="0.25">
      <c r="A1127" s="67"/>
      <c r="B1127" s="67"/>
    </row>
    <row r="1128" spans="1:2" x14ac:dyDescent="0.25">
      <c r="A1128" s="67"/>
      <c r="B1128" s="67"/>
    </row>
    <row r="1129" spans="1:2" x14ac:dyDescent="0.25">
      <c r="A1129" s="67"/>
      <c r="B1129" s="67"/>
    </row>
    <row r="1130" spans="1:2" x14ac:dyDescent="0.25">
      <c r="A1130" s="67"/>
      <c r="B1130" s="67"/>
    </row>
    <row r="1131" spans="1:2" x14ac:dyDescent="0.25">
      <c r="A1131" s="67"/>
      <c r="B1131" s="67"/>
    </row>
    <row r="1132" spans="1:2" x14ac:dyDescent="0.25">
      <c r="A1132" s="67"/>
      <c r="B1132" s="67"/>
    </row>
    <row r="1133" spans="1:2" x14ac:dyDescent="0.25">
      <c r="A1133" s="67"/>
      <c r="B1133" s="67"/>
    </row>
    <row r="1134" spans="1:2" x14ac:dyDescent="0.25">
      <c r="A1134" s="67"/>
      <c r="B1134" s="67"/>
    </row>
    <row r="1135" spans="1:2" x14ac:dyDescent="0.25">
      <c r="A1135" s="67"/>
      <c r="B1135" s="67"/>
    </row>
    <row r="1136" spans="1:2" x14ac:dyDescent="0.25">
      <c r="A1136" s="67"/>
      <c r="B1136" s="67"/>
    </row>
    <row r="1137" spans="1:2" x14ac:dyDescent="0.25">
      <c r="A1137" s="67"/>
      <c r="B1137" s="67"/>
    </row>
    <row r="1138" spans="1:2" x14ac:dyDescent="0.25">
      <c r="A1138" s="67"/>
      <c r="B1138" s="67"/>
    </row>
    <row r="1139" spans="1:2" x14ac:dyDescent="0.25">
      <c r="A1139" s="67"/>
      <c r="B1139" s="67"/>
    </row>
    <row r="1140" spans="1:2" x14ac:dyDescent="0.25">
      <c r="A1140" s="67"/>
      <c r="B1140" s="67"/>
    </row>
    <row r="1141" spans="1:2" x14ac:dyDescent="0.25">
      <c r="A1141" s="67"/>
      <c r="B1141" s="67"/>
    </row>
    <row r="1142" spans="1:2" x14ac:dyDescent="0.25">
      <c r="A1142" s="67"/>
      <c r="B1142" s="67"/>
    </row>
    <row r="1143" spans="1:2" x14ac:dyDescent="0.25">
      <c r="A1143" s="67"/>
      <c r="B1143" s="67"/>
    </row>
    <row r="1144" spans="1:2" x14ac:dyDescent="0.25">
      <c r="A1144" s="67"/>
      <c r="B1144" s="67"/>
    </row>
    <row r="1145" spans="1:2" x14ac:dyDescent="0.25">
      <c r="A1145" s="67"/>
      <c r="B1145" s="67"/>
    </row>
    <row r="1146" spans="1:2" x14ac:dyDescent="0.25">
      <c r="A1146" s="67"/>
      <c r="B1146" s="67"/>
    </row>
    <row r="1147" spans="1:2" x14ac:dyDescent="0.25">
      <c r="A1147" s="67"/>
      <c r="B1147" s="67"/>
    </row>
    <row r="1148" spans="1:2" x14ac:dyDescent="0.25">
      <c r="A1148" s="67"/>
      <c r="B1148" s="67"/>
    </row>
    <row r="1149" spans="1:2" x14ac:dyDescent="0.25">
      <c r="A1149" s="67"/>
      <c r="B1149" s="67"/>
    </row>
    <row r="1150" spans="1:2" x14ac:dyDescent="0.25">
      <c r="A1150" s="67"/>
      <c r="B1150" s="67"/>
    </row>
    <row r="1151" spans="1:2" x14ac:dyDescent="0.25">
      <c r="A1151" s="67"/>
      <c r="B1151" s="67"/>
    </row>
    <row r="1152" spans="1:2" x14ac:dyDescent="0.25">
      <c r="A1152" s="67"/>
      <c r="B1152" s="67"/>
    </row>
    <row r="1153" spans="1:2" x14ac:dyDescent="0.25">
      <c r="A1153" s="67"/>
      <c r="B1153" s="67"/>
    </row>
    <row r="1154" spans="1:2" x14ac:dyDescent="0.25">
      <c r="A1154" s="67"/>
      <c r="B1154" s="67"/>
    </row>
    <row r="1155" spans="1:2" x14ac:dyDescent="0.25">
      <c r="A1155" s="67"/>
      <c r="B1155" s="67"/>
    </row>
    <row r="1156" spans="1:2" x14ac:dyDescent="0.25">
      <c r="A1156" s="67"/>
      <c r="B1156" s="67"/>
    </row>
    <row r="1157" spans="1:2" x14ac:dyDescent="0.25">
      <c r="A1157" s="67"/>
      <c r="B1157" s="67"/>
    </row>
    <row r="1158" spans="1:2" x14ac:dyDescent="0.25">
      <c r="A1158" s="67"/>
      <c r="B1158" s="67"/>
    </row>
    <row r="1159" spans="1:2" x14ac:dyDescent="0.25">
      <c r="A1159" s="67"/>
      <c r="B1159" s="67"/>
    </row>
    <row r="1160" spans="1:2" x14ac:dyDescent="0.25">
      <c r="A1160" s="67"/>
      <c r="B1160" s="67"/>
    </row>
    <row r="1161" spans="1:2" x14ac:dyDescent="0.25">
      <c r="A1161" s="67"/>
      <c r="B1161" s="67"/>
    </row>
    <row r="1162" spans="1:2" x14ac:dyDescent="0.25">
      <c r="A1162" s="67"/>
      <c r="B1162" s="67"/>
    </row>
    <row r="1163" spans="1:2" x14ac:dyDescent="0.25">
      <c r="A1163" s="67"/>
      <c r="B1163" s="67"/>
    </row>
    <row r="1164" spans="1:2" x14ac:dyDescent="0.25">
      <c r="A1164" s="67"/>
      <c r="B1164" s="67"/>
    </row>
    <row r="1165" spans="1:2" x14ac:dyDescent="0.25">
      <c r="A1165" s="67"/>
      <c r="B1165" s="67"/>
    </row>
    <row r="1166" spans="1:2" x14ac:dyDescent="0.25">
      <c r="A1166" s="67"/>
      <c r="B1166" s="67"/>
    </row>
    <row r="1167" spans="1:2" x14ac:dyDescent="0.25">
      <c r="A1167" s="67"/>
      <c r="B1167" s="67"/>
    </row>
    <row r="1168" spans="1:2" x14ac:dyDescent="0.25">
      <c r="A1168" s="67"/>
      <c r="B1168" s="67"/>
    </row>
    <row r="1169" spans="1:2" x14ac:dyDescent="0.25">
      <c r="A1169" s="67"/>
      <c r="B1169" s="67"/>
    </row>
    <row r="1170" spans="1:2" x14ac:dyDescent="0.25">
      <c r="A1170" s="67"/>
      <c r="B1170" s="67"/>
    </row>
    <row r="1171" spans="1:2" x14ac:dyDescent="0.25">
      <c r="A1171" s="67"/>
      <c r="B1171" s="67"/>
    </row>
    <row r="1172" spans="1:2" x14ac:dyDescent="0.25">
      <c r="A1172" s="67"/>
      <c r="B1172" s="67"/>
    </row>
    <row r="1173" spans="1:2" x14ac:dyDescent="0.25">
      <c r="A1173" s="67"/>
      <c r="B1173" s="67"/>
    </row>
    <row r="1174" spans="1:2" x14ac:dyDescent="0.25">
      <c r="A1174" s="67"/>
      <c r="B1174" s="67"/>
    </row>
    <row r="1175" spans="1:2" x14ac:dyDescent="0.25">
      <c r="A1175" s="67"/>
      <c r="B1175" s="67"/>
    </row>
    <row r="1176" spans="1:2" x14ac:dyDescent="0.25">
      <c r="A1176" s="67"/>
      <c r="B1176" s="67"/>
    </row>
    <row r="1177" spans="1:2" x14ac:dyDescent="0.25">
      <c r="A1177" s="67"/>
      <c r="B1177" s="67"/>
    </row>
    <row r="1178" spans="1:2" x14ac:dyDescent="0.25">
      <c r="A1178" s="67"/>
      <c r="B1178" s="67"/>
    </row>
    <row r="1179" spans="1:2" x14ac:dyDescent="0.25">
      <c r="A1179" s="67"/>
      <c r="B1179" s="67"/>
    </row>
    <row r="1180" spans="1:2" x14ac:dyDescent="0.25">
      <c r="A1180" s="67"/>
      <c r="B1180" s="67"/>
    </row>
    <row r="1181" spans="1:2" x14ac:dyDescent="0.25">
      <c r="A1181" s="67"/>
      <c r="B1181" s="67"/>
    </row>
    <row r="1182" spans="1:2" x14ac:dyDescent="0.25">
      <c r="A1182" s="67"/>
      <c r="B1182" s="67"/>
    </row>
    <row r="1183" spans="1:2" x14ac:dyDescent="0.25">
      <c r="A1183" s="67"/>
      <c r="B1183" s="67"/>
    </row>
    <row r="1184" spans="1:2" x14ac:dyDescent="0.25">
      <c r="A1184" s="67"/>
      <c r="B1184" s="67"/>
    </row>
    <row r="1185" spans="1:2" x14ac:dyDescent="0.25">
      <c r="A1185" s="67"/>
      <c r="B1185" s="67"/>
    </row>
    <row r="1186" spans="1:2" x14ac:dyDescent="0.25">
      <c r="A1186" s="67"/>
      <c r="B1186" s="67"/>
    </row>
    <row r="1187" spans="1:2" x14ac:dyDescent="0.25">
      <c r="A1187" s="67"/>
      <c r="B1187" s="67"/>
    </row>
    <row r="1188" spans="1:2" x14ac:dyDescent="0.25">
      <c r="A1188" s="67"/>
      <c r="B1188" s="67"/>
    </row>
    <row r="1189" spans="1:2" x14ac:dyDescent="0.25">
      <c r="A1189" s="67"/>
      <c r="B1189" s="67"/>
    </row>
    <row r="1190" spans="1:2" x14ac:dyDescent="0.25">
      <c r="A1190" s="67"/>
      <c r="B1190" s="67"/>
    </row>
    <row r="1191" spans="1:2" x14ac:dyDescent="0.25">
      <c r="A1191" s="67"/>
      <c r="B1191" s="67"/>
    </row>
    <row r="1192" spans="1:2" x14ac:dyDescent="0.25">
      <c r="A1192" s="67"/>
      <c r="B1192" s="67"/>
    </row>
    <row r="1193" spans="1:2" x14ac:dyDescent="0.25">
      <c r="A1193" s="67"/>
      <c r="B1193" s="67"/>
    </row>
    <row r="1194" spans="1:2" x14ac:dyDescent="0.25">
      <c r="A1194" s="67"/>
      <c r="B1194" s="67"/>
    </row>
    <row r="1195" spans="1:2" x14ac:dyDescent="0.25">
      <c r="A1195" s="67"/>
      <c r="B1195" s="67"/>
    </row>
    <row r="1196" spans="1:2" x14ac:dyDescent="0.25">
      <c r="A1196" s="67"/>
      <c r="B1196" s="67"/>
    </row>
    <row r="1197" spans="1:2" x14ac:dyDescent="0.25">
      <c r="A1197" s="67"/>
      <c r="B1197" s="67"/>
    </row>
    <row r="1198" spans="1:2" x14ac:dyDescent="0.25">
      <c r="A1198" s="67"/>
      <c r="B1198" s="67"/>
    </row>
    <row r="1199" spans="1:2" x14ac:dyDescent="0.25">
      <c r="A1199" s="67"/>
      <c r="B1199" s="67"/>
    </row>
    <row r="1200" spans="1:2" x14ac:dyDescent="0.25">
      <c r="A1200" s="67"/>
      <c r="B1200" s="67"/>
    </row>
    <row r="1201" spans="1:2" x14ac:dyDescent="0.25">
      <c r="A1201" s="67"/>
      <c r="B1201" s="67"/>
    </row>
    <row r="1202" spans="1:2" x14ac:dyDescent="0.25">
      <c r="A1202" s="67"/>
      <c r="B1202" s="67"/>
    </row>
    <row r="1203" spans="1:2" x14ac:dyDescent="0.25">
      <c r="A1203" s="67"/>
      <c r="B1203" s="67"/>
    </row>
    <row r="1204" spans="1:2" x14ac:dyDescent="0.25">
      <c r="A1204" s="67"/>
      <c r="B1204" s="67"/>
    </row>
    <row r="1205" spans="1:2" x14ac:dyDescent="0.25">
      <c r="A1205" s="67"/>
      <c r="B1205" s="67"/>
    </row>
    <row r="1206" spans="1:2" x14ac:dyDescent="0.25">
      <c r="A1206" s="67"/>
      <c r="B1206" s="67"/>
    </row>
    <row r="1207" spans="1:2" x14ac:dyDescent="0.25">
      <c r="A1207" s="67"/>
      <c r="B1207" s="67"/>
    </row>
    <row r="1208" spans="1:2" x14ac:dyDescent="0.25">
      <c r="A1208" s="67"/>
      <c r="B1208" s="67"/>
    </row>
    <row r="1209" spans="1:2" x14ac:dyDescent="0.25">
      <c r="A1209" s="67"/>
      <c r="B1209" s="67"/>
    </row>
    <row r="1210" spans="1:2" x14ac:dyDescent="0.25">
      <c r="A1210" s="67"/>
      <c r="B1210" s="67"/>
    </row>
    <row r="1211" spans="1:2" x14ac:dyDescent="0.25">
      <c r="A1211" s="67"/>
      <c r="B1211" s="67"/>
    </row>
    <row r="1212" spans="1:2" x14ac:dyDescent="0.25">
      <c r="A1212" s="67"/>
      <c r="B1212" s="67"/>
    </row>
    <row r="1213" spans="1:2" x14ac:dyDescent="0.25">
      <c r="A1213" s="67"/>
      <c r="B1213" s="67"/>
    </row>
    <row r="1214" spans="1:2" x14ac:dyDescent="0.25">
      <c r="A1214" s="67"/>
      <c r="B1214" s="67"/>
    </row>
    <row r="1215" spans="1:2" x14ac:dyDescent="0.25">
      <c r="A1215" s="67"/>
      <c r="B1215" s="67"/>
    </row>
    <row r="1216" spans="1:2" x14ac:dyDescent="0.25">
      <c r="A1216" s="67"/>
      <c r="B1216" s="67"/>
    </row>
    <row r="1217" spans="1:2" x14ac:dyDescent="0.25">
      <c r="A1217" s="67"/>
      <c r="B1217" s="67"/>
    </row>
    <row r="1218" spans="1:2" x14ac:dyDescent="0.25">
      <c r="A1218" s="67"/>
      <c r="B1218" s="67"/>
    </row>
    <row r="1219" spans="1:2" x14ac:dyDescent="0.25">
      <c r="A1219" s="67"/>
      <c r="B1219" s="67"/>
    </row>
    <row r="1220" spans="1:2" x14ac:dyDescent="0.25">
      <c r="A1220" s="67"/>
      <c r="B1220" s="67"/>
    </row>
    <row r="1221" spans="1:2" x14ac:dyDescent="0.25">
      <c r="A1221" s="67"/>
      <c r="B1221" s="67"/>
    </row>
    <row r="1222" spans="1:2" x14ac:dyDescent="0.25">
      <c r="A1222" s="67"/>
      <c r="B1222" s="67"/>
    </row>
    <row r="1223" spans="1:2" x14ac:dyDescent="0.25">
      <c r="A1223" s="67"/>
      <c r="B1223" s="67"/>
    </row>
    <row r="1224" spans="1:2" x14ac:dyDescent="0.25">
      <c r="A1224" s="67"/>
      <c r="B1224" s="67"/>
    </row>
    <row r="1225" spans="1:2" x14ac:dyDescent="0.25">
      <c r="A1225" s="67"/>
      <c r="B1225" s="67"/>
    </row>
    <row r="1226" spans="1:2" x14ac:dyDescent="0.25">
      <c r="A1226" s="67"/>
      <c r="B1226" s="67"/>
    </row>
    <row r="1227" spans="1:2" x14ac:dyDescent="0.25">
      <c r="A1227" s="67"/>
      <c r="B1227" s="67"/>
    </row>
    <row r="1228" spans="1:2" x14ac:dyDescent="0.25">
      <c r="A1228" s="67"/>
      <c r="B1228" s="67"/>
    </row>
    <row r="1229" spans="1:2" x14ac:dyDescent="0.25">
      <c r="A1229" s="67"/>
      <c r="B1229" s="67"/>
    </row>
    <row r="1230" spans="1:2" x14ac:dyDescent="0.25">
      <c r="A1230" s="67"/>
      <c r="B1230" s="67"/>
    </row>
    <row r="1231" spans="1:2" x14ac:dyDescent="0.25">
      <c r="A1231" s="67"/>
      <c r="B1231" s="67"/>
    </row>
    <row r="1232" spans="1:2" x14ac:dyDescent="0.25">
      <c r="A1232" s="67"/>
      <c r="B1232" s="67"/>
    </row>
    <row r="1233" spans="1:2" x14ac:dyDescent="0.25">
      <c r="A1233" s="67"/>
      <c r="B1233" s="67"/>
    </row>
    <row r="1234" spans="1:2" x14ac:dyDescent="0.25">
      <c r="A1234" s="67"/>
      <c r="B1234" s="67"/>
    </row>
    <row r="1235" spans="1:2" x14ac:dyDescent="0.25">
      <c r="A1235" s="67"/>
      <c r="B1235" s="67"/>
    </row>
    <row r="1236" spans="1:2" x14ac:dyDescent="0.25">
      <c r="A1236" s="67"/>
      <c r="B1236" s="67"/>
    </row>
    <row r="1237" spans="1:2" x14ac:dyDescent="0.25">
      <c r="A1237" s="67"/>
      <c r="B1237" s="67"/>
    </row>
    <row r="1238" spans="1:2" x14ac:dyDescent="0.25">
      <c r="A1238" s="67"/>
      <c r="B1238" s="67"/>
    </row>
    <row r="1239" spans="1:2" x14ac:dyDescent="0.25">
      <c r="A1239" s="67"/>
      <c r="B1239" s="67"/>
    </row>
    <row r="1240" spans="1:2" x14ac:dyDescent="0.25">
      <c r="A1240" s="67"/>
      <c r="B1240" s="67"/>
    </row>
    <row r="1241" spans="1:2" x14ac:dyDescent="0.25">
      <c r="A1241" s="67"/>
      <c r="B1241" s="67"/>
    </row>
    <row r="1242" spans="1:2" x14ac:dyDescent="0.25">
      <c r="A1242" s="67"/>
      <c r="B1242" s="67"/>
    </row>
    <row r="1243" spans="1:2" x14ac:dyDescent="0.25">
      <c r="A1243" s="67"/>
      <c r="B1243" s="67"/>
    </row>
    <row r="1244" spans="1:2" x14ac:dyDescent="0.25">
      <c r="A1244" s="67"/>
      <c r="B1244" s="67"/>
    </row>
    <row r="1245" spans="1:2" x14ac:dyDescent="0.25">
      <c r="A1245" s="67"/>
      <c r="B1245" s="67"/>
    </row>
    <row r="1246" spans="1:2" x14ac:dyDescent="0.25">
      <c r="A1246" s="67"/>
      <c r="B1246" s="67"/>
    </row>
    <row r="1247" spans="1:2" x14ac:dyDescent="0.25">
      <c r="A1247" s="67"/>
      <c r="B1247" s="67"/>
    </row>
    <row r="1248" spans="1:2" x14ac:dyDescent="0.25">
      <c r="A1248" s="67"/>
      <c r="B1248" s="67"/>
    </row>
    <row r="1249" spans="1:2" x14ac:dyDescent="0.25">
      <c r="A1249" s="67"/>
      <c r="B1249" s="67"/>
    </row>
    <row r="1250" spans="1:2" x14ac:dyDescent="0.25">
      <c r="A1250" s="67"/>
      <c r="B1250" s="67"/>
    </row>
    <row r="1251" spans="1:2" x14ac:dyDescent="0.25">
      <c r="A1251" s="67"/>
      <c r="B1251" s="67"/>
    </row>
    <row r="1252" spans="1:2" x14ac:dyDescent="0.25">
      <c r="A1252" s="67"/>
      <c r="B1252" s="67"/>
    </row>
    <row r="1253" spans="1:2" x14ac:dyDescent="0.25">
      <c r="A1253" s="67"/>
      <c r="B1253" s="67"/>
    </row>
    <row r="1254" spans="1:2" x14ac:dyDescent="0.25">
      <c r="A1254" s="67"/>
      <c r="B1254" s="67"/>
    </row>
    <row r="1255" spans="1:2" x14ac:dyDescent="0.25">
      <c r="A1255" s="67"/>
      <c r="B1255" s="67"/>
    </row>
    <row r="1256" spans="1:2" x14ac:dyDescent="0.25">
      <c r="A1256" s="67"/>
      <c r="B1256" s="67"/>
    </row>
    <row r="1257" spans="1:2" x14ac:dyDescent="0.25">
      <c r="A1257" s="67"/>
      <c r="B1257" s="67"/>
    </row>
    <row r="1258" spans="1:2" x14ac:dyDescent="0.25">
      <c r="A1258" s="67"/>
      <c r="B1258" s="67"/>
    </row>
    <row r="1259" spans="1:2" x14ac:dyDescent="0.25">
      <c r="A1259" s="67"/>
      <c r="B1259" s="67"/>
    </row>
    <row r="1260" spans="1:2" x14ac:dyDescent="0.25">
      <c r="A1260" s="67"/>
      <c r="B1260" s="67"/>
    </row>
    <row r="1261" spans="1:2" x14ac:dyDescent="0.25">
      <c r="A1261" s="67"/>
      <c r="B1261" s="67"/>
    </row>
    <row r="1262" spans="1:2" x14ac:dyDescent="0.25">
      <c r="A1262" s="67"/>
      <c r="B1262" s="67"/>
    </row>
    <row r="1263" spans="1:2" x14ac:dyDescent="0.25">
      <c r="A1263" s="67"/>
      <c r="B1263" s="67"/>
    </row>
    <row r="1264" spans="1:2" x14ac:dyDescent="0.25">
      <c r="A1264" s="67"/>
      <c r="B1264" s="67"/>
    </row>
    <row r="1265" spans="1:2" x14ac:dyDescent="0.25">
      <c r="A1265" s="67"/>
      <c r="B1265" s="67"/>
    </row>
    <row r="1266" spans="1:2" x14ac:dyDescent="0.25">
      <c r="A1266" s="67"/>
      <c r="B1266" s="67"/>
    </row>
    <row r="1267" spans="1:2" x14ac:dyDescent="0.25">
      <c r="A1267" s="67"/>
      <c r="B1267" s="67"/>
    </row>
    <row r="1268" spans="1:2" x14ac:dyDescent="0.25">
      <c r="A1268" s="67"/>
      <c r="B1268" s="67"/>
    </row>
    <row r="1269" spans="1:2" x14ac:dyDescent="0.25">
      <c r="A1269" s="67"/>
      <c r="B1269" s="67"/>
    </row>
    <row r="1270" spans="1:2" x14ac:dyDescent="0.25">
      <c r="A1270" s="67"/>
      <c r="B1270" s="67"/>
    </row>
    <row r="1271" spans="1:2" x14ac:dyDescent="0.25">
      <c r="A1271" s="67"/>
      <c r="B1271" s="67"/>
    </row>
    <row r="1272" spans="1:2" x14ac:dyDescent="0.25">
      <c r="A1272" s="67"/>
      <c r="B1272" s="67"/>
    </row>
    <row r="1273" spans="1:2" x14ac:dyDescent="0.25">
      <c r="A1273" s="67"/>
      <c r="B1273" s="67"/>
    </row>
    <row r="1274" spans="1:2" x14ac:dyDescent="0.25">
      <c r="A1274" s="67"/>
      <c r="B1274" s="67"/>
    </row>
    <row r="1275" spans="1:2" x14ac:dyDescent="0.25">
      <c r="A1275" s="67"/>
      <c r="B1275" s="67"/>
    </row>
    <row r="1276" spans="1:2" x14ac:dyDescent="0.25">
      <c r="A1276" s="67"/>
      <c r="B1276" s="67"/>
    </row>
    <row r="1277" spans="1:2" x14ac:dyDescent="0.25">
      <c r="A1277" s="67"/>
      <c r="B1277" s="67"/>
    </row>
    <row r="1278" spans="1:2" x14ac:dyDescent="0.25">
      <c r="A1278" s="67"/>
      <c r="B1278" s="67"/>
    </row>
    <row r="1279" spans="1:2" x14ac:dyDescent="0.25">
      <c r="A1279" s="67"/>
      <c r="B1279" s="67"/>
    </row>
    <row r="1280" spans="1:2" x14ac:dyDescent="0.25">
      <c r="A1280" s="67"/>
      <c r="B1280" s="67"/>
    </row>
    <row r="1281" spans="1:2" x14ac:dyDescent="0.25">
      <c r="A1281" s="67"/>
      <c r="B1281" s="67"/>
    </row>
    <row r="1282" spans="1:2" x14ac:dyDescent="0.25">
      <c r="A1282" s="67"/>
      <c r="B1282" s="67"/>
    </row>
    <row r="1283" spans="1:2" x14ac:dyDescent="0.25">
      <c r="A1283" s="67"/>
      <c r="B1283" s="67"/>
    </row>
    <row r="1284" spans="1:2" x14ac:dyDescent="0.25">
      <c r="A1284" s="67"/>
      <c r="B1284" s="67"/>
    </row>
    <row r="1285" spans="1:2" x14ac:dyDescent="0.25">
      <c r="A1285" s="67"/>
      <c r="B1285" s="67"/>
    </row>
    <row r="1286" spans="1:2" x14ac:dyDescent="0.25">
      <c r="A1286" s="67"/>
      <c r="B1286" s="67"/>
    </row>
    <row r="1287" spans="1:2" x14ac:dyDescent="0.25">
      <c r="A1287" s="67"/>
      <c r="B1287" s="67"/>
    </row>
    <row r="1288" spans="1:2" x14ac:dyDescent="0.25">
      <c r="A1288" s="67"/>
      <c r="B1288" s="67"/>
    </row>
    <row r="1289" spans="1:2" x14ac:dyDescent="0.25">
      <c r="A1289" s="67"/>
      <c r="B1289" s="67"/>
    </row>
    <row r="1290" spans="1:2" x14ac:dyDescent="0.25">
      <c r="A1290" s="67"/>
      <c r="B1290" s="67"/>
    </row>
    <row r="1291" spans="1:2" x14ac:dyDescent="0.25">
      <c r="A1291" s="67"/>
      <c r="B1291" s="67"/>
    </row>
    <row r="1292" spans="1:2" x14ac:dyDescent="0.25">
      <c r="A1292" s="67"/>
      <c r="B1292" s="67"/>
    </row>
    <row r="1293" spans="1:2" x14ac:dyDescent="0.25">
      <c r="A1293" s="67"/>
      <c r="B1293" s="67"/>
    </row>
    <row r="1294" spans="1:2" x14ac:dyDescent="0.25">
      <c r="A1294" s="67"/>
      <c r="B1294" s="67"/>
    </row>
    <row r="1295" spans="1:2" x14ac:dyDescent="0.25">
      <c r="A1295" s="67"/>
      <c r="B1295" s="67"/>
    </row>
    <row r="1296" spans="1:2" x14ac:dyDescent="0.25">
      <c r="A1296" s="67"/>
      <c r="B1296" s="67"/>
    </row>
    <row r="1297" spans="1:2" x14ac:dyDescent="0.25">
      <c r="A1297" s="67"/>
      <c r="B1297" s="67"/>
    </row>
    <row r="1298" spans="1:2" x14ac:dyDescent="0.25">
      <c r="A1298" s="67"/>
      <c r="B1298" s="67"/>
    </row>
    <row r="1299" spans="1:2" x14ac:dyDescent="0.25">
      <c r="A1299" s="67"/>
      <c r="B1299" s="67"/>
    </row>
    <row r="1300" spans="1:2" x14ac:dyDescent="0.25">
      <c r="A1300" s="67"/>
      <c r="B1300" s="67"/>
    </row>
    <row r="1301" spans="1:2" x14ac:dyDescent="0.25">
      <c r="A1301" s="67"/>
      <c r="B1301" s="67"/>
    </row>
    <row r="1302" spans="1:2" x14ac:dyDescent="0.25">
      <c r="A1302" s="67"/>
      <c r="B1302" s="67"/>
    </row>
    <row r="1303" spans="1:2" x14ac:dyDescent="0.25">
      <c r="A1303" s="67"/>
      <c r="B1303" s="67"/>
    </row>
    <row r="1304" spans="1:2" x14ac:dyDescent="0.25">
      <c r="A1304" s="67"/>
      <c r="B1304" s="67"/>
    </row>
    <row r="1305" spans="1:2" x14ac:dyDescent="0.25">
      <c r="A1305" s="67"/>
      <c r="B1305" s="67"/>
    </row>
    <row r="1306" spans="1:2" x14ac:dyDescent="0.25">
      <c r="A1306" s="67"/>
      <c r="B1306" s="67"/>
    </row>
    <row r="1307" spans="1:2" x14ac:dyDescent="0.25">
      <c r="A1307" s="67"/>
      <c r="B1307" s="67"/>
    </row>
    <row r="1308" spans="1:2" x14ac:dyDescent="0.25">
      <c r="A1308" s="67"/>
      <c r="B1308" s="67"/>
    </row>
    <row r="1309" spans="1:2" x14ac:dyDescent="0.25">
      <c r="A1309" s="67"/>
      <c r="B1309" s="67"/>
    </row>
    <row r="1310" spans="1:2" x14ac:dyDescent="0.25">
      <c r="A1310" s="67"/>
      <c r="B1310" s="67"/>
    </row>
    <row r="1311" spans="1:2" x14ac:dyDescent="0.25">
      <c r="A1311" s="67"/>
      <c r="B1311" s="67"/>
    </row>
    <row r="1312" spans="1:2" x14ac:dyDescent="0.25">
      <c r="A1312" s="67"/>
      <c r="B1312" s="67"/>
    </row>
    <row r="1313" spans="1:2" x14ac:dyDescent="0.25">
      <c r="A1313" s="67"/>
      <c r="B1313" s="67"/>
    </row>
    <row r="1314" spans="1:2" x14ac:dyDescent="0.25">
      <c r="A1314" s="67"/>
      <c r="B1314" s="67"/>
    </row>
    <row r="1315" spans="1:2" x14ac:dyDescent="0.25">
      <c r="A1315" s="67"/>
      <c r="B1315" s="67"/>
    </row>
    <row r="1316" spans="1:2" x14ac:dyDescent="0.25">
      <c r="A1316" s="67"/>
      <c r="B1316" s="67"/>
    </row>
    <row r="1317" spans="1:2" x14ac:dyDescent="0.25">
      <c r="A1317" s="67"/>
      <c r="B1317" s="67"/>
    </row>
    <row r="1318" spans="1:2" x14ac:dyDescent="0.25">
      <c r="A1318" s="67"/>
      <c r="B1318" s="67"/>
    </row>
    <row r="1319" spans="1:2" x14ac:dyDescent="0.25">
      <c r="A1319" s="67"/>
      <c r="B1319" s="67"/>
    </row>
    <row r="1320" spans="1:2" x14ac:dyDescent="0.25">
      <c r="A1320" s="67"/>
      <c r="B1320" s="67"/>
    </row>
    <row r="1321" spans="1:2" x14ac:dyDescent="0.25">
      <c r="A1321" s="67"/>
      <c r="B1321" s="67"/>
    </row>
    <row r="1322" spans="1:2" x14ac:dyDescent="0.25">
      <c r="A1322" s="67"/>
      <c r="B1322" s="67"/>
    </row>
    <row r="1323" spans="1:2" x14ac:dyDescent="0.25">
      <c r="A1323" s="67"/>
      <c r="B1323" s="67"/>
    </row>
    <row r="1324" spans="1:2" x14ac:dyDescent="0.25">
      <c r="A1324" s="67"/>
      <c r="B1324" s="67"/>
    </row>
    <row r="1325" spans="1:2" x14ac:dyDescent="0.25">
      <c r="A1325" s="67"/>
      <c r="B1325" s="67"/>
    </row>
    <row r="1326" spans="1:2" x14ac:dyDescent="0.25">
      <c r="A1326" s="67"/>
      <c r="B1326" s="67"/>
    </row>
    <row r="1327" spans="1:2" x14ac:dyDescent="0.25">
      <c r="A1327" s="67"/>
      <c r="B1327" s="67"/>
    </row>
    <row r="1328" spans="1:2" x14ac:dyDescent="0.25">
      <c r="A1328" s="67"/>
      <c r="B1328" s="67"/>
    </row>
    <row r="1329" spans="1:2" x14ac:dyDescent="0.25">
      <c r="A1329" s="67"/>
      <c r="B1329" s="67"/>
    </row>
    <row r="1330" spans="1:2" x14ac:dyDescent="0.25">
      <c r="A1330" s="67"/>
      <c r="B1330" s="67"/>
    </row>
    <row r="1331" spans="1:2" x14ac:dyDescent="0.25">
      <c r="A1331" s="67"/>
      <c r="B1331" s="67"/>
    </row>
    <row r="1332" spans="1:2" x14ac:dyDescent="0.25">
      <c r="A1332" s="67"/>
      <c r="B1332" s="67"/>
    </row>
    <row r="1333" spans="1:2" x14ac:dyDescent="0.25">
      <c r="A1333" s="67"/>
      <c r="B1333" s="67"/>
    </row>
    <row r="1334" spans="1:2" x14ac:dyDescent="0.25">
      <c r="A1334" s="67"/>
      <c r="B1334" s="67"/>
    </row>
    <row r="1335" spans="1:2" x14ac:dyDescent="0.25">
      <c r="A1335" s="67"/>
      <c r="B1335" s="67"/>
    </row>
    <row r="1336" spans="1:2" x14ac:dyDescent="0.25">
      <c r="A1336" s="67"/>
      <c r="B1336" s="67"/>
    </row>
    <row r="1337" spans="1:2" x14ac:dyDescent="0.25">
      <c r="A1337" s="67"/>
      <c r="B1337" s="67"/>
    </row>
    <row r="1338" spans="1:2" x14ac:dyDescent="0.25">
      <c r="A1338" s="67"/>
      <c r="B1338" s="67"/>
    </row>
    <row r="1339" spans="1:2" x14ac:dyDescent="0.25">
      <c r="A1339" s="67"/>
      <c r="B1339" s="67"/>
    </row>
    <row r="1340" spans="1:2" x14ac:dyDescent="0.25">
      <c r="A1340" s="67"/>
      <c r="B1340" s="67"/>
    </row>
    <row r="1341" spans="1:2" x14ac:dyDescent="0.25">
      <c r="A1341" s="67"/>
      <c r="B1341" s="67"/>
    </row>
    <row r="1342" spans="1:2" x14ac:dyDescent="0.25">
      <c r="A1342" s="67"/>
      <c r="B1342" s="67"/>
    </row>
    <row r="1343" spans="1:2" x14ac:dyDescent="0.25">
      <c r="A1343" s="67"/>
      <c r="B1343" s="67"/>
    </row>
    <row r="1344" spans="1:2" x14ac:dyDescent="0.25">
      <c r="A1344" s="67"/>
      <c r="B1344" s="67"/>
    </row>
    <row r="1345" spans="1:2" x14ac:dyDescent="0.25">
      <c r="A1345" s="67"/>
      <c r="B1345" s="67"/>
    </row>
    <row r="1346" spans="1:2" x14ac:dyDescent="0.25">
      <c r="A1346" s="67"/>
      <c r="B1346" s="67"/>
    </row>
    <row r="1347" spans="1:2" x14ac:dyDescent="0.25">
      <c r="A1347" s="67"/>
      <c r="B1347" s="67"/>
    </row>
    <row r="1348" spans="1:2" x14ac:dyDescent="0.25">
      <c r="A1348" s="67"/>
      <c r="B1348" s="67"/>
    </row>
    <row r="1349" spans="1:2" x14ac:dyDescent="0.25">
      <c r="A1349" s="67"/>
      <c r="B1349" s="67"/>
    </row>
    <row r="1350" spans="1:2" x14ac:dyDescent="0.25">
      <c r="A1350" s="67"/>
      <c r="B1350" s="67"/>
    </row>
    <row r="1351" spans="1:2" x14ac:dyDescent="0.25">
      <c r="A1351" s="67"/>
      <c r="B1351" s="67"/>
    </row>
    <row r="1352" spans="1:2" x14ac:dyDescent="0.25">
      <c r="A1352" s="67"/>
      <c r="B1352" s="67"/>
    </row>
    <row r="1353" spans="1:2" x14ac:dyDescent="0.25">
      <c r="A1353" s="67"/>
      <c r="B1353" s="67"/>
    </row>
    <row r="1354" spans="1:2" x14ac:dyDescent="0.25">
      <c r="A1354" s="67"/>
      <c r="B1354" s="67"/>
    </row>
    <row r="1355" spans="1:2" x14ac:dyDescent="0.25">
      <c r="A1355" s="67"/>
      <c r="B1355" s="67"/>
    </row>
    <row r="1356" spans="1:2" x14ac:dyDescent="0.25">
      <c r="A1356" s="67"/>
      <c r="B1356" s="67"/>
    </row>
    <row r="1357" spans="1:2" x14ac:dyDescent="0.25">
      <c r="A1357" s="67"/>
      <c r="B1357" s="67"/>
    </row>
    <row r="1358" spans="1:2" x14ac:dyDescent="0.25">
      <c r="A1358" s="67"/>
      <c r="B1358" s="67"/>
    </row>
    <row r="1359" spans="1:2" x14ac:dyDescent="0.25">
      <c r="A1359" s="67"/>
      <c r="B1359" s="67"/>
    </row>
    <row r="1360" spans="1:2" x14ac:dyDescent="0.25">
      <c r="A1360" s="67"/>
      <c r="B1360" s="67"/>
    </row>
    <row r="1361" spans="1:2" x14ac:dyDescent="0.25">
      <c r="A1361" s="67"/>
      <c r="B1361" s="67"/>
    </row>
    <row r="1362" spans="1:2" x14ac:dyDescent="0.25">
      <c r="A1362" s="67"/>
      <c r="B1362" s="67"/>
    </row>
    <row r="1363" spans="1:2" x14ac:dyDescent="0.25">
      <c r="A1363" s="67"/>
      <c r="B1363" s="67"/>
    </row>
    <row r="1364" spans="1:2" x14ac:dyDescent="0.25">
      <c r="A1364" s="67"/>
      <c r="B1364" s="67"/>
    </row>
    <row r="1365" spans="1:2" x14ac:dyDescent="0.25">
      <c r="A1365" s="67"/>
      <c r="B1365" s="67"/>
    </row>
    <row r="1366" spans="1:2" x14ac:dyDescent="0.25">
      <c r="A1366" s="67"/>
      <c r="B1366" s="67"/>
    </row>
    <row r="1367" spans="1:2" x14ac:dyDescent="0.25">
      <c r="A1367" s="67"/>
      <c r="B1367" s="67"/>
    </row>
    <row r="1368" spans="1:2" x14ac:dyDescent="0.25">
      <c r="A1368" s="67"/>
      <c r="B1368" s="67"/>
    </row>
    <row r="1369" spans="1:2" x14ac:dyDescent="0.25">
      <c r="A1369" s="67"/>
      <c r="B1369" s="67"/>
    </row>
    <row r="1370" spans="1:2" x14ac:dyDescent="0.25">
      <c r="A1370" s="67"/>
      <c r="B1370" s="67"/>
    </row>
    <row r="1371" spans="1:2" x14ac:dyDescent="0.25">
      <c r="A1371" s="67"/>
      <c r="B1371" s="67"/>
    </row>
    <row r="1372" spans="1:2" x14ac:dyDescent="0.25">
      <c r="A1372" s="67"/>
      <c r="B1372" s="67"/>
    </row>
    <row r="1373" spans="1:2" x14ac:dyDescent="0.25">
      <c r="A1373" s="67"/>
      <c r="B1373" s="67"/>
    </row>
    <row r="1374" spans="1:2" x14ac:dyDescent="0.25">
      <c r="A1374" s="67"/>
      <c r="B1374" s="67"/>
    </row>
    <row r="1375" spans="1:2" x14ac:dyDescent="0.25">
      <c r="A1375" s="67"/>
      <c r="B1375" s="67"/>
    </row>
    <row r="1376" spans="1:2" x14ac:dyDescent="0.25">
      <c r="A1376" s="67"/>
      <c r="B1376" s="67"/>
    </row>
    <row r="1377" spans="1:2" x14ac:dyDescent="0.25">
      <c r="A1377" s="67"/>
      <c r="B1377" s="67"/>
    </row>
    <row r="1378" spans="1:2" x14ac:dyDescent="0.25">
      <c r="A1378" s="67"/>
      <c r="B1378" s="67"/>
    </row>
    <row r="1379" spans="1:2" x14ac:dyDescent="0.25">
      <c r="A1379" s="67"/>
      <c r="B1379" s="67"/>
    </row>
    <row r="1380" spans="1:2" x14ac:dyDescent="0.25">
      <c r="A1380" s="67"/>
      <c r="B1380" s="67"/>
    </row>
    <row r="1381" spans="1:2" x14ac:dyDescent="0.25">
      <c r="A1381" s="67"/>
      <c r="B1381" s="67"/>
    </row>
    <row r="1382" spans="1:2" x14ac:dyDescent="0.25">
      <c r="A1382" s="67"/>
      <c r="B1382" s="67"/>
    </row>
    <row r="1383" spans="1:2" x14ac:dyDescent="0.25">
      <c r="A1383" s="67"/>
      <c r="B1383" s="67"/>
    </row>
    <row r="1384" spans="1:2" x14ac:dyDescent="0.25">
      <c r="A1384" s="67"/>
      <c r="B1384" s="67"/>
    </row>
    <row r="1385" spans="1:2" x14ac:dyDescent="0.25">
      <c r="A1385" s="67"/>
      <c r="B1385" s="67"/>
    </row>
    <row r="1386" spans="1:2" x14ac:dyDescent="0.25">
      <c r="A1386" s="67"/>
      <c r="B1386" s="67"/>
    </row>
    <row r="1387" spans="1:2" x14ac:dyDescent="0.25">
      <c r="A1387" s="67"/>
      <c r="B1387" s="67"/>
    </row>
    <row r="1388" spans="1:2" x14ac:dyDescent="0.25">
      <c r="A1388" s="67"/>
      <c r="B1388" s="67"/>
    </row>
    <row r="1389" spans="1:2" x14ac:dyDescent="0.25">
      <c r="A1389" s="67"/>
      <c r="B1389" s="67"/>
    </row>
    <row r="1390" spans="1:2" x14ac:dyDescent="0.25">
      <c r="A1390" s="67"/>
      <c r="B1390" s="67"/>
    </row>
    <row r="1391" spans="1:2" x14ac:dyDescent="0.25">
      <c r="A1391" s="67"/>
      <c r="B1391" s="67"/>
    </row>
    <row r="1392" spans="1:2" x14ac:dyDescent="0.25">
      <c r="A1392" s="67"/>
      <c r="B1392" s="67"/>
    </row>
    <row r="1393" spans="1:2" x14ac:dyDescent="0.25">
      <c r="A1393" s="67"/>
      <c r="B1393" s="67"/>
    </row>
    <row r="1394" spans="1:2" x14ac:dyDescent="0.25">
      <c r="A1394" s="67"/>
      <c r="B1394" s="67"/>
    </row>
    <row r="1395" spans="1:2" x14ac:dyDescent="0.25">
      <c r="A1395" s="67"/>
      <c r="B1395" s="67"/>
    </row>
    <row r="1396" spans="1:2" x14ac:dyDescent="0.25">
      <c r="A1396" s="67"/>
      <c r="B1396" s="67"/>
    </row>
    <row r="1397" spans="1:2" x14ac:dyDescent="0.25">
      <c r="A1397" s="67"/>
      <c r="B1397" s="67"/>
    </row>
    <row r="1398" spans="1:2" x14ac:dyDescent="0.25">
      <c r="A1398" s="67"/>
      <c r="B1398" s="67"/>
    </row>
    <row r="1399" spans="1:2" x14ac:dyDescent="0.25">
      <c r="A1399" s="67"/>
      <c r="B1399" s="67"/>
    </row>
    <row r="1400" spans="1:2" x14ac:dyDescent="0.25">
      <c r="A1400" s="67"/>
      <c r="B1400" s="67"/>
    </row>
    <row r="1401" spans="1:2" x14ac:dyDescent="0.25">
      <c r="A1401" s="67"/>
      <c r="B1401" s="67"/>
    </row>
    <row r="1402" spans="1:2" x14ac:dyDescent="0.25">
      <c r="A1402" s="67"/>
      <c r="B1402" s="67"/>
    </row>
    <row r="1403" spans="1:2" x14ac:dyDescent="0.25">
      <c r="A1403" s="67"/>
      <c r="B1403" s="67"/>
    </row>
    <row r="1404" spans="1:2" x14ac:dyDescent="0.25">
      <c r="A1404" s="67"/>
      <c r="B1404" s="67"/>
    </row>
    <row r="1405" spans="1:2" x14ac:dyDescent="0.25">
      <c r="A1405" s="67"/>
      <c r="B1405" s="67"/>
    </row>
    <row r="1406" spans="1:2" x14ac:dyDescent="0.25">
      <c r="A1406" s="67"/>
      <c r="B1406" s="67"/>
    </row>
    <row r="1407" spans="1:2" x14ac:dyDescent="0.25">
      <c r="A1407" s="67"/>
      <c r="B1407" s="67"/>
    </row>
    <row r="1408" spans="1:2" x14ac:dyDescent="0.25">
      <c r="A1408" s="67"/>
      <c r="B1408" s="67"/>
    </row>
    <row r="1409" spans="1:2" x14ac:dyDescent="0.25">
      <c r="A1409" s="67"/>
      <c r="B1409" s="67"/>
    </row>
    <row r="1410" spans="1:2" x14ac:dyDescent="0.25">
      <c r="A1410" s="67"/>
      <c r="B1410" s="67"/>
    </row>
    <row r="1411" spans="1:2" x14ac:dyDescent="0.25">
      <c r="A1411" s="67"/>
      <c r="B1411" s="67"/>
    </row>
    <row r="1412" spans="1:2" x14ac:dyDescent="0.25">
      <c r="A1412" s="67"/>
      <c r="B1412" s="67"/>
    </row>
    <row r="1413" spans="1:2" x14ac:dyDescent="0.25">
      <c r="A1413" s="67"/>
      <c r="B1413" s="67"/>
    </row>
    <row r="1414" spans="1:2" x14ac:dyDescent="0.25">
      <c r="A1414" s="67"/>
      <c r="B1414" s="67"/>
    </row>
    <row r="1415" spans="1:2" x14ac:dyDescent="0.25">
      <c r="A1415" s="67"/>
      <c r="B1415" s="67"/>
    </row>
    <row r="1416" spans="1:2" x14ac:dyDescent="0.25">
      <c r="A1416" s="67"/>
      <c r="B1416" s="67"/>
    </row>
    <row r="1417" spans="1:2" x14ac:dyDescent="0.25">
      <c r="A1417" s="67"/>
      <c r="B1417" s="67"/>
    </row>
    <row r="1418" spans="1:2" x14ac:dyDescent="0.25">
      <c r="A1418" s="67"/>
      <c r="B1418" s="67"/>
    </row>
    <row r="1419" spans="1:2" x14ac:dyDescent="0.25">
      <c r="A1419" s="67"/>
      <c r="B1419" s="67"/>
    </row>
    <row r="1420" spans="1:2" x14ac:dyDescent="0.25">
      <c r="A1420" s="67"/>
      <c r="B1420" s="67"/>
    </row>
    <row r="1421" spans="1:2" x14ac:dyDescent="0.25">
      <c r="A1421" s="67"/>
      <c r="B1421" s="67"/>
    </row>
    <row r="1422" spans="1:2" x14ac:dyDescent="0.25">
      <c r="A1422" s="67"/>
      <c r="B1422" s="67"/>
    </row>
    <row r="1423" spans="1:2" x14ac:dyDescent="0.25">
      <c r="A1423" s="67"/>
      <c r="B1423" s="67"/>
    </row>
    <row r="1424" spans="1:2" x14ac:dyDescent="0.25">
      <c r="A1424" s="67"/>
      <c r="B1424" s="67"/>
    </row>
    <row r="1425" spans="1:2" x14ac:dyDescent="0.25">
      <c r="A1425" s="67"/>
      <c r="B1425" s="67"/>
    </row>
    <row r="1426" spans="1:2" x14ac:dyDescent="0.25">
      <c r="A1426" s="67"/>
      <c r="B1426" s="67"/>
    </row>
    <row r="1427" spans="1:2" x14ac:dyDescent="0.25">
      <c r="A1427" s="67"/>
      <c r="B1427" s="67"/>
    </row>
    <row r="1428" spans="1:2" x14ac:dyDescent="0.25">
      <c r="A1428" s="67"/>
      <c r="B1428" s="67"/>
    </row>
    <row r="1429" spans="1:2" x14ac:dyDescent="0.25">
      <c r="A1429" s="67"/>
      <c r="B1429" s="67"/>
    </row>
    <row r="1430" spans="1:2" x14ac:dyDescent="0.25">
      <c r="A1430" s="67"/>
      <c r="B1430" s="67"/>
    </row>
    <row r="1431" spans="1:2" x14ac:dyDescent="0.25">
      <c r="A1431" s="67"/>
      <c r="B1431" s="67"/>
    </row>
    <row r="1432" spans="1:2" x14ac:dyDescent="0.25">
      <c r="A1432" s="67"/>
      <c r="B1432" s="67"/>
    </row>
    <row r="1433" spans="1:2" x14ac:dyDescent="0.25">
      <c r="A1433" s="67"/>
      <c r="B1433" s="67"/>
    </row>
    <row r="1434" spans="1:2" x14ac:dyDescent="0.25">
      <c r="A1434" s="67"/>
      <c r="B1434" s="67"/>
    </row>
    <row r="1435" spans="1:2" x14ac:dyDescent="0.25">
      <c r="A1435" s="67"/>
      <c r="B1435" s="67"/>
    </row>
    <row r="1436" spans="1:2" x14ac:dyDescent="0.25">
      <c r="A1436" s="67"/>
      <c r="B1436" s="67"/>
    </row>
    <row r="1437" spans="1:2" x14ac:dyDescent="0.25">
      <c r="A1437" s="67"/>
      <c r="B1437" s="67"/>
    </row>
    <row r="1438" spans="1:2" x14ac:dyDescent="0.25">
      <c r="A1438" s="67"/>
      <c r="B1438" s="67"/>
    </row>
    <row r="1439" spans="1:2" x14ac:dyDescent="0.25">
      <c r="A1439" s="67"/>
      <c r="B1439" s="67"/>
    </row>
    <row r="1440" spans="1:2" x14ac:dyDescent="0.25">
      <c r="A1440" s="67"/>
      <c r="B1440" s="67"/>
    </row>
    <row r="1441" spans="1:2" x14ac:dyDescent="0.25">
      <c r="A1441" s="67"/>
      <c r="B1441" s="67"/>
    </row>
    <row r="1442" spans="1:2" x14ac:dyDescent="0.25">
      <c r="A1442" s="67"/>
      <c r="B1442" s="67"/>
    </row>
    <row r="1443" spans="1:2" x14ac:dyDescent="0.25">
      <c r="A1443" s="67"/>
      <c r="B1443" s="67"/>
    </row>
    <row r="1444" spans="1:2" x14ac:dyDescent="0.25">
      <c r="A1444" s="67"/>
      <c r="B1444" s="67"/>
    </row>
    <row r="1445" spans="1:2" x14ac:dyDescent="0.25">
      <c r="A1445" s="67"/>
      <c r="B1445" s="67"/>
    </row>
    <row r="1446" spans="1:2" x14ac:dyDescent="0.25">
      <c r="A1446" s="67"/>
      <c r="B1446" s="67"/>
    </row>
    <row r="1447" spans="1:2" x14ac:dyDescent="0.25">
      <c r="A1447" s="67"/>
      <c r="B1447" s="67"/>
    </row>
    <row r="1448" spans="1:2" x14ac:dyDescent="0.25">
      <c r="A1448" s="67"/>
      <c r="B1448" s="67"/>
    </row>
    <row r="1449" spans="1:2" x14ac:dyDescent="0.25">
      <c r="A1449" s="67"/>
      <c r="B1449" s="67"/>
    </row>
    <row r="1450" spans="1:2" x14ac:dyDescent="0.25">
      <c r="A1450" s="67"/>
      <c r="B1450" s="67"/>
    </row>
    <row r="1451" spans="1:2" x14ac:dyDescent="0.25">
      <c r="A1451" s="67"/>
      <c r="B1451" s="67"/>
    </row>
    <row r="1452" spans="1:2" x14ac:dyDescent="0.25">
      <c r="A1452" s="67"/>
      <c r="B1452" s="67"/>
    </row>
    <row r="1453" spans="1:2" x14ac:dyDescent="0.25">
      <c r="A1453" s="67"/>
      <c r="B1453" s="67"/>
    </row>
    <row r="1454" spans="1:2" x14ac:dyDescent="0.25">
      <c r="A1454" s="67"/>
      <c r="B1454" s="67"/>
    </row>
    <row r="1455" spans="1:2" x14ac:dyDescent="0.25">
      <c r="A1455" s="67"/>
      <c r="B1455" s="67"/>
    </row>
    <row r="1456" spans="1:2" x14ac:dyDescent="0.25">
      <c r="A1456" s="67"/>
      <c r="B1456" s="67"/>
    </row>
    <row r="1457" spans="1:2" x14ac:dyDescent="0.25">
      <c r="A1457" s="67"/>
      <c r="B1457" s="67"/>
    </row>
    <row r="1458" spans="1:2" x14ac:dyDescent="0.25">
      <c r="A1458" s="67"/>
      <c r="B1458" s="67"/>
    </row>
    <row r="1459" spans="1:2" x14ac:dyDescent="0.25">
      <c r="A1459" s="67"/>
      <c r="B1459" s="67"/>
    </row>
    <row r="1460" spans="1:2" x14ac:dyDescent="0.25">
      <c r="A1460" s="67"/>
      <c r="B1460" s="67"/>
    </row>
    <row r="1461" spans="1:2" x14ac:dyDescent="0.25">
      <c r="A1461" s="67"/>
      <c r="B1461" s="67"/>
    </row>
    <row r="1462" spans="1:2" x14ac:dyDescent="0.25">
      <c r="A1462" s="67"/>
      <c r="B1462" s="67"/>
    </row>
    <row r="1463" spans="1:2" x14ac:dyDescent="0.25">
      <c r="A1463" s="67"/>
      <c r="B1463" s="67"/>
    </row>
    <row r="1464" spans="1:2" x14ac:dyDescent="0.25">
      <c r="A1464" s="67"/>
      <c r="B1464" s="67"/>
    </row>
    <row r="1465" spans="1:2" x14ac:dyDescent="0.25">
      <c r="A1465" s="67"/>
      <c r="B1465" s="67"/>
    </row>
    <row r="1466" spans="1:2" x14ac:dyDescent="0.25">
      <c r="A1466" s="67"/>
      <c r="B1466" s="67"/>
    </row>
    <row r="1467" spans="1:2" x14ac:dyDescent="0.25">
      <c r="A1467" s="67"/>
      <c r="B1467" s="67"/>
    </row>
    <row r="1468" spans="1:2" x14ac:dyDescent="0.25">
      <c r="A1468" s="67"/>
      <c r="B1468" s="67"/>
    </row>
    <row r="1469" spans="1:2" x14ac:dyDescent="0.25">
      <c r="A1469" s="67"/>
      <c r="B1469" s="67"/>
    </row>
    <row r="1470" spans="1:2" x14ac:dyDescent="0.25">
      <c r="A1470" s="67"/>
      <c r="B1470" s="67"/>
    </row>
    <row r="1471" spans="1:2" x14ac:dyDescent="0.25">
      <c r="A1471" s="67"/>
      <c r="B1471" s="67"/>
    </row>
    <row r="1472" spans="1:2" x14ac:dyDescent="0.25">
      <c r="A1472" s="67"/>
      <c r="B1472" s="67"/>
    </row>
    <row r="1473" spans="1:2" x14ac:dyDescent="0.25">
      <c r="A1473" s="67"/>
      <c r="B1473" s="67"/>
    </row>
    <row r="1474" spans="1:2" x14ac:dyDescent="0.25">
      <c r="A1474" s="67"/>
      <c r="B1474" s="67"/>
    </row>
    <row r="1475" spans="1:2" x14ac:dyDescent="0.25">
      <c r="A1475" s="67"/>
      <c r="B1475" s="67"/>
    </row>
    <row r="1476" spans="1:2" x14ac:dyDescent="0.25">
      <c r="A1476" s="67"/>
      <c r="B1476" s="67"/>
    </row>
    <row r="1477" spans="1:2" x14ac:dyDescent="0.25">
      <c r="A1477" s="67"/>
      <c r="B1477" s="67"/>
    </row>
    <row r="1478" spans="1:2" x14ac:dyDescent="0.25">
      <c r="A1478" s="67"/>
      <c r="B1478" s="67"/>
    </row>
    <row r="1479" spans="1:2" x14ac:dyDescent="0.25">
      <c r="A1479" s="67"/>
      <c r="B1479" s="67"/>
    </row>
    <row r="1480" spans="1:2" x14ac:dyDescent="0.25">
      <c r="A1480" s="67"/>
      <c r="B1480" s="67"/>
    </row>
    <row r="1481" spans="1:2" x14ac:dyDescent="0.25">
      <c r="A1481" s="67"/>
      <c r="B1481" s="67"/>
    </row>
    <row r="1482" spans="1:2" x14ac:dyDescent="0.25">
      <c r="A1482" s="67"/>
      <c r="B1482" s="67"/>
    </row>
    <row r="1483" spans="1:2" x14ac:dyDescent="0.25">
      <c r="A1483" s="67"/>
      <c r="B1483" s="67"/>
    </row>
    <row r="1484" spans="1:2" x14ac:dyDescent="0.25">
      <c r="A1484" s="67"/>
      <c r="B1484" s="67"/>
    </row>
    <row r="1485" spans="1:2" x14ac:dyDescent="0.25">
      <c r="A1485" s="67"/>
      <c r="B1485" s="67"/>
    </row>
    <row r="1486" spans="1:2" x14ac:dyDescent="0.25">
      <c r="A1486" s="67"/>
      <c r="B1486" s="67"/>
    </row>
    <row r="1487" spans="1:2" x14ac:dyDescent="0.25">
      <c r="A1487" s="67"/>
      <c r="B1487" s="67"/>
    </row>
    <row r="1488" spans="1:2" x14ac:dyDescent="0.25">
      <c r="A1488" s="67"/>
      <c r="B1488" s="67"/>
    </row>
    <row r="1489" spans="1:2" x14ac:dyDescent="0.25">
      <c r="A1489" s="67"/>
      <c r="B1489" s="67"/>
    </row>
    <row r="1490" spans="1:2" x14ac:dyDescent="0.25">
      <c r="A1490" s="67"/>
      <c r="B1490" s="67"/>
    </row>
    <row r="1491" spans="1:2" x14ac:dyDescent="0.25">
      <c r="A1491" s="67"/>
      <c r="B1491" s="67"/>
    </row>
    <row r="1492" spans="1:2" x14ac:dyDescent="0.25">
      <c r="A1492" s="67"/>
      <c r="B1492" s="67"/>
    </row>
    <row r="1493" spans="1:2" x14ac:dyDescent="0.25">
      <c r="A1493" s="67"/>
      <c r="B1493" s="67"/>
    </row>
    <row r="1494" spans="1:2" x14ac:dyDescent="0.25">
      <c r="A1494" s="67"/>
      <c r="B1494" s="67"/>
    </row>
    <row r="1495" spans="1:2" x14ac:dyDescent="0.25">
      <c r="A1495" s="67"/>
      <c r="B1495" s="67"/>
    </row>
    <row r="1496" spans="1:2" x14ac:dyDescent="0.25">
      <c r="A1496" s="67"/>
      <c r="B1496" s="67"/>
    </row>
    <row r="1497" spans="1:2" x14ac:dyDescent="0.25">
      <c r="A1497" s="67"/>
      <c r="B1497" s="67"/>
    </row>
    <row r="1498" spans="1:2" x14ac:dyDescent="0.25">
      <c r="A1498" s="67"/>
      <c r="B1498" s="67"/>
    </row>
    <row r="1499" spans="1:2" x14ac:dyDescent="0.25">
      <c r="A1499" s="67"/>
      <c r="B1499" s="67"/>
    </row>
    <row r="1500" spans="1:2" x14ac:dyDescent="0.25">
      <c r="A1500" s="67"/>
      <c r="B1500" s="67"/>
    </row>
    <row r="1501" spans="1:2" x14ac:dyDescent="0.25">
      <c r="A1501" s="67"/>
      <c r="B1501" s="67"/>
    </row>
    <row r="1502" spans="1:2" x14ac:dyDescent="0.25">
      <c r="A1502" s="67"/>
      <c r="B1502" s="67"/>
    </row>
    <row r="1503" spans="1:2" x14ac:dyDescent="0.25">
      <c r="A1503" s="67"/>
      <c r="B1503" s="67"/>
    </row>
    <row r="1504" spans="1:2" x14ac:dyDescent="0.25">
      <c r="A1504" s="67"/>
      <c r="B1504" s="67"/>
    </row>
    <row r="1505" spans="1:2" x14ac:dyDescent="0.25">
      <c r="A1505" s="67"/>
      <c r="B1505" s="67"/>
    </row>
    <row r="1506" spans="1:2" x14ac:dyDescent="0.25">
      <c r="A1506" s="67"/>
      <c r="B1506" s="67"/>
    </row>
    <row r="1507" spans="1:2" x14ac:dyDescent="0.25">
      <c r="A1507" s="67"/>
      <c r="B1507" s="67"/>
    </row>
    <row r="1508" spans="1:2" x14ac:dyDescent="0.25">
      <c r="A1508" s="67"/>
      <c r="B1508" s="67"/>
    </row>
    <row r="1509" spans="1:2" x14ac:dyDescent="0.25">
      <c r="A1509" s="67"/>
      <c r="B1509" s="67"/>
    </row>
    <row r="1510" spans="1:2" x14ac:dyDescent="0.25">
      <c r="A1510" s="67"/>
      <c r="B1510" s="67"/>
    </row>
    <row r="1511" spans="1:2" x14ac:dyDescent="0.25">
      <c r="A1511" s="67"/>
      <c r="B1511" s="67"/>
    </row>
    <row r="1512" spans="1:2" x14ac:dyDescent="0.25">
      <c r="A1512" s="67"/>
      <c r="B1512" s="67"/>
    </row>
    <row r="1513" spans="1:2" x14ac:dyDescent="0.25">
      <c r="A1513" s="67"/>
      <c r="B1513" s="67"/>
    </row>
    <row r="1514" spans="1:2" x14ac:dyDescent="0.25">
      <c r="A1514" s="67"/>
      <c r="B1514" s="67"/>
    </row>
    <row r="1515" spans="1:2" x14ac:dyDescent="0.25">
      <c r="A1515" s="67"/>
      <c r="B1515" s="67"/>
    </row>
    <row r="1516" spans="1:2" x14ac:dyDescent="0.25">
      <c r="A1516" s="67"/>
      <c r="B1516" s="67"/>
    </row>
    <row r="1517" spans="1:2" x14ac:dyDescent="0.25">
      <c r="A1517" s="67"/>
      <c r="B1517" s="67"/>
    </row>
    <row r="1518" spans="1:2" x14ac:dyDescent="0.25">
      <c r="A1518" s="67"/>
      <c r="B1518" s="67"/>
    </row>
    <row r="1519" spans="1:2" x14ac:dyDescent="0.25">
      <c r="A1519" s="67"/>
      <c r="B1519" s="67"/>
    </row>
    <row r="1520" spans="1:2" x14ac:dyDescent="0.25">
      <c r="A1520" s="67"/>
      <c r="B1520" s="67"/>
    </row>
    <row r="1521" spans="1:2" x14ac:dyDescent="0.25">
      <c r="A1521" s="67"/>
      <c r="B1521" s="67"/>
    </row>
    <row r="1522" spans="1:2" x14ac:dyDescent="0.25">
      <c r="A1522" s="67"/>
      <c r="B1522" s="67"/>
    </row>
    <row r="1523" spans="1:2" x14ac:dyDescent="0.25">
      <c r="A1523" s="67"/>
      <c r="B1523" s="67"/>
    </row>
    <row r="1524" spans="1:2" x14ac:dyDescent="0.25">
      <c r="A1524" s="67"/>
      <c r="B1524" s="67"/>
    </row>
    <row r="1525" spans="1:2" x14ac:dyDescent="0.25">
      <c r="A1525" s="67"/>
      <c r="B1525" s="67"/>
    </row>
    <row r="1526" spans="1:2" x14ac:dyDescent="0.25">
      <c r="A1526" s="67"/>
      <c r="B1526" s="67"/>
    </row>
    <row r="1527" spans="1:2" x14ac:dyDescent="0.25">
      <c r="A1527" s="67"/>
      <c r="B1527" s="67"/>
    </row>
    <row r="1528" spans="1:2" x14ac:dyDescent="0.25">
      <c r="A1528" s="67"/>
      <c r="B1528" s="67"/>
    </row>
    <row r="1529" spans="1:2" x14ac:dyDescent="0.25">
      <c r="A1529" s="67"/>
      <c r="B1529" s="67"/>
    </row>
    <row r="1530" spans="1:2" x14ac:dyDescent="0.25">
      <c r="A1530" s="67"/>
      <c r="B1530" s="67"/>
    </row>
    <row r="1531" spans="1:2" x14ac:dyDescent="0.25">
      <c r="A1531" s="67"/>
      <c r="B1531" s="67"/>
    </row>
    <row r="1532" spans="1:2" x14ac:dyDescent="0.25">
      <c r="A1532" s="67"/>
      <c r="B1532" s="67"/>
    </row>
    <row r="1533" spans="1:2" x14ac:dyDescent="0.25">
      <c r="A1533" s="67"/>
      <c r="B1533" s="67"/>
    </row>
    <row r="1534" spans="1:2" x14ac:dyDescent="0.25">
      <c r="A1534" s="67"/>
      <c r="B1534" s="67"/>
    </row>
    <row r="1535" spans="1:2" x14ac:dyDescent="0.25">
      <c r="A1535" s="67"/>
      <c r="B1535" s="67"/>
    </row>
    <row r="1536" spans="1:2" x14ac:dyDescent="0.25">
      <c r="A1536" s="67"/>
      <c r="B1536" s="67"/>
    </row>
    <row r="1537" spans="1:2" x14ac:dyDescent="0.25">
      <c r="A1537" s="67"/>
      <c r="B1537" s="67"/>
    </row>
    <row r="1538" spans="1:2" x14ac:dyDescent="0.25">
      <c r="A1538" s="67"/>
      <c r="B1538" s="67"/>
    </row>
    <row r="1539" spans="1:2" x14ac:dyDescent="0.25">
      <c r="A1539" s="67"/>
      <c r="B1539" s="67"/>
    </row>
    <row r="1540" spans="1:2" x14ac:dyDescent="0.25">
      <c r="A1540" s="67"/>
      <c r="B1540" s="67"/>
    </row>
    <row r="1541" spans="1:2" x14ac:dyDescent="0.25">
      <c r="A1541" s="67"/>
      <c r="B1541" s="67"/>
    </row>
    <row r="1542" spans="1:2" x14ac:dyDescent="0.25">
      <c r="A1542" s="67"/>
      <c r="B1542" s="67"/>
    </row>
    <row r="1543" spans="1:2" x14ac:dyDescent="0.25">
      <c r="A1543" s="67"/>
      <c r="B1543" s="67"/>
    </row>
    <row r="1544" spans="1:2" x14ac:dyDescent="0.25">
      <c r="A1544" s="67"/>
      <c r="B1544" s="67"/>
    </row>
    <row r="1545" spans="1:2" x14ac:dyDescent="0.25">
      <c r="A1545" s="67"/>
      <c r="B1545" s="67"/>
    </row>
    <row r="1546" spans="1:2" x14ac:dyDescent="0.25">
      <c r="A1546" s="67"/>
      <c r="B1546" s="67"/>
    </row>
    <row r="1547" spans="1:2" x14ac:dyDescent="0.25">
      <c r="A1547" s="67"/>
      <c r="B1547" s="67"/>
    </row>
    <row r="1548" spans="1:2" x14ac:dyDescent="0.25">
      <c r="A1548" s="67"/>
      <c r="B1548" s="67"/>
    </row>
    <row r="1549" spans="1:2" x14ac:dyDescent="0.25">
      <c r="A1549" s="67"/>
      <c r="B1549" s="67"/>
    </row>
    <row r="1550" spans="1:2" x14ac:dyDescent="0.25">
      <c r="A1550" s="67"/>
      <c r="B1550" s="67"/>
    </row>
    <row r="1551" spans="1:2" x14ac:dyDescent="0.25">
      <c r="A1551" s="67"/>
      <c r="B1551" s="67"/>
    </row>
    <row r="1552" spans="1:2" x14ac:dyDescent="0.25">
      <c r="A1552" s="67"/>
      <c r="B1552" s="67"/>
    </row>
    <row r="1553" spans="1:2" x14ac:dyDescent="0.25">
      <c r="A1553" s="67"/>
      <c r="B1553" s="67"/>
    </row>
    <row r="1554" spans="1:2" x14ac:dyDescent="0.25">
      <c r="A1554" s="67"/>
      <c r="B1554" s="67"/>
    </row>
    <row r="1555" spans="1:2" x14ac:dyDescent="0.25">
      <c r="A1555" s="67"/>
      <c r="B1555" s="67"/>
    </row>
    <row r="1556" spans="1:2" x14ac:dyDescent="0.25">
      <c r="A1556" s="67"/>
      <c r="B1556" s="67"/>
    </row>
    <row r="1557" spans="1:2" x14ac:dyDescent="0.25">
      <c r="A1557" s="67"/>
      <c r="B1557" s="67"/>
    </row>
    <row r="1558" spans="1:2" x14ac:dyDescent="0.25">
      <c r="A1558" s="67"/>
      <c r="B1558" s="67"/>
    </row>
    <row r="1559" spans="1:2" x14ac:dyDescent="0.25">
      <c r="A1559" s="67"/>
      <c r="B1559" s="67"/>
    </row>
    <row r="1560" spans="1:2" x14ac:dyDescent="0.25">
      <c r="A1560" s="67"/>
      <c r="B1560" s="67"/>
    </row>
    <row r="1561" spans="1:2" x14ac:dyDescent="0.25">
      <c r="A1561" s="67"/>
      <c r="B1561" s="67"/>
    </row>
    <row r="1562" spans="1:2" x14ac:dyDescent="0.25">
      <c r="A1562" s="67"/>
      <c r="B1562" s="67"/>
    </row>
    <row r="1563" spans="1:2" x14ac:dyDescent="0.25">
      <c r="A1563" s="67"/>
      <c r="B1563" s="67"/>
    </row>
    <row r="1564" spans="1:2" x14ac:dyDescent="0.25">
      <c r="A1564" s="67"/>
      <c r="B1564" s="67"/>
    </row>
    <row r="1565" spans="1:2" x14ac:dyDescent="0.25">
      <c r="A1565" s="67"/>
      <c r="B1565" s="67"/>
    </row>
    <row r="1566" spans="1:2" x14ac:dyDescent="0.25">
      <c r="A1566" s="67"/>
      <c r="B1566" s="67"/>
    </row>
    <row r="1567" spans="1:2" x14ac:dyDescent="0.25">
      <c r="A1567" s="67"/>
      <c r="B1567" s="67"/>
    </row>
    <row r="1568" spans="1:2" x14ac:dyDescent="0.25">
      <c r="A1568" s="67"/>
      <c r="B1568" s="67"/>
    </row>
    <row r="1569" spans="1:2" x14ac:dyDescent="0.25">
      <c r="A1569" s="67"/>
      <c r="B1569" s="67"/>
    </row>
    <row r="1570" spans="1:2" x14ac:dyDescent="0.25">
      <c r="A1570" s="67"/>
      <c r="B1570" s="67"/>
    </row>
    <row r="1571" spans="1:2" x14ac:dyDescent="0.25">
      <c r="A1571" s="67"/>
      <c r="B1571" s="67"/>
    </row>
    <row r="1572" spans="1:2" x14ac:dyDescent="0.25">
      <c r="A1572" s="67"/>
      <c r="B1572" s="67"/>
    </row>
    <row r="1573" spans="1:2" x14ac:dyDescent="0.25">
      <c r="A1573" s="67"/>
      <c r="B1573" s="67"/>
    </row>
    <row r="1574" spans="1:2" x14ac:dyDescent="0.25">
      <c r="A1574" s="67"/>
      <c r="B1574" s="67"/>
    </row>
    <row r="1575" spans="1:2" x14ac:dyDescent="0.25">
      <c r="A1575" s="67"/>
      <c r="B1575" s="67"/>
    </row>
    <row r="1576" spans="1:2" x14ac:dyDescent="0.25">
      <c r="A1576" s="67"/>
      <c r="B1576" s="67"/>
    </row>
    <row r="1577" spans="1:2" x14ac:dyDescent="0.25">
      <c r="A1577" s="67"/>
      <c r="B1577" s="67"/>
    </row>
    <row r="1578" spans="1:2" x14ac:dyDescent="0.25">
      <c r="A1578" s="67"/>
      <c r="B1578" s="67"/>
    </row>
    <row r="1579" spans="1:2" x14ac:dyDescent="0.25">
      <c r="A1579" s="67"/>
      <c r="B1579" s="67"/>
    </row>
    <row r="1580" spans="1:2" x14ac:dyDescent="0.25">
      <c r="A1580" s="67"/>
      <c r="B1580" s="67"/>
    </row>
    <row r="1581" spans="1:2" x14ac:dyDescent="0.25">
      <c r="A1581" s="67"/>
      <c r="B1581" s="67"/>
    </row>
    <row r="1582" spans="1:2" x14ac:dyDescent="0.25">
      <c r="A1582" s="67"/>
      <c r="B1582" s="67"/>
    </row>
    <row r="1583" spans="1:2" x14ac:dyDescent="0.25">
      <c r="A1583" s="67"/>
      <c r="B1583" s="67"/>
    </row>
    <row r="1584" spans="1:2" x14ac:dyDescent="0.25">
      <c r="A1584" s="67"/>
      <c r="B1584" s="67"/>
    </row>
    <row r="1585" spans="1:2" x14ac:dyDescent="0.25">
      <c r="A1585" s="67"/>
      <c r="B1585" s="67"/>
    </row>
    <row r="1586" spans="1:2" x14ac:dyDescent="0.25">
      <c r="A1586" s="67"/>
      <c r="B1586" s="67"/>
    </row>
    <row r="1587" spans="1:2" x14ac:dyDescent="0.25">
      <c r="A1587" s="67"/>
      <c r="B1587" s="67"/>
    </row>
    <row r="1588" spans="1:2" x14ac:dyDescent="0.25">
      <c r="A1588" s="67"/>
      <c r="B1588" s="67"/>
    </row>
    <row r="1589" spans="1:2" x14ac:dyDescent="0.25">
      <c r="A1589" s="67"/>
      <c r="B1589" s="67"/>
    </row>
    <row r="1590" spans="1:2" x14ac:dyDescent="0.25">
      <c r="A1590" s="67"/>
      <c r="B1590" s="67"/>
    </row>
    <row r="1591" spans="1:2" x14ac:dyDescent="0.25">
      <c r="A1591" s="67"/>
      <c r="B1591" s="67"/>
    </row>
    <row r="1592" spans="1:2" x14ac:dyDescent="0.25">
      <c r="A1592" s="67"/>
      <c r="B1592" s="67"/>
    </row>
    <row r="1593" spans="1:2" x14ac:dyDescent="0.25">
      <c r="A1593" s="67"/>
      <c r="B1593" s="67"/>
    </row>
    <row r="1594" spans="1:2" x14ac:dyDescent="0.25">
      <c r="A1594" s="67"/>
      <c r="B1594" s="67"/>
    </row>
    <row r="1595" spans="1:2" x14ac:dyDescent="0.25">
      <c r="A1595" s="67"/>
      <c r="B1595" s="67"/>
    </row>
    <row r="1596" spans="1:2" x14ac:dyDescent="0.25">
      <c r="A1596" s="67"/>
      <c r="B1596" s="67"/>
    </row>
    <row r="1597" spans="1:2" x14ac:dyDescent="0.25">
      <c r="A1597" s="67"/>
      <c r="B1597" s="67"/>
    </row>
    <row r="1598" spans="1:2" x14ac:dyDescent="0.25">
      <c r="A1598" s="67"/>
      <c r="B1598" s="67"/>
    </row>
    <row r="1599" spans="1:2" x14ac:dyDescent="0.25">
      <c r="A1599" s="67"/>
      <c r="B1599" s="67"/>
    </row>
    <row r="1600" spans="1:2" x14ac:dyDescent="0.25">
      <c r="A1600" s="67"/>
      <c r="B1600" s="67"/>
    </row>
    <row r="1601" spans="1:2" x14ac:dyDescent="0.25">
      <c r="A1601" s="67"/>
      <c r="B1601" s="67"/>
    </row>
    <row r="1602" spans="1:2" x14ac:dyDescent="0.25">
      <c r="A1602" s="67"/>
      <c r="B1602" s="67"/>
    </row>
    <row r="1603" spans="1:2" x14ac:dyDescent="0.25">
      <c r="A1603" s="67"/>
      <c r="B1603" s="67"/>
    </row>
    <row r="1604" spans="1:2" x14ac:dyDescent="0.25">
      <c r="A1604" s="67"/>
      <c r="B1604" s="67"/>
    </row>
    <row r="1605" spans="1:2" x14ac:dyDescent="0.25">
      <c r="A1605" s="67"/>
      <c r="B1605" s="67"/>
    </row>
    <row r="1606" spans="1:2" x14ac:dyDescent="0.25">
      <c r="A1606" s="67"/>
      <c r="B1606" s="67"/>
    </row>
    <row r="1607" spans="1:2" x14ac:dyDescent="0.25">
      <c r="A1607" s="67"/>
      <c r="B1607" s="67"/>
    </row>
    <row r="1608" spans="1:2" x14ac:dyDescent="0.25">
      <c r="A1608" s="67"/>
      <c r="B1608" s="67"/>
    </row>
    <row r="1609" spans="1:2" x14ac:dyDescent="0.25">
      <c r="A1609" s="67"/>
      <c r="B1609" s="67"/>
    </row>
    <row r="1610" spans="1:2" x14ac:dyDescent="0.25">
      <c r="A1610" s="67"/>
      <c r="B1610" s="67"/>
    </row>
    <row r="1611" spans="1:2" x14ac:dyDescent="0.25">
      <c r="A1611" s="67"/>
      <c r="B1611" s="67"/>
    </row>
    <row r="1612" spans="1:2" x14ac:dyDescent="0.25">
      <c r="A1612" s="67"/>
      <c r="B1612" s="67"/>
    </row>
    <row r="1613" spans="1:2" x14ac:dyDescent="0.25">
      <c r="A1613" s="67"/>
      <c r="B1613" s="67"/>
    </row>
    <row r="1614" spans="1:2" x14ac:dyDescent="0.25">
      <c r="A1614" s="67"/>
      <c r="B1614" s="67"/>
    </row>
    <row r="1615" spans="1:2" x14ac:dyDescent="0.25">
      <c r="A1615" s="67"/>
      <c r="B1615" s="67"/>
    </row>
    <row r="1616" spans="1:2" x14ac:dyDescent="0.25">
      <c r="A1616" s="67"/>
      <c r="B1616" s="67"/>
    </row>
    <row r="1617" spans="1:2" x14ac:dyDescent="0.25">
      <c r="A1617" s="67"/>
      <c r="B1617" s="67"/>
    </row>
    <row r="1618" spans="1:2" x14ac:dyDescent="0.25">
      <c r="A1618" s="67"/>
      <c r="B1618" s="67"/>
    </row>
    <row r="1619" spans="1:2" x14ac:dyDescent="0.25">
      <c r="A1619" s="67"/>
      <c r="B1619" s="67"/>
    </row>
    <row r="1620" spans="1:2" x14ac:dyDescent="0.25">
      <c r="A1620" s="67"/>
      <c r="B1620" s="67"/>
    </row>
    <row r="1621" spans="1:2" x14ac:dyDescent="0.25">
      <c r="A1621" s="67"/>
      <c r="B1621" s="67"/>
    </row>
    <row r="1622" spans="1:2" x14ac:dyDescent="0.25">
      <c r="A1622" s="67"/>
      <c r="B1622" s="67"/>
    </row>
    <row r="1623" spans="1:2" x14ac:dyDescent="0.25">
      <c r="A1623" s="67"/>
      <c r="B1623" s="67"/>
    </row>
    <row r="1624" spans="1:2" x14ac:dyDescent="0.25">
      <c r="A1624" s="67"/>
      <c r="B1624" s="67"/>
    </row>
    <row r="1625" spans="1:2" x14ac:dyDescent="0.25">
      <c r="A1625" s="67"/>
      <c r="B1625" s="67"/>
    </row>
    <row r="1626" spans="1:2" x14ac:dyDescent="0.25">
      <c r="A1626" s="67"/>
      <c r="B1626" s="67"/>
    </row>
    <row r="1627" spans="1:2" x14ac:dyDescent="0.25">
      <c r="A1627" s="67"/>
      <c r="B1627" s="67"/>
    </row>
    <row r="1628" spans="1:2" x14ac:dyDescent="0.25">
      <c r="A1628" s="67"/>
      <c r="B1628" s="67"/>
    </row>
    <row r="1629" spans="1:2" x14ac:dyDescent="0.25">
      <c r="A1629" s="67"/>
      <c r="B1629" s="67"/>
    </row>
    <row r="1630" spans="1:2" x14ac:dyDescent="0.25">
      <c r="A1630" s="67"/>
      <c r="B1630" s="67"/>
    </row>
    <row r="1631" spans="1:2" x14ac:dyDescent="0.25">
      <c r="A1631" s="67"/>
      <c r="B1631" s="67"/>
    </row>
    <row r="1632" spans="1:2" x14ac:dyDescent="0.25">
      <c r="A1632" s="67"/>
      <c r="B1632" s="67"/>
    </row>
    <row r="1633" spans="1:2" x14ac:dyDescent="0.25">
      <c r="A1633" s="67"/>
      <c r="B1633" s="67"/>
    </row>
    <row r="1634" spans="1:2" x14ac:dyDescent="0.25">
      <c r="A1634" s="67"/>
      <c r="B1634" s="67"/>
    </row>
    <row r="1635" spans="1:2" x14ac:dyDescent="0.25">
      <c r="A1635" s="67"/>
      <c r="B1635" s="67"/>
    </row>
    <row r="1636" spans="1:2" x14ac:dyDescent="0.25">
      <c r="A1636" s="67"/>
      <c r="B1636" s="67"/>
    </row>
    <row r="1637" spans="1:2" x14ac:dyDescent="0.25">
      <c r="A1637" s="67"/>
      <c r="B1637" s="67"/>
    </row>
    <row r="1638" spans="1:2" x14ac:dyDescent="0.25">
      <c r="A1638" s="67"/>
      <c r="B1638" s="67"/>
    </row>
    <row r="1639" spans="1:2" x14ac:dyDescent="0.25">
      <c r="A1639" s="67"/>
      <c r="B1639" s="67"/>
    </row>
    <row r="1640" spans="1:2" x14ac:dyDescent="0.25">
      <c r="A1640" s="67"/>
      <c r="B1640" s="67"/>
    </row>
    <row r="1641" spans="1:2" x14ac:dyDescent="0.25">
      <c r="A1641" s="67"/>
      <c r="B1641" s="67"/>
    </row>
    <row r="1642" spans="1:2" x14ac:dyDescent="0.25">
      <c r="A1642" s="67"/>
      <c r="B1642" s="67"/>
    </row>
    <row r="1643" spans="1:2" x14ac:dyDescent="0.25">
      <c r="A1643" s="67"/>
      <c r="B1643" s="67"/>
    </row>
    <row r="1644" spans="1:2" x14ac:dyDescent="0.25">
      <c r="A1644" s="67"/>
      <c r="B1644" s="67"/>
    </row>
    <row r="1645" spans="1:2" x14ac:dyDescent="0.25">
      <c r="A1645" s="67"/>
      <c r="B1645" s="67"/>
    </row>
    <row r="1646" spans="1:2" x14ac:dyDescent="0.25">
      <c r="A1646" s="67"/>
      <c r="B1646" s="67"/>
    </row>
    <row r="1647" spans="1:2" x14ac:dyDescent="0.25">
      <c r="A1647" s="67"/>
      <c r="B1647" s="67"/>
    </row>
    <row r="1648" spans="1:2" x14ac:dyDescent="0.25">
      <c r="A1648" s="67"/>
      <c r="B1648" s="67"/>
    </row>
    <row r="1649" spans="1:2" x14ac:dyDescent="0.25">
      <c r="A1649" s="67"/>
      <c r="B1649" s="67"/>
    </row>
    <row r="1650" spans="1:2" x14ac:dyDescent="0.25">
      <c r="A1650" s="67"/>
      <c r="B1650" s="67"/>
    </row>
    <row r="1651" spans="1:2" x14ac:dyDescent="0.25">
      <c r="A1651" s="67"/>
      <c r="B1651" s="67"/>
    </row>
    <row r="1652" spans="1:2" x14ac:dyDescent="0.25">
      <c r="A1652" s="67"/>
      <c r="B1652" s="67"/>
    </row>
    <row r="1653" spans="1:2" x14ac:dyDescent="0.25">
      <c r="A1653" s="67"/>
      <c r="B1653" s="67"/>
    </row>
    <row r="1654" spans="1:2" x14ac:dyDescent="0.25">
      <c r="A1654" s="67"/>
      <c r="B1654" s="67"/>
    </row>
    <row r="1655" spans="1:2" x14ac:dyDescent="0.25">
      <c r="A1655" s="67"/>
      <c r="B1655" s="67"/>
    </row>
    <row r="1656" spans="1:2" x14ac:dyDescent="0.25">
      <c r="A1656" s="67"/>
      <c r="B1656" s="67"/>
    </row>
    <row r="1657" spans="1:2" x14ac:dyDescent="0.25">
      <c r="A1657" s="67"/>
      <c r="B1657" s="67"/>
    </row>
    <row r="1658" spans="1:2" x14ac:dyDescent="0.25">
      <c r="A1658" s="67"/>
      <c r="B1658" s="67"/>
    </row>
    <row r="1659" spans="1:2" x14ac:dyDescent="0.25">
      <c r="A1659" s="67"/>
      <c r="B1659" s="67"/>
    </row>
    <row r="1660" spans="1:2" x14ac:dyDescent="0.25">
      <c r="A1660" s="67"/>
      <c r="B1660" s="67"/>
    </row>
    <row r="1661" spans="1:2" x14ac:dyDescent="0.25">
      <c r="A1661" s="67"/>
      <c r="B1661" s="67"/>
    </row>
    <row r="1662" spans="1:2" x14ac:dyDescent="0.25">
      <c r="A1662" s="67"/>
      <c r="B1662" s="67"/>
    </row>
    <row r="1663" spans="1:2" x14ac:dyDescent="0.25">
      <c r="A1663" s="67"/>
      <c r="B1663" s="67"/>
    </row>
    <row r="1664" spans="1:2" x14ac:dyDescent="0.25">
      <c r="A1664" s="67"/>
      <c r="B1664" s="67"/>
    </row>
    <row r="1665" spans="1:2" x14ac:dyDescent="0.25">
      <c r="A1665" s="67"/>
      <c r="B1665" s="67"/>
    </row>
    <row r="1666" spans="1:2" x14ac:dyDescent="0.25">
      <c r="A1666" s="67"/>
      <c r="B1666" s="67"/>
    </row>
    <row r="1667" spans="1:2" x14ac:dyDescent="0.25">
      <c r="A1667" s="67"/>
      <c r="B1667" s="67"/>
    </row>
    <row r="1668" spans="1:2" x14ac:dyDescent="0.25">
      <c r="A1668" s="67"/>
      <c r="B1668" s="67"/>
    </row>
    <row r="1669" spans="1:2" x14ac:dyDescent="0.25">
      <c r="A1669" s="67"/>
      <c r="B1669" s="67"/>
    </row>
    <row r="1670" spans="1:2" x14ac:dyDescent="0.25">
      <c r="A1670" s="67"/>
      <c r="B1670" s="67"/>
    </row>
    <row r="1671" spans="1:2" x14ac:dyDescent="0.25">
      <c r="A1671" s="67"/>
      <c r="B1671" s="67"/>
    </row>
    <row r="1672" spans="1:2" x14ac:dyDescent="0.25">
      <c r="A1672" s="67"/>
      <c r="B1672" s="67"/>
    </row>
    <row r="1673" spans="1:2" x14ac:dyDescent="0.25">
      <c r="A1673" s="67"/>
      <c r="B1673" s="67"/>
    </row>
    <row r="1674" spans="1:2" x14ac:dyDescent="0.25">
      <c r="A1674" s="67"/>
      <c r="B1674" s="67"/>
    </row>
    <row r="1675" spans="1:2" x14ac:dyDescent="0.25">
      <c r="A1675" s="67"/>
      <c r="B1675" s="67"/>
    </row>
    <row r="1676" spans="1:2" x14ac:dyDescent="0.25">
      <c r="A1676" s="67"/>
      <c r="B1676" s="67"/>
    </row>
    <row r="1677" spans="1:2" x14ac:dyDescent="0.25">
      <c r="A1677" s="67"/>
      <c r="B1677" s="67"/>
    </row>
    <row r="1678" spans="1:2" x14ac:dyDescent="0.25">
      <c r="A1678" s="67"/>
      <c r="B1678" s="67"/>
    </row>
    <row r="1679" spans="1:2" x14ac:dyDescent="0.25">
      <c r="A1679" s="67"/>
      <c r="B1679" s="67"/>
    </row>
    <row r="1680" spans="1:2" x14ac:dyDescent="0.25">
      <c r="A1680" s="67"/>
      <c r="B1680" s="67"/>
    </row>
    <row r="1681" spans="1:2" x14ac:dyDescent="0.25">
      <c r="A1681" s="67"/>
      <c r="B1681" s="67"/>
    </row>
    <row r="1682" spans="1:2" x14ac:dyDescent="0.25">
      <c r="A1682" s="67"/>
      <c r="B1682" s="67"/>
    </row>
    <row r="1683" spans="1:2" x14ac:dyDescent="0.25">
      <c r="A1683" s="67"/>
      <c r="B1683" s="67"/>
    </row>
    <row r="1684" spans="1:2" x14ac:dyDescent="0.25">
      <c r="A1684" s="67"/>
      <c r="B1684" s="67"/>
    </row>
    <row r="1685" spans="1:2" x14ac:dyDescent="0.25">
      <c r="A1685" s="67"/>
      <c r="B1685" s="67"/>
    </row>
    <row r="1686" spans="1:2" x14ac:dyDescent="0.25">
      <c r="A1686" s="67"/>
      <c r="B1686" s="67"/>
    </row>
    <row r="1687" spans="1:2" x14ac:dyDescent="0.25">
      <c r="A1687" s="67"/>
      <c r="B1687" s="67"/>
    </row>
    <row r="1688" spans="1:2" x14ac:dyDescent="0.25">
      <c r="A1688" s="67"/>
      <c r="B1688" s="67"/>
    </row>
    <row r="1689" spans="1:2" x14ac:dyDescent="0.25">
      <c r="A1689" s="67"/>
      <c r="B1689" s="67"/>
    </row>
    <row r="1690" spans="1:2" x14ac:dyDescent="0.25">
      <c r="A1690" s="67"/>
      <c r="B1690" s="67"/>
    </row>
    <row r="1691" spans="1:2" x14ac:dyDescent="0.25">
      <c r="A1691" s="67"/>
      <c r="B1691" s="67"/>
    </row>
    <row r="1692" spans="1:2" x14ac:dyDescent="0.25">
      <c r="A1692" s="67"/>
      <c r="B1692" s="67"/>
    </row>
    <row r="1693" spans="1:2" x14ac:dyDescent="0.25">
      <c r="A1693" s="67"/>
      <c r="B1693" s="67"/>
    </row>
    <row r="1694" spans="1:2" x14ac:dyDescent="0.25">
      <c r="A1694" s="67"/>
      <c r="B1694" s="67"/>
    </row>
    <row r="1695" spans="1:2" x14ac:dyDescent="0.25">
      <c r="A1695" s="67"/>
      <c r="B1695" s="67"/>
    </row>
    <row r="1696" spans="1:2" x14ac:dyDescent="0.25">
      <c r="A1696" s="67"/>
      <c r="B1696" s="67"/>
    </row>
    <row r="1697" spans="1:2" x14ac:dyDescent="0.25">
      <c r="A1697" s="67"/>
      <c r="B1697" s="67"/>
    </row>
    <row r="1698" spans="1:2" x14ac:dyDescent="0.25">
      <c r="A1698" s="67"/>
      <c r="B1698" s="67"/>
    </row>
    <row r="1699" spans="1:2" x14ac:dyDescent="0.25">
      <c r="A1699" s="67"/>
      <c r="B1699" s="67"/>
    </row>
    <row r="1700" spans="1:2" x14ac:dyDescent="0.25">
      <c r="A1700" s="67"/>
      <c r="B1700" s="67"/>
    </row>
    <row r="1701" spans="1:2" x14ac:dyDescent="0.25">
      <c r="A1701" s="67"/>
      <c r="B1701" s="67"/>
    </row>
    <row r="1702" spans="1:2" x14ac:dyDescent="0.25">
      <c r="A1702" s="67"/>
      <c r="B1702" s="67"/>
    </row>
    <row r="1703" spans="1:2" x14ac:dyDescent="0.25">
      <c r="A1703" s="67"/>
      <c r="B1703" s="67"/>
    </row>
    <row r="1704" spans="1:2" x14ac:dyDescent="0.25">
      <c r="A1704" s="67"/>
      <c r="B1704" s="67"/>
    </row>
    <row r="1705" spans="1:2" x14ac:dyDescent="0.25">
      <c r="A1705" s="67"/>
      <c r="B1705" s="67"/>
    </row>
    <row r="1706" spans="1:2" x14ac:dyDescent="0.25">
      <c r="A1706" s="67"/>
      <c r="B1706" s="67"/>
    </row>
    <row r="1707" spans="1:2" x14ac:dyDescent="0.25">
      <c r="A1707" s="67"/>
      <c r="B1707" s="67"/>
    </row>
    <row r="1708" spans="1:2" x14ac:dyDescent="0.25">
      <c r="A1708" s="67"/>
      <c r="B1708" s="67"/>
    </row>
    <row r="1709" spans="1:2" x14ac:dyDescent="0.25">
      <c r="A1709" s="67"/>
      <c r="B1709" s="67"/>
    </row>
    <row r="1710" spans="1:2" x14ac:dyDescent="0.25">
      <c r="A1710" s="67"/>
      <c r="B1710" s="67"/>
    </row>
    <row r="1711" spans="1:2" x14ac:dyDescent="0.25">
      <c r="A1711" s="67"/>
      <c r="B1711" s="67"/>
    </row>
    <row r="1712" spans="1:2" x14ac:dyDescent="0.25">
      <c r="A1712" s="67"/>
      <c r="B1712" s="67"/>
    </row>
    <row r="1713" spans="1:2" x14ac:dyDescent="0.25">
      <c r="A1713" s="67"/>
      <c r="B1713" s="67"/>
    </row>
    <row r="1714" spans="1:2" x14ac:dyDescent="0.25">
      <c r="A1714" s="67"/>
      <c r="B1714" s="67"/>
    </row>
    <row r="1715" spans="1:2" x14ac:dyDescent="0.25">
      <c r="A1715" s="67"/>
      <c r="B1715" s="67"/>
    </row>
    <row r="1716" spans="1:2" x14ac:dyDescent="0.25">
      <c r="A1716" s="67"/>
      <c r="B1716" s="67"/>
    </row>
    <row r="1717" spans="1:2" x14ac:dyDescent="0.25">
      <c r="A1717" s="67"/>
      <c r="B1717" s="67"/>
    </row>
    <row r="1718" spans="1:2" x14ac:dyDescent="0.25">
      <c r="A1718" s="67"/>
      <c r="B1718" s="67"/>
    </row>
    <row r="1719" spans="1:2" x14ac:dyDescent="0.25">
      <c r="A1719" s="67"/>
      <c r="B1719" s="67"/>
    </row>
    <row r="1720" spans="1:2" x14ac:dyDescent="0.25">
      <c r="A1720" s="67"/>
      <c r="B1720" s="67"/>
    </row>
    <row r="1721" spans="1:2" x14ac:dyDescent="0.25">
      <c r="A1721" s="67"/>
      <c r="B1721" s="67"/>
    </row>
    <row r="1722" spans="1:2" x14ac:dyDescent="0.25">
      <c r="A1722" s="67"/>
      <c r="B1722" s="67"/>
    </row>
    <row r="1723" spans="1:2" x14ac:dyDescent="0.25">
      <c r="A1723" s="67"/>
      <c r="B1723" s="67"/>
    </row>
    <row r="1724" spans="1:2" x14ac:dyDescent="0.25">
      <c r="A1724" s="67"/>
      <c r="B1724" s="67"/>
    </row>
    <row r="1725" spans="1:2" x14ac:dyDescent="0.25">
      <c r="A1725" s="67"/>
      <c r="B1725" s="67"/>
    </row>
    <row r="1726" spans="1:2" x14ac:dyDescent="0.25">
      <c r="A1726" s="67"/>
      <c r="B1726" s="67"/>
    </row>
    <row r="1727" spans="1:2" x14ac:dyDescent="0.25">
      <c r="A1727" s="67"/>
      <c r="B1727" s="67"/>
    </row>
    <row r="1728" spans="1:2" x14ac:dyDescent="0.25">
      <c r="A1728" s="67"/>
      <c r="B1728" s="67"/>
    </row>
    <row r="1729" spans="1:2" x14ac:dyDescent="0.25">
      <c r="A1729" s="67"/>
      <c r="B1729" s="67"/>
    </row>
    <row r="1730" spans="1:2" x14ac:dyDescent="0.25">
      <c r="A1730" s="67"/>
      <c r="B1730" s="67"/>
    </row>
    <row r="1731" spans="1:2" x14ac:dyDescent="0.25">
      <c r="A1731" s="67"/>
      <c r="B1731" s="67"/>
    </row>
    <row r="1732" spans="1:2" x14ac:dyDescent="0.25">
      <c r="A1732" s="67"/>
      <c r="B1732" s="67"/>
    </row>
    <row r="1733" spans="1:2" x14ac:dyDescent="0.25">
      <c r="A1733" s="67"/>
      <c r="B1733" s="67"/>
    </row>
    <row r="1734" spans="1:2" x14ac:dyDescent="0.25">
      <c r="A1734" s="67"/>
      <c r="B1734" s="67"/>
    </row>
    <row r="1735" spans="1:2" x14ac:dyDescent="0.25">
      <c r="A1735" s="67"/>
      <c r="B1735" s="67"/>
    </row>
    <row r="1736" spans="1:2" x14ac:dyDescent="0.25">
      <c r="A1736" s="67"/>
      <c r="B1736" s="67"/>
    </row>
    <row r="1737" spans="1:2" x14ac:dyDescent="0.25">
      <c r="A1737" s="67"/>
      <c r="B1737" s="67"/>
    </row>
    <row r="1738" spans="1:2" x14ac:dyDescent="0.25">
      <c r="A1738" s="67"/>
      <c r="B1738" s="67"/>
    </row>
    <row r="1739" spans="1:2" x14ac:dyDescent="0.25">
      <c r="A1739" s="67"/>
      <c r="B1739" s="67"/>
    </row>
    <row r="1740" spans="1:2" x14ac:dyDescent="0.25">
      <c r="A1740" s="67"/>
      <c r="B1740" s="67"/>
    </row>
    <row r="1741" spans="1:2" x14ac:dyDescent="0.25">
      <c r="A1741" s="67"/>
      <c r="B1741" s="67"/>
    </row>
    <row r="1742" spans="1:2" x14ac:dyDescent="0.25">
      <c r="A1742" s="67"/>
      <c r="B1742" s="67"/>
    </row>
    <row r="1743" spans="1:2" x14ac:dyDescent="0.25">
      <c r="A1743" s="67"/>
      <c r="B1743" s="67"/>
    </row>
    <row r="1744" spans="1:2" x14ac:dyDescent="0.25">
      <c r="A1744" s="67"/>
      <c r="B1744" s="67"/>
    </row>
    <row r="1745" spans="1:2" x14ac:dyDescent="0.25">
      <c r="A1745" s="67"/>
      <c r="B1745" s="67"/>
    </row>
    <row r="1746" spans="1:2" x14ac:dyDescent="0.25">
      <c r="A1746" s="67"/>
      <c r="B1746" s="67"/>
    </row>
    <row r="1747" spans="1:2" x14ac:dyDescent="0.25">
      <c r="A1747" s="67"/>
      <c r="B1747" s="67"/>
    </row>
    <row r="1748" spans="1:2" x14ac:dyDescent="0.25">
      <c r="A1748" s="67"/>
      <c r="B1748" s="67"/>
    </row>
    <row r="1749" spans="1:2" x14ac:dyDescent="0.25">
      <c r="A1749" s="67"/>
      <c r="B1749" s="67"/>
    </row>
    <row r="1750" spans="1:2" x14ac:dyDescent="0.25">
      <c r="A1750" s="67"/>
      <c r="B1750" s="67"/>
    </row>
    <row r="1751" spans="1:2" x14ac:dyDescent="0.25">
      <c r="A1751" s="67"/>
      <c r="B1751" s="67"/>
    </row>
    <row r="1752" spans="1:2" x14ac:dyDescent="0.25">
      <c r="A1752" s="67"/>
      <c r="B1752" s="67"/>
    </row>
    <row r="1753" spans="1:2" x14ac:dyDescent="0.25">
      <c r="A1753" s="67"/>
      <c r="B1753" s="67"/>
    </row>
    <row r="1754" spans="1:2" x14ac:dyDescent="0.25">
      <c r="A1754" s="67"/>
      <c r="B1754" s="67"/>
    </row>
    <row r="1755" spans="1:2" x14ac:dyDescent="0.25">
      <c r="A1755" s="67"/>
      <c r="B1755" s="67"/>
    </row>
    <row r="1756" spans="1:2" x14ac:dyDescent="0.25">
      <c r="A1756" s="67"/>
      <c r="B1756" s="67"/>
    </row>
    <row r="1757" spans="1:2" x14ac:dyDescent="0.25">
      <c r="A1757" s="67"/>
      <c r="B1757" s="67"/>
    </row>
    <row r="1758" spans="1:2" x14ac:dyDescent="0.25">
      <c r="A1758" s="67"/>
      <c r="B1758" s="67"/>
    </row>
    <row r="1759" spans="1:2" x14ac:dyDescent="0.25">
      <c r="A1759" s="67"/>
      <c r="B1759" s="67"/>
    </row>
    <row r="1760" spans="1:2" x14ac:dyDescent="0.25">
      <c r="A1760" s="67"/>
      <c r="B1760" s="67"/>
    </row>
    <row r="1761" spans="1:2" x14ac:dyDescent="0.25">
      <c r="A1761" s="67"/>
      <c r="B1761" s="67"/>
    </row>
    <row r="1762" spans="1:2" x14ac:dyDescent="0.25">
      <c r="A1762" s="67"/>
      <c r="B1762" s="67"/>
    </row>
    <row r="1763" spans="1:2" x14ac:dyDescent="0.25">
      <c r="A1763" s="67"/>
      <c r="B1763" s="67"/>
    </row>
    <row r="1764" spans="1:2" x14ac:dyDescent="0.25">
      <c r="A1764" s="67"/>
      <c r="B1764" s="67"/>
    </row>
    <row r="1765" spans="1:2" x14ac:dyDescent="0.25">
      <c r="A1765" s="67"/>
      <c r="B1765" s="67"/>
    </row>
    <row r="1766" spans="1:2" x14ac:dyDescent="0.25">
      <c r="A1766" s="67"/>
      <c r="B1766" s="67"/>
    </row>
    <row r="1767" spans="1:2" x14ac:dyDescent="0.25">
      <c r="A1767" s="67"/>
      <c r="B1767" s="67"/>
    </row>
    <row r="1768" spans="1:2" x14ac:dyDescent="0.25">
      <c r="A1768" s="67"/>
      <c r="B1768" s="67"/>
    </row>
    <row r="1769" spans="1:2" x14ac:dyDescent="0.25">
      <c r="A1769" s="67"/>
      <c r="B1769" s="67"/>
    </row>
    <row r="1770" spans="1:2" x14ac:dyDescent="0.25">
      <c r="A1770" s="67"/>
      <c r="B1770" s="67"/>
    </row>
    <row r="1771" spans="1:2" x14ac:dyDescent="0.25">
      <c r="A1771" s="67"/>
      <c r="B1771" s="67"/>
    </row>
    <row r="1772" spans="1:2" x14ac:dyDescent="0.25">
      <c r="A1772" s="67"/>
      <c r="B1772" s="67"/>
    </row>
    <row r="1773" spans="1:2" x14ac:dyDescent="0.25">
      <c r="A1773" s="67"/>
      <c r="B1773" s="67"/>
    </row>
    <row r="1774" spans="1:2" x14ac:dyDescent="0.25">
      <c r="A1774" s="67"/>
      <c r="B1774" s="67"/>
    </row>
    <row r="1775" spans="1:2" x14ac:dyDescent="0.25">
      <c r="A1775" s="67"/>
      <c r="B1775" s="67"/>
    </row>
    <row r="1776" spans="1:2" x14ac:dyDescent="0.25">
      <c r="A1776" s="67"/>
      <c r="B1776" s="67"/>
    </row>
    <row r="1777" spans="1:2" x14ac:dyDescent="0.25">
      <c r="A1777" s="67"/>
      <c r="B1777" s="67"/>
    </row>
    <row r="1778" spans="1:2" x14ac:dyDescent="0.25">
      <c r="A1778" s="67"/>
      <c r="B1778" s="67"/>
    </row>
    <row r="1779" spans="1:2" x14ac:dyDescent="0.25">
      <c r="A1779" s="67"/>
      <c r="B1779" s="67"/>
    </row>
    <row r="1780" spans="1:2" x14ac:dyDescent="0.25">
      <c r="A1780" s="67"/>
      <c r="B1780" s="67"/>
    </row>
    <row r="1781" spans="1:2" x14ac:dyDescent="0.25">
      <c r="A1781" s="67"/>
      <c r="B1781" s="67"/>
    </row>
    <row r="1782" spans="1:2" x14ac:dyDescent="0.25">
      <c r="A1782" s="67"/>
      <c r="B1782" s="67"/>
    </row>
    <row r="1783" spans="1:2" x14ac:dyDescent="0.25">
      <c r="A1783" s="67"/>
      <c r="B1783" s="67"/>
    </row>
    <row r="1784" spans="1:2" x14ac:dyDescent="0.25">
      <c r="A1784" s="67"/>
      <c r="B1784" s="67"/>
    </row>
    <row r="1785" spans="1:2" x14ac:dyDescent="0.25">
      <c r="A1785" s="67"/>
      <c r="B1785" s="67"/>
    </row>
    <row r="1786" spans="1:2" x14ac:dyDescent="0.25">
      <c r="A1786" s="67"/>
      <c r="B1786" s="67"/>
    </row>
    <row r="1787" spans="1:2" x14ac:dyDescent="0.25">
      <c r="A1787" s="67"/>
      <c r="B1787" s="67"/>
    </row>
    <row r="1788" spans="1:2" x14ac:dyDescent="0.25">
      <c r="A1788" s="67"/>
      <c r="B1788" s="67"/>
    </row>
    <row r="1789" spans="1:2" x14ac:dyDescent="0.25">
      <c r="A1789" s="67"/>
      <c r="B1789" s="67"/>
    </row>
    <row r="1790" spans="1:2" x14ac:dyDescent="0.25">
      <c r="A1790" s="67"/>
      <c r="B1790" s="67"/>
    </row>
    <row r="1791" spans="1:2" x14ac:dyDescent="0.25">
      <c r="A1791" s="67"/>
      <c r="B1791" s="67"/>
    </row>
    <row r="1792" spans="1:2" x14ac:dyDescent="0.25">
      <c r="A1792" s="67"/>
      <c r="B1792" s="67"/>
    </row>
    <row r="1793" spans="1:2" x14ac:dyDescent="0.25">
      <c r="A1793" s="67"/>
      <c r="B1793" s="67"/>
    </row>
    <row r="1794" spans="1:2" x14ac:dyDescent="0.25">
      <c r="A1794" s="67"/>
      <c r="B1794" s="67"/>
    </row>
    <row r="1795" spans="1:2" x14ac:dyDescent="0.25">
      <c r="A1795" s="67"/>
      <c r="B1795" s="67"/>
    </row>
    <row r="1796" spans="1:2" x14ac:dyDescent="0.25">
      <c r="A1796" s="67"/>
      <c r="B1796" s="67"/>
    </row>
    <row r="1797" spans="1:2" x14ac:dyDescent="0.25">
      <c r="A1797" s="67"/>
      <c r="B1797" s="67"/>
    </row>
    <row r="1798" spans="1:2" x14ac:dyDescent="0.25">
      <c r="A1798" s="67"/>
      <c r="B1798" s="67"/>
    </row>
    <row r="1799" spans="1:2" x14ac:dyDescent="0.25">
      <c r="A1799" s="67"/>
      <c r="B1799" s="67"/>
    </row>
    <row r="1800" spans="1:2" x14ac:dyDescent="0.25">
      <c r="A1800" s="67"/>
      <c r="B1800" s="67"/>
    </row>
    <row r="1801" spans="1:2" x14ac:dyDescent="0.25">
      <c r="A1801" s="67"/>
      <c r="B1801" s="67"/>
    </row>
    <row r="1802" spans="1:2" x14ac:dyDescent="0.25">
      <c r="A1802" s="67"/>
      <c r="B1802" s="67"/>
    </row>
    <row r="1803" spans="1:2" x14ac:dyDescent="0.25">
      <c r="A1803" s="67"/>
      <c r="B1803" s="67"/>
    </row>
    <row r="1804" spans="1:2" x14ac:dyDescent="0.25">
      <c r="A1804" s="67"/>
      <c r="B1804" s="67"/>
    </row>
    <row r="1805" spans="1:2" x14ac:dyDescent="0.25">
      <c r="A1805" s="67"/>
      <c r="B1805" s="67"/>
    </row>
    <row r="1806" spans="1:2" x14ac:dyDescent="0.25">
      <c r="A1806" s="67"/>
      <c r="B1806" s="67"/>
    </row>
    <row r="1807" spans="1:2" x14ac:dyDescent="0.25">
      <c r="A1807" s="67"/>
      <c r="B1807" s="67"/>
    </row>
    <row r="1808" spans="1:2" x14ac:dyDescent="0.25">
      <c r="A1808" s="67"/>
      <c r="B1808" s="67"/>
    </row>
    <row r="1809" spans="1:2" x14ac:dyDescent="0.25">
      <c r="A1809" s="67"/>
      <c r="B1809" s="67"/>
    </row>
    <row r="1810" spans="1:2" x14ac:dyDescent="0.25">
      <c r="A1810" s="67"/>
      <c r="B1810" s="67"/>
    </row>
    <row r="1811" spans="1:2" x14ac:dyDescent="0.25">
      <c r="A1811" s="67"/>
      <c r="B1811" s="67"/>
    </row>
    <row r="1812" spans="1:2" x14ac:dyDescent="0.25">
      <c r="A1812" s="67"/>
      <c r="B1812" s="67"/>
    </row>
    <row r="1813" spans="1:2" x14ac:dyDescent="0.25">
      <c r="A1813" s="67"/>
      <c r="B1813" s="67"/>
    </row>
    <row r="1814" spans="1:2" x14ac:dyDescent="0.25">
      <c r="A1814" s="67"/>
      <c r="B1814" s="67"/>
    </row>
    <row r="1815" spans="1:2" x14ac:dyDescent="0.25">
      <c r="A1815" s="67"/>
      <c r="B1815" s="67"/>
    </row>
    <row r="1816" spans="1:2" x14ac:dyDescent="0.25">
      <c r="A1816" s="67"/>
      <c r="B1816" s="67"/>
    </row>
    <row r="1817" spans="1:2" x14ac:dyDescent="0.25">
      <c r="A1817" s="67"/>
      <c r="B1817" s="67"/>
    </row>
    <row r="1818" spans="1:2" x14ac:dyDescent="0.25">
      <c r="A1818" s="67"/>
      <c r="B1818" s="67"/>
    </row>
    <row r="1819" spans="1:2" x14ac:dyDescent="0.25">
      <c r="A1819" s="67"/>
      <c r="B1819" s="67"/>
    </row>
    <row r="1820" spans="1:2" x14ac:dyDescent="0.25">
      <c r="A1820" s="67"/>
      <c r="B1820" s="67"/>
    </row>
    <row r="1821" spans="1:2" x14ac:dyDescent="0.25">
      <c r="A1821" s="67"/>
      <c r="B1821" s="67"/>
    </row>
    <row r="1822" spans="1:2" x14ac:dyDescent="0.25">
      <c r="A1822" s="67"/>
      <c r="B1822" s="67"/>
    </row>
    <row r="1823" spans="1:2" x14ac:dyDescent="0.25">
      <c r="A1823" s="67"/>
      <c r="B1823" s="67"/>
    </row>
    <row r="1824" spans="1:2" x14ac:dyDescent="0.25">
      <c r="A1824" s="67"/>
      <c r="B1824" s="67"/>
    </row>
    <row r="1825" spans="1:2" x14ac:dyDescent="0.25">
      <c r="A1825" s="67"/>
      <c r="B1825" s="67"/>
    </row>
    <row r="1826" spans="1:2" x14ac:dyDescent="0.25">
      <c r="A1826" s="67"/>
      <c r="B1826" s="67"/>
    </row>
    <row r="1827" spans="1:2" x14ac:dyDescent="0.25">
      <c r="A1827" s="67"/>
      <c r="B1827" s="67"/>
    </row>
    <row r="1828" spans="1:2" x14ac:dyDescent="0.25">
      <c r="A1828" s="67"/>
      <c r="B1828" s="67"/>
    </row>
    <row r="1829" spans="1:2" x14ac:dyDescent="0.25">
      <c r="A1829" s="67"/>
      <c r="B1829" s="67"/>
    </row>
    <row r="1830" spans="1:2" x14ac:dyDescent="0.25">
      <c r="A1830" s="67"/>
      <c r="B1830" s="67"/>
    </row>
    <row r="1831" spans="1:2" x14ac:dyDescent="0.25">
      <c r="A1831" s="67"/>
      <c r="B1831" s="67"/>
    </row>
    <row r="1832" spans="1:2" x14ac:dyDescent="0.25">
      <c r="A1832" s="67"/>
      <c r="B1832" s="67"/>
    </row>
    <row r="1833" spans="1:2" x14ac:dyDescent="0.25">
      <c r="A1833" s="67"/>
      <c r="B1833" s="67"/>
    </row>
    <row r="1834" spans="1:2" x14ac:dyDescent="0.25">
      <c r="A1834" s="67"/>
      <c r="B1834" s="67"/>
    </row>
    <row r="1835" spans="1:2" x14ac:dyDescent="0.25">
      <c r="A1835" s="67"/>
      <c r="B1835" s="67"/>
    </row>
    <row r="1836" spans="1:2" x14ac:dyDescent="0.25">
      <c r="A1836" s="67"/>
      <c r="B1836" s="67"/>
    </row>
    <row r="1837" spans="1:2" x14ac:dyDescent="0.25">
      <c r="A1837" s="67"/>
      <c r="B1837" s="67"/>
    </row>
    <row r="1838" spans="1:2" x14ac:dyDescent="0.25">
      <c r="A1838" s="67"/>
      <c r="B1838" s="67"/>
    </row>
    <row r="1839" spans="1:2" x14ac:dyDescent="0.25">
      <c r="A1839" s="67"/>
      <c r="B1839" s="67"/>
    </row>
    <row r="1840" spans="1:2" x14ac:dyDescent="0.25">
      <c r="A1840" s="67"/>
      <c r="B1840" s="67"/>
    </row>
    <row r="1841" spans="1:2" x14ac:dyDescent="0.25">
      <c r="A1841" s="67"/>
      <c r="B1841" s="67"/>
    </row>
    <row r="1842" spans="1:2" x14ac:dyDescent="0.25">
      <c r="A1842" s="67"/>
      <c r="B1842" s="67"/>
    </row>
    <row r="1843" spans="1:2" x14ac:dyDescent="0.25">
      <c r="A1843" s="67"/>
      <c r="B1843" s="67"/>
    </row>
    <row r="1844" spans="1:2" x14ac:dyDescent="0.25">
      <c r="A1844" s="67"/>
      <c r="B1844" s="67"/>
    </row>
    <row r="1845" spans="1:2" x14ac:dyDescent="0.25">
      <c r="A1845" s="67"/>
      <c r="B1845" s="67"/>
    </row>
    <row r="1846" spans="1:2" x14ac:dyDescent="0.25">
      <c r="A1846" s="67"/>
      <c r="B1846" s="67"/>
    </row>
    <row r="1847" spans="1:2" x14ac:dyDescent="0.25">
      <c r="A1847" s="67"/>
      <c r="B1847" s="67"/>
    </row>
    <row r="1848" spans="1:2" x14ac:dyDescent="0.25">
      <c r="A1848" s="67"/>
      <c r="B1848" s="67"/>
    </row>
    <row r="1849" spans="1:2" x14ac:dyDescent="0.25">
      <c r="A1849" s="67"/>
      <c r="B1849" s="67"/>
    </row>
    <row r="1850" spans="1:2" x14ac:dyDescent="0.25">
      <c r="A1850" s="67"/>
      <c r="B1850" s="67"/>
    </row>
    <row r="1851" spans="1:2" x14ac:dyDescent="0.25">
      <c r="A1851" s="67"/>
      <c r="B1851" s="67"/>
    </row>
    <row r="1852" spans="1:2" x14ac:dyDescent="0.25">
      <c r="A1852" s="67"/>
      <c r="B1852" s="67"/>
    </row>
    <row r="1853" spans="1:2" x14ac:dyDescent="0.25">
      <c r="A1853" s="67"/>
      <c r="B1853" s="67"/>
    </row>
    <row r="1854" spans="1:2" x14ac:dyDescent="0.25">
      <c r="A1854" s="67"/>
      <c r="B1854" s="67"/>
    </row>
    <row r="1855" spans="1:2" x14ac:dyDescent="0.25">
      <c r="A1855" s="67"/>
      <c r="B1855" s="67"/>
    </row>
    <row r="1856" spans="1:2" x14ac:dyDescent="0.25">
      <c r="A1856" s="67"/>
      <c r="B1856" s="67"/>
    </row>
    <row r="1857" spans="1:2" x14ac:dyDescent="0.25">
      <c r="A1857" s="67"/>
      <c r="B1857" s="67"/>
    </row>
    <row r="1858" spans="1:2" x14ac:dyDescent="0.25">
      <c r="A1858" s="67"/>
      <c r="B1858" s="67"/>
    </row>
    <row r="1859" spans="1:2" x14ac:dyDescent="0.25">
      <c r="A1859" s="67"/>
      <c r="B1859" s="67"/>
    </row>
    <row r="1860" spans="1:2" x14ac:dyDescent="0.25">
      <c r="A1860" s="67"/>
      <c r="B1860" s="67"/>
    </row>
    <row r="1861" spans="1:2" x14ac:dyDescent="0.25">
      <c r="A1861" s="67"/>
      <c r="B1861" s="67"/>
    </row>
    <row r="1862" spans="1:2" x14ac:dyDescent="0.25">
      <c r="A1862" s="67"/>
      <c r="B1862" s="67"/>
    </row>
    <row r="1863" spans="1:2" x14ac:dyDescent="0.25">
      <c r="A1863" s="67"/>
      <c r="B1863" s="67"/>
    </row>
    <row r="1864" spans="1:2" x14ac:dyDescent="0.25">
      <c r="A1864" s="67"/>
      <c r="B1864" s="67"/>
    </row>
    <row r="1865" spans="1:2" x14ac:dyDescent="0.25">
      <c r="A1865" s="67"/>
      <c r="B1865" s="67"/>
    </row>
    <row r="1866" spans="1:2" x14ac:dyDescent="0.25">
      <c r="A1866" s="67"/>
      <c r="B1866" s="67"/>
    </row>
    <row r="1867" spans="1:2" x14ac:dyDescent="0.25">
      <c r="A1867" s="67"/>
      <c r="B1867" s="67"/>
    </row>
    <row r="1868" spans="1:2" x14ac:dyDescent="0.25">
      <c r="A1868" s="67"/>
      <c r="B1868" s="67"/>
    </row>
    <row r="1869" spans="1:2" x14ac:dyDescent="0.25">
      <c r="A1869" s="67"/>
      <c r="B1869" s="67"/>
    </row>
    <row r="1870" spans="1:2" x14ac:dyDescent="0.25">
      <c r="A1870" s="67"/>
      <c r="B1870" s="67"/>
    </row>
    <row r="1871" spans="1:2" x14ac:dyDescent="0.25">
      <c r="A1871" s="67"/>
      <c r="B1871" s="67"/>
    </row>
    <row r="1872" spans="1:2" x14ac:dyDescent="0.25">
      <c r="A1872" s="67"/>
      <c r="B1872" s="67"/>
    </row>
    <row r="1873" spans="1:2" x14ac:dyDescent="0.25">
      <c r="A1873" s="67"/>
      <c r="B1873" s="67"/>
    </row>
    <row r="1874" spans="1:2" x14ac:dyDescent="0.25">
      <c r="A1874" s="67"/>
      <c r="B1874" s="67"/>
    </row>
    <row r="1875" spans="1:2" x14ac:dyDescent="0.25">
      <c r="A1875" s="67"/>
      <c r="B1875" s="67"/>
    </row>
    <row r="1876" spans="1:2" x14ac:dyDescent="0.25">
      <c r="A1876" s="67"/>
      <c r="B1876" s="67"/>
    </row>
    <row r="1877" spans="1:2" x14ac:dyDescent="0.25">
      <c r="A1877" s="67"/>
      <c r="B1877" s="67"/>
    </row>
    <row r="1878" spans="1:2" x14ac:dyDescent="0.25">
      <c r="A1878" s="67"/>
      <c r="B1878" s="67"/>
    </row>
    <row r="1879" spans="1:2" x14ac:dyDescent="0.25">
      <c r="A1879" s="67"/>
      <c r="B1879" s="67"/>
    </row>
    <row r="1880" spans="1:2" x14ac:dyDescent="0.25">
      <c r="A1880" s="67"/>
      <c r="B1880" s="67"/>
    </row>
    <row r="1881" spans="1:2" x14ac:dyDescent="0.25">
      <c r="A1881" s="67"/>
      <c r="B1881" s="67"/>
    </row>
    <row r="1882" spans="1:2" x14ac:dyDescent="0.25">
      <c r="A1882" s="67"/>
      <c r="B1882" s="67"/>
    </row>
    <row r="1883" spans="1:2" x14ac:dyDescent="0.25">
      <c r="A1883" s="67"/>
      <c r="B1883" s="67"/>
    </row>
    <row r="1884" spans="1:2" x14ac:dyDescent="0.25">
      <c r="A1884" s="67"/>
      <c r="B1884" s="67"/>
    </row>
    <row r="1885" spans="1:2" x14ac:dyDescent="0.25">
      <c r="A1885" s="67"/>
      <c r="B1885" s="67"/>
    </row>
    <row r="1886" spans="1:2" x14ac:dyDescent="0.25">
      <c r="A1886" s="67"/>
      <c r="B1886" s="67"/>
    </row>
    <row r="1887" spans="1:2" x14ac:dyDescent="0.25">
      <c r="A1887" s="67"/>
      <c r="B1887" s="67"/>
    </row>
    <row r="1888" spans="1:2" x14ac:dyDescent="0.25">
      <c r="A1888" s="67"/>
      <c r="B1888" s="67"/>
    </row>
    <row r="1889" spans="1:2" x14ac:dyDescent="0.25">
      <c r="A1889" s="67"/>
      <c r="B1889" s="67"/>
    </row>
    <row r="1890" spans="1:2" x14ac:dyDescent="0.25">
      <c r="A1890" s="67"/>
      <c r="B1890" s="67"/>
    </row>
    <row r="1891" spans="1:2" x14ac:dyDescent="0.25">
      <c r="A1891" s="67"/>
      <c r="B1891" s="67"/>
    </row>
    <row r="1892" spans="1:2" x14ac:dyDescent="0.25">
      <c r="A1892" s="67"/>
      <c r="B1892" s="67"/>
    </row>
    <row r="1893" spans="1:2" x14ac:dyDescent="0.25">
      <c r="A1893" s="67"/>
      <c r="B1893" s="67"/>
    </row>
    <row r="1894" spans="1:2" x14ac:dyDescent="0.25">
      <c r="A1894" s="67"/>
      <c r="B1894" s="67"/>
    </row>
    <row r="1895" spans="1:2" x14ac:dyDescent="0.25">
      <c r="A1895" s="67"/>
      <c r="B1895" s="67"/>
    </row>
    <row r="1896" spans="1:2" x14ac:dyDescent="0.25">
      <c r="A1896" s="67"/>
      <c r="B1896" s="67"/>
    </row>
    <row r="1897" spans="1:2" x14ac:dyDescent="0.25">
      <c r="A1897" s="67"/>
      <c r="B1897" s="67"/>
    </row>
    <row r="1898" spans="1:2" x14ac:dyDescent="0.25">
      <c r="A1898" s="67"/>
      <c r="B1898" s="67"/>
    </row>
    <row r="1899" spans="1:2" x14ac:dyDescent="0.25">
      <c r="A1899" s="67"/>
      <c r="B1899" s="67"/>
    </row>
    <row r="1900" spans="1:2" x14ac:dyDescent="0.25">
      <c r="A1900" s="67"/>
      <c r="B1900" s="67"/>
    </row>
    <row r="1901" spans="1:2" x14ac:dyDescent="0.25">
      <c r="A1901" s="67"/>
      <c r="B1901" s="67"/>
    </row>
    <row r="1902" spans="1:2" x14ac:dyDescent="0.25">
      <c r="A1902" s="67"/>
      <c r="B1902" s="67"/>
    </row>
    <row r="1903" spans="1:2" x14ac:dyDescent="0.25">
      <c r="A1903" s="67"/>
      <c r="B1903" s="67"/>
    </row>
    <row r="1904" spans="1:2" x14ac:dyDescent="0.25">
      <c r="A1904" s="67"/>
      <c r="B1904" s="67"/>
    </row>
    <row r="1905" spans="1:2" x14ac:dyDescent="0.25">
      <c r="A1905" s="67"/>
      <c r="B1905" s="67"/>
    </row>
    <row r="1906" spans="1:2" x14ac:dyDescent="0.25">
      <c r="A1906" s="67"/>
      <c r="B1906" s="67"/>
    </row>
    <row r="1907" spans="1:2" x14ac:dyDescent="0.25">
      <c r="A1907" s="67"/>
      <c r="B1907" s="67"/>
    </row>
    <row r="1908" spans="1:2" x14ac:dyDescent="0.25">
      <c r="A1908" s="67"/>
      <c r="B1908" s="67"/>
    </row>
    <row r="1909" spans="1:2" x14ac:dyDescent="0.25">
      <c r="A1909" s="67"/>
      <c r="B1909" s="67"/>
    </row>
    <row r="1910" spans="1:2" x14ac:dyDescent="0.25">
      <c r="A1910" s="67"/>
      <c r="B1910" s="67"/>
    </row>
    <row r="1911" spans="1:2" x14ac:dyDescent="0.25">
      <c r="A1911" s="67"/>
      <c r="B1911" s="67"/>
    </row>
    <row r="1912" spans="1:2" x14ac:dyDescent="0.25">
      <c r="A1912" s="67"/>
      <c r="B1912" s="67"/>
    </row>
    <row r="1913" spans="1:2" x14ac:dyDescent="0.25">
      <c r="A1913" s="67"/>
      <c r="B1913" s="67"/>
    </row>
    <row r="1914" spans="1:2" x14ac:dyDescent="0.25">
      <c r="A1914" s="67"/>
      <c r="B1914" s="67"/>
    </row>
    <row r="1915" spans="1:2" x14ac:dyDescent="0.25">
      <c r="A1915" s="67"/>
      <c r="B1915" s="67"/>
    </row>
    <row r="1916" spans="1:2" x14ac:dyDescent="0.25">
      <c r="A1916" s="67"/>
      <c r="B1916" s="67"/>
    </row>
    <row r="1917" spans="1:2" x14ac:dyDescent="0.25">
      <c r="A1917" s="67"/>
      <c r="B1917" s="67"/>
    </row>
    <row r="1918" spans="1:2" x14ac:dyDescent="0.25">
      <c r="A1918" s="67"/>
      <c r="B1918" s="67"/>
    </row>
    <row r="1919" spans="1:2" x14ac:dyDescent="0.25">
      <c r="A1919" s="67"/>
      <c r="B1919" s="67"/>
    </row>
    <row r="1920" spans="1:2" x14ac:dyDescent="0.25">
      <c r="A1920" s="67"/>
      <c r="B1920" s="67"/>
    </row>
    <row r="1921" spans="1:2" x14ac:dyDescent="0.25">
      <c r="A1921" s="67"/>
      <c r="B1921" s="67"/>
    </row>
    <row r="1922" spans="1:2" x14ac:dyDescent="0.25">
      <c r="A1922" s="67"/>
      <c r="B1922" s="67"/>
    </row>
    <row r="1923" spans="1:2" x14ac:dyDescent="0.25">
      <c r="A1923" s="67"/>
      <c r="B1923" s="67"/>
    </row>
    <row r="1924" spans="1:2" x14ac:dyDescent="0.25">
      <c r="A1924" s="67"/>
      <c r="B1924" s="67"/>
    </row>
    <row r="1925" spans="1:2" x14ac:dyDescent="0.25">
      <c r="A1925" s="67"/>
      <c r="B1925" s="67"/>
    </row>
    <row r="1926" spans="1:2" x14ac:dyDescent="0.25">
      <c r="A1926" s="67"/>
      <c r="B1926" s="67"/>
    </row>
    <row r="1927" spans="1:2" x14ac:dyDescent="0.25">
      <c r="A1927" s="67"/>
      <c r="B1927" s="67"/>
    </row>
    <row r="1928" spans="1:2" x14ac:dyDescent="0.25">
      <c r="A1928" s="67"/>
      <c r="B1928" s="67"/>
    </row>
    <row r="1929" spans="1:2" x14ac:dyDescent="0.25">
      <c r="A1929" s="67"/>
      <c r="B1929" s="67"/>
    </row>
    <row r="1930" spans="1:2" x14ac:dyDescent="0.25">
      <c r="A1930" s="67"/>
      <c r="B1930" s="67"/>
    </row>
    <row r="1931" spans="1:2" x14ac:dyDescent="0.25">
      <c r="A1931" s="67"/>
      <c r="B1931" s="67"/>
    </row>
    <row r="1932" spans="1:2" x14ac:dyDescent="0.25">
      <c r="A1932" s="67"/>
      <c r="B1932" s="67"/>
    </row>
    <row r="1933" spans="1:2" x14ac:dyDescent="0.25">
      <c r="A1933" s="67"/>
      <c r="B1933" s="67"/>
    </row>
    <row r="1934" spans="1:2" x14ac:dyDescent="0.25">
      <c r="A1934" s="67"/>
      <c r="B1934" s="67"/>
    </row>
    <row r="1935" spans="1:2" x14ac:dyDescent="0.25">
      <c r="A1935" s="67"/>
      <c r="B1935" s="67"/>
    </row>
    <row r="1936" spans="1:2" x14ac:dyDescent="0.25">
      <c r="A1936" s="67"/>
      <c r="B1936" s="67"/>
    </row>
    <row r="1937" spans="1:2" x14ac:dyDescent="0.25">
      <c r="A1937" s="67"/>
      <c r="B1937" s="67"/>
    </row>
    <row r="1938" spans="1:2" x14ac:dyDescent="0.25">
      <c r="A1938" s="67"/>
      <c r="B1938" s="67"/>
    </row>
    <row r="1939" spans="1:2" x14ac:dyDescent="0.25">
      <c r="A1939" s="67"/>
      <c r="B1939" s="67"/>
    </row>
    <row r="1940" spans="1:2" x14ac:dyDescent="0.25">
      <c r="A1940" s="67"/>
      <c r="B1940" s="67"/>
    </row>
    <row r="1941" spans="1:2" x14ac:dyDescent="0.25">
      <c r="A1941" s="67"/>
      <c r="B1941" s="67"/>
    </row>
    <row r="1942" spans="1:2" x14ac:dyDescent="0.25">
      <c r="A1942" s="67"/>
      <c r="B1942" s="67"/>
    </row>
    <row r="1943" spans="1:2" x14ac:dyDescent="0.25">
      <c r="A1943" s="67"/>
      <c r="B1943" s="67"/>
    </row>
    <row r="1944" spans="1:2" x14ac:dyDescent="0.25">
      <c r="A1944" s="67"/>
      <c r="B1944" s="67"/>
    </row>
    <row r="1945" spans="1:2" x14ac:dyDescent="0.25">
      <c r="A1945" s="67"/>
      <c r="B1945" s="67"/>
    </row>
    <row r="1946" spans="1:2" x14ac:dyDescent="0.25">
      <c r="A1946" s="67"/>
      <c r="B1946" s="67"/>
    </row>
    <row r="1947" spans="1:2" x14ac:dyDescent="0.25">
      <c r="A1947" s="67"/>
      <c r="B1947" s="67"/>
    </row>
    <row r="1948" spans="1:2" x14ac:dyDescent="0.25">
      <c r="A1948" s="67"/>
      <c r="B1948" s="67"/>
    </row>
    <row r="1949" spans="1:2" x14ac:dyDescent="0.25">
      <c r="A1949" s="67"/>
      <c r="B1949" s="67"/>
    </row>
    <row r="1950" spans="1:2" x14ac:dyDescent="0.25">
      <c r="A1950" s="67"/>
      <c r="B1950" s="67"/>
    </row>
    <row r="1951" spans="1:2" x14ac:dyDescent="0.25">
      <c r="A1951" s="67"/>
      <c r="B1951" s="67"/>
    </row>
    <row r="1952" spans="1:2" x14ac:dyDescent="0.25">
      <c r="A1952" s="67"/>
      <c r="B1952" s="67"/>
    </row>
    <row r="1953" spans="1:2" x14ac:dyDescent="0.25">
      <c r="A1953" s="67"/>
      <c r="B1953" s="67"/>
    </row>
    <row r="1954" spans="1:2" x14ac:dyDescent="0.25">
      <c r="A1954" s="67"/>
      <c r="B1954" s="67"/>
    </row>
    <row r="1955" spans="1:2" x14ac:dyDescent="0.25">
      <c r="A1955" s="67"/>
      <c r="B1955" s="67"/>
    </row>
    <row r="1956" spans="1:2" x14ac:dyDescent="0.25">
      <c r="A1956" s="67"/>
      <c r="B1956" s="67"/>
    </row>
    <row r="1957" spans="1:2" x14ac:dyDescent="0.25">
      <c r="A1957" s="67"/>
      <c r="B1957" s="67"/>
    </row>
    <row r="1958" spans="1:2" x14ac:dyDescent="0.25">
      <c r="A1958" s="67"/>
      <c r="B1958" s="67"/>
    </row>
    <row r="1959" spans="1:2" x14ac:dyDescent="0.25">
      <c r="A1959" s="67"/>
      <c r="B1959" s="67"/>
    </row>
    <row r="1960" spans="1:2" x14ac:dyDescent="0.25">
      <c r="A1960" s="67"/>
      <c r="B1960" s="67"/>
    </row>
    <row r="1961" spans="1:2" x14ac:dyDescent="0.25">
      <c r="A1961" s="67"/>
      <c r="B1961" s="67"/>
    </row>
    <row r="1962" spans="1:2" x14ac:dyDescent="0.25">
      <c r="A1962" s="67"/>
      <c r="B1962" s="67"/>
    </row>
    <row r="1963" spans="1:2" x14ac:dyDescent="0.25">
      <c r="A1963" s="67"/>
      <c r="B1963" s="67"/>
    </row>
    <row r="1964" spans="1:2" x14ac:dyDescent="0.25">
      <c r="A1964" s="67"/>
      <c r="B1964" s="67"/>
    </row>
    <row r="1965" spans="1:2" x14ac:dyDescent="0.25">
      <c r="A1965" s="67"/>
      <c r="B1965" s="67"/>
    </row>
    <row r="1966" spans="1:2" x14ac:dyDescent="0.25">
      <c r="A1966" s="67"/>
      <c r="B1966" s="67"/>
    </row>
    <row r="1967" spans="1:2" x14ac:dyDescent="0.25">
      <c r="A1967" s="67"/>
      <c r="B1967" s="67"/>
    </row>
    <row r="1968" spans="1:2" x14ac:dyDescent="0.25">
      <c r="A1968" s="67"/>
      <c r="B1968" s="67"/>
    </row>
    <row r="1969" spans="1:2" x14ac:dyDescent="0.25">
      <c r="A1969" s="67"/>
      <c r="B1969" s="67"/>
    </row>
    <row r="1970" spans="1:2" x14ac:dyDescent="0.25">
      <c r="A1970" s="67"/>
      <c r="B1970" s="67"/>
    </row>
    <row r="1971" spans="1:2" x14ac:dyDescent="0.25">
      <c r="A1971" s="67"/>
      <c r="B1971" s="67"/>
    </row>
    <row r="1972" spans="1:2" x14ac:dyDescent="0.25">
      <c r="A1972" s="67"/>
      <c r="B1972" s="67"/>
    </row>
    <row r="1973" spans="1:2" x14ac:dyDescent="0.25">
      <c r="A1973" s="67"/>
      <c r="B1973" s="67"/>
    </row>
    <row r="1974" spans="1:2" x14ac:dyDescent="0.25">
      <c r="A1974" s="67"/>
      <c r="B1974" s="67"/>
    </row>
    <row r="1975" spans="1:2" x14ac:dyDescent="0.25">
      <c r="A1975" s="67"/>
      <c r="B1975" s="67"/>
    </row>
    <row r="1976" spans="1:2" x14ac:dyDescent="0.25">
      <c r="A1976" s="67"/>
      <c r="B1976" s="67"/>
    </row>
    <row r="1977" spans="1:2" x14ac:dyDescent="0.25">
      <c r="A1977" s="67"/>
      <c r="B1977" s="67"/>
    </row>
    <row r="1978" spans="1:2" x14ac:dyDescent="0.25">
      <c r="A1978" s="67"/>
      <c r="B1978" s="67"/>
    </row>
    <row r="1979" spans="1:2" x14ac:dyDescent="0.25">
      <c r="A1979" s="67"/>
      <c r="B1979" s="67"/>
    </row>
    <row r="1980" spans="1:2" x14ac:dyDescent="0.25">
      <c r="A1980" s="67"/>
      <c r="B1980" s="67"/>
    </row>
    <row r="1981" spans="1:2" x14ac:dyDescent="0.25">
      <c r="A1981" s="67"/>
      <c r="B1981" s="67"/>
    </row>
    <row r="1982" spans="1:2" x14ac:dyDescent="0.25">
      <c r="A1982" s="67"/>
      <c r="B1982" s="67"/>
    </row>
    <row r="1983" spans="1:2" x14ac:dyDescent="0.25">
      <c r="A1983" s="67"/>
      <c r="B1983" s="67"/>
    </row>
    <row r="1984" spans="1:2" x14ac:dyDescent="0.25">
      <c r="A1984" s="67"/>
      <c r="B1984" s="67"/>
    </row>
    <row r="1985" spans="1:2" x14ac:dyDescent="0.25">
      <c r="A1985" s="67"/>
      <c r="B1985" s="67"/>
    </row>
    <row r="1986" spans="1:2" x14ac:dyDescent="0.25">
      <c r="A1986" s="67"/>
      <c r="B1986" s="67"/>
    </row>
    <row r="1987" spans="1:2" x14ac:dyDescent="0.25">
      <c r="A1987" s="67"/>
      <c r="B1987" s="67"/>
    </row>
    <row r="1988" spans="1:2" x14ac:dyDescent="0.25">
      <c r="A1988" s="67"/>
      <c r="B1988" s="67"/>
    </row>
    <row r="1989" spans="1:2" x14ac:dyDescent="0.25">
      <c r="A1989" s="67"/>
      <c r="B1989" s="67"/>
    </row>
    <row r="1990" spans="1:2" x14ac:dyDescent="0.25">
      <c r="A1990" s="67"/>
      <c r="B1990" s="67"/>
    </row>
    <row r="1991" spans="1:2" x14ac:dyDescent="0.25">
      <c r="A1991" s="67"/>
      <c r="B1991" s="67"/>
    </row>
    <row r="1992" spans="1:2" x14ac:dyDescent="0.25">
      <c r="A1992" s="67"/>
      <c r="B1992" s="67"/>
    </row>
    <row r="1993" spans="1:2" x14ac:dyDescent="0.25">
      <c r="A1993" s="67"/>
      <c r="B1993" s="67"/>
    </row>
    <row r="1994" spans="1:2" x14ac:dyDescent="0.25">
      <c r="A1994" s="67"/>
      <c r="B1994" s="67"/>
    </row>
    <row r="1995" spans="1:2" x14ac:dyDescent="0.25">
      <c r="A1995" s="67"/>
      <c r="B1995" s="67"/>
    </row>
    <row r="1996" spans="1:2" x14ac:dyDescent="0.25">
      <c r="A1996" s="67"/>
      <c r="B1996" s="67"/>
    </row>
    <row r="1997" spans="1:2" x14ac:dyDescent="0.25">
      <c r="A1997" s="67"/>
      <c r="B1997" s="67"/>
    </row>
    <row r="1998" spans="1:2" x14ac:dyDescent="0.25">
      <c r="A1998" s="67"/>
      <c r="B1998" s="67"/>
    </row>
    <row r="1999" spans="1:2" x14ac:dyDescent="0.25">
      <c r="A1999" s="67"/>
      <c r="B1999" s="67"/>
    </row>
    <row r="2000" spans="1:2" x14ac:dyDescent="0.25">
      <c r="A2000" s="67"/>
      <c r="B2000" s="67"/>
    </row>
    <row r="2001" spans="1:2" x14ac:dyDescent="0.25">
      <c r="A2001" s="67"/>
      <c r="B2001" s="67"/>
    </row>
    <row r="2002" spans="1:2" x14ac:dyDescent="0.25">
      <c r="A2002" s="67"/>
      <c r="B2002" s="67"/>
    </row>
    <row r="2003" spans="1:2" x14ac:dyDescent="0.25">
      <c r="A2003" s="67"/>
      <c r="B2003" s="67"/>
    </row>
    <row r="2004" spans="1:2" x14ac:dyDescent="0.25">
      <c r="A2004" s="67"/>
      <c r="B2004" s="67"/>
    </row>
    <row r="2005" spans="1:2" x14ac:dyDescent="0.25">
      <c r="A2005" s="67"/>
      <c r="B2005" s="67"/>
    </row>
    <row r="2006" spans="1:2" x14ac:dyDescent="0.25">
      <c r="A2006" s="67"/>
      <c r="B2006" s="67"/>
    </row>
    <row r="2007" spans="1:2" x14ac:dyDescent="0.25">
      <c r="A2007" s="67"/>
      <c r="B2007" s="67"/>
    </row>
    <row r="2008" spans="1:2" x14ac:dyDescent="0.25">
      <c r="A2008" s="67"/>
      <c r="B2008" s="67"/>
    </row>
    <row r="2009" spans="1:2" x14ac:dyDescent="0.25">
      <c r="A2009" s="67"/>
      <c r="B2009" s="67"/>
    </row>
    <row r="2010" spans="1:2" x14ac:dyDescent="0.25">
      <c r="A2010" s="67"/>
      <c r="B2010" s="67"/>
    </row>
    <row r="2011" spans="1:2" x14ac:dyDescent="0.25">
      <c r="A2011" s="67"/>
      <c r="B2011" s="67"/>
    </row>
    <row r="2012" spans="1:2" x14ac:dyDescent="0.25">
      <c r="A2012" s="67"/>
      <c r="B2012" s="67"/>
    </row>
    <row r="2013" spans="1:2" x14ac:dyDescent="0.25">
      <c r="A2013" s="67"/>
      <c r="B2013" s="67"/>
    </row>
    <row r="2014" spans="1:2" x14ac:dyDescent="0.25">
      <c r="A2014" s="67"/>
      <c r="B2014" s="67"/>
    </row>
    <row r="2015" spans="1:2" x14ac:dyDescent="0.25">
      <c r="A2015" s="67"/>
      <c r="B2015" s="67"/>
    </row>
    <row r="2016" spans="1:2" x14ac:dyDescent="0.25">
      <c r="A2016" s="67"/>
      <c r="B2016" s="67"/>
    </row>
    <row r="2017" spans="1:2" x14ac:dyDescent="0.25">
      <c r="A2017" s="67"/>
      <c r="B2017" s="67"/>
    </row>
    <row r="2018" spans="1:2" x14ac:dyDescent="0.25">
      <c r="A2018" s="67"/>
      <c r="B2018" s="67"/>
    </row>
    <row r="2019" spans="1:2" x14ac:dyDescent="0.25">
      <c r="A2019" s="67"/>
      <c r="B2019" s="67"/>
    </row>
    <row r="2020" spans="1:2" x14ac:dyDescent="0.25">
      <c r="A2020" s="67"/>
      <c r="B2020" s="67"/>
    </row>
    <row r="2021" spans="1:2" x14ac:dyDescent="0.25">
      <c r="A2021" s="67"/>
      <c r="B2021" s="67"/>
    </row>
    <row r="2022" spans="1:2" x14ac:dyDescent="0.25">
      <c r="A2022" s="67"/>
      <c r="B2022" s="67"/>
    </row>
    <row r="2023" spans="1:2" x14ac:dyDescent="0.25">
      <c r="A2023" s="67"/>
      <c r="B2023" s="67"/>
    </row>
    <row r="2024" spans="1:2" x14ac:dyDescent="0.25">
      <c r="A2024" s="67"/>
      <c r="B2024" s="67"/>
    </row>
    <row r="2025" spans="1:2" x14ac:dyDescent="0.25">
      <c r="A2025" s="67"/>
      <c r="B2025" s="67"/>
    </row>
    <row r="2026" spans="1:2" x14ac:dyDescent="0.25">
      <c r="A2026" s="67"/>
      <c r="B2026" s="67"/>
    </row>
    <row r="2027" spans="1:2" x14ac:dyDescent="0.25">
      <c r="A2027" s="67"/>
      <c r="B2027" s="67"/>
    </row>
    <row r="2028" spans="1:2" x14ac:dyDescent="0.25">
      <c r="A2028" s="67"/>
      <c r="B2028" s="67"/>
    </row>
    <row r="2029" spans="1:2" x14ac:dyDescent="0.25">
      <c r="A2029" s="67"/>
      <c r="B2029" s="67"/>
    </row>
    <row r="2030" spans="1:2" x14ac:dyDescent="0.25">
      <c r="A2030" s="67"/>
      <c r="B2030" s="67"/>
    </row>
    <row r="2031" spans="1:2" x14ac:dyDescent="0.25">
      <c r="A2031" s="67"/>
      <c r="B2031" s="67"/>
    </row>
    <row r="2032" spans="1:2" x14ac:dyDescent="0.25">
      <c r="A2032" s="67"/>
      <c r="B2032" s="67"/>
    </row>
    <row r="2033" spans="1:2" x14ac:dyDescent="0.25">
      <c r="A2033" s="67"/>
      <c r="B2033" s="67"/>
    </row>
    <row r="2034" spans="1:2" x14ac:dyDescent="0.25">
      <c r="A2034" s="67"/>
      <c r="B2034" s="67"/>
    </row>
    <row r="2035" spans="1:2" x14ac:dyDescent="0.25">
      <c r="A2035" s="67"/>
      <c r="B2035" s="67"/>
    </row>
    <row r="2036" spans="1:2" x14ac:dyDescent="0.25">
      <c r="A2036" s="67"/>
      <c r="B2036" s="67"/>
    </row>
    <row r="2037" spans="1:2" x14ac:dyDescent="0.25">
      <c r="A2037" s="67"/>
      <c r="B2037" s="67"/>
    </row>
    <row r="2038" spans="1:2" x14ac:dyDescent="0.25">
      <c r="A2038" s="67"/>
      <c r="B2038" s="67"/>
    </row>
    <row r="2039" spans="1:2" x14ac:dyDescent="0.25">
      <c r="A2039" s="67"/>
      <c r="B2039" s="67"/>
    </row>
    <row r="2040" spans="1:2" x14ac:dyDescent="0.25">
      <c r="A2040" s="67"/>
      <c r="B2040" s="67"/>
    </row>
    <row r="2041" spans="1:2" x14ac:dyDescent="0.25">
      <c r="A2041" s="67"/>
      <c r="B2041" s="67"/>
    </row>
    <row r="2042" spans="1:2" x14ac:dyDescent="0.25">
      <c r="A2042" s="67"/>
      <c r="B2042" s="67"/>
    </row>
    <row r="2043" spans="1:2" x14ac:dyDescent="0.25">
      <c r="A2043" s="67"/>
      <c r="B2043" s="67"/>
    </row>
    <row r="2044" spans="1:2" x14ac:dyDescent="0.25">
      <c r="A2044" s="67"/>
      <c r="B2044" s="67"/>
    </row>
    <row r="2045" spans="1:2" x14ac:dyDescent="0.25">
      <c r="A2045" s="67"/>
      <c r="B2045" s="67"/>
    </row>
    <row r="2046" spans="1:2" x14ac:dyDescent="0.25">
      <c r="A2046" s="67"/>
      <c r="B2046" s="67"/>
    </row>
    <row r="2047" spans="1:2" x14ac:dyDescent="0.25">
      <c r="A2047" s="67"/>
      <c r="B2047" s="67"/>
    </row>
    <row r="2048" spans="1:2" x14ac:dyDescent="0.25">
      <c r="A2048" s="67"/>
      <c r="B2048" s="67"/>
    </row>
    <row r="2049" spans="1:2" x14ac:dyDescent="0.25">
      <c r="A2049" s="67"/>
      <c r="B2049" s="67"/>
    </row>
    <row r="2050" spans="1:2" x14ac:dyDescent="0.25">
      <c r="A2050" s="67"/>
      <c r="B2050" s="67"/>
    </row>
    <row r="2051" spans="1:2" x14ac:dyDescent="0.25">
      <c r="A2051" s="67"/>
      <c r="B2051" s="67"/>
    </row>
    <row r="2052" spans="1:2" x14ac:dyDescent="0.25">
      <c r="A2052" s="67"/>
      <c r="B2052" s="67"/>
    </row>
    <row r="2053" spans="1:2" x14ac:dyDescent="0.25">
      <c r="A2053" s="67"/>
      <c r="B2053" s="67"/>
    </row>
    <row r="2054" spans="1:2" x14ac:dyDescent="0.25">
      <c r="A2054" s="67"/>
      <c r="B2054" s="67"/>
    </row>
    <row r="2055" spans="1:2" x14ac:dyDescent="0.25">
      <c r="A2055" s="67"/>
      <c r="B2055" s="67"/>
    </row>
    <row r="2056" spans="1:2" x14ac:dyDescent="0.25">
      <c r="A2056" s="67"/>
      <c r="B2056" s="67"/>
    </row>
    <row r="2057" spans="1:2" x14ac:dyDescent="0.25">
      <c r="A2057" s="67"/>
      <c r="B2057" s="67"/>
    </row>
    <row r="2058" spans="1:2" x14ac:dyDescent="0.25">
      <c r="A2058" s="67"/>
      <c r="B2058" s="67"/>
    </row>
    <row r="2059" spans="1:2" x14ac:dyDescent="0.25">
      <c r="A2059" s="67"/>
      <c r="B2059" s="67"/>
    </row>
    <row r="2060" spans="1:2" x14ac:dyDescent="0.25">
      <c r="A2060" s="67"/>
      <c r="B2060" s="67"/>
    </row>
    <row r="2061" spans="1:2" x14ac:dyDescent="0.25">
      <c r="A2061" s="67"/>
      <c r="B2061" s="67"/>
    </row>
    <row r="2062" spans="1:2" x14ac:dyDescent="0.25">
      <c r="A2062" s="67"/>
      <c r="B2062" s="67"/>
    </row>
    <row r="2063" spans="1:2" x14ac:dyDescent="0.25">
      <c r="A2063" s="67"/>
      <c r="B2063" s="67"/>
    </row>
    <row r="2064" spans="1:2" x14ac:dyDescent="0.25">
      <c r="A2064" s="67"/>
      <c r="B2064" s="67"/>
    </row>
    <row r="2065" spans="1:2" x14ac:dyDescent="0.25">
      <c r="A2065" s="67"/>
      <c r="B2065" s="67"/>
    </row>
    <row r="2066" spans="1:2" x14ac:dyDescent="0.25">
      <c r="A2066" s="67"/>
      <c r="B2066" s="67"/>
    </row>
    <row r="2067" spans="1:2" x14ac:dyDescent="0.25">
      <c r="A2067" s="67"/>
      <c r="B2067" s="67"/>
    </row>
    <row r="2068" spans="1:2" x14ac:dyDescent="0.25">
      <c r="A2068" s="67"/>
      <c r="B2068" s="67"/>
    </row>
    <row r="2069" spans="1:2" x14ac:dyDescent="0.25">
      <c r="A2069" s="67"/>
      <c r="B2069" s="67"/>
    </row>
    <row r="2070" spans="1:2" x14ac:dyDescent="0.25">
      <c r="A2070" s="67"/>
      <c r="B2070" s="67"/>
    </row>
    <row r="2071" spans="1:2" x14ac:dyDescent="0.25">
      <c r="A2071" s="67"/>
      <c r="B2071" s="67"/>
    </row>
    <row r="2072" spans="1:2" x14ac:dyDescent="0.25">
      <c r="A2072" s="67"/>
      <c r="B2072" s="67"/>
    </row>
    <row r="2073" spans="1:2" x14ac:dyDescent="0.25">
      <c r="A2073" s="67"/>
      <c r="B2073" s="67"/>
    </row>
    <row r="2074" spans="1:2" x14ac:dyDescent="0.25">
      <c r="A2074" s="67"/>
      <c r="B2074" s="67"/>
    </row>
    <row r="2075" spans="1:2" x14ac:dyDescent="0.25">
      <c r="A2075" s="67"/>
      <c r="B2075" s="67"/>
    </row>
    <row r="2076" spans="1:2" x14ac:dyDescent="0.25">
      <c r="A2076" s="67"/>
      <c r="B2076" s="67"/>
    </row>
    <row r="2077" spans="1:2" x14ac:dyDescent="0.25">
      <c r="A2077" s="67"/>
      <c r="B2077" s="67"/>
    </row>
    <row r="2078" spans="1:2" x14ac:dyDescent="0.25">
      <c r="A2078" s="67"/>
      <c r="B2078" s="67"/>
    </row>
    <row r="2079" spans="1:2" x14ac:dyDescent="0.25">
      <c r="A2079" s="67"/>
      <c r="B2079" s="67"/>
    </row>
    <row r="2080" spans="1:2" x14ac:dyDescent="0.25">
      <c r="A2080" s="67"/>
      <c r="B2080" s="67"/>
    </row>
    <row r="2081" spans="1:2" x14ac:dyDescent="0.25">
      <c r="A2081" s="67"/>
      <c r="B2081" s="67"/>
    </row>
    <row r="2082" spans="1:2" x14ac:dyDescent="0.25">
      <c r="A2082" s="67"/>
      <c r="B2082" s="67"/>
    </row>
    <row r="2083" spans="1:2" x14ac:dyDescent="0.25">
      <c r="A2083" s="67"/>
      <c r="B2083" s="67"/>
    </row>
    <row r="2084" spans="1:2" x14ac:dyDescent="0.25">
      <c r="A2084" s="67"/>
      <c r="B2084" s="67"/>
    </row>
    <row r="2085" spans="1:2" x14ac:dyDescent="0.25">
      <c r="A2085" s="67"/>
      <c r="B2085" s="67"/>
    </row>
    <row r="2086" spans="1:2" x14ac:dyDescent="0.25">
      <c r="A2086" s="67"/>
      <c r="B2086" s="67"/>
    </row>
    <row r="2087" spans="1:2" x14ac:dyDescent="0.25">
      <c r="A2087" s="67"/>
      <c r="B2087" s="67"/>
    </row>
    <row r="2088" spans="1:2" x14ac:dyDescent="0.25">
      <c r="A2088" s="67"/>
      <c r="B2088" s="67"/>
    </row>
    <row r="2089" spans="1:2" x14ac:dyDescent="0.25">
      <c r="A2089" s="67"/>
      <c r="B2089" s="67"/>
    </row>
    <row r="2090" spans="1:2" x14ac:dyDescent="0.25">
      <c r="A2090" s="67"/>
      <c r="B2090" s="67"/>
    </row>
    <row r="2091" spans="1:2" x14ac:dyDescent="0.25">
      <c r="A2091" s="67"/>
      <c r="B2091" s="67"/>
    </row>
    <row r="2092" spans="1:2" x14ac:dyDescent="0.25">
      <c r="A2092" s="67"/>
      <c r="B2092" s="67"/>
    </row>
    <row r="2093" spans="1:2" x14ac:dyDescent="0.25">
      <c r="A2093" s="67"/>
      <c r="B2093" s="67"/>
    </row>
    <row r="2094" spans="1:2" x14ac:dyDescent="0.25">
      <c r="A2094" s="67"/>
      <c r="B2094" s="67"/>
    </row>
    <row r="2095" spans="1:2" x14ac:dyDescent="0.25">
      <c r="A2095" s="67"/>
      <c r="B2095" s="67"/>
    </row>
    <row r="2096" spans="1:2" x14ac:dyDescent="0.25">
      <c r="A2096" s="67"/>
      <c r="B2096" s="67"/>
    </row>
    <row r="2097" spans="1:2" x14ac:dyDescent="0.25">
      <c r="A2097" s="67"/>
      <c r="B2097" s="67"/>
    </row>
    <row r="2098" spans="1:2" x14ac:dyDescent="0.25">
      <c r="A2098" s="67"/>
      <c r="B2098" s="67"/>
    </row>
    <row r="2099" spans="1:2" x14ac:dyDescent="0.25">
      <c r="A2099" s="67"/>
      <c r="B2099" s="67"/>
    </row>
    <row r="2100" spans="1:2" x14ac:dyDescent="0.25">
      <c r="A2100" s="67"/>
      <c r="B2100" s="67"/>
    </row>
    <row r="2101" spans="1:2" x14ac:dyDescent="0.25">
      <c r="A2101" s="67"/>
      <c r="B2101" s="67"/>
    </row>
    <row r="2102" spans="1:2" x14ac:dyDescent="0.25">
      <c r="A2102" s="67"/>
      <c r="B2102" s="67"/>
    </row>
    <row r="2103" spans="1:2" x14ac:dyDescent="0.25">
      <c r="A2103" s="67"/>
      <c r="B2103" s="67"/>
    </row>
    <row r="2104" spans="1:2" x14ac:dyDescent="0.25">
      <c r="A2104" s="67"/>
      <c r="B2104" s="67"/>
    </row>
    <row r="2105" spans="1:2" x14ac:dyDescent="0.25">
      <c r="A2105" s="67"/>
      <c r="B2105" s="67"/>
    </row>
    <row r="2106" spans="1:2" x14ac:dyDescent="0.25">
      <c r="A2106" s="67"/>
      <c r="B2106" s="67"/>
    </row>
    <row r="2107" spans="1:2" x14ac:dyDescent="0.25">
      <c r="A2107" s="67"/>
      <c r="B2107" s="67"/>
    </row>
    <row r="2108" spans="1:2" x14ac:dyDescent="0.25">
      <c r="A2108" s="67"/>
      <c r="B2108" s="67"/>
    </row>
    <row r="2109" spans="1:2" x14ac:dyDescent="0.25">
      <c r="A2109" s="67"/>
      <c r="B2109" s="67"/>
    </row>
    <row r="2110" spans="1:2" x14ac:dyDescent="0.25">
      <c r="A2110" s="67"/>
      <c r="B2110" s="67"/>
    </row>
    <row r="2111" spans="1:2" x14ac:dyDescent="0.25">
      <c r="A2111" s="67"/>
      <c r="B2111" s="67"/>
    </row>
    <row r="2112" spans="1:2" x14ac:dyDescent="0.25">
      <c r="A2112" s="67"/>
      <c r="B2112" s="67"/>
    </row>
    <row r="2113" spans="1:2" x14ac:dyDescent="0.25">
      <c r="A2113" s="67"/>
      <c r="B2113" s="67"/>
    </row>
    <row r="2114" spans="1:2" x14ac:dyDescent="0.25">
      <c r="A2114" s="67"/>
      <c r="B2114" s="67"/>
    </row>
    <row r="2115" spans="1:2" x14ac:dyDescent="0.25">
      <c r="A2115" s="67"/>
      <c r="B2115" s="67"/>
    </row>
    <row r="2116" spans="1:2" x14ac:dyDescent="0.25">
      <c r="A2116" s="67"/>
      <c r="B2116" s="67"/>
    </row>
    <row r="2117" spans="1:2" x14ac:dyDescent="0.25">
      <c r="A2117" s="67"/>
      <c r="B2117" s="67"/>
    </row>
    <row r="2118" spans="1:2" x14ac:dyDescent="0.25">
      <c r="A2118" s="67"/>
      <c r="B2118" s="67"/>
    </row>
    <row r="2119" spans="1:2" x14ac:dyDescent="0.25">
      <c r="A2119" s="67"/>
      <c r="B2119" s="67"/>
    </row>
    <row r="2120" spans="1:2" x14ac:dyDescent="0.25">
      <c r="A2120" s="67"/>
      <c r="B2120" s="67"/>
    </row>
    <row r="2121" spans="1:2" x14ac:dyDescent="0.25">
      <c r="A2121" s="67"/>
      <c r="B2121" s="67"/>
    </row>
    <row r="2122" spans="1:2" x14ac:dyDescent="0.25">
      <c r="A2122" s="67"/>
      <c r="B2122" s="67"/>
    </row>
    <row r="2123" spans="1:2" x14ac:dyDescent="0.25">
      <c r="A2123" s="67"/>
      <c r="B2123" s="67"/>
    </row>
    <row r="2124" spans="1:2" x14ac:dyDescent="0.25">
      <c r="A2124" s="67"/>
      <c r="B2124" s="67"/>
    </row>
    <row r="2125" spans="1:2" x14ac:dyDescent="0.25">
      <c r="A2125" s="67"/>
      <c r="B2125" s="67"/>
    </row>
    <row r="2126" spans="1:2" x14ac:dyDescent="0.25">
      <c r="A2126" s="67"/>
      <c r="B2126" s="67"/>
    </row>
    <row r="2127" spans="1:2" x14ac:dyDescent="0.25">
      <c r="A2127" s="67"/>
      <c r="B2127" s="67"/>
    </row>
    <row r="2128" spans="1:2" x14ac:dyDescent="0.25">
      <c r="A2128" s="67"/>
      <c r="B2128" s="67"/>
    </row>
    <row r="2129" spans="1:2" x14ac:dyDescent="0.25">
      <c r="A2129" s="67"/>
      <c r="B2129" s="67"/>
    </row>
    <row r="2130" spans="1:2" x14ac:dyDescent="0.25">
      <c r="A2130" s="67"/>
      <c r="B2130" s="67"/>
    </row>
    <row r="2131" spans="1:2" x14ac:dyDescent="0.25">
      <c r="A2131" s="67"/>
      <c r="B2131" s="67"/>
    </row>
    <row r="2132" spans="1:2" x14ac:dyDescent="0.25">
      <c r="A2132" s="67"/>
      <c r="B2132" s="67"/>
    </row>
    <row r="2133" spans="1:2" x14ac:dyDescent="0.25">
      <c r="A2133" s="67"/>
      <c r="B2133" s="67"/>
    </row>
    <row r="2134" spans="1:2" x14ac:dyDescent="0.25">
      <c r="A2134" s="67"/>
      <c r="B2134" s="67"/>
    </row>
    <row r="2135" spans="1:2" x14ac:dyDescent="0.25">
      <c r="A2135" s="67"/>
      <c r="B2135" s="67"/>
    </row>
    <row r="2136" spans="1:2" x14ac:dyDescent="0.25">
      <c r="A2136" s="67"/>
      <c r="B2136" s="67"/>
    </row>
    <row r="2137" spans="1:2" x14ac:dyDescent="0.25">
      <c r="A2137" s="67"/>
      <c r="B2137" s="67"/>
    </row>
    <row r="2138" spans="1:2" x14ac:dyDescent="0.25">
      <c r="A2138" s="67"/>
      <c r="B2138" s="67"/>
    </row>
    <row r="2139" spans="1:2" x14ac:dyDescent="0.25">
      <c r="A2139" s="67"/>
      <c r="B2139" s="67"/>
    </row>
    <row r="2140" spans="1:2" x14ac:dyDescent="0.25">
      <c r="A2140" s="67"/>
      <c r="B2140" s="67"/>
    </row>
    <row r="2141" spans="1:2" x14ac:dyDescent="0.25">
      <c r="A2141" s="67"/>
      <c r="B2141" s="67"/>
    </row>
    <row r="2142" spans="1:2" x14ac:dyDescent="0.25">
      <c r="A2142" s="67"/>
      <c r="B2142" s="67"/>
    </row>
    <row r="2143" spans="1:2" x14ac:dyDescent="0.25">
      <c r="A2143" s="67"/>
      <c r="B2143" s="67"/>
    </row>
    <row r="2144" spans="1:2" x14ac:dyDescent="0.25">
      <c r="A2144" s="67"/>
      <c r="B2144" s="67"/>
    </row>
    <row r="2145" spans="1:2" x14ac:dyDescent="0.25">
      <c r="A2145" s="67"/>
      <c r="B2145" s="67"/>
    </row>
    <row r="2146" spans="1:2" x14ac:dyDescent="0.25">
      <c r="A2146" s="67"/>
      <c r="B2146" s="67"/>
    </row>
    <row r="2147" spans="1:2" x14ac:dyDescent="0.25">
      <c r="A2147" s="67"/>
      <c r="B2147" s="67"/>
    </row>
    <row r="2148" spans="1:2" x14ac:dyDescent="0.25">
      <c r="A2148" s="67"/>
      <c r="B2148" s="67"/>
    </row>
    <row r="2149" spans="1:2" x14ac:dyDescent="0.25">
      <c r="A2149" s="67"/>
      <c r="B2149" s="67"/>
    </row>
    <row r="2150" spans="1:2" x14ac:dyDescent="0.25">
      <c r="A2150" s="67"/>
      <c r="B2150" s="67"/>
    </row>
    <row r="2151" spans="1:2" x14ac:dyDescent="0.25">
      <c r="A2151" s="67"/>
      <c r="B2151" s="67"/>
    </row>
    <row r="2152" spans="1:2" x14ac:dyDescent="0.25">
      <c r="A2152" s="67"/>
      <c r="B2152" s="67"/>
    </row>
    <row r="2153" spans="1:2" x14ac:dyDescent="0.25">
      <c r="A2153" s="67"/>
      <c r="B2153" s="67"/>
    </row>
    <row r="2154" spans="1:2" x14ac:dyDescent="0.25">
      <c r="A2154" s="67"/>
      <c r="B2154" s="67"/>
    </row>
    <row r="2155" spans="1:2" x14ac:dyDescent="0.25">
      <c r="A2155" s="67"/>
      <c r="B2155" s="67"/>
    </row>
    <row r="2156" spans="1:2" x14ac:dyDescent="0.25">
      <c r="A2156" s="67"/>
      <c r="B2156" s="67"/>
    </row>
    <row r="2157" spans="1:2" x14ac:dyDescent="0.25">
      <c r="A2157" s="67"/>
      <c r="B2157" s="67"/>
    </row>
    <row r="2158" spans="1:2" x14ac:dyDescent="0.25">
      <c r="A2158" s="67"/>
      <c r="B2158" s="67"/>
    </row>
    <row r="2159" spans="1:2" x14ac:dyDescent="0.25">
      <c r="A2159" s="67"/>
      <c r="B2159" s="67"/>
    </row>
    <row r="2160" spans="1:2" x14ac:dyDescent="0.25">
      <c r="A2160" s="67"/>
      <c r="B2160" s="67"/>
    </row>
    <row r="2161" spans="1:2" x14ac:dyDescent="0.25">
      <c r="A2161" s="67"/>
      <c r="B2161" s="67"/>
    </row>
    <row r="2162" spans="1:2" x14ac:dyDescent="0.25">
      <c r="A2162" s="67"/>
      <c r="B2162" s="67"/>
    </row>
    <row r="2163" spans="1:2" x14ac:dyDescent="0.25">
      <c r="A2163" s="67"/>
      <c r="B2163" s="67"/>
    </row>
    <row r="2164" spans="1:2" x14ac:dyDescent="0.25">
      <c r="A2164" s="67"/>
      <c r="B2164" s="67"/>
    </row>
    <row r="2165" spans="1:2" x14ac:dyDescent="0.25">
      <c r="A2165" s="67"/>
      <c r="B2165" s="67"/>
    </row>
    <row r="2166" spans="1:2" x14ac:dyDescent="0.25">
      <c r="A2166" s="67"/>
      <c r="B2166" s="67"/>
    </row>
    <row r="2167" spans="1:2" x14ac:dyDescent="0.25">
      <c r="A2167" s="67"/>
      <c r="B2167" s="67"/>
    </row>
    <row r="2168" spans="1:2" x14ac:dyDescent="0.25">
      <c r="A2168" s="67"/>
      <c r="B2168" s="67"/>
    </row>
    <row r="2169" spans="1:2" x14ac:dyDescent="0.25">
      <c r="A2169" s="67"/>
      <c r="B2169" s="67"/>
    </row>
    <row r="2170" spans="1:2" x14ac:dyDescent="0.25">
      <c r="A2170" s="67"/>
      <c r="B2170" s="67"/>
    </row>
    <row r="2171" spans="1:2" x14ac:dyDescent="0.25">
      <c r="A2171" s="67"/>
      <c r="B2171" s="67"/>
    </row>
    <row r="2172" spans="1:2" x14ac:dyDescent="0.25">
      <c r="A2172" s="67"/>
      <c r="B2172" s="67"/>
    </row>
    <row r="2173" spans="1:2" x14ac:dyDescent="0.25">
      <c r="A2173" s="67"/>
      <c r="B2173" s="67"/>
    </row>
    <row r="2174" spans="1:2" x14ac:dyDescent="0.25">
      <c r="A2174" s="67"/>
      <c r="B2174" s="67"/>
    </row>
    <row r="2175" spans="1:2" x14ac:dyDescent="0.25">
      <c r="A2175" s="67"/>
      <c r="B2175" s="67"/>
    </row>
    <row r="2176" spans="1:2" x14ac:dyDescent="0.25">
      <c r="A2176" s="67"/>
      <c r="B2176" s="67"/>
    </row>
    <row r="2177" spans="1:2" x14ac:dyDescent="0.25">
      <c r="A2177" s="67"/>
      <c r="B2177" s="67"/>
    </row>
    <row r="2178" spans="1:2" x14ac:dyDescent="0.25">
      <c r="A2178" s="67"/>
      <c r="B2178" s="67"/>
    </row>
    <row r="2179" spans="1:2" x14ac:dyDescent="0.25">
      <c r="A2179" s="67"/>
      <c r="B2179" s="67"/>
    </row>
    <row r="2180" spans="1:2" x14ac:dyDescent="0.25">
      <c r="A2180" s="67"/>
      <c r="B2180" s="67"/>
    </row>
    <row r="2181" spans="1:2" x14ac:dyDescent="0.25">
      <c r="A2181" s="67"/>
      <c r="B2181" s="67"/>
    </row>
    <row r="2182" spans="1:2" x14ac:dyDescent="0.25">
      <c r="A2182" s="67"/>
      <c r="B2182" s="67"/>
    </row>
    <row r="2183" spans="1:2" x14ac:dyDescent="0.25">
      <c r="A2183" s="67"/>
      <c r="B2183" s="67"/>
    </row>
    <row r="2184" spans="1:2" x14ac:dyDescent="0.25">
      <c r="A2184" s="67"/>
      <c r="B2184" s="67"/>
    </row>
    <row r="2185" spans="1:2" x14ac:dyDescent="0.25">
      <c r="A2185" s="67"/>
      <c r="B2185" s="67"/>
    </row>
    <row r="2186" spans="1:2" x14ac:dyDescent="0.25">
      <c r="A2186" s="67"/>
      <c r="B2186" s="67"/>
    </row>
    <row r="2187" spans="1:2" x14ac:dyDescent="0.25">
      <c r="A2187" s="67"/>
      <c r="B2187" s="67"/>
    </row>
    <row r="2188" spans="1:2" x14ac:dyDescent="0.25">
      <c r="A2188" s="67"/>
      <c r="B2188" s="67"/>
    </row>
    <row r="2189" spans="1:2" x14ac:dyDescent="0.25">
      <c r="A2189" s="67"/>
      <c r="B2189" s="67"/>
    </row>
    <row r="2190" spans="1:2" x14ac:dyDescent="0.25">
      <c r="A2190" s="67"/>
      <c r="B2190" s="67"/>
    </row>
    <row r="2191" spans="1:2" x14ac:dyDescent="0.25">
      <c r="A2191" s="67"/>
      <c r="B2191" s="67"/>
    </row>
    <row r="2192" spans="1:2" x14ac:dyDescent="0.25">
      <c r="A2192" s="67"/>
      <c r="B2192" s="67"/>
    </row>
    <row r="2193" spans="1:2" x14ac:dyDescent="0.25">
      <c r="A2193" s="67"/>
      <c r="B2193" s="67"/>
    </row>
    <row r="2194" spans="1:2" x14ac:dyDescent="0.25">
      <c r="A2194" s="67"/>
      <c r="B2194" s="67"/>
    </row>
    <row r="2195" spans="1:2" x14ac:dyDescent="0.25">
      <c r="A2195" s="67"/>
      <c r="B2195" s="67"/>
    </row>
    <row r="2196" spans="1:2" x14ac:dyDescent="0.25">
      <c r="A2196" s="67"/>
      <c r="B2196" s="67"/>
    </row>
    <row r="2197" spans="1:2" x14ac:dyDescent="0.25">
      <c r="A2197" s="67"/>
      <c r="B2197" s="67"/>
    </row>
    <row r="2198" spans="1:2" x14ac:dyDescent="0.25">
      <c r="A2198" s="67"/>
      <c r="B2198" s="67"/>
    </row>
    <row r="2199" spans="1:2" x14ac:dyDescent="0.25">
      <c r="A2199" s="67"/>
      <c r="B2199" s="67"/>
    </row>
    <row r="2200" spans="1:2" x14ac:dyDescent="0.25">
      <c r="A2200" s="67"/>
      <c r="B2200" s="67"/>
    </row>
    <row r="2201" spans="1:2" x14ac:dyDescent="0.25">
      <c r="A2201" s="67"/>
      <c r="B2201" s="67"/>
    </row>
    <row r="2202" spans="1:2" x14ac:dyDescent="0.25">
      <c r="A2202" s="67"/>
      <c r="B2202" s="67"/>
    </row>
    <row r="2203" spans="1:2" x14ac:dyDescent="0.25">
      <c r="A2203" s="67"/>
      <c r="B2203" s="67"/>
    </row>
    <row r="2204" spans="1:2" x14ac:dyDescent="0.25">
      <c r="A2204" s="67"/>
      <c r="B2204" s="67"/>
    </row>
    <row r="2205" spans="1:2" x14ac:dyDescent="0.25">
      <c r="A2205" s="67"/>
      <c r="B2205" s="67"/>
    </row>
    <row r="2206" spans="1:2" x14ac:dyDescent="0.25">
      <c r="A2206" s="67"/>
      <c r="B2206" s="67"/>
    </row>
    <row r="2207" spans="1:2" x14ac:dyDescent="0.25">
      <c r="A2207" s="67"/>
      <c r="B2207" s="67"/>
    </row>
    <row r="2208" spans="1:2" x14ac:dyDescent="0.25">
      <c r="A2208" s="67"/>
      <c r="B2208" s="67"/>
    </row>
    <row r="2209" spans="1:2" x14ac:dyDescent="0.25">
      <c r="A2209" s="67"/>
      <c r="B2209" s="67"/>
    </row>
    <row r="2210" spans="1:2" x14ac:dyDescent="0.25">
      <c r="A2210" s="67"/>
      <c r="B2210" s="67"/>
    </row>
    <row r="2211" spans="1:2" x14ac:dyDescent="0.25">
      <c r="A2211" s="67"/>
      <c r="B2211" s="67"/>
    </row>
    <row r="2212" spans="1:2" x14ac:dyDescent="0.25">
      <c r="A2212" s="67"/>
      <c r="B2212" s="67"/>
    </row>
    <row r="2213" spans="1:2" x14ac:dyDescent="0.25">
      <c r="A2213" s="67"/>
      <c r="B2213" s="67"/>
    </row>
    <row r="2214" spans="1:2" x14ac:dyDescent="0.25">
      <c r="A2214" s="67"/>
      <c r="B2214" s="67"/>
    </row>
    <row r="2215" spans="1:2" x14ac:dyDescent="0.25">
      <c r="A2215" s="67"/>
      <c r="B2215" s="67"/>
    </row>
    <row r="2216" spans="1:2" x14ac:dyDescent="0.25">
      <c r="A2216" s="67"/>
      <c r="B2216" s="67"/>
    </row>
    <row r="2217" spans="1:2" x14ac:dyDescent="0.25">
      <c r="A2217" s="67"/>
      <c r="B2217" s="67"/>
    </row>
    <row r="2218" spans="1:2" x14ac:dyDescent="0.25">
      <c r="A2218" s="67"/>
      <c r="B2218" s="67"/>
    </row>
    <row r="2219" spans="1:2" x14ac:dyDescent="0.25">
      <c r="A2219" s="67"/>
      <c r="B2219" s="67"/>
    </row>
    <row r="2220" spans="1:2" x14ac:dyDescent="0.25">
      <c r="A2220" s="67"/>
      <c r="B2220" s="67"/>
    </row>
    <row r="2221" spans="1:2" x14ac:dyDescent="0.25">
      <c r="A2221" s="67"/>
      <c r="B2221" s="67"/>
    </row>
    <row r="2222" spans="1:2" x14ac:dyDescent="0.25">
      <c r="A2222" s="67"/>
      <c r="B2222" s="67"/>
    </row>
    <row r="2223" spans="1:2" x14ac:dyDescent="0.25">
      <c r="A2223" s="67"/>
      <c r="B2223" s="67"/>
    </row>
    <row r="2224" spans="1:2" x14ac:dyDescent="0.25">
      <c r="A2224" s="67"/>
      <c r="B2224" s="67"/>
    </row>
    <row r="2225" spans="1:2" x14ac:dyDescent="0.25">
      <c r="A2225" s="67"/>
      <c r="B2225" s="67"/>
    </row>
    <row r="2226" spans="1:2" x14ac:dyDescent="0.25">
      <c r="A2226" s="67"/>
      <c r="B2226" s="67"/>
    </row>
    <row r="2227" spans="1:2" x14ac:dyDescent="0.25">
      <c r="A2227" s="67"/>
      <c r="B2227" s="67"/>
    </row>
    <row r="2228" spans="1:2" x14ac:dyDescent="0.25">
      <c r="A2228" s="67"/>
      <c r="B2228" s="67"/>
    </row>
    <row r="2229" spans="1:2" x14ac:dyDescent="0.25">
      <c r="A2229" s="67"/>
      <c r="B2229" s="67"/>
    </row>
    <row r="2230" spans="1:2" x14ac:dyDescent="0.25">
      <c r="A2230" s="67"/>
      <c r="B2230" s="67"/>
    </row>
    <row r="2231" spans="1:2" x14ac:dyDescent="0.25">
      <c r="A2231" s="67"/>
      <c r="B2231" s="67"/>
    </row>
    <row r="2232" spans="1:2" x14ac:dyDescent="0.25">
      <c r="A2232" s="67"/>
      <c r="B2232" s="67"/>
    </row>
    <row r="2233" spans="1:2" x14ac:dyDescent="0.25">
      <c r="A2233" s="67"/>
      <c r="B2233" s="67"/>
    </row>
    <row r="2234" spans="1:2" x14ac:dyDescent="0.25">
      <c r="A2234" s="67"/>
      <c r="B2234" s="67"/>
    </row>
    <row r="2235" spans="1:2" x14ac:dyDescent="0.25">
      <c r="A2235" s="67"/>
      <c r="B2235" s="67"/>
    </row>
    <row r="2236" spans="1:2" x14ac:dyDescent="0.25">
      <c r="A2236" s="67"/>
      <c r="B2236" s="67"/>
    </row>
    <row r="2237" spans="1:2" x14ac:dyDescent="0.25">
      <c r="A2237" s="67"/>
      <c r="B2237" s="67"/>
    </row>
    <row r="2238" spans="1:2" x14ac:dyDescent="0.25">
      <c r="A2238" s="67"/>
      <c r="B2238" s="67"/>
    </row>
    <row r="2239" spans="1:2" x14ac:dyDescent="0.25">
      <c r="A2239" s="67"/>
      <c r="B2239" s="67"/>
    </row>
    <row r="2240" spans="1:2" x14ac:dyDescent="0.25">
      <c r="A2240" s="67"/>
      <c r="B2240" s="67"/>
    </row>
    <row r="2241" spans="1:2" x14ac:dyDescent="0.25">
      <c r="A2241" s="67"/>
      <c r="B2241" s="67"/>
    </row>
    <row r="2242" spans="1:2" x14ac:dyDescent="0.25">
      <c r="A2242" s="67"/>
      <c r="B2242" s="67"/>
    </row>
    <row r="2243" spans="1:2" x14ac:dyDescent="0.25">
      <c r="A2243" s="67"/>
      <c r="B2243" s="67"/>
    </row>
    <row r="2244" spans="1:2" x14ac:dyDescent="0.25">
      <c r="A2244" s="67"/>
      <c r="B2244" s="67"/>
    </row>
    <row r="2245" spans="1:2" x14ac:dyDescent="0.25">
      <c r="A2245" s="67"/>
      <c r="B2245" s="67"/>
    </row>
    <row r="2246" spans="1:2" x14ac:dyDescent="0.25">
      <c r="A2246" s="67"/>
      <c r="B2246" s="67"/>
    </row>
    <row r="2247" spans="1:2" x14ac:dyDescent="0.25">
      <c r="A2247" s="67"/>
      <c r="B2247" s="67"/>
    </row>
    <row r="2248" spans="1:2" x14ac:dyDescent="0.25">
      <c r="A2248" s="67"/>
      <c r="B2248" s="67"/>
    </row>
    <row r="2249" spans="1:2" x14ac:dyDescent="0.25">
      <c r="A2249" s="67"/>
      <c r="B2249" s="67"/>
    </row>
    <row r="2250" spans="1:2" x14ac:dyDescent="0.25">
      <c r="A2250" s="67"/>
      <c r="B2250" s="67"/>
    </row>
    <row r="2251" spans="1:2" x14ac:dyDescent="0.25">
      <c r="A2251" s="67"/>
      <c r="B2251" s="67"/>
    </row>
    <row r="2252" spans="1:2" x14ac:dyDescent="0.25">
      <c r="A2252" s="67"/>
      <c r="B2252" s="67"/>
    </row>
    <row r="2253" spans="1:2" x14ac:dyDescent="0.25">
      <c r="A2253" s="67"/>
      <c r="B2253" s="67"/>
    </row>
    <row r="2254" spans="1:2" x14ac:dyDescent="0.25">
      <c r="A2254" s="67"/>
      <c r="B2254" s="67"/>
    </row>
    <row r="2255" spans="1:2" x14ac:dyDescent="0.25">
      <c r="A2255" s="67"/>
      <c r="B2255" s="67"/>
    </row>
    <row r="2256" spans="1:2" x14ac:dyDescent="0.25">
      <c r="A2256" s="67"/>
      <c r="B2256" s="67"/>
    </row>
    <row r="2257" spans="1:2" x14ac:dyDescent="0.25">
      <c r="A2257" s="67"/>
      <c r="B2257" s="67"/>
    </row>
    <row r="2258" spans="1:2" x14ac:dyDescent="0.25">
      <c r="A2258" s="67"/>
      <c r="B2258" s="67"/>
    </row>
    <row r="2259" spans="1:2" x14ac:dyDescent="0.25">
      <c r="A2259" s="67"/>
      <c r="B2259" s="67"/>
    </row>
    <row r="2260" spans="1:2" x14ac:dyDescent="0.25">
      <c r="A2260" s="67"/>
      <c r="B2260" s="67"/>
    </row>
    <row r="2261" spans="1:2" x14ac:dyDescent="0.25">
      <c r="A2261" s="67"/>
      <c r="B2261" s="67"/>
    </row>
    <row r="2262" spans="1:2" x14ac:dyDescent="0.25">
      <c r="A2262" s="67"/>
      <c r="B2262" s="67"/>
    </row>
    <row r="2263" spans="1:2" x14ac:dyDescent="0.25">
      <c r="A2263" s="67"/>
      <c r="B2263" s="67"/>
    </row>
    <row r="2264" spans="1:2" x14ac:dyDescent="0.25">
      <c r="A2264" s="67"/>
      <c r="B2264" s="67"/>
    </row>
    <row r="2265" spans="1:2" x14ac:dyDescent="0.25">
      <c r="A2265" s="67"/>
      <c r="B2265" s="67"/>
    </row>
    <row r="2266" spans="1:2" x14ac:dyDescent="0.25">
      <c r="A2266" s="67"/>
      <c r="B2266" s="67"/>
    </row>
    <row r="2267" spans="1:2" x14ac:dyDescent="0.25">
      <c r="A2267" s="67"/>
      <c r="B2267" s="67"/>
    </row>
    <row r="2268" spans="1:2" x14ac:dyDescent="0.25">
      <c r="A2268" s="67"/>
      <c r="B2268" s="67"/>
    </row>
    <row r="2269" spans="1:2" x14ac:dyDescent="0.25">
      <c r="A2269" s="67"/>
      <c r="B2269" s="67"/>
    </row>
    <row r="2270" spans="1:2" x14ac:dyDescent="0.25">
      <c r="A2270" s="67"/>
      <c r="B2270" s="67"/>
    </row>
    <row r="2271" spans="1:2" x14ac:dyDescent="0.25">
      <c r="A2271" s="67"/>
      <c r="B2271" s="67"/>
    </row>
    <row r="2272" spans="1:2" x14ac:dyDescent="0.25">
      <c r="A2272" s="67"/>
      <c r="B2272" s="67"/>
    </row>
    <row r="2273" spans="1:2" x14ac:dyDescent="0.25">
      <c r="A2273" s="67"/>
      <c r="B2273" s="67"/>
    </row>
    <row r="2274" spans="1:2" x14ac:dyDescent="0.25">
      <c r="A2274" s="67"/>
      <c r="B2274" s="67"/>
    </row>
    <row r="2275" spans="1:2" x14ac:dyDescent="0.25">
      <c r="A2275" s="67"/>
      <c r="B2275" s="67"/>
    </row>
    <row r="2276" spans="1:2" x14ac:dyDescent="0.25">
      <c r="A2276" s="67"/>
      <c r="B2276" s="67"/>
    </row>
    <row r="2277" spans="1:2" x14ac:dyDescent="0.25">
      <c r="A2277" s="67"/>
      <c r="B2277" s="67"/>
    </row>
    <row r="2278" spans="1:2" x14ac:dyDescent="0.25">
      <c r="A2278" s="67"/>
      <c r="B2278" s="67"/>
    </row>
    <row r="2279" spans="1:2" x14ac:dyDescent="0.25">
      <c r="A2279" s="67"/>
      <c r="B2279" s="67"/>
    </row>
    <row r="2280" spans="1:2" x14ac:dyDescent="0.25">
      <c r="A2280" s="67"/>
      <c r="B2280" s="67"/>
    </row>
    <row r="2281" spans="1:2" x14ac:dyDescent="0.25">
      <c r="A2281" s="67"/>
      <c r="B2281" s="67"/>
    </row>
    <row r="2282" spans="1:2" x14ac:dyDescent="0.25">
      <c r="A2282" s="67"/>
      <c r="B2282" s="67"/>
    </row>
    <row r="2283" spans="1:2" x14ac:dyDescent="0.25">
      <c r="A2283" s="67"/>
      <c r="B2283" s="67"/>
    </row>
    <row r="2284" spans="1:2" x14ac:dyDescent="0.25">
      <c r="A2284" s="67"/>
      <c r="B2284" s="67"/>
    </row>
    <row r="2285" spans="1:2" x14ac:dyDescent="0.25">
      <c r="A2285" s="67"/>
      <c r="B2285" s="67"/>
    </row>
    <row r="2286" spans="1:2" x14ac:dyDescent="0.25">
      <c r="A2286" s="67"/>
      <c r="B2286" s="67"/>
    </row>
    <row r="2287" spans="1:2" x14ac:dyDescent="0.25">
      <c r="A2287" s="67"/>
      <c r="B2287" s="67"/>
    </row>
    <row r="2288" spans="1:2" x14ac:dyDescent="0.25">
      <c r="A2288" s="67"/>
      <c r="B2288" s="67"/>
    </row>
    <row r="2289" spans="1:2" x14ac:dyDescent="0.25">
      <c r="A2289" s="67"/>
      <c r="B2289" s="67"/>
    </row>
    <row r="2290" spans="1:2" x14ac:dyDescent="0.25">
      <c r="A2290" s="67"/>
      <c r="B2290" s="67"/>
    </row>
    <row r="2291" spans="1:2" x14ac:dyDescent="0.25">
      <c r="A2291" s="67"/>
      <c r="B2291" s="67"/>
    </row>
    <row r="2292" spans="1:2" x14ac:dyDescent="0.25">
      <c r="A2292" s="67"/>
      <c r="B2292" s="67"/>
    </row>
    <row r="2293" spans="1:2" x14ac:dyDescent="0.25">
      <c r="A2293" s="67"/>
      <c r="B2293" s="67"/>
    </row>
    <row r="2294" spans="1:2" x14ac:dyDescent="0.25">
      <c r="A2294" s="67"/>
      <c r="B2294" s="67"/>
    </row>
    <row r="2295" spans="1:2" x14ac:dyDescent="0.25">
      <c r="A2295" s="67"/>
      <c r="B2295" s="67"/>
    </row>
    <row r="2296" spans="1:2" x14ac:dyDescent="0.25">
      <c r="A2296" s="67"/>
      <c r="B2296" s="67"/>
    </row>
    <row r="2297" spans="1:2" x14ac:dyDescent="0.25">
      <c r="A2297" s="67"/>
      <c r="B2297" s="67"/>
    </row>
    <row r="2298" spans="1:2" x14ac:dyDescent="0.25">
      <c r="A2298" s="67"/>
      <c r="B2298" s="67"/>
    </row>
    <row r="2299" spans="1:2" x14ac:dyDescent="0.25">
      <c r="A2299" s="67"/>
      <c r="B2299" s="67"/>
    </row>
    <row r="2300" spans="1:2" x14ac:dyDescent="0.25">
      <c r="A2300" s="67"/>
      <c r="B2300" s="67"/>
    </row>
    <row r="2301" spans="1:2" x14ac:dyDescent="0.25">
      <c r="A2301" s="67"/>
      <c r="B2301" s="67"/>
    </row>
    <row r="2302" spans="1:2" x14ac:dyDescent="0.25">
      <c r="A2302" s="67"/>
      <c r="B2302" s="67"/>
    </row>
    <row r="2303" spans="1:2" x14ac:dyDescent="0.25">
      <c r="A2303" s="67"/>
      <c r="B2303" s="67"/>
    </row>
    <row r="2304" spans="1:2" x14ac:dyDescent="0.25">
      <c r="A2304" s="67"/>
      <c r="B2304" s="67"/>
    </row>
    <row r="2305" spans="1:2" x14ac:dyDescent="0.25">
      <c r="A2305" s="67"/>
      <c r="B2305" s="67"/>
    </row>
    <row r="2306" spans="1:2" x14ac:dyDescent="0.25">
      <c r="A2306" s="67"/>
      <c r="B2306" s="67"/>
    </row>
    <row r="2307" spans="1:2" x14ac:dyDescent="0.25">
      <c r="A2307" s="67"/>
      <c r="B2307" s="67"/>
    </row>
    <row r="2308" spans="1:2" x14ac:dyDescent="0.25">
      <c r="A2308" s="67"/>
      <c r="B2308" s="67"/>
    </row>
    <row r="2309" spans="1:2" x14ac:dyDescent="0.25">
      <c r="A2309" s="67"/>
      <c r="B2309" s="67"/>
    </row>
    <row r="2310" spans="1:2" x14ac:dyDescent="0.25">
      <c r="A2310" s="67"/>
      <c r="B2310" s="67"/>
    </row>
    <row r="2311" spans="1:2" x14ac:dyDescent="0.25">
      <c r="A2311" s="67"/>
      <c r="B2311" s="67"/>
    </row>
    <row r="2312" spans="1:2" x14ac:dyDescent="0.25">
      <c r="A2312" s="67"/>
      <c r="B2312" s="67"/>
    </row>
    <row r="2313" spans="1:2" x14ac:dyDescent="0.25">
      <c r="A2313" s="67"/>
      <c r="B2313" s="67"/>
    </row>
    <row r="2314" spans="1:2" x14ac:dyDescent="0.25">
      <c r="A2314" s="67"/>
      <c r="B2314" s="67"/>
    </row>
    <row r="2315" spans="1:2" x14ac:dyDescent="0.25">
      <c r="A2315" s="67"/>
      <c r="B2315" s="67"/>
    </row>
    <row r="2316" spans="1:2" x14ac:dyDescent="0.25">
      <c r="A2316" s="67"/>
      <c r="B2316" s="67"/>
    </row>
    <row r="2317" spans="1:2" x14ac:dyDescent="0.25">
      <c r="A2317" s="67"/>
      <c r="B2317" s="67"/>
    </row>
    <row r="2318" spans="1:2" x14ac:dyDescent="0.25">
      <c r="A2318" s="67"/>
      <c r="B2318" s="67"/>
    </row>
    <row r="2319" spans="1:2" x14ac:dyDescent="0.25">
      <c r="A2319" s="67"/>
      <c r="B2319" s="67"/>
    </row>
    <row r="2320" spans="1:2" x14ac:dyDescent="0.25">
      <c r="A2320" s="67"/>
      <c r="B2320" s="67"/>
    </row>
    <row r="2321" spans="1:2" x14ac:dyDescent="0.25">
      <c r="A2321" s="67"/>
      <c r="B2321" s="67"/>
    </row>
    <row r="2322" spans="1:2" x14ac:dyDescent="0.25">
      <c r="A2322" s="67"/>
      <c r="B2322" s="67"/>
    </row>
    <row r="2323" spans="1:2" x14ac:dyDescent="0.25">
      <c r="A2323" s="67"/>
      <c r="B2323" s="67"/>
    </row>
    <row r="2324" spans="1:2" x14ac:dyDescent="0.25">
      <c r="A2324" s="67"/>
      <c r="B2324" s="67"/>
    </row>
    <row r="2325" spans="1:2" x14ac:dyDescent="0.25">
      <c r="A2325" s="67"/>
      <c r="B2325" s="67"/>
    </row>
    <row r="2326" spans="1:2" x14ac:dyDescent="0.25">
      <c r="A2326" s="67"/>
      <c r="B2326" s="67"/>
    </row>
    <row r="2327" spans="1:2" x14ac:dyDescent="0.25">
      <c r="A2327" s="67"/>
      <c r="B2327" s="67"/>
    </row>
    <row r="2328" spans="1:2" x14ac:dyDescent="0.25">
      <c r="A2328" s="67"/>
      <c r="B2328" s="67"/>
    </row>
    <row r="2329" spans="1:2" x14ac:dyDescent="0.25">
      <c r="A2329" s="67"/>
      <c r="B2329" s="67"/>
    </row>
    <row r="2330" spans="1:2" x14ac:dyDescent="0.25">
      <c r="A2330" s="67"/>
      <c r="B2330" s="67"/>
    </row>
    <row r="2331" spans="1:2" x14ac:dyDescent="0.25">
      <c r="A2331" s="67"/>
      <c r="B2331" s="67"/>
    </row>
    <row r="2332" spans="1:2" x14ac:dyDescent="0.25">
      <c r="A2332" s="67"/>
      <c r="B2332" s="67"/>
    </row>
    <row r="2333" spans="1:2" x14ac:dyDescent="0.25">
      <c r="A2333" s="67"/>
      <c r="B2333" s="67"/>
    </row>
    <row r="2334" spans="1:2" x14ac:dyDescent="0.25">
      <c r="A2334" s="67"/>
      <c r="B2334" s="67"/>
    </row>
    <row r="2335" spans="1:2" x14ac:dyDescent="0.25">
      <c r="A2335" s="67"/>
      <c r="B2335" s="67"/>
    </row>
    <row r="2336" spans="1:2" x14ac:dyDescent="0.25">
      <c r="A2336" s="67"/>
      <c r="B2336" s="67"/>
    </row>
    <row r="2337" spans="1:2" x14ac:dyDescent="0.25">
      <c r="A2337" s="67"/>
      <c r="B2337" s="67"/>
    </row>
    <row r="2338" spans="1:2" x14ac:dyDescent="0.25">
      <c r="A2338" s="67"/>
      <c r="B2338" s="67"/>
    </row>
    <row r="2339" spans="1:2" x14ac:dyDescent="0.25">
      <c r="A2339" s="67"/>
      <c r="B2339" s="67"/>
    </row>
    <row r="2340" spans="1:2" x14ac:dyDescent="0.25">
      <c r="A2340" s="67"/>
      <c r="B2340" s="67"/>
    </row>
    <row r="2341" spans="1:2" x14ac:dyDescent="0.25">
      <c r="A2341" s="67"/>
      <c r="B2341" s="67"/>
    </row>
    <row r="2342" spans="1:2" x14ac:dyDescent="0.25">
      <c r="A2342" s="67"/>
      <c r="B2342" s="67"/>
    </row>
    <row r="2343" spans="1:2" x14ac:dyDescent="0.25">
      <c r="A2343" s="67"/>
      <c r="B2343" s="67"/>
    </row>
    <row r="2344" spans="1:2" x14ac:dyDescent="0.25">
      <c r="A2344" s="67"/>
      <c r="B2344" s="67"/>
    </row>
    <row r="2345" spans="1:2" x14ac:dyDescent="0.25">
      <c r="A2345" s="67"/>
      <c r="B2345" s="67"/>
    </row>
    <row r="2346" spans="1:2" x14ac:dyDescent="0.25">
      <c r="A2346" s="67"/>
      <c r="B2346" s="67"/>
    </row>
    <row r="2347" spans="1:2" x14ac:dyDescent="0.25">
      <c r="A2347" s="67"/>
      <c r="B2347" s="67"/>
    </row>
    <row r="2348" spans="1:2" x14ac:dyDescent="0.25">
      <c r="A2348" s="67"/>
      <c r="B2348" s="67"/>
    </row>
    <row r="2349" spans="1:2" x14ac:dyDescent="0.25">
      <c r="A2349" s="67"/>
      <c r="B2349" s="67"/>
    </row>
    <row r="2350" spans="1:2" x14ac:dyDescent="0.25">
      <c r="A2350" s="67"/>
      <c r="B2350" s="67"/>
    </row>
    <row r="2351" spans="1:2" x14ac:dyDescent="0.25">
      <c r="A2351" s="67"/>
      <c r="B2351" s="67"/>
    </row>
    <row r="2352" spans="1:2" x14ac:dyDescent="0.25">
      <c r="A2352" s="67"/>
      <c r="B2352" s="67"/>
    </row>
    <row r="2353" spans="1:2" x14ac:dyDescent="0.25">
      <c r="A2353" s="67"/>
      <c r="B2353" s="67"/>
    </row>
    <row r="2354" spans="1:2" x14ac:dyDescent="0.25">
      <c r="A2354" s="67"/>
      <c r="B2354" s="67"/>
    </row>
    <row r="2355" spans="1:2" x14ac:dyDescent="0.25">
      <c r="A2355" s="67"/>
      <c r="B2355" s="67"/>
    </row>
    <row r="2356" spans="1:2" x14ac:dyDescent="0.25">
      <c r="A2356" s="67"/>
      <c r="B2356" s="67"/>
    </row>
    <row r="2357" spans="1:2" x14ac:dyDescent="0.25">
      <c r="A2357" s="67"/>
      <c r="B2357" s="67"/>
    </row>
    <row r="2358" spans="1:2" x14ac:dyDescent="0.25">
      <c r="A2358" s="67"/>
      <c r="B2358" s="67"/>
    </row>
    <row r="2359" spans="1:2" x14ac:dyDescent="0.25">
      <c r="A2359" s="67"/>
      <c r="B2359" s="67"/>
    </row>
    <row r="2360" spans="1:2" x14ac:dyDescent="0.25">
      <c r="A2360" s="67"/>
      <c r="B2360" s="67"/>
    </row>
    <row r="2361" spans="1:2" x14ac:dyDescent="0.25">
      <c r="A2361" s="67"/>
      <c r="B2361" s="67"/>
    </row>
    <row r="2362" spans="1:2" x14ac:dyDescent="0.25">
      <c r="A2362" s="67"/>
      <c r="B2362" s="67"/>
    </row>
    <row r="2363" spans="1:2" x14ac:dyDescent="0.25">
      <c r="A2363" s="67"/>
      <c r="B2363" s="67"/>
    </row>
    <row r="2364" spans="1:2" x14ac:dyDescent="0.25">
      <c r="A2364" s="67"/>
      <c r="B2364" s="67"/>
    </row>
    <row r="2365" spans="1:2" x14ac:dyDescent="0.25">
      <c r="A2365" s="67"/>
      <c r="B2365" s="67"/>
    </row>
    <row r="2366" spans="1:2" x14ac:dyDescent="0.25">
      <c r="A2366" s="67"/>
      <c r="B2366" s="67"/>
    </row>
    <row r="2367" spans="1:2" x14ac:dyDescent="0.25">
      <c r="A2367" s="67"/>
      <c r="B2367" s="67"/>
    </row>
    <row r="2368" spans="1:2" x14ac:dyDescent="0.25">
      <c r="A2368" s="67"/>
      <c r="B2368" s="67"/>
    </row>
    <row r="2369" spans="1:2" x14ac:dyDescent="0.25">
      <c r="A2369" s="67"/>
      <c r="B2369" s="67"/>
    </row>
    <row r="2370" spans="1:2" x14ac:dyDescent="0.25">
      <c r="A2370" s="67"/>
      <c r="B2370" s="67"/>
    </row>
    <row r="2371" spans="1:2" x14ac:dyDescent="0.25">
      <c r="A2371" s="67"/>
      <c r="B2371" s="67"/>
    </row>
    <row r="2372" spans="1:2" x14ac:dyDescent="0.25">
      <c r="A2372" s="67"/>
      <c r="B2372" s="67"/>
    </row>
    <row r="2373" spans="1:2" x14ac:dyDescent="0.25">
      <c r="A2373" s="67"/>
      <c r="B2373" s="67"/>
    </row>
    <row r="2374" spans="1:2" x14ac:dyDescent="0.25">
      <c r="A2374" s="67"/>
      <c r="B2374" s="67"/>
    </row>
    <row r="2375" spans="1:2" x14ac:dyDescent="0.25">
      <c r="A2375" s="67"/>
      <c r="B2375" s="67"/>
    </row>
    <row r="2376" spans="1:2" x14ac:dyDescent="0.25">
      <c r="A2376" s="67"/>
      <c r="B2376" s="67"/>
    </row>
    <row r="2377" spans="1:2" x14ac:dyDescent="0.25">
      <c r="A2377" s="67"/>
      <c r="B2377" s="67"/>
    </row>
    <row r="2378" spans="1:2" x14ac:dyDescent="0.25">
      <c r="A2378" s="67"/>
      <c r="B2378" s="67"/>
    </row>
    <row r="2379" spans="1:2" x14ac:dyDescent="0.25">
      <c r="A2379" s="67"/>
      <c r="B2379" s="67"/>
    </row>
    <row r="2380" spans="1:2" x14ac:dyDescent="0.25">
      <c r="A2380" s="67"/>
      <c r="B2380" s="67"/>
    </row>
    <row r="2381" spans="1:2" x14ac:dyDescent="0.25">
      <c r="A2381" s="67"/>
      <c r="B2381" s="67"/>
    </row>
    <row r="2382" spans="1:2" x14ac:dyDescent="0.25">
      <c r="A2382" s="67"/>
      <c r="B2382" s="67"/>
    </row>
    <row r="2383" spans="1:2" x14ac:dyDescent="0.25">
      <c r="A2383" s="67"/>
      <c r="B2383" s="67"/>
    </row>
    <row r="2384" spans="1:2" x14ac:dyDescent="0.25">
      <c r="A2384" s="67"/>
      <c r="B2384" s="67"/>
    </row>
    <row r="2385" spans="1:2" x14ac:dyDescent="0.25">
      <c r="A2385" s="67"/>
      <c r="B2385" s="67"/>
    </row>
    <row r="2386" spans="1:2" x14ac:dyDescent="0.25">
      <c r="A2386" s="67"/>
      <c r="B2386" s="67"/>
    </row>
    <row r="2387" spans="1:2" x14ac:dyDescent="0.25">
      <c r="A2387" s="67"/>
      <c r="B2387" s="67"/>
    </row>
    <row r="2388" spans="1:2" x14ac:dyDescent="0.25">
      <c r="A2388" s="67"/>
      <c r="B2388" s="67"/>
    </row>
    <row r="2389" spans="1:2" x14ac:dyDescent="0.25">
      <c r="A2389" s="67"/>
      <c r="B2389" s="67"/>
    </row>
    <row r="2390" spans="1:2" x14ac:dyDescent="0.25">
      <c r="A2390" s="67"/>
      <c r="B2390" s="67"/>
    </row>
    <row r="2391" spans="1:2" x14ac:dyDescent="0.25">
      <c r="A2391" s="67"/>
      <c r="B2391" s="67"/>
    </row>
    <row r="2392" spans="1:2" x14ac:dyDescent="0.25">
      <c r="A2392" s="67"/>
      <c r="B2392" s="67"/>
    </row>
    <row r="2393" spans="1:2" x14ac:dyDescent="0.25">
      <c r="A2393" s="67"/>
      <c r="B2393" s="67"/>
    </row>
    <row r="2394" spans="1:2" x14ac:dyDescent="0.25">
      <c r="A2394" s="67"/>
      <c r="B2394" s="67"/>
    </row>
    <row r="2395" spans="1:2" x14ac:dyDescent="0.25">
      <c r="A2395" s="67"/>
      <c r="B2395" s="67"/>
    </row>
    <row r="2396" spans="1:2" x14ac:dyDescent="0.25">
      <c r="A2396" s="67"/>
      <c r="B2396" s="67"/>
    </row>
    <row r="2397" spans="1:2" x14ac:dyDescent="0.25">
      <c r="A2397" s="67"/>
      <c r="B2397" s="67"/>
    </row>
    <row r="2398" spans="1:2" x14ac:dyDescent="0.25">
      <c r="A2398" s="67"/>
      <c r="B2398" s="67"/>
    </row>
    <row r="2399" spans="1:2" x14ac:dyDescent="0.25">
      <c r="A2399" s="67"/>
      <c r="B2399" s="67"/>
    </row>
    <row r="2400" spans="1:2" x14ac:dyDescent="0.25">
      <c r="A2400" s="67"/>
      <c r="B2400" s="67"/>
    </row>
    <row r="2401" spans="1:2" x14ac:dyDescent="0.25">
      <c r="A2401" s="67"/>
      <c r="B2401" s="67"/>
    </row>
    <row r="2402" spans="1:2" x14ac:dyDescent="0.25">
      <c r="A2402" s="67"/>
      <c r="B2402" s="67"/>
    </row>
    <row r="2403" spans="1:2" x14ac:dyDescent="0.25">
      <c r="A2403" s="67"/>
      <c r="B2403" s="67"/>
    </row>
    <row r="2404" spans="1:2" x14ac:dyDescent="0.25">
      <c r="A2404" s="67"/>
      <c r="B2404" s="67"/>
    </row>
    <row r="2405" spans="1:2" x14ac:dyDescent="0.25">
      <c r="A2405" s="67"/>
      <c r="B2405" s="67"/>
    </row>
    <row r="2406" spans="1:2" x14ac:dyDescent="0.25">
      <c r="A2406" s="67"/>
      <c r="B2406" s="67"/>
    </row>
    <row r="2407" spans="1:2" x14ac:dyDescent="0.25">
      <c r="A2407" s="67"/>
      <c r="B2407" s="67"/>
    </row>
    <row r="2408" spans="1:2" x14ac:dyDescent="0.25">
      <c r="A2408" s="67"/>
      <c r="B2408" s="67"/>
    </row>
    <row r="2409" spans="1:2" x14ac:dyDescent="0.25">
      <c r="A2409" s="67"/>
      <c r="B2409" s="67"/>
    </row>
    <row r="2410" spans="1:2" x14ac:dyDescent="0.25">
      <c r="A2410" s="67"/>
      <c r="B2410" s="67"/>
    </row>
    <row r="2411" spans="1:2" x14ac:dyDescent="0.25">
      <c r="A2411" s="67"/>
      <c r="B2411" s="67"/>
    </row>
    <row r="2412" spans="1:2" x14ac:dyDescent="0.25">
      <c r="A2412" s="67"/>
      <c r="B2412" s="67"/>
    </row>
    <row r="2413" spans="1:2" x14ac:dyDescent="0.25">
      <c r="A2413" s="67"/>
      <c r="B2413" s="67"/>
    </row>
    <row r="2414" spans="1:2" x14ac:dyDescent="0.25">
      <c r="A2414" s="67"/>
      <c r="B2414" s="67"/>
    </row>
    <row r="2415" spans="1:2" x14ac:dyDescent="0.25">
      <c r="A2415" s="67"/>
      <c r="B2415" s="67"/>
    </row>
    <row r="2416" spans="1:2" x14ac:dyDescent="0.25">
      <c r="A2416" s="67"/>
      <c r="B2416" s="67"/>
    </row>
    <row r="2417" spans="1:2" x14ac:dyDescent="0.25">
      <c r="A2417" s="67"/>
      <c r="B2417" s="67"/>
    </row>
    <row r="2418" spans="1:2" x14ac:dyDescent="0.25">
      <c r="A2418" s="67"/>
      <c r="B2418" s="67"/>
    </row>
    <row r="2419" spans="1:2" x14ac:dyDescent="0.25">
      <c r="A2419" s="67"/>
      <c r="B2419" s="67"/>
    </row>
    <row r="2420" spans="1:2" x14ac:dyDescent="0.25">
      <c r="A2420" s="67"/>
      <c r="B2420" s="67"/>
    </row>
    <row r="2421" spans="1:2" x14ac:dyDescent="0.25">
      <c r="A2421" s="67"/>
      <c r="B2421" s="67"/>
    </row>
    <row r="2422" spans="1:2" x14ac:dyDescent="0.25">
      <c r="A2422" s="67"/>
      <c r="B2422" s="67"/>
    </row>
    <row r="2423" spans="1:2" x14ac:dyDescent="0.25">
      <c r="A2423" s="67"/>
      <c r="B2423" s="67"/>
    </row>
    <row r="2424" spans="1:2" x14ac:dyDescent="0.25">
      <c r="A2424" s="67"/>
      <c r="B2424" s="67"/>
    </row>
    <row r="2425" spans="1:2" x14ac:dyDescent="0.25">
      <c r="A2425" s="67"/>
      <c r="B2425" s="67"/>
    </row>
    <row r="2426" spans="1:2" x14ac:dyDescent="0.25">
      <c r="A2426" s="67"/>
      <c r="B2426" s="67"/>
    </row>
    <row r="2427" spans="1:2" x14ac:dyDescent="0.25">
      <c r="A2427" s="67"/>
      <c r="B2427" s="67"/>
    </row>
    <row r="2428" spans="1:2" x14ac:dyDescent="0.25">
      <c r="A2428" s="67"/>
      <c r="B2428" s="67"/>
    </row>
    <row r="2429" spans="1:2" x14ac:dyDescent="0.25">
      <c r="A2429" s="67"/>
      <c r="B2429" s="67"/>
    </row>
    <row r="2430" spans="1:2" x14ac:dyDescent="0.25">
      <c r="A2430" s="67"/>
      <c r="B2430" s="67"/>
    </row>
    <row r="2431" spans="1:2" x14ac:dyDescent="0.25">
      <c r="A2431" s="67"/>
      <c r="B2431" s="67"/>
    </row>
    <row r="2432" spans="1:2" x14ac:dyDescent="0.25">
      <c r="A2432" s="67"/>
      <c r="B2432" s="67"/>
    </row>
    <row r="2433" spans="1:2" x14ac:dyDescent="0.25">
      <c r="A2433" s="67"/>
      <c r="B2433" s="67"/>
    </row>
    <row r="2434" spans="1:2" x14ac:dyDescent="0.25">
      <c r="A2434" s="67"/>
      <c r="B2434" s="67"/>
    </row>
    <row r="2435" spans="1:2" x14ac:dyDescent="0.25">
      <c r="A2435" s="67"/>
      <c r="B2435" s="67"/>
    </row>
    <row r="2436" spans="1:2" x14ac:dyDescent="0.25">
      <c r="A2436" s="67"/>
      <c r="B2436" s="67"/>
    </row>
    <row r="2437" spans="1:2" x14ac:dyDescent="0.25">
      <c r="A2437" s="67"/>
      <c r="B2437" s="67"/>
    </row>
    <row r="2438" spans="1:2" x14ac:dyDescent="0.25">
      <c r="A2438" s="67"/>
      <c r="B2438" s="67"/>
    </row>
    <row r="2439" spans="1:2" x14ac:dyDescent="0.25">
      <c r="A2439" s="67"/>
      <c r="B2439" s="67"/>
    </row>
    <row r="2440" spans="1:2" x14ac:dyDescent="0.25">
      <c r="A2440" s="67"/>
      <c r="B2440" s="67"/>
    </row>
    <row r="2441" spans="1:2" x14ac:dyDescent="0.25">
      <c r="A2441" s="67"/>
      <c r="B2441" s="67"/>
    </row>
    <row r="2442" spans="1:2" x14ac:dyDescent="0.25">
      <c r="A2442" s="67"/>
      <c r="B2442" s="67"/>
    </row>
    <row r="2443" spans="1:2" x14ac:dyDescent="0.25">
      <c r="A2443" s="67"/>
      <c r="B2443" s="67"/>
    </row>
    <row r="2444" spans="1:2" x14ac:dyDescent="0.25">
      <c r="A2444" s="67"/>
      <c r="B2444" s="67"/>
    </row>
    <row r="2445" spans="1:2" x14ac:dyDescent="0.25">
      <c r="A2445" s="67"/>
      <c r="B2445" s="67"/>
    </row>
    <row r="2446" spans="1:2" x14ac:dyDescent="0.25">
      <c r="A2446" s="67"/>
      <c r="B2446" s="67"/>
    </row>
    <row r="2447" spans="1:2" x14ac:dyDescent="0.25">
      <c r="A2447" s="67"/>
      <c r="B2447" s="67"/>
    </row>
    <row r="2448" spans="1:2" x14ac:dyDescent="0.25">
      <c r="A2448" s="67"/>
      <c r="B2448" s="67"/>
    </row>
    <row r="2449" spans="1:2" x14ac:dyDescent="0.25">
      <c r="A2449" s="67"/>
      <c r="B2449" s="67"/>
    </row>
    <row r="2450" spans="1:2" x14ac:dyDescent="0.25">
      <c r="A2450" s="67"/>
      <c r="B2450" s="67"/>
    </row>
    <row r="2451" spans="1:2" x14ac:dyDescent="0.25">
      <c r="A2451" s="67"/>
      <c r="B2451" s="67"/>
    </row>
    <row r="2452" spans="1:2" x14ac:dyDescent="0.25">
      <c r="A2452" s="67"/>
      <c r="B2452" s="67"/>
    </row>
    <row r="2453" spans="1:2" x14ac:dyDescent="0.25">
      <c r="A2453" s="67"/>
      <c r="B2453" s="67"/>
    </row>
    <row r="2454" spans="1:2" x14ac:dyDescent="0.25">
      <c r="A2454" s="67"/>
      <c r="B2454" s="67"/>
    </row>
    <row r="2455" spans="1:2" x14ac:dyDescent="0.25">
      <c r="A2455" s="67"/>
      <c r="B2455" s="67"/>
    </row>
    <row r="2456" spans="1:2" x14ac:dyDescent="0.25">
      <c r="A2456" s="67"/>
      <c r="B2456" s="67"/>
    </row>
    <row r="2457" spans="1:2" x14ac:dyDescent="0.25">
      <c r="A2457" s="67"/>
      <c r="B2457" s="67"/>
    </row>
    <row r="2458" spans="1:2" x14ac:dyDescent="0.25">
      <c r="A2458" s="67"/>
      <c r="B2458" s="67"/>
    </row>
    <row r="2459" spans="1:2" x14ac:dyDescent="0.25">
      <c r="A2459" s="67"/>
      <c r="B2459" s="67"/>
    </row>
    <row r="2460" spans="1:2" x14ac:dyDescent="0.25">
      <c r="A2460" s="67"/>
      <c r="B2460" s="67"/>
    </row>
    <row r="2461" spans="1:2" x14ac:dyDescent="0.25">
      <c r="A2461" s="67"/>
      <c r="B2461" s="67"/>
    </row>
    <row r="2462" spans="1:2" x14ac:dyDescent="0.25">
      <c r="A2462" s="67"/>
      <c r="B2462" s="67"/>
    </row>
    <row r="2463" spans="1:2" x14ac:dyDescent="0.25">
      <c r="A2463" s="67"/>
      <c r="B2463" s="67"/>
    </row>
    <row r="2464" spans="1:2" x14ac:dyDescent="0.25">
      <c r="A2464" s="67"/>
      <c r="B2464" s="67"/>
    </row>
    <row r="2465" spans="1:2" x14ac:dyDescent="0.25">
      <c r="A2465" s="67"/>
      <c r="B2465" s="67"/>
    </row>
    <row r="2466" spans="1:2" x14ac:dyDescent="0.25">
      <c r="A2466" s="67"/>
      <c r="B2466" s="67"/>
    </row>
    <row r="2467" spans="1:2" x14ac:dyDescent="0.25">
      <c r="A2467" s="67"/>
      <c r="B2467" s="67"/>
    </row>
    <row r="2468" spans="1:2" x14ac:dyDescent="0.25">
      <c r="A2468" s="67"/>
      <c r="B2468" s="67"/>
    </row>
    <row r="2469" spans="1:2" x14ac:dyDescent="0.25">
      <c r="A2469" s="67"/>
      <c r="B2469" s="67"/>
    </row>
    <row r="2470" spans="1:2" x14ac:dyDescent="0.25">
      <c r="A2470" s="67"/>
      <c r="B2470" s="67"/>
    </row>
    <row r="2471" spans="1:2" x14ac:dyDescent="0.25">
      <c r="A2471" s="67"/>
      <c r="B2471" s="67"/>
    </row>
    <row r="2472" spans="1:2" x14ac:dyDescent="0.25">
      <c r="A2472" s="67"/>
      <c r="B2472" s="67"/>
    </row>
    <row r="2473" spans="1:2" x14ac:dyDescent="0.25">
      <c r="A2473" s="67"/>
      <c r="B2473" s="67"/>
    </row>
    <row r="2474" spans="1:2" x14ac:dyDescent="0.25">
      <c r="A2474" s="67"/>
      <c r="B2474" s="67"/>
    </row>
    <row r="2475" spans="1:2" x14ac:dyDescent="0.25">
      <c r="A2475" s="67"/>
      <c r="B2475" s="67"/>
    </row>
    <row r="2476" spans="1:2" x14ac:dyDescent="0.25">
      <c r="A2476" s="67"/>
      <c r="B2476" s="67"/>
    </row>
    <row r="2477" spans="1:2" x14ac:dyDescent="0.25">
      <c r="A2477" s="67"/>
      <c r="B2477" s="67"/>
    </row>
    <row r="2478" spans="1:2" x14ac:dyDescent="0.25">
      <c r="A2478" s="67"/>
      <c r="B2478" s="67"/>
    </row>
    <row r="2479" spans="1:2" x14ac:dyDescent="0.25">
      <c r="A2479" s="67"/>
      <c r="B2479" s="67"/>
    </row>
    <row r="2480" spans="1:2" x14ac:dyDescent="0.25">
      <c r="A2480" s="67"/>
      <c r="B2480" s="67"/>
    </row>
    <row r="2481" spans="1:2" x14ac:dyDescent="0.25">
      <c r="A2481" s="67"/>
      <c r="B2481" s="67"/>
    </row>
    <row r="2482" spans="1:2" x14ac:dyDescent="0.25">
      <c r="A2482" s="67"/>
      <c r="B2482" s="67"/>
    </row>
    <row r="2483" spans="1:2" x14ac:dyDescent="0.25">
      <c r="A2483" s="67"/>
      <c r="B2483" s="67"/>
    </row>
    <row r="2484" spans="1:2" x14ac:dyDescent="0.25">
      <c r="A2484" s="67"/>
      <c r="B2484" s="67"/>
    </row>
    <row r="2485" spans="1:2" x14ac:dyDescent="0.25">
      <c r="A2485" s="67"/>
      <c r="B2485" s="67"/>
    </row>
    <row r="2486" spans="1:2" x14ac:dyDescent="0.25">
      <c r="A2486" s="67"/>
      <c r="B2486" s="67"/>
    </row>
    <row r="2487" spans="1:2" x14ac:dyDescent="0.25">
      <c r="A2487" s="67"/>
      <c r="B2487" s="67"/>
    </row>
    <row r="2488" spans="1:2" x14ac:dyDescent="0.25">
      <c r="A2488" s="67"/>
      <c r="B2488" s="67"/>
    </row>
    <row r="2489" spans="1:2" x14ac:dyDescent="0.25">
      <c r="A2489" s="67"/>
      <c r="B2489" s="67"/>
    </row>
    <row r="2490" spans="1:2" x14ac:dyDescent="0.25">
      <c r="A2490" s="67"/>
      <c r="B2490" s="67"/>
    </row>
    <row r="2491" spans="1:2" x14ac:dyDescent="0.25">
      <c r="A2491" s="67"/>
      <c r="B2491" s="67"/>
    </row>
    <row r="2492" spans="1:2" x14ac:dyDescent="0.25">
      <c r="A2492" s="67"/>
      <c r="B2492" s="67"/>
    </row>
    <row r="2493" spans="1:2" x14ac:dyDescent="0.25">
      <c r="A2493" s="67"/>
      <c r="B2493" s="67"/>
    </row>
    <row r="2494" spans="1:2" x14ac:dyDescent="0.25">
      <c r="A2494" s="67"/>
      <c r="B2494" s="67"/>
    </row>
    <row r="2495" spans="1:2" x14ac:dyDescent="0.25">
      <c r="A2495" s="67"/>
      <c r="B2495" s="67"/>
    </row>
    <row r="2496" spans="1:2" x14ac:dyDescent="0.25">
      <c r="A2496" s="67"/>
      <c r="B2496" s="67"/>
    </row>
    <row r="2497" spans="1:2" x14ac:dyDescent="0.25">
      <c r="A2497" s="67"/>
      <c r="B2497" s="67"/>
    </row>
    <row r="2498" spans="1:2" x14ac:dyDescent="0.25">
      <c r="A2498" s="67"/>
      <c r="B2498" s="67"/>
    </row>
    <row r="2499" spans="1:2" x14ac:dyDescent="0.25">
      <c r="A2499" s="67"/>
      <c r="B2499" s="67"/>
    </row>
    <row r="2500" spans="1:2" x14ac:dyDescent="0.25">
      <c r="A2500" s="67"/>
      <c r="B2500" s="67"/>
    </row>
    <row r="2501" spans="1:2" x14ac:dyDescent="0.25">
      <c r="A2501" s="67"/>
      <c r="B2501" s="67"/>
    </row>
    <row r="2502" spans="1:2" x14ac:dyDescent="0.25">
      <c r="A2502" s="67"/>
      <c r="B2502" s="67"/>
    </row>
    <row r="2503" spans="1:2" x14ac:dyDescent="0.25">
      <c r="A2503" s="67"/>
      <c r="B2503" s="67"/>
    </row>
    <row r="2504" spans="1:2" x14ac:dyDescent="0.25">
      <c r="A2504" s="67"/>
      <c r="B2504" s="67"/>
    </row>
    <row r="2505" spans="1:2" x14ac:dyDescent="0.25">
      <c r="A2505" s="67"/>
      <c r="B2505" s="67"/>
    </row>
    <row r="2506" spans="1:2" x14ac:dyDescent="0.25">
      <c r="A2506" s="67"/>
      <c r="B2506" s="67"/>
    </row>
    <row r="2507" spans="1:2" x14ac:dyDescent="0.25">
      <c r="A2507" s="67"/>
      <c r="B2507" s="67"/>
    </row>
    <row r="2508" spans="1:2" x14ac:dyDescent="0.25">
      <c r="A2508" s="67"/>
      <c r="B2508" s="67"/>
    </row>
    <row r="2509" spans="1:2" x14ac:dyDescent="0.25">
      <c r="A2509" s="67"/>
      <c r="B2509" s="67"/>
    </row>
    <row r="2510" spans="1:2" x14ac:dyDescent="0.25">
      <c r="A2510" s="67"/>
      <c r="B2510" s="67"/>
    </row>
    <row r="2511" spans="1:2" x14ac:dyDescent="0.25">
      <c r="A2511" s="67"/>
      <c r="B2511" s="67"/>
    </row>
    <row r="2512" spans="1:2" x14ac:dyDescent="0.25">
      <c r="A2512" s="67"/>
      <c r="B2512" s="67"/>
    </row>
    <row r="2513" spans="1:2" x14ac:dyDescent="0.25">
      <c r="A2513" s="67"/>
      <c r="B2513" s="67"/>
    </row>
    <row r="2514" spans="1:2" x14ac:dyDescent="0.25">
      <c r="A2514" s="67"/>
      <c r="B2514" s="67"/>
    </row>
    <row r="2515" spans="1:2" x14ac:dyDescent="0.25">
      <c r="A2515" s="67"/>
      <c r="B2515" s="67"/>
    </row>
    <row r="2516" spans="1:2" x14ac:dyDescent="0.25">
      <c r="A2516" s="67"/>
      <c r="B2516" s="67"/>
    </row>
    <row r="2517" spans="1:2" x14ac:dyDescent="0.25">
      <c r="A2517" s="67"/>
      <c r="B2517" s="67"/>
    </row>
    <row r="2518" spans="1:2" x14ac:dyDescent="0.25">
      <c r="A2518" s="67"/>
      <c r="B2518" s="67"/>
    </row>
    <row r="2519" spans="1:2" x14ac:dyDescent="0.25">
      <c r="A2519" s="67"/>
      <c r="B2519" s="67"/>
    </row>
    <row r="2520" spans="1:2" x14ac:dyDescent="0.25">
      <c r="A2520" s="67"/>
      <c r="B2520" s="67"/>
    </row>
    <row r="2521" spans="1:2" x14ac:dyDescent="0.25">
      <c r="A2521" s="67"/>
      <c r="B2521" s="67"/>
    </row>
    <row r="2522" spans="1:2" x14ac:dyDescent="0.25">
      <c r="A2522" s="67"/>
      <c r="B2522" s="67"/>
    </row>
    <row r="2523" spans="1:2" x14ac:dyDescent="0.25">
      <c r="A2523" s="67"/>
      <c r="B2523" s="67"/>
    </row>
    <row r="2524" spans="1:2" x14ac:dyDescent="0.25">
      <c r="A2524" s="67"/>
      <c r="B2524" s="67"/>
    </row>
    <row r="2525" spans="1:2" x14ac:dyDescent="0.25">
      <c r="A2525" s="67"/>
      <c r="B2525" s="67"/>
    </row>
    <row r="2526" spans="1:2" x14ac:dyDescent="0.25">
      <c r="A2526" s="67"/>
      <c r="B2526" s="67"/>
    </row>
    <row r="2527" spans="1:2" x14ac:dyDescent="0.25">
      <c r="A2527" s="67"/>
      <c r="B2527" s="67"/>
    </row>
    <row r="2528" spans="1:2" x14ac:dyDescent="0.25">
      <c r="A2528" s="67"/>
      <c r="B2528" s="67"/>
    </row>
    <row r="2529" spans="1:2" x14ac:dyDescent="0.25">
      <c r="A2529" s="67"/>
      <c r="B2529" s="67"/>
    </row>
    <row r="2530" spans="1:2" x14ac:dyDescent="0.25">
      <c r="A2530" s="67"/>
      <c r="B2530" s="67"/>
    </row>
    <row r="2531" spans="1:2" x14ac:dyDescent="0.25">
      <c r="A2531" s="67"/>
      <c r="B2531" s="67"/>
    </row>
    <row r="2532" spans="1:2" x14ac:dyDescent="0.25">
      <c r="A2532" s="67"/>
      <c r="B2532" s="67"/>
    </row>
    <row r="2533" spans="1:2" x14ac:dyDescent="0.25">
      <c r="A2533" s="67"/>
      <c r="B2533" s="67"/>
    </row>
    <row r="2534" spans="1:2" x14ac:dyDescent="0.25">
      <c r="A2534" s="67"/>
      <c r="B2534" s="67"/>
    </row>
    <row r="2535" spans="1:2" x14ac:dyDescent="0.25">
      <c r="A2535" s="67"/>
      <c r="B2535" s="67"/>
    </row>
    <row r="2536" spans="1:2" x14ac:dyDescent="0.25">
      <c r="A2536" s="67"/>
      <c r="B2536" s="67"/>
    </row>
    <row r="2537" spans="1:2" x14ac:dyDescent="0.25">
      <c r="A2537" s="67"/>
      <c r="B2537" s="67"/>
    </row>
    <row r="2538" spans="1:2" x14ac:dyDescent="0.25">
      <c r="A2538" s="67"/>
      <c r="B2538" s="67"/>
    </row>
    <row r="2539" spans="1:2" x14ac:dyDescent="0.25">
      <c r="A2539" s="67"/>
      <c r="B2539" s="67"/>
    </row>
    <row r="2540" spans="1:2" x14ac:dyDescent="0.25">
      <c r="A2540" s="67"/>
      <c r="B2540" s="67"/>
    </row>
    <row r="2541" spans="1:2" x14ac:dyDescent="0.25">
      <c r="A2541" s="67"/>
      <c r="B2541" s="67"/>
    </row>
    <row r="2542" spans="1:2" x14ac:dyDescent="0.25">
      <c r="A2542" s="67"/>
      <c r="B2542" s="67"/>
    </row>
    <row r="2543" spans="1:2" x14ac:dyDescent="0.25">
      <c r="A2543" s="67"/>
      <c r="B2543" s="67"/>
    </row>
    <row r="2544" spans="1:2" x14ac:dyDescent="0.25">
      <c r="A2544" s="67"/>
      <c r="B2544" s="67"/>
    </row>
    <row r="2545" spans="1:2" x14ac:dyDescent="0.25">
      <c r="A2545" s="67"/>
      <c r="B2545" s="67"/>
    </row>
    <row r="2546" spans="1:2" x14ac:dyDescent="0.25">
      <c r="A2546" s="67"/>
      <c r="B2546" s="67"/>
    </row>
    <row r="2547" spans="1:2" x14ac:dyDescent="0.25">
      <c r="A2547" s="67"/>
      <c r="B2547" s="67"/>
    </row>
    <row r="2548" spans="1:2" x14ac:dyDescent="0.25">
      <c r="A2548" s="67"/>
      <c r="B2548" s="67"/>
    </row>
    <row r="2549" spans="1:2" x14ac:dyDescent="0.25">
      <c r="A2549" s="67"/>
      <c r="B2549" s="67"/>
    </row>
    <row r="2550" spans="1:2" x14ac:dyDescent="0.25">
      <c r="A2550" s="67"/>
      <c r="B2550" s="67"/>
    </row>
    <row r="2551" spans="1:2" x14ac:dyDescent="0.25">
      <c r="A2551" s="67"/>
      <c r="B2551" s="67"/>
    </row>
    <row r="2552" spans="1:2" x14ac:dyDescent="0.25">
      <c r="A2552" s="67"/>
      <c r="B2552" s="67"/>
    </row>
    <row r="2553" spans="1:2" x14ac:dyDescent="0.25">
      <c r="A2553" s="67"/>
      <c r="B2553" s="67"/>
    </row>
    <row r="2554" spans="1:2" x14ac:dyDescent="0.25">
      <c r="A2554" s="67"/>
      <c r="B2554" s="67"/>
    </row>
    <row r="2555" spans="1:2" x14ac:dyDescent="0.25">
      <c r="A2555" s="67"/>
      <c r="B2555" s="67"/>
    </row>
    <row r="2556" spans="1:2" x14ac:dyDescent="0.25">
      <c r="A2556" s="67"/>
      <c r="B2556" s="67"/>
    </row>
    <row r="2557" spans="1:2" x14ac:dyDescent="0.25">
      <c r="A2557" s="67"/>
      <c r="B2557" s="67"/>
    </row>
    <row r="2558" spans="1:2" x14ac:dyDescent="0.25">
      <c r="A2558" s="67"/>
      <c r="B2558" s="67"/>
    </row>
    <row r="2559" spans="1:2" x14ac:dyDescent="0.25">
      <c r="A2559" s="67"/>
      <c r="B2559" s="67"/>
    </row>
    <row r="2560" spans="1:2" x14ac:dyDescent="0.25">
      <c r="A2560" s="67"/>
      <c r="B2560" s="67"/>
    </row>
    <row r="2561" spans="1:2" x14ac:dyDescent="0.25">
      <c r="A2561" s="67"/>
      <c r="B2561" s="67"/>
    </row>
    <row r="2562" spans="1:2" x14ac:dyDescent="0.25">
      <c r="A2562" s="67"/>
      <c r="B2562" s="67"/>
    </row>
    <row r="2563" spans="1:2" x14ac:dyDescent="0.25">
      <c r="A2563" s="67"/>
      <c r="B2563" s="67"/>
    </row>
    <row r="2564" spans="1:2" x14ac:dyDescent="0.25">
      <c r="A2564" s="67"/>
      <c r="B2564" s="67"/>
    </row>
    <row r="2565" spans="1:2" x14ac:dyDescent="0.25">
      <c r="A2565" s="67"/>
      <c r="B2565" s="67"/>
    </row>
    <row r="2566" spans="1:2" x14ac:dyDescent="0.25">
      <c r="A2566" s="67"/>
      <c r="B2566" s="67"/>
    </row>
    <row r="2567" spans="1:2" x14ac:dyDescent="0.25">
      <c r="A2567" s="67"/>
      <c r="B2567" s="67"/>
    </row>
    <row r="2568" spans="1:2" x14ac:dyDescent="0.25">
      <c r="A2568" s="67"/>
      <c r="B2568" s="67"/>
    </row>
    <row r="2569" spans="1:2" x14ac:dyDescent="0.25">
      <c r="A2569" s="67"/>
      <c r="B2569" s="67"/>
    </row>
    <row r="2570" spans="1:2" x14ac:dyDescent="0.25">
      <c r="A2570" s="67"/>
      <c r="B2570" s="67"/>
    </row>
    <row r="2571" spans="1:2" x14ac:dyDescent="0.25">
      <c r="A2571" s="67"/>
      <c r="B2571" s="67"/>
    </row>
    <row r="2572" spans="1:2" x14ac:dyDescent="0.25">
      <c r="A2572" s="67"/>
      <c r="B2572" s="67"/>
    </row>
    <row r="2573" spans="1:2" x14ac:dyDescent="0.25">
      <c r="A2573" s="67"/>
      <c r="B2573" s="67"/>
    </row>
    <row r="2574" spans="1:2" x14ac:dyDescent="0.25">
      <c r="A2574" s="67"/>
      <c r="B2574" s="67"/>
    </row>
    <row r="2575" spans="1:2" x14ac:dyDescent="0.25">
      <c r="A2575" s="67"/>
      <c r="B2575" s="67"/>
    </row>
    <row r="2576" spans="1:2" x14ac:dyDescent="0.25">
      <c r="A2576" s="67"/>
      <c r="B2576" s="67"/>
    </row>
    <row r="2577" spans="1:2" x14ac:dyDescent="0.25">
      <c r="A2577" s="67"/>
      <c r="B2577" s="67"/>
    </row>
    <row r="2578" spans="1:2" x14ac:dyDescent="0.25">
      <c r="A2578" s="67"/>
      <c r="B2578" s="67"/>
    </row>
    <row r="2579" spans="1:2" x14ac:dyDescent="0.25">
      <c r="A2579" s="67"/>
      <c r="B2579" s="67"/>
    </row>
    <row r="2580" spans="1:2" x14ac:dyDescent="0.25">
      <c r="A2580" s="67"/>
      <c r="B2580" s="67"/>
    </row>
    <row r="2581" spans="1:2" x14ac:dyDescent="0.25">
      <c r="A2581" s="67"/>
      <c r="B2581" s="67"/>
    </row>
    <row r="2582" spans="1:2" x14ac:dyDescent="0.25">
      <c r="A2582" s="67"/>
      <c r="B2582" s="67"/>
    </row>
    <row r="2583" spans="1:2" x14ac:dyDescent="0.25">
      <c r="A2583" s="67"/>
      <c r="B2583" s="67"/>
    </row>
    <row r="2584" spans="1:2" x14ac:dyDescent="0.25">
      <c r="A2584" s="67"/>
      <c r="B2584" s="67"/>
    </row>
    <row r="2585" spans="1:2" x14ac:dyDescent="0.25">
      <c r="A2585" s="67"/>
      <c r="B2585" s="67"/>
    </row>
    <row r="2586" spans="1:2" x14ac:dyDescent="0.25">
      <c r="A2586" s="67"/>
      <c r="B2586" s="67"/>
    </row>
    <row r="2587" spans="1:2" x14ac:dyDescent="0.25">
      <c r="A2587" s="67"/>
      <c r="B2587" s="67"/>
    </row>
    <row r="2588" spans="1:2" x14ac:dyDescent="0.25">
      <c r="A2588" s="67"/>
      <c r="B2588" s="67"/>
    </row>
    <row r="2589" spans="1:2" x14ac:dyDescent="0.25">
      <c r="A2589" s="67"/>
      <c r="B2589" s="67"/>
    </row>
    <row r="2590" spans="1:2" x14ac:dyDescent="0.25">
      <c r="A2590" s="67"/>
      <c r="B2590" s="67"/>
    </row>
    <row r="2591" spans="1:2" x14ac:dyDescent="0.25">
      <c r="A2591" s="67"/>
      <c r="B2591" s="67"/>
    </row>
    <row r="2592" spans="1:2" x14ac:dyDescent="0.25">
      <c r="A2592" s="67"/>
      <c r="B2592" s="67"/>
    </row>
    <row r="2593" spans="1:2" x14ac:dyDescent="0.25">
      <c r="A2593" s="67"/>
      <c r="B2593" s="67"/>
    </row>
    <row r="2594" spans="1:2" x14ac:dyDescent="0.25">
      <c r="A2594" s="67"/>
      <c r="B2594" s="67"/>
    </row>
    <row r="2595" spans="1:2" x14ac:dyDescent="0.25">
      <c r="A2595" s="67"/>
      <c r="B2595" s="67"/>
    </row>
    <row r="2596" spans="1:2" x14ac:dyDescent="0.25">
      <c r="A2596" s="67"/>
      <c r="B2596" s="67"/>
    </row>
    <row r="2597" spans="1:2" x14ac:dyDescent="0.25">
      <c r="A2597" s="67"/>
      <c r="B2597" s="67"/>
    </row>
    <row r="2598" spans="1:2" x14ac:dyDescent="0.25">
      <c r="A2598" s="67"/>
      <c r="B2598" s="67"/>
    </row>
    <row r="2599" spans="1:2" x14ac:dyDescent="0.25">
      <c r="A2599" s="67"/>
      <c r="B2599" s="67"/>
    </row>
    <row r="2600" spans="1:2" x14ac:dyDescent="0.25">
      <c r="A2600" s="67"/>
      <c r="B2600" s="67"/>
    </row>
    <row r="2601" spans="1:2" x14ac:dyDescent="0.25">
      <c r="A2601" s="67"/>
      <c r="B2601" s="67"/>
    </row>
    <row r="2602" spans="1:2" x14ac:dyDescent="0.25">
      <c r="A2602" s="67"/>
      <c r="B2602" s="67"/>
    </row>
    <row r="2603" spans="1:2" x14ac:dyDescent="0.25">
      <c r="A2603" s="67"/>
      <c r="B2603" s="67"/>
    </row>
    <row r="2604" spans="1:2" x14ac:dyDescent="0.25">
      <c r="A2604" s="67"/>
      <c r="B2604" s="67"/>
    </row>
    <row r="2605" spans="1:2" x14ac:dyDescent="0.25">
      <c r="A2605" s="67"/>
      <c r="B2605" s="67"/>
    </row>
    <row r="2606" spans="1:2" x14ac:dyDescent="0.25">
      <c r="A2606" s="67"/>
      <c r="B2606" s="67"/>
    </row>
    <row r="2607" spans="1:2" x14ac:dyDescent="0.25">
      <c r="A2607" s="67"/>
      <c r="B2607" s="67"/>
    </row>
    <row r="2608" spans="1:2" x14ac:dyDescent="0.25">
      <c r="A2608" s="67"/>
      <c r="B2608" s="67"/>
    </row>
    <row r="2609" spans="1:2" x14ac:dyDescent="0.25">
      <c r="A2609" s="67"/>
      <c r="B2609" s="67"/>
    </row>
    <row r="2610" spans="1:2" x14ac:dyDescent="0.25">
      <c r="A2610" s="67"/>
      <c r="B2610" s="67"/>
    </row>
    <row r="2611" spans="1:2" x14ac:dyDescent="0.25">
      <c r="A2611" s="67"/>
      <c r="B2611" s="67"/>
    </row>
    <row r="2612" spans="1:2" x14ac:dyDescent="0.25">
      <c r="A2612" s="67"/>
      <c r="B2612" s="67"/>
    </row>
    <row r="2613" spans="1:2" x14ac:dyDescent="0.25">
      <c r="A2613" s="67"/>
      <c r="B2613" s="67"/>
    </row>
    <row r="2614" spans="1:2" x14ac:dyDescent="0.25">
      <c r="A2614" s="67"/>
      <c r="B2614" s="67"/>
    </row>
    <row r="2615" spans="1:2" x14ac:dyDescent="0.25">
      <c r="A2615" s="67"/>
      <c r="B2615" s="67"/>
    </row>
    <row r="2616" spans="1:2" x14ac:dyDescent="0.25">
      <c r="A2616" s="67"/>
      <c r="B2616" s="67"/>
    </row>
    <row r="2617" spans="1:2" x14ac:dyDescent="0.25">
      <c r="A2617" s="67"/>
      <c r="B2617" s="67"/>
    </row>
    <row r="2618" spans="1:2" x14ac:dyDescent="0.25">
      <c r="A2618" s="67"/>
      <c r="B2618" s="67"/>
    </row>
    <row r="2619" spans="1:2" x14ac:dyDescent="0.25">
      <c r="A2619" s="67"/>
      <c r="B2619" s="67"/>
    </row>
    <row r="2620" spans="1:2" x14ac:dyDescent="0.25">
      <c r="A2620" s="67"/>
      <c r="B2620" s="67"/>
    </row>
    <row r="2621" spans="1:2" x14ac:dyDescent="0.25">
      <c r="A2621" s="67"/>
      <c r="B2621" s="67"/>
    </row>
    <row r="2622" spans="1:2" x14ac:dyDescent="0.25">
      <c r="A2622" s="67"/>
      <c r="B2622" s="67"/>
    </row>
    <row r="2623" spans="1:2" x14ac:dyDescent="0.25">
      <c r="A2623" s="67"/>
      <c r="B2623" s="67"/>
    </row>
    <row r="2624" spans="1:2" x14ac:dyDescent="0.25">
      <c r="A2624" s="67"/>
      <c r="B2624" s="67"/>
    </row>
    <row r="2625" spans="1:2" x14ac:dyDescent="0.25">
      <c r="A2625" s="67"/>
      <c r="B2625" s="67"/>
    </row>
    <row r="2626" spans="1:2" x14ac:dyDescent="0.25">
      <c r="A2626" s="67"/>
      <c r="B2626" s="67"/>
    </row>
    <row r="2627" spans="1:2" x14ac:dyDescent="0.25">
      <c r="A2627" s="67"/>
      <c r="B2627" s="67"/>
    </row>
    <row r="2628" spans="1:2" x14ac:dyDescent="0.25">
      <c r="A2628" s="67"/>
      <c r="B2628" s="67"/>
    </row>
    <row r="2629" spans="1:2" x14ac:dyDescent="0.25">
      <c r="A2629" s="67"/>
      <c r="B2629" s="67"/>
    </row>
    <row r="2630" spans="1:2" x14ac:dyDescent="0.25">
      <c r="A2630" s="67"/>
      <c r="B2630" s="67"/>
    </row>
    <row r="2631" spans="1:2" x14ac:dyDescent="0.25">
      <c r="A2631" s="67"/>
      <c r="B2631" s="67"/>
    </row>
    <row r="2632" spans="1:2" x14ac:dyDescent="0.25">
      <c r="A2632" s="67"/>
      <c r="B2632" s="67"/>
    </row>
    <row r="2633" spans="1:2" x14ac:dyDescent="0.25">
      <c r="A2633" s="67"/>
      <c r="B2633" s="67"/>
    </row>
    <row r="2634" spans="1:2" x14ac:dyDescent="0.25">
      <c r="A2634" s="67"/>
      <c r="B2634" s="67"/>
    </row>
    <row r="2635" spans="1:2" x14ac:dyDescent="0.25">
      <c r="A2635" s="67"/>
      <c r="B2635" s="67"/>
    </row>
    <row r="2636" spans="1:2" x14ac:dyDescent="0.25">
      <c r="A2636" s="67"/>
      <c r="B2636" s="67"/>
    </row>
    <row r="2637" spans="1:2" x14ac:dyDescent="0.25">
      <c r="A2637" s="67"/>
      <c r="B2637" s="67"/>
    </row>
    <row r="2638" spans="1:2" x14ac:dyDescent="0.25">
      <c r="A2638" s="67"/>
      <c r="B2638" s="67"/>
    </row>
    <row r="2639" spans="1:2" x14ac:dyDescent="0.25">
      <c r="A2639" s="67"/>
      <c r="B2639" s="67"/>
    </row>
    <row r="2640" spans="1:2" x14ac:dyDescent="0.25">
      <c r="A2640" s="67"/>
      <c r="B2640" s="67"/>
    </row>
    <row r="2641" spans="1:2" x14ac:dyDescent="0.25">
      <c r="A2641" s="67"/>
      <c r="B2641" s="67"/>
    </row>
    <row r="2642" spans="1:2" x14ac:dyDescent="0.25">
      <c r="A2642" s="67"/>
      <c r="B2642" s="67"/>
    </row>
    <row r="2643" spans="1:2" x14ac:dyDescent="0.25">
      <c r="A2643" s="67"/>
      <c r="B2643" s="67"/>
    </row>
    <row r="2644" spans="1:2" x14ac:dyDescent="0.25">
      <c r="A2644" s="67"/>
      <c r="B2644" s="67"/>
    </row>
    <row r="2645" spans="1:2" x14ac:dyDescent="0.25">
      <c r="A2645" s="67"/>
      <c r="B2645" s="67"/>
    </row>
    <row r="2646" spans="1:2" x14ac:dyDescent="0.25">
      <c r="A2646" s="67"/>
      <c r="B2646" s="67"/>
    </row>
    <row r="2647" spans="1:2" x14ac:dyDescent="0.25">
      <c r="A2647" s="67"/>
      <c r="B2647" s="67"/>
    </row>
    <row r="2648" spans="1:2" x14ac:dyDescent="0.25">
      <c r="A2648" s="67"/>
      <c r="B2648" s="67"/>
    </row>
    <row r="2649" spans="1:2" x14ac:dyDescent="0.25">
      <c r="A2649" s="67"/>
      <c r="B2649" s="67"/>
    </row>
    <row r="2650" spans="1:2" x14ac:dyDescent="0.25">
      <c r="A2650" s="67"/>
      <c r="B2650" s="67"/>
    </row>
    <row r="2651" spans="1:2" x14ac:dyDescent="0.25">
      <c r="A2651" s="67"/>
      <c r="B2651" s="67"/>
    </row>
    <row r="2652" spans="1:2" x14ac:dyDescent="0.25">
      <c r="A2652" s="67"/>
      <c r="B2652" s="67"/>
    </row>
    <row r="2653" spans="1:2" x14ac:dyDescent="0.25">
      <c r="A2653" s="67"/>
      <c r="B2653" s="67"/>
    </row>
    <row r="2654" spans="1:2" x14ac:dyDescent="0.25">
      <c r="A2654" s="67"/>
      <c r="B2654" s="67"/>
    </row>
    <row r="2655" spans="1:2" x14ac:dyDescent="0.25">
      <c r="A2655" s="67"/>
      <c r="B2655" s="67"/>
    </row>
    <row r="2656" spans="1:2" x14ac:dyDescent="0.25">
      <c r="A2656" s="67"/>
      <c r="B2656" s="67"/>
    </row>
    <row r="2657" spans="1:2" x14ac:dyDescent="0.25">
      <c r="A2657" s="67"/>
      <c r="B2657" s="67"/>
    </row>
    <row r="2658" spans="1:2" x14ac:dyDescent="0.25">
      <c r="A2658" s="67"/>
      <c r="B2658" s="67"/>
    </row>
    <row r="2659" spans="1:2" x14ac:dyDescent="0.25">
      <c r="A2659" s="67"/>
      <c r="B2659" s="67"/>
    </row>
    <row r="2660" spans="1:2" x14ac:dyDescent="0.25">
      <c r="A2660" s="67"/>
      <c r="B2660" s="67"/>
    </row>
    <row r="2661" spans="1:2" x14ac:dyDescent="0.25">
      <c r="A2661" s="67"/>
      <c r="B2661" s="67"/>
    </row>
    <row r="2662" spans="1:2" x14ac:dyDescent="0.25">
      <c r="A2662" s="67"/>
      <c r="B2662" s="67"/>
    </row>
    <row r="2663" spans="1:2" x14ac:dyDescent="0.25">
      <c r="A2663" s="67"/>
      <c r="B2663" s="67"/>
    </row>
    <row r="2664" spans="1:2" x14ac:dyDescent="0.25">
      <c r="A2664" s="67"/>
      <c r="B2664" s="67"/>
    </row>
    <row r="2665" spans="1:2" x14ac:dyDescent="0.25">
      <c r="A2665" s="67"/>
      <c r="B2665" s="67"/>
    </row>
    <row r="2666" spans="1:2" x14ac:dyDescent="0.25">
      <c r="A2666" s="67"/>
      <c r="B2666" s="67"/>
    </row>
    <row r="2667" spans="1:2" x14ac:dyDescent="0.25">
      <c r="A2667" s="67"/>
      <c r="B2667" s="67"/>
    </row>
    <row r="2668" spans="1:2" x14ac:dyDescent="0.25">
      <c r="A2668" s="67"/>
      <c r="B2668" s="67"/>
    </row>
    <row r="2669" spans="1:2" x14ac:dyDescent="0.25">
      <c r="A2669" s="67"/>
      <c r="B2669" s="67"/>
    </row>
    <row r="2670" spans="1:2" x14ac:dyDescent="0.25">
      <c r="A2670" s="67"/>
      <c r="B2670" s="67"/>
    </row>
    <row r="2671" spans="1:2" x14ac:dyDescent="0.25">
      <c r="A2671" s="67"/>
      <c r="B2671" s="67"/>
    </row>
    <row r="2672" spans="1:2" x14ac:dyDescent="0.25">
      <c r="A2672" s="67"/>
      <c r="B2672" s="67"/>
    </row>
    <row r="2673" spans="1:2" x14ac:dyDescent="0.25">
      <c r="A2673" s="67"/>
      <c r="B2673" s="67"/>
    </row>
    <row r="2674" spans="1:2" x14ac:dyDescent="0.25">
      <c r="A2674" s="67"/>
      <c r="B2674" s="67"/>
    </row>
    <row r="2675" spans="1:2" x14ac:dyDescent="0.25">
      <c r="A2675" s="67"/>
      <c r="B2675" s="67"/>
    </row>
    <row r="2676" spans="1:2" x14ac:dyDescent="0.25">
      <c r="A2676" s="67"/>
      <c r="B2676" s="67"/>
    </row>
    <row r="2677" spans="1:2" x14ac:dyDescent="0.25">
      <c r="A2677" s="67"/>
      <c r="B2677" s="67"/>
    </row>
    <row r="2678" spans="1:2" x14ac:dyDescent="0.25">
      <c r="A2678" s="67"/>
      <c r="B2678" s="67"/>
    </row>
    <row r="2679" spans="1:2" x14ac:dyDescent="0.25">
      <c r="A2679" s="67"/>
      <c r="B2679" s="67"/>
    </row>
    <row r="2680" spans="1:2" x14ac:dyDescent="0.25">
      <c r="A2680" s="67"/>
      <c r="B2680" s="67"/>
    </row>
    <row r="2681" spans="1:2" x14ac:dyDescent="0.25">
      <c r="A2681" s="67"/>
      <c r="B2681" s="67"/>
    </row>
    <row r="2682" spans="1:2" x14ac:dyDescent="0.25">
      <c r="A2682" s="67"/>
      <c r="B2682" s="67"/>
    </row>
    <row r="2683" spans="1:2" x14ac:dyDescent="0.25">
      <c r="A2683" s="67"/>
      <c r="B2683" s="67"/>
    </row>
    <row r="2684" spans="1:2" x14ac:dyDescent="0.25">
      <c r="A2684" s="67"/>
      <c r="B2684" s="67"/>
    </row>
    <row r="2685" spans="1:2" x14ac:dyDescent="0.25">
      <c r="A2685" s="67"/>
      <c r="B2685" s="67"/>
    </row>
    <row r="2686" spans="1:2" x14ac:dyDescent="0.25">
      <c r="A2686" s="67"/>
      <c r="B2686" s="67"/>
    </row>
    <row r="2687" spans="1:2" x14ac:dyDescent="0.25">
      <c r="A2687" s="67"/>
      <c r="B2687" s="67"/>
    </row>
    <row r="2688" spans="1:2" x14ac:dyDescent="0.25">
      <c r="A2688" s="67"/>
      <c r="B2688" s="67"/>
    </row>
    <row r="2689" spans="1:2" x14ac:dyDescent="0.25">
      <c r="A2689" s="67"/>
      <c r="B2689" s="67"/>
    </row>
    <row r="2690" spans="1:2" x14ac:dyDescent="0.25">
      <c r="A2690" s="67"/>
      <c r="B2690" s="67"/>
    </row>
    <row r="2691" spans="1:2" x14ac:dyDescent="0.25">
      <c r="A2691" s="67"/>
      <c r="B2691" s="67"/>
    </row>
    <row r="2692" spans="1:2" x14ac:dyDescent="0.25">
      <c r="A2692" s="67"/>
      <c r="B2692" s="67"/>
    </row>
    <row r="2693" spans="1:2" x14ac:dyDescent="0.25">
      <c r="A2693" s="67"/>
      <c r="B2693" s="67"/>
    </row>
    <row r="2694" spans="1:2" x14ac:dyDescent="0.25">
      <c r="A2694" s="67"/>
      <c r="B2694" s="67"/>
    </row>
    <row r="2695" spans="1:2" x14ac:dyDescent="0.25">
      <c r="A2695" s="67"/>
      <c r="B2695" s="67"/>
    </row>
    <row r="2696" spans="1:2" x14ac:dyDescent="0.25">
      <c r="A2696" s="67"/>
      <c r="B2696" s="67"/>
    </row>
    <row r="2697" spans="1:2" x14ac:dyDescent="0.25">
      <c r="A2697" s="67"/>
      <c r="B2697" s="67"/>
    </row>
    <row r="2698" spans="1:2" x14ac:dyDescent="0.25">
      <c r="A2698" s="67"/>
      <c r="B2698" s="67"/>
    </row>
    <row r="2699" spans="1:2" x14ac:dyDescent="0.25">
      <c r="A2699" s="67"/>
      <c r="B2699" s="67"/>
    </row>
    <row r="2700" spans="1:2" x14ac:dyDescent="0.25">
      <c r="A2700" s="67"/>
      <c r="B2700" s="67"/>
    </row>
    <row r="2701" spans="1:2" x14ac:dyDescent="0.25">
      <c r="A2701" s="67"/>
      <c r="B2701" s="67"/>
    </row>
    <row r="2702" spans="1:2" x14ac:dyDescent="0.25">
      <c r="A2702" s="67"/>
      <c r="B2702" s="67"/>
    </row>
    <row r="2703" spans="1:2" x14ac:dyDescent="0.25">
      <c r="A2703" s="67"/>
      <c r="B2703" s="67"/>
    </row>
    <row r="2704" spans="1:2" x14ac:dyDescent="0.25">
      <c r="A2704" s="67"/>
      <c r="B2704" s="67"/>
    </row>
    <row r="2705" spans="1:2" x14ac:dyDescent="0.25">
      <c r="A2705" s="67"/>
      <c r="B2705" s="67"/>
    </row>
    <row r="2706" spans="1:2" x14ac:dyDescent="0.25">
      <c r="A2706" s="67"/>
      <c r="B2706" s="67"/>
    </row>
    <row r="2707" spans="1:2" x14ac:dyDescent="0.25">
      <c r="A2707" s="67"/>
      <c r="B2707" s="67"/>
    </row>
    <row r="2708" spans="1:2" x14ac:dyDescent="0.25">
      <c r="A2708" s="67"/>
      <c r="B2708" s="67"/>
    </row>
    <row r="2709" spans="1:2" x14ac:dyDescent="0.25">
      <c r="A2709" s="67"/>
      <c r="B2709" s="67"/>
    </row>
    <row r="2710" spans="1:2" x14ac:dyDescent="0.25">
      <c r="A2710" s="67"/>
      <c r="B2710" s="67"/>
    </row>
    <row r="2711" spans="1:2" x14ac:dyDescent="0.25">
      <c r="A2711" s="67"/>
      <c r="B2711" s="67"/>
    </row>
    <row r="2712" spans="1:2" x14ac:dyDescent="0.25">
      <c r="A2712" s="67"/>
      <c r="B2712" s="67"/>
    </row>
    <row r="2713" spans="1:2" x14ac:dyDescent="0.25">
      <c r="A2713" s="67"/>
      <c r="B2713" s="67"/>
    </row>
    <row r="2714" spans="1:2" x14ac:dyDescent="0.25">
      <c r="A2714" s="67"/>
      <c r="B2714" s="67"/>
    </row>
    <row r="2715" spans="1:2" x14ac:dyDescent="0.25">
      <c r="A2715" s="67"/>
      <c r="B2715" s="67"/>
    </row>
    <row r="2716" spans="1:2" x14ac:dyDescent="0.25">
      <c r="A2716" s="67"/>
      <c r="B2716" s="67"/>
    </row>
    <row r="2717" spans="1:2" x14ac:dyDescent="0.25">
      <c r="A2717" s="67"/>
      <c r="B2717" s="67"/>
    </row>
    <row r="2718" spans="1:2" x14ac:dyDescent="0.25">
      <c r="A2718" s="67"/>
      <c r="B2718" s="67"/>
    </row>
    <row r="2719" spans="1:2" x14ac:dyDescent="0.25">
      <c r="A2719" s="67"/>
      <c r="B2719" s="67"/>
    </row>
    <row r="2720" spans="1:2" x14ac:dyDescent="0.25">
      <c r="A2720" s="67"/>
      <c r="B2720" s="67"/>
    </row>
    <row r="2721" spans="1:2" x14ac:dyDescent="0.25">
      <c r="A2721" s="67"/>
      <c r="B2721" s="67"/>
    </row>
    <row r="2722" spans="1:2" x14ac:dyDescent="0.25">
      <c r="A2722" s="67"/>
      <c r="B2722" s="67"/>
    </row>
    <row r="2723" spans="1:2" x14ac:dyDescent="0.25">
      <c r="A2723" s="67"/>
      <c r="B2723" s="67"/>
    </row>
    <row r="2724" spans="1:2" x14ac:dyDescent="0.25">
      <c r="A2724" s="67"/>
      <c r="B2724" s="67"/>
    </row>
    <row r="2725" spans="1:2" x14ac:dyDescent="0.25">
      <c r="A2725" s="67"/>
      <c r="B2725" s="67"/>
    </row>
    <row r="2726" spans="1:2" x14ac:dyDescent="0.25">
      <c r="A2726" s="67"/>
      <c r="B2726" s="67"/>
    </row>
    <row r="2727" spans="1:2" x14ac:dyDescent="0.25">
      <c r="A2727" s="67"/>
      <c r="B2727" s="67"/>
    </row>
    <row r="2728" spans="1:2" x14ac:dyDescent="0.25">
      <c r="A2728" s="67"/>
      <c r="B2728" s="67"/>
    </row>
    <row r="2729" spans="1:2" x14ac:dyDescent="0.25">
      <c r="A2729" s="67"/>
      <c r="B2729" s="67"/>
    </row>
    <row r="2730" spans="1:2" x14ac:dyDescent="0.25">
      <c r="A2730" s="67"/>
      <c r="B2730" s="67"/>
    </row>
    <row r="2731" spans="1:2" x14ac:dyDescent="0.25">
      <c r="A2731" s="67"/>
      <c r="B2731" s="67"/>
    </row>
    <row r="2732" spans="1:2" x14ac:dyDescent="0.25">
      <c r="A2732" s="67"/>
      <c r="B2732" s="67"/>
    </row>
    <row r="2733" spans="1:2" x14ac:dyDescent="0.25">
      <c r="A2733" s="67"/>
      <c r="B2733" s="67"/>
    </row>
    <row r="2734" spans="1:2" x14ac:dyDescent="0.25">
      <c r="A2734" s="67"/>
      <c r="B2734" s="67"/>
    </row>
    <row r="2735" spans="1:2" x14ac:dyDescent="0.25">
      <c r="A2735" s="67"/>
      <c r="B2735" s="67"/>
    </row>
    <row r="2736" spans="1:2" x14ac:dyDescent="0.25">
      <c r="A2736" s="67"/>
      <c r="B2736" s="67"/>
    </row>
    <row r="2737" spans="1:2" x14ac:dyDescent="0.25">
      <c r="A2737" s="67"/>
      <c r="B2737" s="67"/>
    </row>
    <row r="2738" spans="1:2" x14ac:dyDescent="0.25">
      <c r="A2738" s="67"/>
      <c r="B2738" s="67"/>
    </row>
    <row r="2739" spans="1:2" x14ac:dyDescent="0.25">
      <c r="A2739" s="67"/>
      <c r="B2739" s="67"/>
    </row>
    <row r="2740" spans="1:2" x14ac:dyDescent="0.25">
      <c r="A2740" s="67"/>
      <c r="B2740" s="67"/>
    </row>
    <row r="2741" spans="1:2" x14ac:dyDescent="0.25">
      <c r="A2741" s="67"/>
      <c r="B2741" s="67"/>
    </row>
    <row r="2742" spans="1:2" x14ac:dyDescent="0.25">
      <c r="A2742" s="67"/>
      <c r="B2742" s="67"/>
    </row>
    <row r="2743" spans="1:2" x14ac:dyDescent="0.25">
      <c r="A2743" s="67"/>
      <c r="B2743" s="67"/>
    </row>
    <row r="2744" spans="1:2" x14ac:dyDescent="0.25">
      <c r="A2744" s="67"/>
      <c r="B2744" s="67"/>
    </row>
    <row r="2745" spans="1:2" x14ac:dyDescent="0.25">
      <c r="A2745" s="67"/>
      <c r="B2745" s="67"/>
    </row>
    <row r="2746" spans="1:2" x14ac:dyDescent="0.25">
      <c r="A2746" s="67"/>
      <c r="B2746" s="67"/>
    </row>
    <row r="2747" spans="1:2" x14ac:dyDescent="0.25">
      <c r="A2747" s="67"/>
      <c r="B2747" s="67"/>
    </row>
    <row r="2748" spans="1:2" x14ac:dyDescent="0.25">
      <c r="A2748" s="67"/>
      <c r="B2748" s="67"/>
    </row>
    <row r="2749" spans="1:2" x14ac:dyDescent="0.25">
      <c r="A2749" s="67"/>
      <c r="B2749" s="67"/>
    </row>
    <row r="2750" spans="1:2" x14ac:dyDescent="0.25">
      <c r="A2750" s="67"/>
      <c r="B2750" s="67"/>
    </row>
    <row r="2751" spans="1:2" x14ac:dyDescent="0.25">
      <c r="A2751" s="67"/>
      <c r="B2751" s="67"/>
    </row>
    <row r="2752" spans="1:2" x14ac:dyDescent="0.25">
      <c r="A2752" s="67"/>
      <c r="B2752" s="67"/>
    </row>
    <row r="2753" spans="1:2" x14ac:dyDescent="0.25">
      <c r="A2753" s="67"/>
      <c r="B2753" s="67"/>
    </row>
    <row r="2754" spans="1:2" x14ac:dyDescent="0.25">
      <c r="A2754" s="67"/>
      <c r="B2754" s="67"/>
    </row>
    <row r="2755" spans="1:2" x14ac:dyDescent="0.25">
      <c r="A2755" s="67"/>
      <c r="B2755" s="67"/>
    </row>
    <row r="2756" spans="1:2" x14ac:dyDescent="0.25">
      <c r="A2756" s="67"/>
      <c r="B2756" s="67"/>
    </row>
    <row r="2757" spans="1:2" x14ac:dyDescent="0.25">
      <c r="A2757" s="67"/>
      <c r="B2757" s="67"/>
    </row>
    <row r="2758" spans="1:2" x14ac:dyDescent="0.25">
      <c r="A2758" s="67"/>
      <c r="B2758" s="67"/>
    </row>
    <row r="2759" spans="1:2" x14ac:dyDescent="0.25">
      <c r="A2759" s="67"/>
      <c r="B2759" s="67"/>
    </row>
    <row r="2760" spans="1:2" x14ac:dyDescent="0.25">
      <c r="A2760" s="67"/>
      <c r="B2760" s="67"/>
    </row>
    <row r="2761" spans="1:2" x14ac:dyDescent="0.25">
      <c r="A2761" s="67"/>
      <c r="B2761" s="67"/>
    </row>
    <row r="2762" spans="1:2" x14ac:dyDescent="0.25">
      <c r="A2762" s="67"/>
      <c r="B2762" s="67"/>
    </row>
    <row r="2763" spans="1:2" x14ac:dyDescent="0.25">
      <c r="A2763" s="67"/>
      <c r="B2763" s="67"/>
    </row>
    <row r="2764" spans="1:2" x14ac:dyDescent="0.25">
      <c r="A2764" s="67"/>
      <c r="B2764" s="67"/>
    </row>
    <row r="2765" spans="1:2" x14ac:dyDescent="0.25">
      <c r="A2765" s="67"/>
      <c r="B2765" s="67"/>
    </row>
    <row r="2766" spans="1:2" x14ac:dyDescent="0.25">
      <c r="A2766" s="67"/>
      <c r="B2766" s="67"/>
    </row>
    <row r="2767" spans="1:2" x14ac:dyDescent="0.25">
      <c r="A2767" s="67"/>
      <c r="B2767" s="67"/>
    </row>
    <row r="2768" spans="1:2" x14ac:dyDescent="0.25">
      <c r="A2768" s="67"/>
      <c r="B2768" s="67"/>
    </row>
    <row r="2769" spans="1:2" x14ac:dyDescent="0.25">
      <c r="A2769" s="67"/>
      <c r="B2769" s="67"/>
    </row>
    <row r="2770" spans="1:2" x14ac:dyDescent="0.25">
      <c r="A2770" s="67"/>
      <c r="B2770" s="67"/>
    </row>
    <row r="2771" spans="1:2" x14ac:dyDescent="0.25">
      <c r="A2771" s="67"/>
      <c r="B2771" s="67"/>
    </row>
    <row r="2772" spans="1:2" x14ac:dyDescent="0.25">
      <c r="A2772" s="67"/>
      <c r="B2772" s="67"/>
    </row>
    <row r="2773" spans="1:2" x14ac:dyDescent="0.25">
      <c r="A2773" s="67"/>
      <c r="B2773" s="67"/>
    </row>
    <row r="2774" spans="1:2" x14ac:dyDescent="0.25">
      <c r="A2774" s="67"/>
      <c r="B2774" s="67"/>
    </row>
    <row r="2775" spans="1:2" x14ac:dyDescent="0.25">
      <c r="A2775" s="67"/>
      <c r="B2775" s="67"/>
    </row>
    <row r="2776" spans="1:2" x14ac:dyDescent="0.25">
      <c r="A2776" s="67"/>
      <c r="B2776" s="67"/>
    </row>
    <row r="2777" spans="1:2" x14ac:dyDescent="0.25">
      <c r="A2777" s="67"/>
      <c r="B2777" s="67"/>
    </row>
    <row r="2778" spans="1:2" x14ac:dyDescent="0.25">
      <c r="A2778" s="67"/>
      <c r="B2778" s="67"/>
    </row>
    <row r="2779" spans="1:2" x14ac:dyDescent="0.25">
      <c r="A2779" s="67"/>
      <c r="B2779" s="67"/>
    </row>
    <row r="2780" spans="1:2" x14ac:dyDescent="0.25">
      <c r="A2780" s="67"/>
      <c r="B2780" s="67"/>
    </row>
    <row r="2781" spans="1:2" x14ac:dyDescent="0.25">
      <c r="A2781" s="67"/>
      <c r="B2781" s="67"/>
    </row>
    <row r="2782" spans="1:2" x14ac:dyDescent="0.25">
      <c r="A2782" s="67"/>
      <c r="B2782" s="67"/>
    </row>
    <row r="2783" spans="1:2" x14ac:dyDescent="0.25">
      <c r="A2783" s="67"/>
      <c r="B2783" s="67"/>
    </row>
    <row r="2784" spans="1:2" x14ac:dyDescent="0.25">
      <c r="A2784" s="67"/>
      <c r="B2784" s="67"/>
    </row>
    <row r="2785" spans="1:2" x14ac:dyDescent="0.25">
      <c r="A2785" s="67"/>
      <c r="B2785" s="67"/>
    </row>
    <row r="2786" spans="1:2" x14ac:dyDescent="0.25">
      <c r="A2786" s="67"/>
      <c r="B2786" s="67"/>
    </row>
    <row r="2787" spans="1:2" x14ac:dyDescent="0.25">
      <c r="A2787" s="67"/>
      <c r="B2787" s="67"/>
    </row>
    <row r="2788" spans="1:2" x14ac:dyDescent="0.25">
      <c r="A2788" s="67"/>
      <c r="B2788" s="67"/>
    </row>
    <row r="2789" spans="1:2" x14ac:dyDescent="0.25">
      <c r="A2789" s="67"/>
      <c r="B2789" s="67"/>
    </row>
    <row r="2790" spans="1:2" x14ac:dyDescent="0.25">
      <c r="A2790" s="67"/>
      <c r="B2790" s="67"/>
    </row>
    <row r="2791" spans="1:2" x14ac:dyDescent="0.25">
      <c r="A2791" s="67"/>
      <c r="B2791" s="67"/>
    </row>
    <row r="2792" spans="1:2" x14ac:dyDescent="0.25">
      <c r="A2792" s="67"/>
      <c r="B2792" s="67"/>
    </row>
    <row r="2793" spans="1:2" x14ac:dyDescent="0.25">
      <c r="A2793" s="67"/>
      <c r="B2793" s="67"/>
    </row>
    <row r="2794" spans="1:2" x14ac:dyDescent="0.25">
      <c r="A2794" s="67"/>
      <c r="B2794" s="67"/>
    </row>
    <row r="2795" spans="1:2" x14ac:dyDescent="0.25">
      <c r="A2795" s="67"/>
      <c r="B2795" s="67"/>
    </row>
    <row r="2796" spans="1:2" x14ac:dyDescent="0.25">
      <c r="A2796" s="67"/>
      <c r="B2796" s="67"/>
    </row>
    <row r="2797" spans="1:2" x14ac:dyDescent="0.25">
      <c r="A2797" s="67"/>
      <c r="B2797" s="67"/>
    </row>
    <row r="2798" spans="1:2" x14ac:dyDescent="0.25">
      <c r="A2798" s="67"/>
      <c r="B2798" s="67"/>
    </row>
    <row r="2799" spans="1:2" x14ac:dyDescent="0.25">
      <c r="A2799" s="67"/>
      <c r="B2799" s="67"/>
    </row>
    <row r="2800" spans="1:2" x14ac:dyDescent="0.25">
      <c r="A2800" s="67"/>
      <c r="B2800" s="67"/>
    </row>
    <row r="2801" spans="1:2" x14ac:dyDescent="0.25">
      <c r="A2801" s="67"/>
      <c r="B2801" s="67"/>
    </row>
    <row r="2802" spans="1:2" x14ac:dyDescent="0.25">
      <c r="A2802" s="67"/>
      <c r="B2802" s="67"/>
    </row>
    <row r="2803" spans="1:2" x14ac:dyDescent="0.25">
      <c r="A2803" s="67"/>
      <c r="B2803" s="67"/>
    </row>
    <row r="2804" spans="1:2" x14ac:dyDescent="0.25">
      <c r="A2804" s="67"/>
      <c r="B2804" s="67"/>
    </row>
    <row r="2805" spans="1:2" x14ac:dyDescent="0.25">
      <c r="A2805" s="67"/>
      <c r="B2805" s="67"/>
    </row>
    <row r="2806" spans="1:2" x14ac:dyDescent="0.25">
      <c r="A2806" s="67"/>
      <c r="B2806" s="67"/>
    </row>
    <row r="2807" spans="1:2" x14ac:dyDescent="0.25">
      <c r="A2807" s="67"/>
      <c r="B2807" s="67"/>
    </row>
    <row r="2808" spans="1:2" x14ac:dyDescent="0.25">
      <c r="A2808" s="67"/>
      <c r="B2808" s="67"/>
    </row>
    <row r="2809" spans="1:2" x14ac:dyDescent="0.25">
      <c r="A2809" s="67"/>
      <c r="B2809" s="67"/>
    </row>
    <row r="2810" spans="1:2" x14ac:dyDescent="0.25">
      <c r="A2810" s="67"/>
      <c r="B2810" s="67"/>
    </row>
    <row r="2811" spans="1:2" x14ac:dyDescent="0.25">
      <c r="A2811" s="67"/>
      <c r="B2811" s="67"/>
    </row>
    <row r="2812" spans="1:2" x14ac:dyDescent="0.25">
      <c r="A2812" s="67"/>
      <c r="B2812" s="67"/>
    </row>
    <row r="2813" spans="1:2" x14ac:dyDescent="0.25">
      <c r="A2813" s="67"/>
      <c r="B2813" s="67"/>
    </row>
    <row r="2814" spans="1:2" x14ac:dyDescent="0.25">
      <c r="A2814" s="67"/>
      <c r="B2814" s="67"/>
    </row>
    <row r="2815" spans="1:2" x14ac:dyDescent="0.25">
      <c r="A2815" s="67"/>
      <c r="B2815" s="67"/>
    </row>
    <row r="2816" spans="1:2" x14ac:dyDescent="0.25">
      <c r="A2816" s="67"/>
      <c r="B2816" s="67"/>
    </row>
    <row r="2817" spans="1:2" x14ac:dyDescent="0.25">
      <c r="A2817" s="67"/>
      <c r="B2817" s="67"/>
    </row>
    <row r="2818" spans="1:2" x14ac:dyDescent="0.25">
      <c r="A2818" s="67"/>
      <c r="B2818" s="67"/>
    </row>
    <row r="2819" spans="1:2" x14ac:dyDescent="0.25">
      <c r="A2819" s="67"/>
      <c r="B2819" s="67"/>
    </row>
    <row r="2820" spans="1:2" x14ac:dyDescent="0.25">
      <c r="A2820" s="67"/>
      <c r="B2820" s="67"/>
    </row>
    <row r="2821" spans="1:2" x14ac:dyDescent="0.25">
      <c r="A2821" s="67"/>
      <c r="B2821" s="67"/>
    </row>
    <row r="2822" spans="1:2" x14ac:dyDescent="0.25">
      <c r="A2822" s="67"/>
      <c r="B2822" s="67"/>
    </row>
    <row r="2823" spans="1:2" x14ac:dyDescent="0.25">
      <c r="A2823" s="67"/>
      <c r="B2823" s="67"/>
    </row>
    <row r="2824" spans="1:2" x14ac:dyDescent="0.25">
      <c r="A2824" s="67"/>
      <c r="B2824" s="67"/>
    </row>
    <row r="2825" spans="1:2" x14ac:dyDescent="0.25">
      <c r="A2825" s="67"/>
      <c r="B2825" s="67"/>
    </row>
    <row r="2826" spans="1:2" x14ac:dyDescent="0.25">
      <c r="A2826" s="67"/>
      <c r="B2826" s="67"/>
    </row>
    <row r="2827" spans="1:2" x14ac:dyDescent="0.25">
      <c r="A2827" s="67"/>
      <c r="B2827" s="67"/>
    </row>
    <row r="2828" spans="1:2" x14ac:dyDescent="0.25">
      <c r="A2828" s="67"/>
      <c r="B2828" s="67"/>
    </row>
    <row r="2829" spans="1:2" x14ac:dyDescent="0.25">
      <c r="A2829" s="67"/>
      <c r="B2829" s="67"/>
    </row>
    <row r="2830" spans="1:2" x14ac:dyDescent="0.25">
      <c r="A2830" s="67"/>
      <c r="B2830" s="67"/>
    </row>
    <row r="2831" spans="1:2" x14ac:dyDescent="0.25">
      <c r="A2831" s="67"/>
      <c r="B2831" s="67"/>
    </row>
    <row r="2832" spans="1:2" x14ac:dyDescent="0.25">
      <c r="A2832" s="67"/>
      <c r="B2832" s="67"/>
    </row>
    <row r="2833" spans="1:2" x14ac:dyDescent="0.25">
      <c r="A2833" s="67"/>
      <c r="B2833" s="67"/>
    </row>
    <row r="2834" spans="1:2" x14ac:dyDescent="0.25">
      <c r="A2834" s="67"/>
      <c r="B2834" s="67"/>
    </row>
    <row r="2835" spans="1:2" x14ac:dyDescent="0.25">
      <c r="A2835" s="67"/>
      <c r="B2835" s="67"/>
    </row>
    <row r="2836" spans="1:2" x14ac:dyDescent="0.25">
      <c r="A2836" s="67"/>
      <c r="B2836" s="67"/>
    </row>
    <row r="2837" spans="1:2" x14ac:dyDescent="0.25">
      <c r="A2837" s="67"/>
      <c r="B2837" s="67"/>
    </row>
    <row r="2838" spans="1:2" x14ac:dyDescent="0.25">
      <c r="A2838" s="67"/>
      <c r="B2838" s="67"/>
    </row>
    <row r="2839" spans="1:2" x14ac:dyDescent="0.25">
      <c r="A2839" s="67"/>
      <c r="B2839" s="67"/>
    </row>
    <row r="2840" spans="1:2" x14ac:dyDescent="0.25">
      <c r="A2840" s="67"/>
      <c r="B2840" s="67"/>
    </row>
    <row r="2841" spans="1:2" x14ac:dyDescent="0.25">
      <c r="A2841" s="67"/>
      <c r="B2841" s="67"/>
    </row>
    <row r="2842" spans="1:2" x14ac:dyDescent="0.25">
      <c r="A2842" s="67"/>
      <c r="B2842" s="67"/>
    </row>
    <row r="2843" spans="1:2" x14ac:dyDescent="0.25">
      <c r="A2843" s="67"/>
      <c r="B2843" s="67"/>
    </row>
    <row r="2844" spans="1:2" x14ac:dyDescent="0.25">
      <c r="A2844" s="67"/>
      <c r="B2844" s="67"/>
    </row>
    <row r="2845" spans="1:2" x14ac:dyDescent="0.25">
      <c r="A2845" s="67"/>
      <c r="B2845" s="67"/>
    </row>
    <row r="2846" spans="1:2" x14ac:dyDescent="0.25">
      <c r="A2846" s="67"/>
      <c r="B2846" s="67"/>
    </row>
    <row r="2847" spans="1:2" x14ac:dyDescent="0.25">
      <c r="A2847" s="67"/>
      <c r="B2847" s="67"/>
    </row>
    <row r="2848" spans="1:2" x14ac:dyDescent="0.25">
      <c r="A2848" s="67"/>
      <c r="B2848" s="67"/>
    </row>
    <row r="2849" spans="1:2" x14ac:dyDescent="0.25">
      <c r="A2849" s="67"/>
      <c r="B2849" s="67"/>
    </row>
    <row r="2850" spans="1:2" x14ac:dyDescent="0.25">
      <c r="A2850" s="67"/>
      <c r="B2850" s="67"/>
    </row>
    <row r="2851" spans="1:2" x14ac:dyDescent="0.25">
      <c r="A2851" s="67"/>
      <c r="B2851" s="67"/>
    </row>
    <row r="2852" spans="1:2" x14ac:dyDescent="0.25">
      <c r="A2852" s="67"/>
      <c r="B2852" s="67"/>
    </row>
    <row r="2853" spans="1:2" x14ac:dyDescent="0.25">
      <c r="A2853" s="67"/>
      <c r="B2853" s="67"/>
    </row>
    <row r="2854" spans="1:2" x14ac:dyDescent="0.25">
      <c r="A2854" s="67"/>
      <c r="B2854" s="67"/>
    </row>
    <row r="2855" spans="1:2" x14ac:dyDescent="0.25">
      <c r="A2855" s="67"/>
      <c r="B2855" s="67"/>
    </row>
    <row r="2856" spans="1:2" x14ac:dyDescent="0.25">
      <c r="A2856" s="67"/>
      <c r="B2856" s="67"/>
    </row>
    <row r="2857" spans="1:2" x14ac:dyDescent="0.25">
      <c r="A2857" s="67"/>
      <c r="B2857" s="67"/>
    </row>
    <row r="2858" spans="1:2" x14ac:dyDescent="0.25">
      <c r="A2858" s="67"/>
      <c r="B2858" s="67"/>
    </row>
    <row r="2859" spans="1:2" x14ac:dyDescent="0.25">
      <c r="A2859" s="67"/>
      <c r="B2859" s="67"/>
    </row>
    <row r="2860" spans="1:2" x14ac:dyDescent="0.25">
      <c r="A2860" s="67"/>
      <c r="B2860" s="67"/>
    </row>
    <row r="2861" spans="1:2" x14ac:dyDescent="0.25">
      <c r="A2861" s="67"/>
      <c r="B2861" s="67"/>
    </row>
    <row r="2862" spans="1:2" x14ac:dyDescent="0.25">
      <c r="A2862" s="67"/>
      <c r="B2862" s="67"/>
    </row>
    <row r="2863" spans="1:2" x14ac:dyDescent="0.25">
      <c r="A2863" s="67"/>
      <c r="B2863" s="67"/>
    </row>
    <row r="2864" spans="1:2" x14ac:dyDescent="0.25">
      <c r="A2864" s="67"/>
      <c r="B2864" s="67"/>
    </row>
    <row r="2865" spans="1:2" x14ac:dyDescent="0.25">
      <c r="A2865" s="67"/>
      <c r="B2865" s="67"/>
    </row>
    <row r="2866" spans="1:2" x14ac:dyDescent="0.25">
      <c r="A2866" s="67"/>
      <c r="B2866" s="67"/>
    </row>
    <row r="2867" spans="1:2" x14ac:dyDescent="0.25">
      <c r="A2867" s="67"/>
      <c r="B2867" s="67"/>
    </row>
    <row r="2868" spans="1:2" x14ac:dyDescent="0.25">
      <c r="A2868" s="67"/>
      <c r="B2868" s="67"/>
    </row>
    <row r="2869" spans="1:2" x14ac:dyDescent="0.25">
      <c r="A2869" s="67"/>
      <c r="B2869" s="67"/>
    </row>
    <row r="2870" spans="1:2" x14ac:dyDescent="0.25">
      <c r="A2870" s="67"/>
      <c r="B2870" s="67"/>
    </row>
    <row r="2871" spans="1:2" x14ac:dyDescent="0.25">
      <c r="A2871" s="67"/>
      <c r="B2871" s="67"/>
    </row>
    <row r="2872" spans="1:2" x14ac:dyDescent="0.25">
      <c r="A2872" s="67"/>
      <c r="B2872" s="67"/>
    </row>
    <row r="2873" spans="1:2" x14ac:dyDescent="0.25">
      <c r="A2873" s="67"/>
      <c r="B2873" s="67"/>
    </row>
    <row r="2874" spans="1:2" x14ac:dyDescent="0.25">
      <c r="A2874" s="67"/>
      <c r="B2874" s="67"/>
    </row>
    <row r="2875" spans="1:2" x14ac:dyDescent="0.25">
      <c r="A2875" s="67"/>
      <c r="B2875" s="67"/>
    </row>
    <row r="2876" spans="1:2" x14ac:dyDescent="0.25">
      <c r="A2876" s="67"/>
      <c r="B2876" s="67"/>
    </row>
    <row r="2877" spans="1:2" x14ac:dyDescent="0.25">
      <c r="A2877" s="67"/>
      <c r="B2877" s="67"/>
    </row>
    <row r="2878" spans="1:2" x14ac:dyDescent="0.25">
      <c r="A2878" s="67"/>
      <c r="B2878" s="67"/>
    </row>
    <row r="2879" spans="1:2" x14ac:dyDescent="0.25">
      <c r="A2879" s="67"/>
      <c r="B2879" s="67"/>
    </row>
    <row r="2880" spans="1:2" x14ac:dyDescent="0.25">
      <c r="A2880" s="67"/>
      <c r="B2880" s="67"/>
    </row>
    <row r="2881" spans="1:2" x14ac:dyDescent="0.25">
      <c r="A2881" s="67"/>
      <c r="B2881" s="67"/>
    </row>
    <row r="2882" spans="1:2" x14ac:dyDescent="0.25">
      <c r="A2882" s="67"/>
      <c r="B2882" s="67"/>
    </row>
    <row r="2883" spans="1:2" x14ac:dyDescent="0.25">
      <c r="A2883" s="67"/>
      <c r="B2883" s="67"/>
    </row>
    <row r="2884" spans="1:2" x14ac:dyDescent="0.25">
      <c r="A2884" s="67"/>
      <c r="B2884" s="67"/>
    </row>
    <row r="2885" spans="1:2" x14ac:dyDescent="0.25">
      <c r="A2885" s="67"/>
      <c r="B2885" s="67"/>
    </row>
    <row r="2886" spans="1:2" x14ac:dyDescent="0.25">
      <c r="A2886" s="67"/>
      <c r="B2886" s="67"/>
    </row>
    <row r="2887" spans="1:2" x14ac:dyDescent="0.25">
      <c r="A2887" s="67"/>
      <c r="B2887" s="67"/>
    </row>
    <row r="2888" spans="1:2" x14ac:dyDescent="0.25">
      <c r="A2888" s="67"/>
      <c r="B2888" s="67"/>
    </row>
    <row r="2889" spans="1:2" x14ac:dyDescent="0.25">
      <c r="A2889" s="67"/>
      <c r="B2889" s="67"/>
    </row>
    <row r="2890" spans="1:2" x14ac:dyDescent="0.25">
      <c r="A2890" s="67"/>
      <c r="B2890" s="67"/>
    </row>
    <row r="2891" spans="1:2" x14ac:dyDescent="0.25">
      <c r="A2891" s="67"/>
      <c r="B2891" s="67"/>
    </row>
    <row r="2892" spans="1:2" x14ac:dyDescent="0.25">
      <c r="A2892" s="67"/>
      <c r="B2892" s="67"/>
    </row>
    <row r="2893" spans="1:2" x14ac:dyDescent="0.25">
      <c r="A2893" s="67"/>
      <c r="B2893" s="67"/>
    </row>
    <row r="2894" spans="1:2" x14ac:dyDescent="0.25">
      <c r="A2894" s="67"/>
      <c r="B2894" s="67"/>
    </row>
    <row r="2895" spans="1:2" x14ac:dyDescent="0.25">
      <c r="A2895" s="67"/>
      <c r="B2895" s="67"/>
    </row>
    <row r="2896" spans="1:2" x14ac:dyDescent="0.25">
      <c r="A2896" s="67"/>
      <c r="B2896" s="67"/>
    </row>
    <row r="2897" spans="1:2" x14ac:dyDescent="0.25">
      <c r="A2897" s="67"/>
      <c r="B2897" s="67"/>
    </row>
    <row r="2898" spans="1:2" x14ac:dyDescent="0.25">
      <c r="A2898" s="67"/>
      <c r="B2898" s="67"/>
    </row>
    <row r="2899" spans="1:2" x14ac:dyDescent="0.25">
      <c r="A2899" s="67"/>
      <c r="B2899" s="67"/>
    </row>
    <row r="2900" spans="1:2" x14ac:dyDescent="0.25">
      <c r="A2900" s="67"/>
      <c r="B2900" s="67"/>
    </row>
    <row r="2901" spans="1:2" x14ac:dyDescent="0.25">
      <c r="A2901" s="67"/>
      <c r="B2901" s="67"/>
    </row>
    <row r="2902" spans="1:2" x14ac:dyDescent="0.25">
      <c r="A2902" s="67"/>
      <c r="B2902" s="67"/>
    </row>
    <row r="2903" spans="1:2" x14ac:dyDescent="0.25">
      <c r="A2903" s="67"/>
      <c r="B2903" s="67"/>
    </row>
    <row r="2904" spans="1:2" x14ac:dyDescent="0.25">
      <c r="A2904" s="67"/>
      <c r="B2904" s="67"/>
    </row>
    <row r="2905" spans="1:2" x14ac:dyDescent="0.25">
      <c r="A2905" s="67"/>
      <c r="B2905" s="67"/>
    </row>
    <row r="2906" spans="1:2" x14ac:dyDescent="0.25">
      <c r="A2906" s="67"/>
      <c r="B2906" s="67"/>
    </row>
    <row r="2907" spans="1:2" x14ac:dyDescent="0.25">
      <c r="A2907" s="67"/>
      <c r="B2907" s="67"/>
    </row>
    <row r="2908" spans="1:2" x14ac:dyDescent="0.25">
      <c r="A2908" s="67"/>
      <c r="B2908" s="67"/>
    </row>
    <row r="2909" spans="1:2" x14ac:dyDescent="0.25">
      <c r="A2909" s="67"/>
      <c r="B2909" s="67"/>
    </row>
    <row r="2910" spans="1:2" x14ac:dyDescent="0.25">
      <c r="A2910" s="67"/>
      <c r="B2910" s="67"/>
    </row>
    <row r="2911" spans="1:2" x14ac:dyDescent="0.25">
      <c r="A2911" s="67"/>
      <c r="B2911" s="67"/>
    </row>
    <row r="2912" spans="1:2" x14ac:dyDescent="0.25">
      <c r="A2912" s="67"/>
      <c r="B2912" s="67"/>
    </row>
    <row r="2913" spans="1:2" x14ac:dyDescent="0.25">
      <c r="A2913" s="67"/>
      <c r="B2913" s="67"/>
    </row>
    <row r="2914" spans="1:2" x14ac:dyDescent="0.25">
      <c r="A2914" s="67"/>
      <c r="B2914" s="67"/>
    </row>
    <row r="2915" spans="1:2" x14ac:dyDescent="0.25">
      <c r="A2915" s="67"/>
      <c r="B2915" s="67"/>
    </row>
    <row r="2916" spans="1:2" x14ac:dyDescent="0.25">
      <c r="A2916" s="67"/>
      <c r="B2916" s="67"/>
    </row>
    <row r="2917" spans="1:2" x14ac:dyDescent="0.25">
      <c r="A2917" s="67"/>
      <c r="B2917" s="67"/>
    </row>
    <row r="2918" spans="1:2" x14ac:dyDescent="0.25">
      <c r="A2918" s="67"/>
      <c r="B2918" s="67"/>
    </row>
    <row r="2919" spans="1:2" x14ac:dyDescent="0.25">
      <c r="A2919" s="67"/>
      <c r="B2919" s="67"/>
    </row>
    <row r="2920" spans="1:2" x14ac:dyDescent="0.25">
      <c r="A2920" s="67"/>
      <c r="B2920" s="67"/>
    </row>
    <row r="2921" spans="1:2" x14ac:dyDescent="0.25">
      <c r="A2921" s="67"/>
      <c r="B2921" s="67"/>
    </row>
    <row r="2922" spans="1:2" x14ac:dyDescent="0.25">
      <c r="A2922" s="67"/>
      <c r="B2922" s="67"/>
    </row>
    <row r="2923" spans="1:2" x14ac:dyDescent="0.25">
      <c r="A2923" s="67"/>
      <c r="B2923" s="67"/>
    </row>
    <row r="2924" spans="1:2" x14ac:dyDescent="0.25">
      <c r="A2924" s="67"/>
      <c r="B2924" s="67"/>
    </row>
    <row r="2925" spans="1:2" x14ac:dyDescent="0.25">
      <c r="A2925" s="67"/>
      <c r="B2925" s="67"/>
    </row>
    <row r="2926" spans="1:2" x14ac:dyDescent="0.25">
      <c r="A2926" s="67"/>
      <c r="B2926" s="67"/>
    </row>
    <row r="2927" spans="1:2" x14ac:dyDescent="0.25">
      <c r="A2927" s="67"/>
      <c r="B2927" s="67"/>
    </row>
    <row r="2928" spans="1:2" x14ac:dyDescent="0.25">
      <c r="A2928" s="67"/>
      <c r="B2928" s="67"/>
    </row>
    <row r="2929" spans="1:2" x14ac:dyDescent="0.25">
      <c r="A2929" s="67"/>
      <c r="B2929" s="67"/>
    </row>
    <row r="2930" spans="1:2" x14ac:dyDescent="0.25">
      <c r="A2930" s="67"/>
      <c r="B2930" s="67"/>
    </row>
    <row r="2931" spans="1:2" x14ac:dyDescent="0.25">
      <c r="A2931" s="67"/>
      <c r="B2931" s="67"/>
    </row>
    <row r="2932" spans="1:2" x14ac:dyDescent="0.25">
      <c r="A2932" s="67"/>
      <c r="B2932" s="67"/>
    </row>
    <row r="2933" spans="1:2" x14ac:dyDescent="0.25">
      <c r="A2933" s="67"/>
      <c r="B2933" s="67"/>
    </row>
    <row r="2934" spans="1:2" x14ac:dyDescent="0.25">
      <c r="A2934" s="67"/>
      <c r="B2934" s="67"/>
    </row>
    <row r="2935" spans="1:2" x14ac:dyDescent="0.25">
      <c r="A2935" s="67"/>
      <c r="B2935" s="67"/>
    </row>
    <row r="2936" spans="1:2" x14ac:dyDescent="0.25">
      <c r="A2936" s="67"/>
      <c r="B2936" s="67"/>
    </row>
    <row r="2937" spans="1:2" x14ac:dyDescent="0.25">
      <c r="A2937" s="67"/>
      <c r="B2937" s="67"/>
    </row>
    <row r="2938" spans="1:2" x14ac:dyDescent="0.25">
      <c r="A2938" s="67"/>
      <c r="B2938" s="67"/>
    </row>
    <row r="2939" spans="1:2" x14ac:dyDescent="0.25">
      <c r="A2939" s="67"/>
      <c r="B2939" s="67"/>
    </row>
    <row r="2940" spans="1:2" x14ac:dyDescent="0.25">
      <c r="A2940" s="67"/>
      <c r="B2940" s="67"/>
    </row>
    <row r="2941" spans="1:2" x14ac:dyDescent="0.25">
      <c r="A2941" s="67"/>
      <c r="B2941" s="67"/>
    </row>
    <row r="2942" spans="1:2" x14ac:dyDescent="0.25">
      <c r="A2942" s="67"/>
      <c r="B2942" s="67"/>
    </row>
    <row r="2943" spans="1:2" x14ac:dyDescent="0.25">
      <c r="A2943" s="67"/>
      <c r="B2943" s="67"/>
    </row>
    <row r="2944" spans="1:2" x14ac:dyDescent="0.25">
      <c r="A2944" s="67"/>
      <c r="B2944" s="67"/>
    </row>
    <row r="2945" spans="1:2" x14ac:dyDescent="0.25">
      <c r="A2945" s="67"/>
      <c r="B2945" s="67"/>
    </row>
    <row r="2946" spans="1:2" x14ac:dyDescent="0.25">
      <c r="A2946" s="67"/>
      <c r="B2946" s="67"/>
    </row>
    <row r="2947" spans="1:2" x14ac:dyDescent="0.25">
      <c r="A2947" s="67"/>
      <c r="B2947" s="67"/>
    </row>
    <row r="2948" spans="1:2" x14ac:dyDescent="0.25">
      <c r="A2948" s="67"/>
      <c r="B2948" s="67"/>
    </row>
    <row r="2949" spans="1:2" x14ac:dyDescent="0.25">
      <c r="A2949" s="67"/>
      <c r="B2949" s="67"/>
    </row>
    <row r="2950" spans="1:2" x14ac:dyDescent="0.25">
      <c r="A2950" s="67"/>
      <c r="B2950" s="67"/>
    </row>
    <row r="2951" spans="1:2" x14ac:dyDescent="0.25">
      <c r="A2951" s="67"/>
      <c r="B2951" s="67"/>
    </row>
    <row r="2952" spans="1:2" x14ac:dyDescent="0.25">
      <c r="A2952" s="67"/>
      <c r="B2952" s="67"/>
    </row>
    <row r="2953" spans="1:2" x14ac:dyDescent="0.25">
      <c r="A2953" s="67"/>
      <c r="B2953" s="67"/>
    </row>
    <row r="2954" spans="1:2" x14ac:dyDescent="0.25">
      <c r="A2954" s="67"/>
      <c r="B2954" s="67"/>
    </row>
    <row r="2955" spans="1:2" x14ac:dyDescent="0.25">
      <c r="A2955" s="67"/>
      <c r="B2955" s="67"/>
    </row>
    <row r="2956" spans="1:2" x14ac:dyDescent="0.25">
      <c r="A2956" s="67"/>
      <c r="B2956" s="67"/>
    </row>
    <row r="2957" spans="1:2" x14ac:dyDescent="0.25">
      <c r="A2957" s="67"/>
      <c r="B2957" s="67"/>
    </row>
    <row r="2958" spans="1:2" x14ac:dyDescent="0.25">
      <c r="A2958" s="67"/>
      <c r="B2958" s="67"/>
    </row>
    <row r="2959" spans="1:2" x14ac:dyDescent="0.25">
      <c r="A2959" s="67"/>
      <c r="B2959" s="67"/>
    </row>
    <row r="2960" spans="1:2" x14ac:dyDescent="0.25">
      <c r="A2960" s="67"/>
      <c r="B2960" s="67"/>
    </row>
    <row r="2961" spans="1:2" x14ac:dyDescent="0.25">
      <c r="A2961" s="67"/>
      <c r="B2961" s="67"/>
    </row>
    <row r="2962" spans="1:2" x14ac:dyDescent="0.25">
      <c r="A2962" s="67"/>
      <c r="B2962" s="67"/>
    </row>
    <row r="2963" spans="1:2" x14ac:dyDescent="0.25">
      <c r="A2963" s="67"/>
      <c r="B2963" s="67"/>
    </row>
    <row r="2964" spans="1:2" x14ac:dyDescent="0.25">
      <c r="A2964" s="67"/>
      <c r="B2964" s="67"/>
    </row>
    <row r="2965" spans="1:2" x14ac:dyDescent="0.25">
      <c r="A2965" s="67"/>
      <c r="B2965" s="67"/>
    </row>
    <row r="2966" spans="1:2" x14ac:dyDescent="0.25">
      <c r="A2966" s="67"/>
      <c r="B2966" s="67"/>
    </row>
    <row r="2967" spans="1:2" x14ac:dyDescent="0.25">
      <c r="A2967" s="67"/>
      <c r="B2967" s="67"/>
    </row>
    <row r="2968" spans="1:2" x14ac:dyDescent="0.25">
      <c r="A2968" s="67"/>
      <c r="B2968" s="67"/>
    </row>
    <row r="2969" spans="1:2" x14ac:dyDescent="0.25">
      <c r="A2969" s="67"/>
      <c r="B2969" s="67"/>
    </row>
    <row r="2970" spans="1:2" x14ac:dyDescent="0.25">
      <c r="A2970" s="67"/>
      <c r="B2970" s="67"/>
    </row>
    <row r="2971" spans="1:2" x14ac:dyDescent="0.25">
      <c r="A2971" s="67"/>
      <c r="B2971" s="67"/>
    </row>
    <row r="2972" spans="1:2" x14ac:dyDescent="0.25">
      <c r="A2972" s="67"/>
      <c r="B2972" s="67"/>
    </row>
    <row r="2973" spans="1:2" x14ac:dyDescent="0.25">
      <c r="A2973" s="67"/>
      <c r="B2973" s="67"/>
    </row>
    <row r="2974" spans="1:2" x14ac:dyDescent="0.25">
      <c r="A2974" s="67"/>
      <c r="B2974" s="67"/>
    </row>
    <row r="2975" spans="1:2" x14ac:dyDescent="0.25">
      <c r="A2975" s="67"/>
      <c r="B2975" s="67"/>
    </row>
    <row r="2976" spans="1:2" x14ac:dyDescent="0.25">
      <c r="A2976" s="67"/>
      <c r="B2976" s="67"/>
    </row>
    <row r="2977" spans="1:2" x14ac:dyDescent="0.25">
      <c r="A2977" s="67"/>
      <c r="B2977" s="67"/>
    </row>
    <row r="2978" spans="1:2" x14ac:dyDescent="0.25">
      <c r="A2978" s="67"/>
      <c r="B2978" s="67"/>
    </row>
    <row r="2979" spans="1:2" x14ac:dyDescent="0.25">
      <c r="A2979" s="67"/>
      <c r="B2979" s="67"/>
    </row>
    <row r="2980" spans="1:2" x14ac:dyDescent="0.25">
      <c r="A2980" s="67"/>
      <c r="B2980" s="67"/>
    </row>
    <row r="2981" spans="1:2" x14ac:dyDescent="0.25">
      <c r="A2981" s="67"/>
      <c r="B2981" s="67"/>
    </row>
    <row r="2982" spans="1:2" x14ac:dyDescent="0.25">
      <c r="A2982" s="67"/>
      <c r="B2982" s="67"/>
    </row>
    <row r="2983" spans="1:2" x14ac:dyDescent="0.25">
      <c r="A2983" s="67"/>
      <c r="B2983" s="67"/>
    </row>
    <row r="2984" spans="1:2" x14ac:dyDescent="0.25">
      <c r="A2984" s="67"/>
      <c r="B2984" s="67"/>
    </row>
    <row r="2985" spans="1:2" x14ac:dyDescent="0.25">
      <c r="A2985" s="67"/>
      <c r="B2985" s="67"/>
    </row>
    <row r="2986" spans="1:2" x14ac:dyDescent="0.25">
      <c r="A2986" s="67"/>
      <c r="B2986" s="67"/>
    </row>
    <row r="2987" spans="1:2" x14ac:dyDescent="0.25">
      <c r="A2987" s="67"/>
      <c r="B2987" s="67"/>
    </row>
    <row r="2988" spans="1:2" x14ac:dyDescent="0.25">
      <c r="A2988" s="67"/>
      <c r="B2988" s="67"/>
    </row>
    <row r="2989" spans="1:2" x14ac:dyDescent="0.25">
      <c r="A2989" s="67"/>
      <c r="B2989" s="67"/>
    </row>
    <row r="2990" spans="1:2" x14ac:dyDescent="0.25">
      <c r="A2990" s="67"/>
      <c r="B2990" s="67"/>
    </row>
    <row r="2991" spans="1:2" x14ac:dyDescent="0.25">
      <c r="A2991" s="67"/>
      <c r="B2991" s="67"/>
    </row>
    <row r="2992" spans="1:2" x14ac:dyDescent="0.25">
      <c r="A2992" s="67"/>
      <c r="B2992" s="67"/>
    </row>
    <row r="2993" spans="1:2" x14ac:dyDescent="0.25">
      <c r="A2993" s="67"/>
      <c r="B2993" s="67"/>
    </row>
    <row r="2994" spans="1:2" x14ac:dyDescent="0.25">
      <c r="A2994" s="67"/>
      <c r="B2994" s="67"/>
    </row>
    <row r="2995" spans="1:2" x14ac:dyDescent="0.25">
      <c r="A2995" s="67"/>
      <c r="B2995" s="67"/>
    </row>
    <row r="2996" spans="1:2" x14ac:dyDescent="0.25">
      <c r="A2996" s="67"/>
      <c r="B2996" s="67"/>
    </row>
    <row r="2997" spans="1:2" x14ac:dyDescent="0.25">
      <c r="A2997" s="67"/>
      <c r="B2997" s="67"/>
    </row>
    <row r="2998" spans="1:2" x14ac:dyDescent="0.25">
      <c r="A2998" s="67"/>
      <c r="B2998" s="67"/>
    </row>
    <row r="2999" spans="1:2" x14ac:dyDescent="0.25">
      <c r="A2999" s="67"/>
      <c r="B2999" s="67"/>
    </row>
    <row r="3000" spans="1:2" x14ac:dyDescent="0.25">
      <c r="A3000" s="67"/>
      <c r="B3000" s="67"/>
    </row>
    <row r="3001" spans="1:2" x14ac:dyDescent="0.25">
      <c r="A3001" s="67"/>
      <c r="B3001" s="67"/>
    </row>
    <row r="3002" spans="1:2" x14ac:dyDescent="0.25">
      <c r="A3002" s="67"/>
      <c r="B3002" s="67"/>
    </row>
    <row r="3003" spans="1:2" x14ac:dyDescent="0.25">
      <c r="A3003" s="67"/>
      <c r="B3003" s="67"/>
    </row>
    <row r="3004" spans="1:2" x14ac:dyDescent="0.25">
      <c r="A3004" s="67"/>
      <c r="B3004" s="67"/>
    </row>
    <row r="3005" spans="1:2" x14ac:dyDescent="0.25">
      <c r="A3005" s="67"/>
      <c r="B3005" s="67"/>
    </row>
    <row r="3006" spans="1:2" x14ac:dyDescent="0.25">
      <c r="A3006" s="67"/>
      <c r="B3006" s="67"/>
    </row>
    <row r="3007" spans="1:2" x14ac:dyDescent="0.25">
      <c r="A3007" s="67"/>
      <c r="B3007" s="67"/>
    </row>
    <row r="3008" spans="1:2" x14ac:dyDescent="0.25">
      <c r="A3008" s="67"/>
      <c r="B3008" s="67"/>
    </row>
    <row r="3009" spans="1:2" x14ac:dyDescent="0.25">
      <c r="A3009" s="67"/>
      <c r="B3009" s="67"/>
    </row>
    <row r="3010" spans="1:2" x14ac:dyDescent="0.25">
      <c r="A3010" s="67"/>
      <c r="B3010" s="67"/>
    </row>
    <row r="3011" spans="1:2" x14ac:dyDescent="0.25">
      <c r="A3011" s="67"/>
      <c r="B3011" s="67"/>
    </row>
    <row r="3012" spans="1:2" x14ac:dyDescent="0.25">
      <c r="A3012" s="67"/>
      <c r="B3012" s="67"/>
    </row>
    <row r="3013" spans="1:2" x14ac:dyDescent="0.25">
      <c r="A3013" s="67"/>
      <c r="B3013" s="67"/>
    </row>
    <row r="3014" spans="1:2" x14ac:dyDescent="0.25">
      <c r="A3014" s="67"/>
      <c r="B3014" s="67"/>
    </row>
    <row r="3015" spans="1:2" x14ac:dyDescent="0.25">
      <c r="A3015" s="67"/>
      <c r="B3015" s="67"/>
    </row>
    <row r="3016" spans="1:2" x14ac:dyDescent="0.25">
      <c r="A3016" s="67"/>
      <c r="B3016" s="67"/>
    </row>
    <row r="3017" spans="1:2" x14ac:dyDescent="0.25">
      <c r="A3017" s="67"/>
      <c r="B3017" s="67"/>
    </row>
    <row r="3018" spans="1:2" x14ac:dyDescent="0.25">
      <c r="A3018" s="67"/>
      <c r="B3018" s="67"/>
    </row>
    <row r="3019" spans="1:2" x14ac:dyDescent="0.25">
      <c r="A3019" s="67"/>
      <c r="B3019" s="67"/>
    </row>
    <row r="3020" spans="1:2" x14ac:dyDescent="0.25">
      <c r="A3020" s="67"/>
      <c r="B3020" s="67"/>
    </row>
    <row r="3021" spans="1:2" x14ac:dyDescent="0.25">
      <c r="A3021" s="67"/>
      <c r="B3021" s="67"/>
    </row>
    <row r="3022" spans="1:2" x14ac:dyDescent="0.25">
      <c r="A3022" s="67"/>
      <c r="B3022" s="67"/>
    </row>
    <row r="3023" spans="1:2" x14ac:dyDescent="0.25">
      <c r="A3023" s="67"/>
      <c r="B3023" s="67"/>
    </row>
    <row r="3024" spans="1:2" x14ac:dyDescent="0.25">
      <c r="A3024" s="67"/>
      <c r="B3024" s="67"/>
    </row>
    <row r="3025" spans="1:2" x14ac:dyDescent="0.25">
      <c r="A3025" s="67"/>
      <c r="B3025" s="67"/>
    </row>
    <row r="3026" spans="1:2" x14ac:dyDescent="0.25">
      <c r="A3026" s="67"/>
      <c r="B3026" s="67"/>
    </row>
    <row r="3027" spans="1:2" x14ac:dyDescent="0.25">
      <c r="A3027" s="67"/>
      <c r="B3027" s="67"/>
    </row>
    <row r="3028" spans="1:2" x14ac:dyDescent="0.25">
      <c r="A3028" s="67"/>
      <c r="B3028" s="67"/>
    </row>
    <row r="3029" spans="1:2" x14ac:dyDescent="0.25">
      <c r="A3029" s="67"/>
      <c r="B3029" s="67"/>
    </row>
    <row r="3030" spans="1:2" x14ac:dyDescent="0.25">
      <c r="A3030" s="67"/>
      <c r="B3030" s="67"/>
    </row>
    <row r="3031" spans="1:2" x14ac:dyDescent="0.25">
      <c r="A3031" s="67"/>
      <c r="B3031" s="67"/>
    </row>
    <row r="3032" spans="1:2" x14ac:dyDescent="0.25">
      <c r="A3032" s="67"/>
      <c r="B3032" s="67"/>
    </row>
    <row r="3033" spans="1:2" x14ac:dyDescent="0.25">
      <c r="A3033" s="67"/>
      <c r="B3033" s="67"/>
    </row>
    <row r="3034" spans="1:2" x14ac:dyDescent="0.25">
      <c r="A3034" s="67"/>
      <c r="B3034" s="67"/>
    </row>
    <row r="3035" spans="1:2" x14ac:dyDescent="0.25">
      <c r="A3035" s="67"/>
      <c r="B3035" s="67"/>
    </row>
    <row r="3036" spans="1:2" x14ac:dyDescent="0.25">
      <c r="A3036" s="67"/>
      <c r="B3036" s="67"/>
    </row>
    <row r="3037" spans="1:2" x14ac:dyDescent="0.25">
      <c r="A3037" s="67"/>
      <c r="B3037" s="67"/>
    </row>
    <row r="3038" spans="1:2" x14ac:dyDescent="0.25">
      <c r="A3038" s="67"/>
      <c r="B3038" s="67"/>
    </row>
    <row r="3039" spans="1:2" x14ac:dyDescent="0.25">
      <c r="A3039" s="67"/>
      <c r="B3039" s="67"/>
    </row>
    <row r="3040" spans="1:2" x14ac:dyDescent="0.25">
      <c r="A3040" s="67"/>
      <c r="B3040" s="67"/>
    </row>
    <row r="3041" spans="1:2" x14ac:dyDescent="0.25">
      <c r="A3041" s="67"/>
      <c r="B3041" s="67"/>
    </row>
    <row r="3042" spans="1:2" x14ac:dyDescent="0.25">
      <c r="A3042" s="67"/>
      <c r="B3042" s="67"/>
    </row>
    <row r="3043" spans="1:2" x14ac:dyDescent="0.25">
      <c r="A3043" s="67"/>
      <c r="B3043" s="67"/>
    </row>
    <row r="3044" spans="1:2" x14ac:dyDescent="0.25">
      <c r="A3044" s="67"/>
      <c r="B3044" s="67"/>
    </row>
    <row r="3045" spans="1:2" x14ac:dyDescent="0.25">
      <c r="A3045" s="67"/>
      <c r="B3045" s="67"/>
    </row>
    <row r="3046" spans="1:2" x14ac:dyDescent="0.25">
      <c r="A3046" s="67"/>
      <c r="B3046" s="67"/>
    </row>
    <row r="3047" spans="1:2" x14ac:dyDescent="0.25">
      <c r="A3047" s="67"/>
      <c r="B3047" s="67"/>
    </row>
    <row r="3048" spans="1:2" x14ac:dyDescent="0.25">
      <c r="A3048" s="67"/>
      <c r="B3048" s="67"/>
    </row>
    <row r="3049" spans="1:2" x14ac:dyDescent="0.25">
      <c r="A3049" s="67"/>
      <c r="B3049" s="67"/>
    </row>
    <row r="3050" spans="1:2" x14ac:dyDescent="0.25">
      <c r="A3050" s="67"/>
      <c r="B3050" s="67"/>
    </row>
    <row r="3051" spans="1:2" x14ac:dyDescent="0.25">
      <c r="A3051" s="67"/>
      <c r="B3051" s="67"/>
    </row>
    <row r="3052" spans="1:2" x14ac:dyDescent="0.25">
      <c r="A3052" s="67"/>
      <c r="B3052" s="67"/>
    </row>
    <row r="3053" spans="1:2" x14ac:dyDescent="0.25">
      <c r="A3053" s="67"/>
      <c r="B3053" s="67"/>
    </row>
    <row r="3054" spans="1:2" x14ac:dyDescent="0.25">
      <c r="A3054" s="67"/>
      <c r="B3054" s="67"/>
    </row>
    <row r="3055" spans="1:2" x14ac:dyDescent="0.25">
      <c r="A3055" s="67"/>
      <c r="B3055" s="67"/>
    </row>
    <row r="3056" spans="1:2" x14ac:dyDescent="0.25">
      <c r="A3056" s="67"/>
      <c r="B3056" s="67"/>
    </row>
    <row r="3057" spans="1:2" x14ac:dyDescent="0.25">
      <c r="A3057" s="67"/>
      <c r="B3057" s="67"/>
    </row>
    <row r="3058" spans="1:2" x14ac:dyDescent="0.25">
      <c r="A3058" s="67"/>
      <c r="B3058" s="67"/>
    </row>
    <row r="3059" spans="1:2" x14ac:dyDescent="0.25">
      <c r="A3059" s="67"/>
      <c r="B3059" s="67"/>
    </row>
    <row r="3060" spans="1:2" x14ac:dyDescent="0.25">
      <c r="A3060" s="67"/>
      <c r="B3060" s="67"/>
    </row>
    <row r="3061" spans="1:2" x14ac:dyDescent="0.25">
      <c r="A3061" s="67"/>
      <c r="B3061" s="67"/>
    </row>
    <row r="3062" spans="1:2" x14ac:dyDescent="0.25">
      <c r="A3062" s="67"/>
      <c r="B3062" s="67"/>
    </row>
    <row r="3063" spans="1:2" x14ac:dyDescent="0.25">
      <c r="A3063" s="67"/>
      <c r="B3063" s="67"/>
    </row>
    <row r="3064" spans="1:2" x14ac:dyDescent="0.25">
      <c r="A3064" s="67"/>
      <c r="B3064" s="67"/>
    </row>
    <row r="3065" spans="1:2" x14ac:dyDescent="0.25">
      <c r="A3065" s="67"/>
      <c r="B3065" s="67"/>
    </row>
    <row r="3066" spans="1:2" x14ac:dyDescent="0.25">
      <c r="A3066" s="67"/>
      <c r="B3066" s="67"/>
    </row>
    <row r="3067" spans="1:2" x14ac:dyDescent="0.25">
      <c r="A3067" s="67"/>
      <c r="B3067" s="67"/>
    </row>
    <row r="3068" spans="1:2" x14ac:dyDescent="0.25">
      <c r="A3068" s="67"/>
      <c r="B3068" s="67"/>
    </row>
    <row r="3069" spans="1:2" x14ac:dyDescent="0.25">
      <c r="A3069" s="67"/>
      <c r="B3069" s="67"/>
    </row>
    <row r="3070" spans="1:2" x14ac:dyDescent="0.25">
      <c r="A3070" s="67"/>
      <c r="B3070" s="67"/>
    </row>
    <row r="3071" spans="1:2" x14ac:dyDescent="0.25">
      <c r="A3071" s="67"/>
      <c r="B3071" s="67"/>
    </row>
    <row r="3072" spans="1:2" x14ac:dyDescent="0.25">
      <c r="A3072" s="67"/>
      <c r="B3072" s="67"/>
    </row>
    <row r="3073" spans="1:2" x14ac:dyDescent="0.25">
      <c r="A3073" s="67"/>
      <c r="B3073" s="67"/>
    </row>
    <row r="3074" spans="1:2" x14ac:dyDescent="0.25">
      <c r="A3074" s="67"/>
      <c r="B3074" s="67"/>
    </row>
    <row r="3075" spans="1:2" x14ac:dyDescent="0.25">
      <c r="A3075" s="67"/>
      <c r="B3075" s="67"/>
    </row>
    <row r="3076" spans="1:2" x14ac:dyDescent="0.25">
      <c r="A3076" s="67"/>
      <c r="B3076" s="67"/>
    </row>
    <row r="3077" spans="1:2" x14ac:dyDescent="0.25">
      <c r="A3077" s="67"/>
      <c r="B3077" s="67"/>
    </row>
    <row r="3078" spans="1:2" x14ac:dyDescent="0.25">
      <c r="A3078" s="67"/>
      <c r="B3078" s="67"/>
    </row>
    <row r="3079" spans="1:2" x14ac:dyDescent="0.25">
      <c r="A3079" s="67"/>
      <c r="B3079" s="67"/>
    </row>
    <row r="3080" spans="1:2" x14ac:dyDescent="0.25">
      <c r="A3080" s="67"/>
      <c r="B3080" s="67"/>
    </row>
    <row r="3081" spans="1:2" x14ac:dyDescent="0.25">
      <c r="A3081" s="67"/>
      <c r="B3081" s="67"/>
    </row>
    <row r="3082" spans="1:2" x14ac:dyDescent="0.25">
      <c r="A3082" s="67"/>
      <c r="B3082" s="67"/>
    </row>
    <row r="3083" spans="1:2" x14ac:dyDescent="0.25">
      <c r="A3083" s="67"/>
      <c r="B3083" s="67"/>
    </row>
    <row r="3084" spans="1:2" x14ac:dyDescent="0.25">
      <c r="A3084" s="67"/>
      <c r="B3084" s="67"/>
    </row>
    <row r="3085" spans="1:2" x14ac:dyDescent="0.25">
      <c r="A3085" s="67"/>
      <c r="B3085" s="67"/>
    </row>
    <row r="3086" spans="1:2" x14ac:dyDescent="0.25">
      <c r="A3086" s="67"/>
      <c r="B3086" s="67"/>
    </row>
    <row r="3087" spans="1:2" x14ac:dyDescent="0.25">
      <c r="A3087" s="67"/>
      <c r="B3087" s="67"/>
    </row>
    <row r="3088" spans="1:2" x14ac:dyDescent="0.25">
      <c r="A3088" s="67"/>
      <c r="B3088" s="67"/>
    </row>
    <row r="3089" spans="1:2" x14ac:dyDescent="0.25">
      <c r="A3089" s="67"/>
      <c r="B3089" s="67"/>
    </row>
    <row r="3090" spans="1:2" x14ac:dyDescent="0.25">
      <c r="A3090" s="67"/>
      <c r="B3090" s="67"/>
    </row>
    <row r="3091" spans="1:2" x14ac:dyDescent="0.25">
      <c r="A3091" s="67"/>
      <c r="B3091" s="67"/>
    </row>
    <row r="3092" spans="1:2" x14ac:dyDescent="0.25">
      <c r="A3092" s="67"/>
      <c r="B3092" s="67"/>
    </row>
    <row r="3093" spans="1:2" x14ac:dyDescent="0.25">
      <c r="A3093" s="67"/>
      <c r="B3093" s="67"/>
    </row>
    <row r="3094" spans="1:2" x14ac:dyDescent="0.25">
      <c r="A3094" s="67"/>
      <c r="B3094" s="67"/>
    </row>
    <row r="3095" spans="1:2" x14ac:dyDescent="0.25">
      <c r="A3095" s="67"/>
      <c r="B3095" s="67"/>
    </row>
    <row r="3096" spans="1:2" x14ac:dyDescent="0.25">
      <c r="A3096" s="67"/>
      <c r="B3096" s="67"/>
    </row>
    <row r="3097" spans="1:2" x14ac:dyDescent="0.25">
      <c r="A3097" s="67"/>
      <c r="B3097" s="67"/>
    </row>
    <row r="3098" spans="1:2" x14ac:dyDescent="0.25">
      <c r="A3098" s="67"/>
      <c r="B3098" s="67"/>
    </row>
    <row r="3099" spans="1:2" x14ac:dyDescent="0.25">
      <c r="A3099" s="67"/>
      <c r="B3099" s="67"/>
    </row>
    <row r="3100" spans="1:2" x14ac:dyDescent="0.25">
      <c r="A3100" s="67"/>
      <c r="B3100" s="67"/>
    </row>
    <row r="3101" spans="1:2" x14ac:dyDescent="0.25">
      <c r="A3101" s="67"/>
      <c r="B3101" s="67"/>
    </row>
    <row r="3102" spans="1:2" x14ac:dyDescent="0.25">
      <c r="A3102" s="67"/>
      <c r="B3102" s="67"/>
    </row>
    <row r="3103" spans="1:2" x14ac:dyDescent="0.25">
      <c r="A3103" s="67"/>
      <c r="B3103" s="67"/>
    </row>
    <row r="3104" spans="1:2" x14ac:dyDescent="0.25">
      <c r="A3104" s="67"/>
      <c r="B3104" s="67"/>
    </row>
    <row r="3105" spans="1:2" x14ac:dyDescent="0.25">
      <c r="A3105" s="67"/>
      <c r="B3105" s="67"/>
    </row>
    <row r="3106" spans="1:2" x14ac:dyDescent="0.25">
      <c r="A3106" s="67"/>
      <c r="B3106" s="67"/>
    </row>
    <row r="3107" spans="1:2" x14ac:dyDescent="0.25">
      <c r="A3107" s="67"/>
      <c r="B3107" s="67"/>
    </row>
    <row r="3108" spans="1:2" x14ac:dyDescent="0.25">
      <c r="A3108" s="67"/>
      <c r="B3108" s="67"/>
    </row>
    <row r="3109" spans="1:2" x14ac:dyDescent="0.25">
      <c r="A3109" s="67"/>
      <c r="B3109" s="67"/>
    </row>
    <row r="3110" spans="1:2" x14ac:dyDescent="0.25">
      <c r="A3110" s="67"/>
      <c r="B3110" s="67"/>
    </row>
    <row r="3111" spans="1:2" x14ac:dyDescent="0.25">
      <c r="A3111" s="67"/>
      <c r="B3111" s="67"/>
    </row>
    <row r="3112" spans="1:2" x14ac:dyDescent="0.25">
      <c r="A3112" s="67"/>
      <c r="B3112" s="67"/>
    </row>
    <row r="3113" spans="1:2" x14ac:dyDescent="0.25">
      <c r="A3113" s="67"/>
      <c r="B3113" s="67"/>
    </row>
    <row r="3114" spans="1:2" x14ac:dyDescent="0.25">
      <c r="A3114" s="67"/>
      <c r="B3114" s="67"/>
    </row>
    <row r="3115" spans="1:2" x14ac:dyDescent="0.25">
      <c r="A3115" s="67"/>
      <c r="B3115" s="67"/>
    </row>
    <row r="3116" spans="1:2" x14ac:dyDescent="0.25">
      <c r="A3116" s="67"/>
      <c r="B3116" s="67"/>
    </row>
    <row r="3117" spans="1:2" x14ac:dyDescent="0.25">
      <c r="A3117" s="67"/>
      <c r="B3117" s="67"/>
    </row>
    <row r="3118" spans="1:2" x14ac:dyDescent="0.25">
      <c r="A3118" s="67"/>
      <c r="B3118" s="67"/>
    </row>
    <row r="3119" spans="1:2" x14ac:dyDescent="0.25">
      <c r="A3119" s="67"/>
      <c r="B3119" s="67"/>
    </row>
    <row r="3120" spans="1:2" x14ac:dyDescent="0.25">
      <c r="A3120" s="67"/>
      <c r="B3120" s="67"/>
    </row>
    <row r="3121" spans="1:2" x14ac:dyDescent="0.25">
      <c r="A3121" s="67"/>
      <c r="B3121" s="67"/>
    </row>
    <row r="3122" spans="1:2" x14ac:dyDescent="0.25">
      <c r="A3122" s="67"/>
      <c r="B3122" s="67"/>
    </row>
    <row r="3123" spans="1:2" x14ac:dyDescent="0.25">
      <c r="A3123" s="67"/>
      <c r="B3123" s="67"/>
    </row>
    <row r="3124" spans="1:2" x14ac:dyDescent="0.25">
      <c r="A3124" s="67"/>
      <c r="B3124" s="67"/>
    </row>
    <row r="3125" spans="1:2" x14ac:dyDescent="0.25">
      <c r="A3125" s="67"/>
      <c r="B3125" s="67"/>
    </row>
    <row r="3126" spans="1:2" x14ac:dyDescent="0.25">
      <c r="A3126" s="67"/>
      <c r="B3126" s="67"/>
    </row>
    <row r="3127" spans="1:2" x14ac:dyDescent="0.25">
      <c r="A3127" s="67"/>
      <c r="B3127" s="67"/>
    </row>
    <row r="3128" spans="1:2" x14ac:dyDescent="0.25">
      <c r="A3128" s="67"/>
      <c r="B3128" s="67"/>
    </row>
    <row r="3129" spans="1:2" x14ac:dyDescent="0.25">
      <c r="A3129" s="67"/>
      <c r="B3129" s="67"/>
    </row>
    <row r="3130" spans="1:2" x14ac:dyDescent="0.25">
      <c r="A3130" s="67"/>
      <c r="B3130" s="67"/>
    </row>
    <row r="3131" spans="1:2" x14ac:dyDescent="0.25">
      <c r="A3131" s="67"/>
      <c r="B3131" s="67"/>
    </row>
    <row r="3132" spans="1:2" x14ac:dyDescent="0.25">
      <c r="A3132" s="67"/>
      <c r="B3132" s="67"/>
    </row>
    <row r="3133" spans="1:2" x14ac:dyDescent="0.25">
      <c r="A3133" s="67"/>
      <c r="B3133" s="67"/>
    </row>
    <row r="3134" spans="1:2" x14ac:dyDescent="0.25">
      <c r="A3134" s="67"/>
      <c r="B3134" s="67"/>
    </row>
    <row r="3135" spans="1:2" x14ac:dyDescent="0.25">
      <c r="A3135" s="67"/>
      <c r="B3135" s="67"/>
    </row>
    <row r="3136" spans="1:2" x14ac:dyDescent="0.25">
      <c r="A3136" s="67"/>
      <c r="B3136" s="67"/>
    </row>
    <row r="3137" spans="1:2" x14ac:dyDescent="0.25">
      <c r="A3137" s="67"/>
      <c r="B3137" s="67"/>
    </row>
    <row r="3138" spans="1:2" x14ac:dyDescent="0.25">
      <c r="A3138" s="67"/>
      <c r="B3138" s="67"/>
    </row>
    <row r="3139" spans="1:2" x14ac:dyDescent="0.25">
      <c r="A3139" s="67"/>
      <c r="B3139" s="67"/>
    </row>
    <row r="3140" spans="1:2" x14ac:dyDescent="0.25">
      <c r="A3140" s="67"/>
      <c r="B3140" s="67"/>
    </row>
    <row r="3141" spans="1:2" x14ac:dyDescent="0.25">
      <c r="A3141" s="67"/>
      <c r="B3141" s="67"/>
    </row>
    <row r="3142" spans="1:2" x14ac:dyDescent="0.25">
      <c r="A3142" s="67"/>
      <c r="B3142" s="67"/>
    </row>
    <row r="3143" spans="1:2" x14ac:dyDescent="0.25">
      <c r="A3143" s="67"/>
      <c r="B3143" s="67"/>
    </row>
    <row r="3144" spans="1:2" x14ac:dyDescent="0.25">
      <c r="A3144" s="67"/>
      <c r="B3144" s="67"/>
    </row>
    <row r="3145" spans="1:2" x14ac:dyDescent="0.25">
      <c r="A3145" s="67"/>
      <c r="B3145" s="67"/>
    </row>
    <row r="3146" spans="1:2" x14ac:dyDescent="0.25">
      <c r="A3146" s="67"/>
      <c r="B3146" s="67"/>
    </row>
    <row r="3147" spans="1:2" x14ac:dyDescent="0.25">
      <c r="A3147" s="67"/>
      <c r="B3147" s="67"/>
    </row>
    <row r="3148" spans="1:2" x14ac:dyDescent="0.25">
      <c r="A3148" s="67"/>
      <c r="B3148" s="67"/>
    </row>
    <row r="3149" spans="1:2" x14ac:dyDescent="0.25">
      <c r="A3149" s="67"/>
      <c r="B3149" s="67"/>
    </row>
    <row r="3150" spans="1:2" x14ac:dyDescent="0.25">
      <c r="A3150" s="67"/>
      <c r="B3150" s="67"/>
    </row>
    <row r="3151" spans="1:2" x14ac:dyDescent="0.25">
      <c r="A3151" s="67"/>
      <c r="B3151" s="67"/>
    </row>
    <row r="3152" spans="1:2" x14ac:dyDescent="0.25">
      <c r="A3152" s="67"/>
      <c r="B3152" s="67"/>
    </row>
    <row r="3153" spans="1:2" x14ac:dyDescent="0.25">
      <c r="A3153" s="67"/>
      <c r="B3153" s="67"/>
    </row>
    <row r="3154" spans="1:2" x14ac:dyDescent="0.25">
      <c r="A3154" s="67"/>
      <c r="B3154" s="67"/>
    </row>
    <row r="3155" spans="1:2" x14ac:dyDescent="0.25">
      <c r="A3155" s="67"/>
      <c r="B3155" s="67"/>
    </row>
    <row r="3156" spans="1:2" x14ac:dyDescent="0.25">
      <c r="A3156" s="67"/>
      <c r="B3156" s="67"/>
    </row>
    <row r="3157" spans="1:2" x14ac:dyDescent="0.25">
      <c r="A3157" s="67"/>
      <c r="B3157" s="67"/>
    </row>
    <row r="3158" spans="1:2" x14ac:dyDescent="0.25">
      <c r="A3158" s="67"/>
      <c r="B3158" s="67"/>
    </row>
    <row r="3159" spans="1:2" x14ac:dyDescent="0.25">
      <c r="A3159" s="67"/>
      <c r="B3159" s="67"/>
    </row>
    <row r="3160" spans="1:2" x14ac:dyDescent="0.25">
      <c r="A3160" s="67"/>
      <c r="B3160" s="67"/>
    </row>
    <row r="3161" spans="1:2" x14ac:dyDescent="0.25">
      <c r="A3161" s="67"/>
      <c r="B3161" s="67"/>
    </row>
    <row r="3162" spans="1:2" x14ac:dyDescent="0.25">
      <c r="A3162" s="67"/>
      <c r="B3162" s="67"/>
    </row>
    <row r="3163" spans="1:2" x14ac:dyDescent="0.25">
      <c r="A3163" s="67"/>
      <c r="B3163" s="67"/>
    </row>
    <row r="3164" spans="1:2" x14ac:dyDescent="0.25">
      <c r="A3164" s="67"/>
      <c r="B3164" s="67"/>
    </row>
    <row r="3165" spans="1:2" x14ac:dyDescent="0.25">
      <c r="A3165" s="67"/>
      <c r="B3165" s="67"/>
    </row>
    <row r="3166" spans="1:2" x14ac:dyDescent="0.25">
      <c r="A3166" s="67"/>
      <c r="B3166" s="67"/>
    </row>
    <row r="3167" spans="1:2" x14ac:dyDescent="0.25">
      <c r="A3167" s="67"/>
      <c r="B3167" s="67"/>
    </row>
    <row r="3168" spans="1:2" x14ac:dyDescent="0.25">
      <c r="A3168" s="67"/>
      <c r="B3168" s="67"/>
    </row>
    <row r="3169" spans="1:2" x14ac:dyDescent="0.25">
      <c r="A3169" s="67"/>
      <c r="B3169" s="67"/>
    </row>
    <row r="3170" spans="1:2" x14ac:dyDescent="0.25">
      <c r="A3170" s="67"/>
      <c r="B3170" s="67"/>
    </row>
    <row r="3171" spans="1:2" x14ac:dyDescent="0.25">
      <c r="A3171" s="67"/>
      <c r="B3171" s="67"/>
    </row>
    <row r="3172" spans="1:2" x14ac:dyDescent="0.25">
      <c r="A3172" s="67"/>
      <c r="B3172" s="67"/>
    </row>
    <row r="3173" spans="1:2" x14ac:dyDescent="0.25">
      <c r="A3173" s="67"/>
      <c r="B3173" s="67"/>
    </row>
    <row r="3174" spans="1:2" x14ac:dyDescent="0.25">
      <c r="A3174" s="67"/>
      <c r="B3174" s="67"/>
    </row>
    <row r="3175" spans="1:2" x14ac:dyDescent="0.25">
      <c r="A3175" s="67"/>
      <c r="B3175" s="67"/>
    </row>
    <row r="3176" spans="1:2" x14ac:dyDescent="0.25">
      <c r="A3176" s="67"/>
      <c r="B3176" s="67"/>
    </row>
    <row r="3177" spans="1:2" x14ac:dyDescent="0.25">
      <c r="A3177" s="67"/>
      <c r="B3177" s="67"/>
    </row>
    <row r="3178" spans="1:2" x14ac:dyDescent="0.25">
      <c r="A3178" s="67"/>
      <c r="B3178" s="67"/>
    </row>
    <row r="3179" spans="1:2" x14ac:dyDescent="0.25">
      <c r="A3179" s="67"/>
      <c r="B3179" s="67"/>
    </row>
    <row r="3180" spans="1:2" x14ac:dyDescent="0.25">
      <c r="A3180" s="67"/>
      <c r="B3180" s="67"/>
    </row>
    <row r="3181" spans="1:2" x14ac:dyDescent="0.25">
      <c r="A3181" s="67"/>
      <c r="B3181" s="67"/>
    </row>
    <row r="3182" spans="1:2" x14ac:dyDescent="0.25">
      <c r="A3182" s="67"/>
      <c r="B3182" s="67"/>
    </row>
    <row r="3183" spans="1:2" x14ac:dyDescent="0.25">
      <c r="A3183" s="67"/>
      <c r="B3183" s="67"/>
    </row>
    <row r="3184" spans="1:2" x14ac:dyDescent="0.25">
      <c r="A3184" s="67"/>
      <c r="B3184" s="67"/>
    </row>
    <row r="3185" spans="1:2" x14ac:dyDescent="0.25">
      <c r="A3185" s="67"/>
      <c r="B3185" s="67"/>
    </row>
    <row r="3186" spans="1:2" x14ac:dyDescent="0.25">
      <c r="A3186" s="67"/>
      <c r="B3186" s="67"/>
    </row>
    <row r="3187" spans="1:2" x14ac:dyDescent="0.25">
      <c r="A3187" s="67"/>
      <c r="B3187" s="67"/>
    </row>
    <row r="3188" spans="1:2" x14ac:dyDescent="0.25">
      <c r="A3188" s="67"/>
      <c r="B3188" s="67"/>
    </row>
    <row r="3189" spans="1:2" x14ac:dyDescent="0.25">
      <c r="A3189" s="67"/>
      <c r="B3189" s="67"/>
    </row>
    <row r="3190" spans="1:2" x14ac:dyDescent="0.25">
      <c r="A3190" s="67"/>
      <c r="B3190" s="67"/>
    </row>
    <row r="3191" spans="1:2" x14ac:dyDescent="0.25">
      <c r="A3191" s="67"/>
      <c r="B3191" s="67"/>
    </row>
    <row r="3192" spans="1:2" x14ac:dyDescent="0.25">
      <c r="A3192" s="67"/>
      <c r="B3192" s="67"/>
    </row>
    <row r="3193" spans="1:2" x14ac:dyDescent="0.25">
      <c r="A3193" s="67"/>
      <c r="B3193" s="67"/>
    </row>
    <row r="3194" spans="1:2" x14ac:dyDescent="0.25">
      <c r="A3194" s="67"/>
      <c r="B3194" s="67"/>
    </row>
    <row r="3195" spans="1:2" x14ac:dyDescent="0.25">
      <c r="A3195" s="67"/>
      <c r="B3195" s="67"/>
    </row>
    <row r="3196" spans="1:2" x14ac:dyDescent="0.25">
      <c r="A3196" s="67"/>
      <c r="B3196" s="67"/>
    </row>
    <row r="3197" spans="1:2" x14ac:dyDescent="0.25">
      <c r="A3197" s="67"/>
      <c r="B3197" s="67"/>
    </row>
    <row r="3198" spans="1:2" x14ac:dyDescent="0.25">
      <c r="A3198" s="67"/>
      <c r="B3198" s="67"/>
    </row>
    <row r="3199" spans="1:2" x14ac:dyDescent="0.25">
      <c r="A3199" s="67"/>
      <c r="B3199" s="67"/>
    </row>
    <row r="3200" spans="1:2" x14ac:dyDescent="0.25">
      <c r="A3200" s="67"/>
      <c r="B3200" s="67"/>
    </row>
    <row r="3201" spans="1:2" x14ac:dyDescent="0.25">
      <c r="A3201" s="67"/>
      <c r="B3201" s="67"/>
    </row>
    <row r="3202" spans="1:2" x14ac:dyDescent="0.25">
      <c r="A3202" s="67"/>
      <c r="B3202" s="67"/>
    </row>
    <row r="3203" spans="1:2" x14ac:dyDescent="0.25">
      <c r="A3203" s="67"/>
      <c r="B3203" s="67"/>
    </row>
    <row r="3204" spans="1:2" x14ac:dyDescent="0.25">
      <c r="A3204" s="67"/>
      <c r="B3204" s="67"/>
    </row>
    <row r="3205" spans="1:2" x14ac:dyDescent="0.25">
      <c r="A3205" s="67"/>
      <c r="B3205" s="67"/>
    </row>
    <row r="3206" spans="1:2" x14ac:dyDescent="0.25">
      <c r="A3206" s="67"/>
      <c r="B3206" s="67"/>
    </row>
    <row r="3207" spans="1:2" x14ac:dyDescent="0.25">
      <c r="A3207" s="67"/>
      <c r="B3207" s="67"/>
    </row>
    <row r="3208" spans="1:2" x14ac:dyDescent="0.25">
      <c r="A3208" s="67"/>
      <c r="B3208" s="67"/>
    </row>
    <row r="3209" spans="1:2" x14ac:dyDescent="0.25">
      <c r="A3209" s="67"/>
      <c r="B3209" s="67"/>
    </row>
    <row r="3210" spans="1:2" x14ac:dyDescent="0.25">
      <c r="A3210" s="67"/>
      <c r="B3210" s="67"/>
    </row>
    <row r="3211" spans="1:2" x14ac:dyDescent="0.25">
      <c r="A3211" s="67"/>
      <c r="B3211" s="67"/>
    </row>
    <row r="3212" spans="1:2" x14ac:dyDescent="0.25">
      <c r="A3212" s="67"/>
      <c r="B3212" s="67"/>
    </row>
    <row r="3213" spans="1:2" x14ac:dyDescent="0.25">
      <c r="A3213" s="67"/>
      <c r="B3213" s="67"/>
    </row>
    <row r="3214" spans="1:2" x14ac:dyDescent="0.25">
      <c r="A3214" s="67"/>
      <c r="B3214" s="67"/>
    </row>
    <row r="3215" spans="1:2" x14ac:dyDescent="0.25">
      <c r="A3215" s="67"/>
      <c r="B3215" s="67"/>
    </row>
    <row r="3216" spans="1:2" x14ac:dyDescent="0.25">
      <c r="A3216" s="67"/>
      <c r="B3216" s="67"/>
    </row>
    <row r="3217" spans="1:2" x14ac:dyDescent="0.25">
      <c r="A3217" s="67"/>
      <c r="B3217" s="67"/>
    </row>
    <row r="3218" spans="1:2" x14ac:dyDescent="0.25">
      <c r="A3218" s="67"/>
      <c r="B3218" s="67"/>
    </row>
    <row r="3219" spans="1:2" x14ac:dyDescent="0.25">
      <c r="A3219" s="67"/>
      <c r="B3219" s="67"/>
    </row>
    <row r="3220" spans="1:2" x14ac:dyDescent="0.25">
      <c r="A3220" s="67"/>
      <c r="B3220" s="67"/>
    </row>
    <row r="3221" spans="1:2" x14ac:dyDescent="0.25">
      <c r="A3221" s="67"/>
      <c r="B3221" s="67"/>
    </row>
    <row r="3222" spans="1:2" x14ac:dyDescent="0.25">
      <c r="A3222" s="67"/>
      <c r="B3222" s="67"/>
    </row>
    <row r="3223" spans="1:2" x14ac:dyDescent="0.25">
      <c r="A3223" s="67"/>
      <c r="B3223" s="67"/>
    </row>
    <row r="3224" spans="1:2" x14ac:dyDescent="0.25">
      <c r="A3224" s="67"/>
      <c r="B3224" s="67"/>
    </row>
    <row r="3225" spans="1:2" x14ac:dyDescent="0.25">
      <c r="A3225" s="67"/>
      <c r="B3225" s="67"/>
    </row>
    <row r="3226" spans="1:2" x14ac:dyDescent="0.25">
      <c r="A3226" s="67"/>
      <c r="B3226" s="67"/>
    </row>
    <row r="3227" spans="1:2" x14ac:dyDescent="0.25">
      <c r="A3227" s="67"/>
      <c r="B3227" s="67"/>
    </row>
    <row r="3228" spans="1:2" x14ac:dyDescent="0.25">
      <c r="A3228" s="67"/>
      <c r="B3228" s="67"/>
    </row>
    <row r="3229" spans="1:2" x14ac:dyDescent="0.25">
      <c r="A3229" s="67"/>
      <c r="B3229" s="67"/>
    </row>
    <row r="3230" spans="1:2" x14ac:dyDescent="0.25">
      <c r="A3230" s="67"/>
      <c r="B3230" s="67"/>
    </row>
    <row r="3231" spans="1:2" x14ac:dyDescent="0.25">
      <c r="A3231" s="67"/>
      <c r="B3231" s="67"/>
    </row>
    <row r="3232" spans="1:2" x14ac:dyDescent="0.25">
      <c r="A3232" s="67"/>
      <c r="B3232" s="67"/>
    </row>
    <row r="3233" spans="1:2" x14ac:dyDescent="0.25">
      <c r="A3233" s="67"/>
      <c r="B3233" s="67"/>
    </row>
    <row r="3234" spans="1:2" x14ac:dyDescent="0.25">
      <c r="A3234" s="67"/>
      <c r="B3234" s="67"/>
    </row>
    <row r="3235" spans="1:2" x14ac:dyDescent="0.25">
      <c r="A3235" s="67"/>
      <c r="B3235" s="67"/>
    </row>
    <row r="3236" spans="1:2" x14ac:dyDescent="0.25">
      <c r="A3236" s="67"/>
      <c r="B3236" s="67"/>
    </row>
    <row r="3237" spans="1:2" x14ac:dyDescent="0.25">
      <c r="A3237" s="67"/>
      <c r="B3237" s="67"/>
    </row>
    <row r="3238" spans="1:2" x14ac:dyDescent="0.25">
      <c r="A3238" s="67"/>
      <c r="B3238" s="67"/>
    </row>
    <row r="3239" spans="1:2" x14ac:dyDescent="0.25">
      <c r="A3239" s="67"/>
      <c r="B3239" s="67"/>
    </row>
    <row r="3240" spans="1:2" x14ac:dyDescent="0.25">
      <c r="A3240" s="67"/>
      <c r="B3240" s="67"/>
    </row>
    <row r="3241" spans="1:2" x14ac:dyDescent="0.25">
      <c r="A3241" s="67"/>
      <c r="B3241" s="67"/>
    </row>
    <row r="3242" spans="1:2" x14ac:dyDescent="0.25">
      <c r="A3242" s="67"/>
      <c r="B3242" s="67"/>
    </row>
    <row r="3243" spans="1:2" x14ac:dyDescent="0.25">
      <c r="A3243" s="67"/>
      <c r="B3243" s="67"/>
    </row>
    <row r="3244" spans="1:2" x14ac:dyDescent="0.25">
      <c r="A3244" s="67"/>
      <c r="B3244" s="67"/>
    </row>
    <row r="3245" spans="1:2" x14ac:dyDescent="0.25">
      <c r="A3245" s="67"/>
      <c r="B3245" s="67"/>
    </row>
    <row r="3246" spans="1:2" x14ac:dyDescent="0.25">
      <c r="A3246" s="67"/>
      <c r="B3246" s="67"/>
    </row>
    <row r="3247" spans="1:2" x14ac:dyDescent="0.25">
      <c r="A3247" s="67"/>
      <c r="B3247" s="67"/>
    </row>
    <row r="3248" spans="1:2" x14ac:dyDescent="0.25">
      <c r="A3248" s="67"/>
      <c r="B3248" s="67"/>
    </row>
    <row r="3249" spans="1:2" x14ac:dyDescent="0.25">
      <c r="A3249" s="67"/>
      <c r="B3249" s="67"/>
    </row>
    <row r="3250" spans="1:2" x14ac:dyDescent="0.25">
      <c r="A3250" s="67"/>
      <c r="B3250" s="67"/>
    </row>
    <row r="3251" spans="1:2" x14ac:dyDescent="0.25">
      <c r="A3251" s="67"/>
      <c r="B3251" s="67"/>
    </row>
    <row r="3252" spans="1:2" x14ac:dyDescent="0.25">
      <c r="A3252" s="67"/>
      <c r="B3252" s="67"/>
    </row>
    <row r="3253" spans="1:2" x14ac:dyDescent="0.25">
      <c r="A3253" s="67"/>
      <c r="B3253" s="67"/>
    </row>
    <row r="3254" spans="1:2" x14ac:dyDescent="0.25">
      <c r="A3254" s="67"/>
      <c r="B3254" s="67"/>
    </row>
    <row r="3255" spans="1:2" x14ac:dyDescent="0.25">
      <c r="A3255" s="67"/>
      <c r="B3255" s="67"/>
    </row>
    <row r="3256" spans="1:2" x14ac:dyDescent="0.25">
      <c r="A3256" s="67"/>
      <c r="B3256" s="67"/>
    </row>
    <row r="3257" spans="1:2" x14ac:dyDescent="0.25">
      <c r="A3257" s="67"/>
      <c r="B3257" s="67"/>
    </row>
    <row r="3258" spans="1:2" x14ac:dyDescent="0.25">
      <c r="A3258" s="67"/>
      <c r="B3258" s="67"/>
    </row>
    <row r="3259" spans="1:2" x14ac:dyDescent="0.25">
      <c r="A3259" s="67"/>
      <c r="B3259" s="67"/>
    </row>
    <row r="3260" spans="1:2" x14ac:dyDescent="0.25">
      <c r="A3260" s="67"/>
      <c r="B3260" s="67"/>
    </row>
    <row r="3261" spans="1:2" x14ac:dyDescent="0.25">
      <c r="A3261" s="67"/>
      <c r="B3261" s="67"/>
    </row>
    <row r="3262" spans="1:2" x14ac:dyDescent="0.25">
      <c r="A3262" s="67"/>
      <c r="B3262" s="67"/>
    </row>
    <row r="3263" spans="1:2" x14ac:dyDescent="0.25">
      <c r="A3263" s="67"/>
      <c r="B3263" s="67"/>
    </row>
    <row r="3264" spans="1:2" x14ac:dyDescent="0.25">
      <c r="A3264" s="67"/>
      <c r="B3264" s="67"/>
    </row>
    <row r="3265" spans="1:2" x14ac:dyDescent="0.25">
      <c r="A3265" s="67"/>
      <c r="B3265" s="67"/>
    </row>
    <row r="3266" spans="1:2" x14ac:dyDescent="0.25">
      <c r="A3266" s="67"/>
      <c r="B3266" s="67"/>
    </row>
    <row r="3267" spans="1:2" x14ac:dyDescent="0.25">
      <c r="A3267" s="67"/>
      <c r="B3267" s="67"/>
    </row>
    <row r="3268" spans="1:2" x14ac:dyDescent="0.25">
      <c r="A3268" s="67"/>
      <c r="B3268" s="67"/>
    </row>
    <row r="3269" spans="1:2" x14ac:dyDescent="0.25">
      <c r="A3269" s="67"/>
      <c r="B3269" s="67"/>
    </row>
    <row r="3270" spans="1:2" x14ac:dyDescent="0.25">
      <c r="A3270" s="67"/>
      <c r="B3270" s="67"/>
    </row>
    <row r="3271" spans="1:2" x14ac:dyDescent="0.25">
      <c r="A3271" s="67"/>
      <c r="B3271" s="67"/>
    </row>
    <row r="3272" spans="1:2" x14ac:dyDescent="0.25">
      <c r="A3272" s="67"/>
      <c r="B3272" s="67"/>
    </row>
    <row r="3273" spans="1:2" x14ac:dyDescent="0.25">
      <c r="A3273" s="67"/>
      <c r="B3273" s="67"/>
    </row>
    <row r="3274" spans="1:2" x14ac:dyDescent="0.25">
      <c r="A3274" s="67"/>
      <c r="B3274" s="67"/>
    </row>
    <row r="3275" spans="1:2" x14ac:dyDescent="0.25">
      <c r="A3275" s="67"/>
      <c r="B3275" s="67"/>
    </row>
    <row r="3276" spans="1:2" x14ac:dyDescent="0.25">
      <c r="A3276" s="67"/>
      <c r="B3276" s="67"/>
    </row>
    <row r="3277" spans="1:2" x14ac:dyDescent="0.25">
      <c r="A3277" s="67"/>
      <c r="B3277" s="67"/>
    </row>
    <row r="3278" spans="1:2" x14ac:dyDescent="0.25">
      <c r="A3278" s="67"/>
      <c r="B3278" s="67"/>
    </row>
    <row r="3279" spans="1:2" x14ac:dyDescent="0.25">
      <c r="A3279" s="67"/>
      <c r="B3279" s="67"/>
    </row>
    <row r="3280" spans="1:2" x14ac:dyDescent="0.25">
      <c r="A3280" s="67"/>
      <c r="B3280" s="67"/>
    </row>
    <row r="3281" spans="1:2" x14ac:dyDescent="0.25">
      <c r="A3281" s="67"/>
      <c r="B3281" s="67"/>
    </row>
    <row r="3282" spans="1:2" x14ac:dyDescent="0.25">
      <c r="A3282" s="67"/>
      <c r="B3282" s="67"/>
    </row>
    <row r="3283" spans="1:2" x14ac:dyDescent="0.25">
      <c r="A3283" s="67"/>
      <c r="B3283" s="67"/>
    </row>
    <row r="3284" spans="1:2" x14ac:dyDescent="0.25">
      <c r="A3284" s="67"/>
      <c r="B3284" s="67"/>
    </row>
    <row r="3285" spans="1:2" x14ac:dyDescent="0.25">
      <c r="A3285" s="67"/>
      <c r="B3285" s="67"/>
    </row>
    <row r="3286" spans="1:2" x14ac:dyDescent="0.25">
      <c r="A3286" s="67"/>
      <c r="B3286" s="67"/>
    </row>
    <row r="3287" spans="1:2" x14ac:dyDescent="0.25">
      <c r="A3287" s="67"/>
      <c r="B3287" s="67"/>
    </row>
    <row r="3288" spans="1:2" x14ac:dyDescent="0.25">
      <c r="A3288" s="67"/>
      <c r="B3288" s="67"/>
    </row>
    <row r="3289" spans="1:2" x14ac:dyDescent="0.25">
      <c r="A3289" s="67"/>
      <c r="B3289" s="67"/>
    </row>
    <row r="3290" spans="1:2" x14ac:dyDescent="0.25">
      <c r="A3290" s="67"/>
      <c r="B3290" s="67"/>
    </row>
    <row r="3291" spans="1:2" x14ac:dyDescent="0.25">
      <c r="A3291" s="67"/>
      <c r="B3291" s="67"/>
    </row>
    <row r="3292" spans="1:2" x14ac:dyDescent="0.25">
      <c r="A3292" s="67"/>
      <c r="B3292" s="67"/>
    </row>
    <row r="3293" spans="1:2" x14ac:dyDescent="0.25">
      <c r="A3293" s="67"/>
      <c r="B3293" s="67"/>
    </row>
    <row r="3294" spans="1:2" x14ac:dyDescent="0.25">
      <c r="A3294" s="67"/>
      <c r="B3294" s="67"/>
    </row>
    <row r="3295" spans="1:2" x14ac:dyDescent="0.25">
      <c r="A3295" s="67"/>
      <c r="B3295" s="67"/>
    </row>
    <row r="3296" spans="1:2" x14ac:dyDescent="0.25">
      <c r="A3296" s="67"/>
      <c r="B3296" s="67"/>
    </row>
    <row r="3297" spans="1:2" x14ac:dyDescent="0.25">
      <c r="A3297" s="67"/>
      <c r="B3297" s="67"/>
    </row>
    <row r="3298" spans="1:2" x14ac:dyDescent="0.25">
      <c r="A3298" s="67"/>
      <c r="B3298" s="67"/>
    </row>
    <row r="3299" spans="1:2" x14ac:dyDescent="0.25">
      <c r="A3299" s="67"/>
      <c r="B3299" s="67"/>
    </row>
    <row r="3300" spans="1:2" x14ac:dyDescent="0.25">
      <c r="A3300" s="67"/>
      <c r="B3300" s="67"/>
    </row>
    <row r="3301" spans="1:2" x14ac:dyDescent="0.25">
      <c r="A3301" s="67"/>
      <c r="B3301" s="67"/>
    </row>
    <row r="3302" spans="1:2" x14ac:dyDescent="0.25">
      <c r="A3302" s="67"/>
      <c r="B3302" s="67"/>
    </row>
    <row r="3303" spans="1:2" x14ac:dyDescent="0.25">
      <c r="A3303" s="67"/>
      <c r="B3303" s="67"/>
    </row>
    <row r="3304" spans="1:2" x14ac:dyDescent="0.25">
      <c r="A3304" s="67"/>
      <c r="B3304" s="67"/>
    </row>
    <row r="3305" spans="1:2" x14ac:dyDescent="0.25">
      <c r="A3305" s="67"/>
      <c r="B3305" s="67"/>
    </row>
    <row r="3306" spans="1:2" x14ac:dyDescent="0.25">
      <c r="A3306" s="67"/>
      <c r="B3306" s="67"/>
    </row>
    <row r="3307" spans="1:2" x14ac:dyDescent="0.25">
      <c r="A3307" s="67"/>
      <c r="B3307" s="67"/>
    </row>
    <row r="3308" spans="1:2" x14ac:dyDescent="0.25">
      <c r="A3308" s="67"/>
      <c r="B3308" s="67"/>
    </row>
    <row r="3309" spans="1:2" x14ac:dyDescent="0.25">
      <c r="A3309" s="67"/>
      <c r="B3309" s="67"/>
    </row>
    <row r="3310" spans="1:2" x14ac:dyDescent="0.25">
      <c r="A3310" s="67"/>
      <c r="B3310" s="67"/>
    </row>
    <row r="3311" spans="1:2" x14ac:dyDescent="0.25">
      <c r="A3311" s="67"/>
      <c r="B3311" s="67"/>
    </row>
    <row r="3312" spans="1:2" x14ac:dyDescent="0.25">
      <c r="A3312" s="67"/>
      <c r="B3312" s="67"/>
    </row>
    <row r="3313" spans="1:2" x14ac:dyDescent="0.25">
      <c r="A3313" s="67"/>
      <c r="B3313" s="67"/>
    </row>
    <row r="3314" spans="1:2" x14ac:dyDescent="0.25">
      <c r="A3314" s="67"/>
      <c r="B3314" s="67"/>
    </row>
    <row r="3315" spans="1:2" x14ac:dyDescent="0.25">
      <c r="A3315" s="67"/>
      <c r="B3315" s="67"/>
    </row>
    <row r="3316" spans="1:2" x14ac:dyDescent="0.25">
      <c r="A3316" s="67"/>
      <c r="B3316" s="67"/>
    </row>
    <row r="3317" spans="1:2" x14ac:dyDescent="0.25">
      <c r="A3317" s="67"/>
      <c r="B3317" s="67"/>
    </row>
    <row r="3318" spans="1:2" x14ac:dyDescent="0.25">
      <c r="A3318" s="67"/>
      <c r="B3318" s="67"/>
    </row>
    <row r="3319" spans="1:2" x14ac:dyDescent="0.25">
      <c r="A3319" s="67"/>
      <c r="B3319" s="67"/>
    </row>
    <row r="3320" spans="1:2" x14ac:dyDescent="0.25">
      <c r="A3320" s="67"/>
      <c r="B3320" s="67"/>
    </row>
    <row r="3321" spans="1:2" x14ac:dyDescent="0.25">
      <c r="A3321" s="67"/>
      <c r="B3321" s="67"/>
    </row>
    <row r="3322" spans="1:2" x14ac:dyDescent="0.25">
      <c r="A3322" s="67"/>
      <c r="B3322" s="67"/>
    </row>
    <row r="3323" spans="1:2" x14ac:dyDescent="0.25">
      <c r="A3323" s="67"/>
      <c r="B3323" s="67"/>
    </row>
    <row r="3324" spans="1:2" x14ac:dyDescent="0.25">
      <c r="A3324" s="67"/>
      <c r="B3324" s="67"/>
    </row>
    <row r="3325" spans="1:2" x14ac:dyDescent="0.25">
      <c r="A3325" s="67"/>
      <c r="B3325" s="67"/>
    </row>
    <row r="3326" spans="1:2" x14ac:dyDescent="0.25">
      <c r="A3326" s="67"/>
      <c r="B3326" s="67"/>
    </row>
    <row r="3327" spans="1:2" x14ac:dyDescent="0.25">
      <c r="A3327" s="67"/>
      <c r="B3327" s="67"/>
    </row>
    <row r="3328" spans="1:2" x14ac:dyDescent="0.25">
      <c r="A3328" s="67"/>
      <c r="B3328" s="67"/>
    </row>
    <row r="3329" spans="1:2" x14ac:dyDescent="0.25">
      <c r="A3329" s="67"/>
      <c r="B3329" s="67"/>
    </row>
    <row r="3330" spans="1:2" x14ac:dyDescent="0.25">
      <c r="A3330" s="67"/>
      <c r="B3330" s="67"/>
    </row>
    <row r="3331" spans="1:2" x14ac:dyDescent="0.25">
      <c r="A3331" s="67"/>
      <c r="B3331" s="67"/>
    </row>
    <row r="3332" spans="1:2" x14ac:dyDescent="0.25">
      <c r="A3332" s="67"/>
      <c r="B3332" s="67"/>
    </row>
    <row r="3333" spans="1:2" x14ac:dyDescent="0.25">
      <c r="A3333" s="67"/>
      <c r="B3333" s="67"/>
    </row>
    <row r="3334" spans="1:2" x14ac:dyDescent="0.25">
      <c r="A3334" s="67"/>
      <c r="B3334" s="67"/>
    </row>
    <row r="3335" spans="1:2" x14ac:dyDescent="0.25">
      <c r="A3335" s="67"/>
      <c r="B3335" s="67"/>
    </row>
    <row r="3336" spans="1:2" x14ac:dyDescent="0.25">
      <c r="A3336" s="67"/>
      <c r="B3336" s="67"/>
    </row>
    <row r="3337" spans="1:2" x14ac:dyDescent="0.25">
      <c r="A3337" s="67"/>
      <c r="B3337" s="67"/>
    </row>
    <row r="3338" spans="1:2" x14ac:dyDescent="0.25">
      <c r="A3338" s="67"/>
      <c r="B3338" s="67"/>
    </row>
    <row r="3339" spans="1:2" x14ac:dyDescent="0.25">
      <c r="A3339" s="67"/>
      <c r="B3339" s="67"/>
    </row>
    <row r="3340" spans="1:2" x14ac:dyDescent="0.25">
      <c r="A3340" s="67"/>
      <c r="B3340" s="67"/>
    </row>
    <row r="3341" spans="1:2" x14ac:dyDescent="0.25">
      <c r="A3341" s="67"/>
      <c r="B3341" s="67"/>
    </row>
    <row r="3342" spans="1:2" x14ac:dyDescent="0.25">
      <c r="A3342" s="67"/>
      <c r="B3342" s="67"/>
    </row>
    <row r="3343" spans="1:2" x14ac:dyDescent="0.25">
      <c r="A3343" s="67"/>
      <c r="B3343" s="67"/>
    </row>
    <row r="3344" spans="1:2" x14ac:dyDescent="0.25">
      <c r="A3344" s="67"/>
      <c r="B3344" s="67"/>
    </row>
    <row r="3345" spans="1:2" x14ac:dyDescent="0.25">
      <c r="A3345" s="67"/>
      <c r="B3345" s="67"/>
    </row>
    <row r="3346" spans="1:2" x14ac:dyDescent="0.25">
      <c r="A3346" s="67"/>
      <c r="B3346" s="67"/>
    </row>
    <row r="3347" spans="1:2" x14ac:dyDescent="0.25">
      <c r="A3347" s="67"/>
      <c r="B3347" s="67"/>
    </row>
    <row r="3348" spans="1:2" x14ac:dyDescent="0.25">
      <c r="A3348" s="67"/>
      <c r="B3348" s="67"/>
    </row>
    <row r="3349" spans="1:2" x14ac:dyDescent="0.25">
      <c r="A3349" s="67"/>
      <c r="B3349" s="67"/>
    </row>
    <row r="3350" spans="1:2" x14ac:dyDescent="0.25">
      <c r="A3350" s="67"/>
      <c r="B3350" s="67"/>
    </row>
    <row r="3351" spans="1:2" x14ac:dyDescent="0.25">
      <c r="A3351" s="67"/>
      <c r="B3351" s="67"/>
    </row>
    <row r="3352" spans="1:2" x14ac:dyDescent="0.25">
      <c r="A3352" s="67"/>
      <c r="B3352" s="67"/>
    </row>
    <row r="3353" spans="1:2" x14ac:dyDescent="0.25">
      <c r="A3353" s="67"/>
      <c r="B3353" s="67"/>
    </row>
    <row r="3354" spans="1:2" x14ac:dyDescent="0.25">
      <c r="A3354" s="67"/>
      <c r="B3354" s="67"/>
    </row>
    <row r="3355" spans="1:2" x14ac:dyDescent="0.25">
      <c r="A3355" s="67"/>
      <c r="B3355" s="67"/>
    </row>
    <row r="3356" spans="1:2" x14ac:dyDescent="0.25">
      <c r="A3356" s="67"/>
      <c r="B3356" s="67"/>
    </row>
    <row r="3357" spans="1:2" x14ac:dyDescent="0.25">
      <c r="A3357" s="67"/>
      <c r="B3357" s="67"/>
    </row>
    <row r="3358" spans="1:2" x14ac:dyDescent="0.25">
      <c r="A3358" s="67"/>
      <c r="B3358" s="67"/>
    </row>
    <row r="3359" spans="1:2" x14ac:dyDescent="0.25">
      <c r="A3359" s="67"/>
      <c r="B3359" s="67"/>
    </row>
    <row r="3360" spans="1:2" x14ac:dyDescent="0.25">
      <c r="A3360" s="67"/>
      <c r="B3360" s="67"/>
    </row>
    <row r="3361" spans="1:2" x14ac:dyDescent="0.25">
      <c r="A3361" s="67"/>
      <c r="B3361" s="67"/>
    </row>
    <row r="3362" spans="1:2" x14ac:dyDescent="0.25">
      <c r="A3362" s="67"/>
      <c r="B3362" s="67"/>
    </row>
    <row r="3363" spans="1:2" x14ac:dyDescent="0.25">
      <c r="A3363" s="67"/>
      <c r="B3363" s="67"/>
    </row>
    <row r="3364" spans="1:2" x14ac:dyDescent="0.25">
      <c r="A3364" s="67"/>
      <c r="B3364" s="67"/>
    </row>
    <row r="3365" spans="1:2" x14ac:dyDescent="0.25">
      <c r="A3365" s="67"/>
      <c r="B3365" s="67"/>
    </row>
    <row r="3366" spans="1:2" x14ac:dyDescent="0.25">
      <c r="A3366" s="67"/>
      <c r="B3366" s="67"/>
    </row>
    <row r="3367" spans="1:2" x14ac:dyDescent="0.25">
      <c r="A3367" s="67"/>
      <c r="B3367" s="67"/>
    </row>
    <row r="3368" spans="1:2" x14ac:dyDescent="0.25">
      <c r="A3368" s="67"/>
      <c r="B3368" s="67"/>
    </row>
    <row r="3369" spans="1:2" x14ac:dyDescent="0.25">
      <c r="A3369" s="67"/>
      <c r="B3369" s="67"/>
    </row>
    <row r="3370" spans="1:2" x14ac:dyDescent="0.25">
      <c r="A3370" s="67"/>
      <c r="B3370" s="67"/>
    </row>
    <row r="3371" spans="1:2" x14ac:dyDescent="0.25">
      <c r="A3371" s="67"/>
      <c r="B3371" s="67"/>
    </row>
    <row r="3372" spans="1:2" x14ac:dyDescent="0.25">
      <c r="A3372" s="67"/>
      <c r="B3372" s="67"/>
    </row>
    <row r="3373" spans="1:2" x14ac:dyDescent="0.25">
      <c r="A3373" s="67"/>
      <c r="B3373" s="67"/>
    </row>
    <row r="3374" spans="1:2" x14ac:dyDescent="0.25">
      <c r="A3374" s="67"/>
      <c r="B3374" s="67"/>
    </row>
    <row r="3375" spans="1:2" x14ac:dyDescent="0.25">
      <c r="A3375" s="67"/>
      <c r="B3375" s="67"/>
    </row>
    <row r="3376" spans="1:2" x14ac:dyDescent="0.25">
      <c r="A3376" s="67"/>
      <c r="B3376" s="67"/>
    </row>
    <row r="3377" spans="1:2" x14ac:dyDescent="0.25">
      <c r="A3377" s="67"/>
      <c r="B3377" s="67"/>
    </row>
    <row r="3378" spans="1:2" x14ac:dyDescent="0.25">
      <c r="A3378" s="67"/>
      <c r="B3378" s="67"/>
    </row>
    <row r="3379" spans="1:2" x14ac:dyDescent="0.25">
      <c r="A3379" s="67"/>
      <c r="B3379" s="67"/>
    </row>
    <row r="3380" spans="1:2" x14ac:dyDescent="0.25">
      <c r="A3380" s="67"/>
      <c r="B3380" s="67"/>
    </row>
    <row r="3381" spans="1:2" x14ac:dyDescent="0.25">
      <c r="A3381" s="67"/>
      <c r="B3381" s="67"/>
    </row>
    <row r="3382" spans="1:2" x14ac:dyDescent="0.25">
      <c r="A3382" s="67"/>
      <c r="B3382" s="67"/>
    </row>
    <row r="3383" spans="1:2" x14ac:dyDescent="0.25">
      <c r="A3383" s="67"/>
      <c r="B3383" s="67"/>
    </row>
    <row r="3384" spans="1:2" x14ac:dyDescent="0.25">
      <c r="A3384" s="67"/>
      <c r="B3384" s="67"/>
    </row>
    <row r="3385" spans="1:2" x14ac:dyDescent="0.25">
      <c r="A3385" s="67"/>
      <c r="B3385" s="67"/>
    </row>
    <row r="3386" spans="1:2" x14ac:dyDescent="0.25">
      <c r="A3386" s="67"/>
      <c r="B3386" s="67"/>
    </row>
    <row r="3387" spans="1:2" x14ac:dyDescent="0.25">
      <c r="A3387" s="67"/>
      <c r="B3387" s="67"/>
    </row>
    <row r="3388" spans="1:2" x14ac:dyDescent="0.25">
      <c r="A3388" s="67"/>
      <c r="B3388" s="67"/>
    </row>
    <row r="3389" spans="1:2" x14ac:dyDescent="0.25">
      <c r="A3389" s="67"/>
      <c r="B3389" s="67"/>
    </row>
    <row r="3390" spans="1:2" x14ac:dyDescent="0.25">
      <c r="A3390" s="67"/>
      <c r="B3390" s="67"/>
    </row>
    <row r="3391" spans="1:2" x14ac:dyDescent="0.25">
      <c r="A3391" s="67"/>
      <c r="B3391" s="67"/>
    </row>
    <row r="3392" spans="1:2" x14ac:dyDescent="0.25">
      <c r="A3392" s="67"/>
      <c r="B3392" s="67"/>
    </row>
    <row r="3393" spans="1:2" x14ac:dyDescent="0.25">
      <c r="A3393" s="67"/>
      <c r="B3393" s="67"/>
    </row>
    <row r="3394" spans="1:2" x14ac:dyDescent="0.25">
      <c r="A3394" s="67"/>
      <c r="B3394" s="67"/>
    </row>
    <row r="3395" spans="1:2" x14ac:dyDescent="0.25">
      <c r="A3395" s="67"/>
      <c r="B3395" s="67"/>
    </row>
    <row r="3396" spans="1:2" x14ac:dyDescent="0.25">
      <c r="A3396" s="67"/>
      <c r="B3396" s="67"/>
    </row>
    <row r="3397" spans="1:2" x14ac:dyDescent="0.25">
      <c r="A3397" s="67"/>
      <c r="B3397" s="67"/>
    </row>
    <row r="3398" spans="1:2" x14ac:dyDescent="0.25">
      <c r="A3398" s="67"/>
      <c r="B3398" s="67"/>
    </row>
    <row r="3399" spans="1:2" x14ac:dyDescent="0.25">
      <c r="A3399" s="67"/>
      <c r="B3399" s="67"/>
    </row>
    <row r="3400" spans="1:2" x14ac:dyDescent="0.25">
      <c r="A3400" s="67"/>
      <c r="B3400" s="67"/>
    </row>
    <row r="3401" spans="1:2" x14ac:dyDescent="0.25">
      <c r="A3401" s="67"/>
      <c r="B3401" s="67"/>
    </row>
    <row r="3402" spans="1:2" x14ac:dyDescent="0.25">
      <c r="A3402" s="67"/>
      <c r="B3402" s="67"/>
    </row>
    <row r="3403" spans="1:2" x14ac:dyDescent="0.25">
      <c r="A3403" s="67"/>
      <c r="B3403" s="67"/>
    </row>
    <row r="3404" spans="1:2" x14ac:dyDescent="0.25">
      <c r="A3404" s="67"/>
      <c r="B3404" s="67"/>
    </row>
    <row r="3405" spans="1:2" x14ac:dyDescent="0.25">
      <c r="A3405" s="67"/>
      <c r="B3405" s="67"/>
    </row>
    <row r="3406" spans="1:2" x14ac:dyDescent="0.25">
      <c r="A3406" s="67"/>
      <c r="B3406" s="67"/>
    </row>
    <row r="3407" spans="1:2" x14ac:dyDescent="0.25">
      <c r="A3407" s="67"/>
      <c r="B3407" s="67"/>
    </row>
    <row r="3408" spans="1:2" x14ac:dyDescent="0.25">
      <c r="A3408" s="67"/>
      <c r="B3408" s="67"/>
    </row>
    <row r="3409" spans="1:2" x14ac:dyDescent="0.25">
      <c r="A3409" s="67"/>
      <c r="B3409" s="67"/>
    </row>
    <row r="3410" spans="1:2" x14ac:dyDescent="0.25">
      <c r="A3410" s="67"/>
      <c r="B3410" s="67"/>
    </row>
    <row r="3411" spans="1:2" x14ac:dyDescent="0.25">
      <c r="A3411" s="67"/>
      <c r="B3411" s="67"/>
    </row>
    <row r="3412" spans="1:2" x14ac:dyDescent="0.25">
      <c r="A3412" s="67"/>
      <c r="B3412" s="67"/>
    </row>
    <row r="3413" spans="1:2" x14ac:dyDescent="0.25">
      <c r="A3413" s="67"/>
      <c r="B3413" s="67"/>
    </row>
    <row r="3414" spans="1:2" x14ac:dyDescent="0.25">
      <c r="A3414" s="67"/>
      <c r="B3414" s="67"/>
    </row>
    <row r="3415" spans="1:2" x14ac:dyDescent="0.25">
      <c r="A3415" s="67"/>
      <c r="B3415" s="67"/>
    </row>
    <row r="3416" spans="1:2" x14ac:dyDescent="0.25">
      <c r="A3416" s="67"/>
      <c r="B3416" s="67"/>
    </row>
    <row r="3417" spans="1:2" x14ac:dyDescent="0.25">
      <c r="A3417" s="67"/>
      <c r="B3417" s="67"/>
    </row>
    <row r="3418" spans="1:2" x14ac:dyDescent="0.25">
      <c r="A3418" s="67"/>
      <c r="B3418" s="67"/>
    </row>
    <row r="3419" spans="1:2" x14ac:dyDescent="0.25">
      <c r="A3419" s="67"/>
      <c r="B3419" s="67"/>
    </row>
    <row r="3420" spans="1:2" x14ac:dyDescent="0.25">
      <c r="A3420" s="67"/>
      <c r="B3420" s="67"/>
    </row>
    <row r="3421" spans="1:2" x14ac:dyDescent="0.25">
      <c r="A3421" s="67"/>
      <c r="B3421" s="67"/>
    </row>
    <row r="3422" spans="1:2" x14ac:dyDescent="0.25">
      <c r="A3422" s="67"/>
      <c r="B3422" s="67"/>
    </row>
    <row r="3423" spans="1:2" x14ac:dyDescent="0.25">
      <c r="A3423" s="67"/>
      <c r="B3423" s="67"/>
    </row>
    <row r="3424" spans="1:2" x14ac:dyDescent="0.25">
      <c r="A3424" s="67"/>
      <c r="B3424" s="67"/>
    </row>
    <row r="3425" spans="1:2" x14ac:dyDescent="0.25">
      <c r="A3425" s="67"/>
      <c r="B3425" s="67"/>
    </row>
    <row r="3426" spans="1:2" x14ac:dyDescent="0.25">
      <c r="A3426" s="67"/>
      <c r="B3426" s="67"/>
    </row>
    <row r="3427" spans="1:2" x14ac:dyDescent="0.25">
      <c r="A3427" s="67"/>
      <c r="B3427" s="67"/>
    </row>
    <row r="3428" spans="1:2" x14ac:dyDescent="0.25">
      <c r="A3428" s="67"/>
      <c r="B3428" s="67"/>
    </row>
    <row r="3429" spans="1:2" x14ac:dyDescent="0.25">
      <c r="A3429" s="67"/>
      <c r="B3429" s="67"/>
    </row>
    <row r="3430" spans="1:2" x14ac:dyDescent="0.25">
      <c r="A3430" s="67"/>
      <c r="B3430" s="67"/>
    </row>
    <row r="3431" spans="1:2" x14ac:dyDescent="0.25">
      <c r="A3431" s="67"/>
      <c r="B3431" s="67"/>
    </row>
    <row r="3432" spans="1:2" x14ac:dyDescent="0.25">
      <c r="A3432" s="67"/>
      <c r="B3432" s="67"/>
    </row>
    <row r="3433" spans="1:2" x14ac:dyDescent="0.25">
      <c r="A3433" s="67"/>
      <c r="B3433" s="67"/>
    </row>
    <row r="3434" spans="1:2" x14ac:dyDescent="0.25">
      <c r="A3434" s="67"/>
      <c r="B3434" s="67"/>
    </row>
    <row r="3435" spans="1:2" x14ac:dyDescent="0.25">
      <c r="A3435" s="67"/>
      <c r="B3435" s="67"/>
    </row>
    <row r="3436" spans="1:2" x14ac:dyDescent="0.25">
      <c r="A3436" s="67"/>
      <c r="B3436" s="67"/>
    </row>
    <row r="3437" spans="1:2" x14ac:dyDescent="0.25">
      <c r="A3437" s="67"/>
      <c r="B3437" s="67"/>
    </row>
    <row r="3438" spans="1:2" x14ac:dyDescent="0.25">
      <c r="A3438" s="67"/>
      <c r="B3438" s="67"/>
    </row>
    <row r="3439" spans="1:2" x14ac:dyDescent="0.25">
      <c r="A3439" s="67"/>
      <c r="B3439" s="67"/>
    </row>
    <row r="3440" spans="1:2" x14ac:dyDescent="0.25">
      <c r="A3440" s="67"/>
      <c r="B3440" s="67"/>
    </row>
    <row r="3441" spans="1:2" x14ac:dyDescent="0.25">
      <c r="A3441" s="67"/>
      <c r="B3441" s="67"/>
    </row>
    <row r="3442" spans="1:2" x14ac:dyDescent="0.25">
      <c r="A3442" s="67"/>
      <c r="B3442" s="67"/>
    </row>
    <row r="3443" spans="1:2" x14ac:dyDescent="0.25">
      <c r="A3443" s="67"/>
      <c r="B3443" s="67"/>
    </row>
    <row r="3444" spans="1:2" x14ac:dyDescent="0.25">
      <c r="A3444" s="67"/>
      <c r="B3444" s="67"/>
    </row>
    <row r="3445" spans="1:2" x14ac:dyDescent="0.25">
      <c r="A3445" s="67"/>
      <c r="B3445" s="67"/>
    </row>
    <row r="3446" spans="1:2" x14ac:dyDescent="0.25">
      <c r="A3446" s="67"/>
      <c r="B3446" s="67"/>
    </row>
    <row r="3447" spans="1:2" x14ac:dyDescent="0.25">
      <c r="A3447" s="67"/>
      <c r="B3447" s="67"/>
    </row>
    <row r="3448" spans="1:2" x14ac:dyDescent="0.25">
      <c r="A3448" s="67"/>
      <c r="B3448" s="67"/>
    </row>
    <row r="3449" spans="1:2" x14ac:dyDescent="0.25">
      <c r="A3449" s="67"/>
      <c r="B3449" s="67"/>
    </row>
    <row r="3450" spans="1:2" x14ac:dyDescent="0.25">
      <c r="A3450" s="67"/>
      <c r="B3450" s="67"/>
    </row>
    <row r="3451" spans="1:2" x14ac:dyDescent="0.25">
      <c r="A3451" s="67"/>
      <c r="B3451" s="67"/>
    </row>
    <row r="3452" spans="1:2" x14ac:dyDescent="0.25">
      <c r="A3452" s="67"/>
      <c r="B3452" s="67"/>
    </row>
    <row r="3453" spans="1:2" x14ac:dyDescent="0.25">
      <c r="A3453" s="67"/>
      <c r="B3453" s="67"/>
    </row>
    <row r="3454" spans="1:2" x14ac:dyDescent="0.25">
      <c r="A3454" s="67"/>
      <c r="B3454" s="67"/>
    </row>
    <row r="3455" spans="1:2" x14ac:dyDescent="0.25">
      <c r="A3455" s="67"/>
      <c r="B3455" s="67"/>
    </row>
    <row r="3456" spans="1:2" x14ac:dyDescent="0.25">
      <c r="A3456" s="67"/>
      <c r="B3456" s="67"/>
    </row>
    <row r="3457" spans="1:2" x14ac:dyDescent="0.25">
      <c r="A3457" s="67"/>
      <c r="B3457" s="67"/>
    </row>
    <row r="3458" spans="1:2" x14ac:dyDescent="0.25">
      <c r="A3458" s="67"/>
      <c r="B3458" s="67"/>
    </row>
    <row r="3459" spans="1:2" x14ac:dyDescent="0.25">
      <c r="A3459" s="67"/>
      <c r="B3459" s="67"/>
    </row>
    <row r="3460" spans="1:2" x14ac:dyDescent="0.25">
      <c r="A3460" s="67"/>
      <c r="B3460" s="67"/>
    </row>
    <row r="3461" spans="1:2" x14ac:dyDescent="0.25">
      <c r="A3461" s="67"/>
      <c r="B3461" s="67"/>
    </row>
    <row r="3462" spans="1:2" x14ac:dyDescent="0.25">
      <c r="A3462" s="67"/>
      <c r="B3462" s="67"/>
    </row>
    <row r="3463" spans="1:2" x14ac:dyDescent="0.25">
      <c r="A3463" s="67"/>
      <c r="B3463" s="67"/>
    </row>
    <row r="3464" spans="1:2" x14ac:dyDescent="0.25">
      <c r="A3464" s="67"/>
      <c r="B3464" s="67"/>
    </row>
    <row r="3465" spans="1:2" x14ac:dyDescent="0.25">
      <c r="A3465" s="67"/>
      <c r="B3465" s="67"/>
    </row>
    <row r="3466" spans="1:2" x14ac:dyDescent="0.25">
      <c r="A3466" s="67"/>
      <c r="B3466" s="67"/>
    </row>
    <row r="3467" spans="1:2" x14ac:dyDescent="0.25">
      <c r="A3467" s="67"/>
      <c r="B3467" s="67"/>
    </row>
    <row r="3468" spans="1:2" x14ac:dyDescent="0.25">
      <c r="A3468" s="67"/>
      <c r="B3468" s="67"/>
    </row>
    <row r="3469" spans="1:2" x14ac:dyDescent="0.25">
      <c r="A3469" s="67"/>
      <c r="B3469" s="67"/>
    </row>
    <row r="3470" spans="1:2" x14ac:dyDescent="0.25">
      <c r="A3470" s="67"/>
      <c r="B3470" s="67"/>
    </row>
    <row r="3471" spans="1:2" x14ac:dyDescent="0.25">
      <c r="A3471" s="67"/>
      <c r="B3471" s="67"/>
    </row>
    <row r="3472" spans="1:2" x14ac:dyDescent="0.25">
      <c r="A3472" s="67"/>
      <c r="B3472" s="67"/>
    </row>
    <row r="3473" spans="1:2" x14ac:dyDescent="0.25">
      <c r="A3473" s="67"/>
      <c r="B3473" s="67"/>
    </row>
    <row r="3474" spans="1:2" x14ac:dyDescent="0.25">
      <c r="A3474" s="67"/>
      <c r="B3474" s="67"/>
    </row>
    <row r="3475" spans="1:2" x14ac:dyDescent="0.25">
      <c r="A3475" s="67"/>
      <c r="B3475" s="67"/>
    </row>
    <row r="3476" spans="1:2" x14ac:dyDescent="0.25">
      <c r="A3476" s="67"/>
      <c r="B3476" s="67"/>
    </row>
    <row r="3477" spans="1:2" x14ac:dyDescent="0.25">
      <c r="A3477" s="67"/>
      <c r="B3477" s="67"/>
    </row>
    <row r="3478" spans="1:2" x14ac:dyDescent="0.25">
      <c r="A3478" s="67"/>
      <c r="B3478" s="67"/>
    </row>
    <row r="3479" spans="1:2" x14ac:dyDescent="0.25">
      <c r="A3479" s="67"/>
      <c r="B3479" s="67"/>
    </row>
    <row r="3480" spans="1:2" x14ac:dyDescent="0.25">
      <c r="A3480" s="67"/>
      <c r="B3480" s="67"/>
    </row>
    <row r="3481" spans="1:2" x14ac:dyDescent="0.25">
      <c r="A3481" s="67"/>
      <c r="B3481" s="67"/>
    </row>
    <row r="3482" spans="1:2" x14ac:dyDescent="0.25">
      <c r="A3482" s="67"/>
      <c r="B3482" s="67"/>
    </row>
    <row r="3483" spans="1:2" x14ac:dyDescent="0.25">
      <c r="A3483" s="67"/>
      <c r="B3483" s="67"/>
    </row>
    <row r="3484" spans="1:2" x14ac:dyDescent="0.25">
      <c r="A3484" s="67"/>
      <c r="B3484" s="67"/>
    </row>
    <row r="3485" spans="1:2" x14ac:dyDescent="0.25">
      <c r="A3485" s="67"/>
      <c r="B3485" s="67"/>
    </row>
    <row r="3486" spans="1:2" x14ac:dyDescent="0.25">
      <c r="A3486" s="67"/>
      <c r="B3486" s="67"/>
    </row>
    <row r="3487" spans="1:2" x14ac:dyDescent="0.25">
      <c r="A3487" s="67"/>
      <c r="B3487" s="67"/>
    </row>
    <row r="3488" spans="1:2" x14ac:dyDescent="0.25">
      <c r="A3488" s="67"/>
      <c r="B3488" s="67"/>
    </row>
    <row r="3489" spans="1:2" x14ac:dyDescent="0.25">
      <c r="A3489" s="67"/>
      <c r="B3489" s="67"/>
    </row>
    <row r="3490" spans="1:2" x14ac:dyDescent="0.25">
      <c r="A3490" s="67"/>
      <c r="B3490" s="67"/>
    </row>
    <row r="3491" spans="1:2" x14ac:dyDescent="0.25">
      <c r="A3491" s="67"/>
      <c r="B3491" s="67"/>
    </row>
    <row r="3492" spans="1:2" x14ac:dyDescent="0.25">
      <c r="A3492" s="67"/>
      <c r="B3492" s="67"/>
    </row>
    <row r="3493" spans="1:2" x14ac:dyDescent="0.25">
      <c r="A3493" s="67"/>
      <c r="B3493" s="67"/>
    </row>
    <row r="3494" spans="1:2" x14ac:dyDescent="0.25">
      <c r="A3494" s="67"/>
      <c r="B3494" s="67"/>
    </row>
    <row r="3495" spans="1:2" x14ac:dyDescent="0.25">
      <c r="A3495" s="67"/>
      <c r="B3495" s="67"/>
    </row>
    <row r="3496" spans="1:2" x14ac:dyDescent="0.25">
      <c r="A3496" s="67"/>
      <c r="B3496" s="67"/>
    </row>
    <row r="3497" spans="1:2" x14ac:dyDescent="0.25">
      <c r="A3497" s="67"/>
      <c r="B3497" s="67"/>
    </row>
    <row r="3498" spans="1:2" x14ac:dyDescent="0.25">
      <c r="A3498" s="67"/>
      <c r="B3498" s="67"/>
    </row>
    <row r="3499" spans="1:2" x14ac:dyDescent="0.25">
      <c r="A3499" s="67"/>
      <c r="B3499" s="67"/>
    </row>
    <row r="3500" spans="1:2" x14ac:dyDescent="0.25">
      <c r="A3500" s="67"/>
      <c r="B3500" s="67"/>
    </row>
    <row r="3501" spans="1:2" x14ac:dyDescent="0.25">
      <c r="A3501" s="67"/>
      <c r="B3501" s="67"/>
    </row>
    <row r="3502" spans="1:2" x14ac:dyDescent="0.25">
      <c r="A3502" s="67"/>
      <c r="B3502" s="67"/>
    </row>
    <row r="3503" spans="1:2" x14ac:dyDescent="0.25">
      <c r="A3503" s="67"/>
      <c r="B3503" s="67"/>
    </row>
    <row r="3504" spans="1:2" x14ac:dyDescent="0.25">
      <c r="A3504" s="67"/>
      <c r="B3504" s="67"/>
    </row>
    <row r="3505" spans="1:2" x14ac:dyDescent="0.25">
      <c r="A3505" s="67"/>
      <c r="B3505" s="67"/>
    </row>
    <row r="3506" spans="1:2" x14ac:dyDescent="0.25">
      <c r="A3506" s="67"/>
      <c r="B3506" s="67"/>
    </row>
    <row r="3507" spans="1:2" x14ac:dyDescent="0.25">
      <c r="A3507" s="67"/>
      <c r="B3507" s="67"/>
    </row>
    <row r="3508" spans="1:2" x14ac:dyDescent="0.25">
      <c r="A3508" s="67"/>
      <c r="B3508" s="67"/>
    </row>
    <row r="3509" spans="1:2" x14ac:dyDescent="0.25">
      <c r="A3509" s="67"/>
      <c r="B3509" s="67"/>
    </row>
    <row r="3510" spans="1:2" x14ac:dyDescent="0.25">
      <c r="A3510" s="67"/>
      <c r="B3510" s="67"/>
    </row>
    <row r="3511" spans="1:2" x14ac:dyDescent="0.25">
      <c r="A3511" s="67"/>
      <c r="B3511" s="67"/>
    </row>
    <row r="3512" spans="1:2" x14ac:dyDescent="0.25">
      <c r="A3512" s="67"/>
      <c r="B3512" s="67"/>
    </row>
    <row r="3513" spans="1:2" x14ac:dyDescent="0.25">
      <c r="A3513" s="67"/>
      <c r="B3513" s="67"/>
    </row>
    <row r="3514" spans="1:2" x14ac:dyDescent="0.25">
      <c r="A3514" s="67"/>
      <c r="B3514" s="67"/>
    </row>
    <row r="3515" spans="1:2" x14ac:dyDescent="0.25">
      <c r="A3515" s="67"/>
      <c r="B3515" s="67"/>
    </row>
    <row r="3516" spans="1:2" x14ac:dyDescent="0.25">
      <c r="A3516" s="67"/>
      <c r="B3516" s="67"/>
    </row>
    <row r="3517" spans="1:2" x14ac:dyDescent="0.25">
      <c r="A3517" s="67"/>
      <c r="B3517" s="67"/>
    </row>
    <row r="3518" spans="1:2" x14ac:dyDescent="0.25">
      <c r="A3518" s="67"/>
      <c r="B3518" s="67"/>
    </row>
    <row r="3519" spans="1:2" x14ac:dyDescent="0.25">
      <c r="A3519" s="67"/>
      <c r="B3519" s="67"/>
    </row>
    <row r="3520" spans="1:2" x14ac:dyDescent="0.25">
      <c r="A3520" s="67"/>
      <c r="B3520" s="67"/>
    </row>
    <row r="3521" spans="1:2" x14ac:dyDescent="0.25">
      <c r="A3521" s="67"/>
      <c r="B3521" s="67"/>
    </row>
    <row r="3522" spans="1:2" x14ac:dyDescent="0.25">
      <c r="A3522" s="67"/>
      <c r="B3522" s="67"/>
    </row>
    <row r="3523" spans="1:2" x14ac:dyDescent="0.25">
      <c r="A3523" s="67"/>
      <c r="B3523" s="67"/>
    </row>
    <row r="3524" spans="1:2" x14ac:dyDescent="0.25">
      <c r="A3524" s="67"/>
      <c r="B3524" s="67"/>
    </row>
    <row r="3525" spans="1:2" x14ac:dyDescent="0.25">
      <c r="A3525" s="67"/>
      <c r="B3525" s="67"/>
    </row>
    <row r="3526" spans="1:2" x14ac:dyDescent="0.25">
      <c r="A3526" s="67"/>
      <c r="B3526" s="67"/>
    </row>
    <row r="3527" spans="1:2" x14ac:dyDescent="0.25">
      <c r="A3527" s="67"/>
      <c r="B3527" s="67"/>
    </row>
    <row r="3528" spans="1:2" x14ac:dyDescent="0.25">
      <c r="A3528" s="67"/>
      <c r="B3528" s="67"/>
    </row>
    <row r="3529" spans="1:2" x14ac:dyDescent="0.25">
      <c r="A3529" s="67"/>
      <c r="B3529" s="67"/>
    </row>
    <row r="3530" spans="1:2" x14ac:dyDescent="0.25">
      <c r="A3530" s="67"/>
      <c r="B3530" s="67"/>
    </row>
    <row r="3531" spans="1:2" x14ac:dyDescent="0.25">
      <c r="A3531" s="67"/>
      <c r="B3531" s="67"/>
    </row>
    <row r="3532" spans="1:2" x14ac:dyDescent="0.25">
      <c r="A3532" s="67"/>
      <c r="B3532" s="67"/>
    </row>
    <row r="3533" spans="1:2" x14ac:dyDescent="0.25">
      <c r="A3533" s="67"/>
      <c r="B3533" s="67"/>
    </row>
    <row r="3534" spans="1:2" x14ac:dyDescent="0.25">
      <c r="A3534" s="67"/>
      <c r="B3534" s="67"/>
    </row>
    <row r="3535" spans="1:2" x14ac:dyDescent="0.25">
      <c r="A3535" s="67"/>
      <c r="B3535" s="67"/>
    </row>
    <row r="3536" spans="1:2" x14ac:dyDescent="0.25">
      <c r="A3536" s="67"/>
      <c r="B3536" s="67"/>
    </row>
    <row r="3537" spans="1:2" x14ac:dyDescent="0.25">
      <c r="A3537" s="67"/>
      <c r="B3537" s="67"/>
    </row>
    <row r="3538" spans="1:2" x14ac:dyDescent="0.25">
      <c r="A3538" s="67"/>
      <c r="B3538" s="67"/>
    </row>
    <row r="3539" spans="1:2" x14ac:dyDescent="0.25">
      <c r="A3539" s="67"/>
      <c r="B3539" s="67"/>
    </row>
    <row r="3540" spans="1:2" x14ac:dyDescent="0.25">
      <c r="A3540" s="67"/>
      <c r="B3540" s="67"/>
    </row>
    <row r="3541" spans="1:2" x14ac:dyDescent="0.25">
      <c r="A3541" s="67"/>
      <c r="B3541" s="67"/>
    </row>
    <row r="3542" spans="1:2" x14ac:dyDescent="0.25">
      <c r="A3542" s="67"/>
      <c r="B3542" s="67"/>
    </row>
    <row r="3543" spans="1:2" x14ac:dyDescent="0.25">
      <c r="A3543" s="67"/>
      <c r="B3543" s="67"/>
    </row>
    <row r="3544" spans="1:2" x14ac:dyDescent="0.25">
      <c r="A3544" s="67"/>
      <c r="B3544" s="67"/>
    </row>
    <row r="3545" spans="1:2" x14ac:dyDescent="0.25">
      <c r="A3545" s="67"/>
      <c r="B3545" s="67"/>
    </row>
    <row r="3546" spans="1:2" x14ac:dyDescent="0.25">
      <c r="A3546" s="67"/>
      <c r="B3546" s="67"/>
    </row>
    <row r="3547" spans="1:2" x14ac:dyDescent="0.25">
      <c r="A3547" s="67"/>
      <c r="B3547" s="67"/>
    </row>
    <row r="3548" spans="1:2" x14ac:dyDescent="0.25">
      <c r="A3548" s="67"/>
      <c r="B3548" s="67"/>
    </row>
    <row r="3549" spans="1:2" x14ac:dyDescent="0.25">
      <c r="A3549" s="67"/>
      <c r="B3549" s="67"/>
    </row>
    <row r="3550" spans="1:2" x14ac:dyDescent="0.25">
      <c r="A3550" s="67"/>
      <c r="B3550" s="67"/>
    </row>
    <row r="3551" spans="1:2" x14ac:dyDescent="0.25">
      <c r="A3551" s="67"/>
      <c r="B3551" s="67"/>
    </row>
    <row r="3552" spans="1:2" x14ac:dyDescent="0.25">
      <c r="A3552" s="67"/>
      <c r="B3552" s="67"/>
    </row>
    <row r="3553" spans="1:2" x14ac:dyDescent="0.25">
      <c r="A3553" s="67"/>
      <c r="B3553" s="67"/>
    </row>
    <row r="3554" spans="1:2" x14ac:dyDescent="0.25">
      <c r="A3554" s="67"/>
      <c r="B3554" s="67"/>
    </row>
    <row r="3555" spans="1:2" x14ac:dyDescent="0.25">
      <c r="A3555" s="67"/>
      <c r="B3555" s="67"/>
    </row>
    <row r="3556" spans="1:2" x14ac:dyDescent="0.25">
      <c r="A3556" s="67"/>
      <c r="B3556" s="67"/>
    </row>
    <row r="3557" spans="1:2" x14ac:dyDescent="0.25">
      <c r="A3557" s="67"/>
      <c r="B3557" s="67"/>
    </row>
    <row r="3558" spans="1:2" x14ac:dyDescent="0.25">
      <c r="A3558" s="67"/>
      <c r="B3558" s="67"/>
    </row>
    <row r="3559" spans="1:2" x14ac:dyDescent="0.25">
      <c r="A3559" s="67"/>
      <c r="B3559" s="67"/>
    </row>
    <row r="3560" spans="1:2" x14ac:dyDescent="0.25">
      <c r="A3560" s="67"/>
      <c r="B3560" s="67"/>
    </row>
    <row r="3561" spans="1:2" x14ac:dyDescent="0.25">
      <c r="A3561" s="67"/>
      <c r="B3561" s="67"/>
    </row>
    <row r="3562" spans="1:2" x14ac:dyDescent="0.25">
      <c r="A3562" s="67"/>
      <c r="B3562" s="67"/>
    </row>
    <row r="3563" spans="1:2" x14ac:dyDescent="0.25">
      <c r="A3563" s="67"/>
      <c r="B3563" s="67"/>
    </row>
    <row r="3564" spans="1:2" x14ac:dyDescent="0.25">
      <c r="A3564" s="67"/>
      <c r="B3564" s="67"/>
    </row>
    <row r="3565" spans="1:2" x14ac:dyDescent="0.25">
      <c r="A3565" s="67"/>
      <c r="B3565" s="67"/>
    </row>
    <row r="3566" spans="1:2" x14ac:dyDescent="0.25">
      <c r="A3566" s="67"/>
      <c r="B3566" s="67"/>
    </row>
    <row r="3567" spans="1:2" x14ac:dyDescent="0.25">
      <c r="A3567" s="67"/>
      <c r="B3567" s="67"/>
    </row>
    <row r="3568" spans="1:2" x14ac:dyDescent="0.25">
      <c r="A3568" s="67"/>
      <c r="B3568" s="67"/>
    </row>
    <row r="3569" spans="1:2" x14ac:dyDescent="0.25">
      <c r="A3569" s="67"/>
      <c r="B3569" s="67"/>
    </row>
    <row r="3570" spans="1:2" x14ac:dyDescent="0.25">
      <c r="A3570" s="67"/>
      <c r="B3570" s="67"/>
    </row>
    <row r="3571" spans="1:2" x14ac:dyDescent="0.25">
      <c r="A3571" s="67"/>
      <c r="B3571" s="67"/>
    </row>
    <row r="3572" spans="1:2" x14ac:dyDescent="0.25">
      <c r="A3572" s="67"/>
      <c r="B3572" s="67"/>
    </row>
    <row r="3573" spans="1:2" x14ac:dyDescent="0.25">
      <c r="A3573" s="67"/>
      <c r="B3573" s="67"/>
    </row>
    <row r="3574" spans="1:2" x14ac:dyDescent="0.25">
      <c r="A3574" s="67"/>
      <c r="B3574" s="67"/>
    </row>
    <row r="3575" spans="1:2" x14ac:dyDescent="0.25">
      <c r="A3575" s="67"/>
      <c r="B3575" s="67"/>
    </row>
    <row r="3576" spans="1:2" x14ac:dyDescent="0.25">
      <c r="A3576" s="67"/>
      <c r="B3576" s="67"/>
    </row>
    <row r="3577" spans="1:2" x14ac:dyDescent="0.25">
      <c r="A3577" s="67"/>
      <c r="B3577" s="67"/>
    </row>
    <row r="3578" spans="1:2" x14ac:dyDescent="0.25">
      <c r="A3578" s="67"/>
      <c r="B3578" s="67"/>
    </row>
    <row r="3579" spans="1:2" x14ac:dyDescent="0.25">
      <c r="A3579" s="67"/>
      <c r="B3579" s="67"/>
    </row>
    <row r="3580" spans="1:2" x14ac:dyDescent="0.25">
      <c r="A3580" s="67"/>
      <c r="B3580" s="67"/>
    </row>
    <row r="3581" spans="1:2" x14ac:dyDescent="0.25">
      <c r="A3581" s="67"/>
      <c r="B3581" s="67"/>
    </row>
    <row r="3582" spans="1:2" x14ac:dyDescent="0.25">
      <c r="A3582" s="67"/>
      <c r="B3582" s="67"/>
    </row>
    <row r="3583" spans="1:2" x14ac:dyDescent="0.25">
      <c r="A3583" s="67"/>
      <c r="B3583" s="67"/>
    </row>
    <row r="3584" spans="1:2" x14ac:dyDescent="0.25">
      <c r="A3584" s="67"/>
      <c r="B3584" s="67"/>
    </row>
    <row r="3585" spans="1:2" x14ac:dyDescent="0.25">
      <c r="A3585" s="67"/>
      <c r="B3585" s="67"/>
    </row>
    <row r="3586" spans="1:2" x14ac:dyDescent="0.25">
      <c r="A3586" s="67"/>
      <c r="B3586" s="67"/>
    </row>
    <row r="3587" spans="1:2" x14ac:dyDescent="0.25">
      <c r="A3587" s="67"/>
      <c r="B3587" s="67"/>
    </row>
    <row r="3588" spans="1:2" x14ac:dyDescent="0.25">
      <c r="A3588" s="67"/>
      <c r="B3588" s="67"/>
    </row>
    <row r="3589" spans="1:2" x14ac:dyDescent="0.25">
      <c r="A3589" s="67"/>
      <c r="B3589" s="67"/>
    </row>
    <row r="3590" spans="1:2" x14ac:dyDescent="0.25">
      <c r="A3590" s="67"/>
      <c r="B3590" s="67"/>
    </row>
    <row r="3591" spans="1:2" x14ac:dyDescent="0.25">
      <c r="A3591" s="67"/>
      <c r="B3591" s="67"/>
    </row>
    <row r="3592" spans="1:2" x14ac:dyDescent="0.25">
      <c r="A3592" s="67"/>
      <c r="B3592" s="67"/>
    </row>
    <row r="3593" spans="1:2" x14ac:dyDescent="0.25">
      <c r="A3593" s="67"/>
      <c r="B3593" s="67"/>
    </row>
    <row r="3594" spans="1:2" x14ac:dyDescent="0.25">
      <c r="A3594" s="67"/>
      <c r="B3594" s="67"/>
    </row>
    <row r="3595" spans="1:2" x14ac:dyDescent="0.25">
      <c r="A3595" s="67"/>
      <c r="B3595" s="67"/>
    </row>
    <row r="3596" spans="1:2" x14ac:dyDescent="0.25">
      <c r="A3596" s="67"/>
      <c r="B3596" s="67"/>
    </row>
    <row r="3597" spans="1:2" x14ac:dyDescent="0.25">
      <c r="A3597" s="67"/>
      <c r="B3597" s="67"/>
    </row>
    <row r="3598" spans="1:2" x14ac:dyDescent="0.25">
      <c r="A3598" s="67"/>
      <c r="B3598" s="67"/>
    </row>
    <row r="3599" spans="1:2" x14ac:dyDescent="0.25">
      <c r="A3599" s="67"/>
      <c r="B3599" s="67"/>
    </row>
    <row r="3600" spans="1:2" x14ac:dyDescent="0.25">
      <c r="A3600" s="67"/>
      <c r="B3600" s="67"/>
    </row>
    <row r="3601" spans="1:2" x14ac:dyDescent="0.25">
      <c r="A3601" s="67"/>
      <c r="B3601" s="67"/>
    </row>
    <row r="3602" spans="1:2" x14ac:dyDescent="0.25">
      <c r="A3602" s="67"/>
      <c r="B3602" s="67"/>
    </row>
    <row r="3603" spans="1:2" x14ac:dyDescent="0.25">
      <c r="A3603" s="67"/>
      <c r="B3603" s="67"/>
    </row>
    <row r="3604" spans="1:2" x14ac:dyDescent="0.25">
      <c r="A3604" s="67"/>
      <c r="B3604" s="67"/>
    </row>
    <row r="3605" spans="1:2" x14ac:dyDescent="0.25">
      <c r="A3605" s="67"/>
      <c r="B3605" s="67"/>
    </row>
    <row r="3606" spans="1:2" x14ac:dyDescent="0.25">
      <c r="A3606" s="67"/>
      <c r="B3606" s="67"/>
    </row>
    <row r="3607" spans="1:2" x14ac:dyDescent="0.25">
      <c r="A3607" s="67"/>
      <c r="B3607" s="67"/>
    </row>
    <row r="3608" spans="1:2" x14ac:dyDescent="0.25">
      <c r="A3608" s="67"/>
      <c r="B3608" s="67"/>
    </row>
    <row r="3609" spans="1:2" x14ac:dyDescent="0.25">
      <c r="A3609" s="67"/>
      <c r="B3609" s="67"/>
    </row>
    <row r="3610" spans="1:2" x14ac:dyDescent="0.25">
      <c r="A3610" s="67"/>
      <c r="B3610" s="67"/>
    </row>
    <row r="3611" spans="1:2" x14ac:dyDescent="0.25">
      <c r="A3611" s="67"/>
      <c r="B3611" s="67"/>
    </row>
    <row r="3612" spans="1:2" x14ac:dyDescent="0.25">
      <c r="A3612" s="67"/>
      <c r="B3612" s="67"/>
    </row>
    <row r="3613" spans="1:2" x14ac:dyDescent="0.25">
      <c r="A3613" s="67"/>
      <c r="B3613" s="67"/>
    </row>
    <row r="3614" spans="1:2" x14ac:dyDescent="0.25">
      <c r="A3614" s="67"/>
      <c r="B3614" s="67"/>
    </row>
    <row r="3615" spans="1:2" x14ac:dyDescent="0.25">
      <c r="A3615" s="67"/>
      <c r="B3615" s="67"/>
    </row>
    <row r="3616" spans="1:2" x14ac:dyDescent="0.25">
      <c r="A3616" s="67"/>
      <c r="B3616" s="67"/>
    </row>
    <row r="3617" spans="1:2" x14ac:dyDescent="0.25">
      <c r="A3617" s="67"/>
      <c r="B3617" s="67"/>
    </row>
    <row r="3618" spans="1:2" x14ac:dyDescent="0.25">
      <c r="A3618" s="67"/>
      <c r="B3618" s="67"/>
    </row>
    <row r="3619" spans="1:2" x14ac:dyDescent="0.25">
      <c r="A3619" s="67"/>
      <c r="B3619" s="67"/>
    </row>
    <row r="3620" spans="1:2" x14ac:dyDescent="0.25">
      <c r="A3620" s="67"/>
      <c r="B3620" s="67"/>
    </row>
    <row r="3621" spans="1:2" x14ac:dyDescent="0.25">
      <c r="A3621" s="67"/>
      <c r="B3621" s="67"/>
    </row>
    <row r="3622" spans="1:2" x14ac:dyDescent="0.25">
      <c r="A3622" s="67"/>
      <c r="B3622" s="67"/>
    </row>
    <row r="3623" spans="1:2" x14ac:dyDescent="0.25">
      <c r="A3623" s="67"/>
      <c r="B3623" s="67"/>
    </row>
    <row r="3624" spans="1:2" x14ac:dyDescent="0.25">
      <c r="A3624" s="67"/>
      <c r="B3624" s="67"/>
    </row>
    <row r="3625" spans="1:2" x14ac:dyDescent="0.25">
      <c r="A3625" s="67"/>
      <c r="B3625" s="67"/>
    </row>
    <row r="3626" spans="1:2" x14ac:dyDescent="0.25">
      <c r="A3626" s="67"/>
      <c r="B3626" s="67"/>
    </row>
    <row r="3627" spans="1:2" x14ac:dyDescent="0.25">
      <c r="A3627" s="67"/>
      <c r="B3627" s="67"/>
    </row>
    <row r="3628" spans="1:2" x14ac:dyDescent="0.25">
      <c r="A3628" s="67"/>
      <c r="B3628" s="67"/>
    </row>
    <row r="3629" spans="1:2" x14ac:dyDescent="0.25">
      <c r="A3629" s="67"/>
      <c r="B3629" s="67"/>
    </row>
    <row r="3630" spans="1:2" x14ac:dyDescent="0.25">
      <c r="A3630" s="67"/>
      <c r="B3630" s="67"/>
    </row>
    <row r="3631" spans="1:2" x14ac:dyDescent="0.25">
      <c r="A3631" s="67"/>
      <c r="B3631" s="67"/>
    </row>
    <row r="3632" spans="1:2" x14ac:dyDescent="0.25">
      <c r="A3632" s="67"/>
      <c r="B3632" s="67"/>
    </row>
    <row r="3633" spans="1:2" x14ac:dyDescent="0.25">
      <c r="A3633" s="67"/>
      <c r="B3633" s="67"/>
    </row>
    <row r="3634" spans="1:2" x14ac:dyDescent="0.25">
      <c r="A3634" s="67"/>
      <c r="B3634" s="67"/>
    </row>
    <row r="3635" spans="1:2" x14ac:dyDescent="0.25">
      <c r="A3635" s="67"/>
      <c r="B3635" s="67"/>
    </row>
    <row r="3636" spans="1:2" x14ac:dyDescent="0.25">
      <c r="A3636" s="67"/>
      <c r="B3636" s="67"/>
    </row>
    <row r="3637" spans="1:2" x14ac:dyDescent="0.25">
      <c r="A3637" s="67"/>
      <c r="B3637" s="67"/>
    </row>
    <row r="3638" spans="1:2" x14ac:dyDescent="0.25">
      <c r="A3638" s="67"/>
      <c r="B3638" s="67"/>
    </row>
    <row r="3639" spans="1:2" x14ac:dyDescent="0.25">
      <c r="A3639" s="67"/>
      <c r="B3639" s="67"/>
    </row>
    <row r="3640" spans="1:2" x14ac:dyDescent="0.25">
      <c r="A3640" s="67"/>
      <c r="B3640" s="67"/>
    </row>
    <row r="3641" spans="1:2" x14ac:dyDescent="0.25">
      <c r="A3641" s="67"/>
      <c r="B3641" s="67"/>
    </row>
    <row r="3642" spans="1:2" x14ac:dyDescent="0.25">
      <c r="A3642" s="67"/>
      <c r="B3642" s="67"/>
    </row>
    <row r="3643" spans="1:2" x14ac:dyDescent="0.25">
      <c r="A3643" s="67"/>
      <c r="B3643" s="67"/>
    </row>
    <row r="3644" spans="1:2" x14ac:dyDescent="0.25">
      <c r="A3644" s="67"/>
      <c r="B3644" s="67"/>
    </row>
    <row r="3645" spans="1:2" x14ac:dyDescent="0.25">
      <c r="A3645" s="67"/>
      <c r="B3645" s="67"/>
    </row>
    <row r="3646" spans="1:2" x14ac:dyDescent="0.25">
      <c r="A3646" s="67"/>
      <c r="B3646" s="67"/>
    </row>
    <row r="3647" spans="1:2" x14ac:dyDescent="0.25">
      <c r="A3647" s="67"/>
      <c r="B3647" s="67"/>
    </row>
    <row r="3648" spans="1:2" x14ac:dyDescent="0.25">
      <c r="A3648" s="67"/>
      <c r="B3648" s="67"/>
    </row>
    <row r="3649" spans="1:2" x14ac:dyDescent="0.25">
      <c r="A3649" s="67"/>
      <c r="B3649" s="67"/>
    </row>
    <row r="3650" spans="1:2" x14ac:dyDescent="0.25">
      <c r="A3650" s="67"/>
      <c r="B3650" s="67"/>
    </row>
    <row r="3651" spans="1:2" x14ac:dyDescent="0.25">
      <c r="A3651" s="67"/>
      <c r="B3651" s="67"/>
    </row>
    <row r="3652" spans="1:2" x14ac:dyDescent="0.25">
      <c r="A3652" s="67"/>
      <c r="B3652" s="67"/>
    </row>
    <row r="3653" spans="1:2" x14ac:dyDescent="0.25">
      <c r="A3653" s="67"/>
      <c r="B3653" s="67"/>
    </row>
    <row r="3654" spans="1:2" x14ac:dyDescent="0.25">
      <c r="A3654" s="67"/>
      <c r="B3654" s="67"/>
    </row>
    <row r="3655" spans="1:2" x14ac:dyDescent="0.25">
      <c r="A3655" s="67"/>
      <c r="B3655" s="67"/>
    </row>
    <row r="3656" spans="1:2" x14ac:dyDescent="0.25">
      <c r="A3656" s="67"/>
      <c r="B3656" s="67"/>
    </row>
    <row r="3657" spans="1:2" x14ac:dyDescent="0.25">
      <c r="A3657" s="67"/>
      <c r="B3657" s="67"/>
    </row>
    <row r="3658" spans="1:2" x14ac:dyDescent="0.25">
      <c r="A3658" s="67"/>
      <c r="B3658" s="67"/>
    </row>
    <row r="3659" spans="1:2" x14ac:dyDescent="0.25">
      <c r="A3659" s="67"/>
      <c r="B3659" s="67"/>
    </row>
    <row r="3660" spans="1:2" x14ac:dyDescent="0.25">
      <c r="A3660" s="67"/>
      <c r="B3660" s="67"/>
    </row>
    <row r="3661" spans="1:2" x14ac:dyDescent="0.25">
      <c r="A3661" s="67"/>
      <c r="B3661" s="67"/>
    </row>
    <row r="3662" spans="1:2" x14ac:dyDescent="0.25">
      <c r="A3662" s="67"/>
      <c r="B3662" s="67"/>
    </row>
    <row r="3663" spans="1:2" x14ac:dyDescent="0.25">
      <c r="A3663" s="67"/>
      <c r="B3663" s="67"/>
    </row>
    <row r="3664" spans="1:2" x14ac:dyDescent="0.25">
      <c r="A3664" s="67"/>
      <c r="B3664" s="67"/>
    </row>
    <row r="3665" spans="1:2" x14ac:dyDescent="0.25">
      <c r="A3665" s="67"/>
      <c r="B3665" s="67"/>
    </row>
    <row r="3666" spans="1:2" x14ac:dyDescent="0.25">
      <c r="A3666" s="67"/>
      <c r="B3666" s="67"/>
    </row>
    <row r="3667" spans="1:2" x14ac:dyDescent="0.25">
      <c r="A3667" s="67"/>
      <c r="B3667" s="67"/>
    </row>
    <row r="3668" spans="1:2" x14ac:dyDescent="0.25">
      <c r="A3668" s="67"/>
      <c r="B3668" s="67"/>
    </row>
    <row r="3669" spans="1:2" x14ac:dyDescent="0.25">
      <c r="A3669" s="67"/>
      <c r="B3669" s="67"/>
    </row>
    <row r="3670" spans="1:2" x14ac:dyDescent="0.25">
      <c r="A3670" s="67"/>
      <c r="B3670" s="67"/>
    </row>
    <row r="3671" spans="1:2" x14ac:dyDescent="0.25">
      <c r="A3671" s="67"/>
      <c r="B3671" s="67"/>
    </row>
    <row r="3672" spans="1:2" x14ac:dyDescent="0.25">
      <c r="A3672" s="67"/>
      <c r="B3672" s="67"/>
    </row>
    <row r="3673" spans="1:2" x14ac:dyDescent="0.25">
      <c r="A3673" s="67"/>
      <c r="B3673" s="67"/>
    </row>
    <row r="3674" spans="1:2" x14ac:dyDescent="0.25">
      <c r="A3674" s="67"/>
      <c r="B3674" s="67"/>
    </row>
    <row r="3675" spans="1:2" x14ac:dyDescent="0.25">
      <c r="A3675" s="67"/>
      <c r="B3675" s="67"/>
    </row>
    <row r="3676" spans="1:2" x14ac:dyDescent="0.25">
      <c r="A3676" s="67"/>
      <c r="B3676" s="67"/>
    </row>
    <row r="3677" spans="1:2" x14ac:dyDescent="0.25">
      <c r="A3677" s="67"/>
      <c r="B3677" s="67"/>
    </row>
    <row r="3678" spans="1:2" x14ac:dyDescent="0.25">
      <c r="A3678" s="67"/>
      <c r="B3678" s="67"/>
    </row>
    <row r="3679" spans="1:2" x14ac:dyDescent="0.25">
      <c r="A3679" s="67"/>
      <c r="B3679" s="67"/>
    </row>
    <row r="3680" spans="1:2" x14ac:dyDescent="0.25">
      <c r="A3680" s="67"/>
      <c r="B3680" s="67"/>
    </row>
    <row r="3681" spans="1:2" x14ac:dyDescent="0.25">
      <c r="A3681" s="67"/>
      <c r="B3681" s="67"/>
    </row>
    <row r="3682" spans="1:2" x14ac:dyDescent="0.25">
      <c r="A3682" s="67"/>
      <c r="B3682" s="67"/>
    </row>
    <row r="3683" spans="1:2" x14ac:dyDescent="0.25">
      <c r="A3683" s="67"/>
      <c r="B3683" s="67"/>
    </row>
    <row r="3684" spans="1:2" x14ac:dyDescent="0.25">
      <c r="A3684" s="67"/>
      <c r="B3684" s="67"/>
    </row>
    <row r="3685" spans="1:2" x14ac:dyDescent="0.25">
      <c r="A3685" s="67"/>
      <c r="B3685" s="67"/>
    </row>
    <row r="3686" spans="1:2" x14ac:dyDescent="0.25">
      <c r="A3686" s="67"/>
      <c r="B3686" s="67"/>
    </row>
    <row r="3687" spans="1:2" x14ac:dyDescent="0.25">
      <c r="A3687" s="67"/>
      <c r="B3687" s="67"/>
    </row>
    <row r="3688" spans="1:2" x14ac:dyDescent="0.25">
      <c r="A3688" s="67"/>
      <c r="B3688" s="67"/>
    </row>
    <row r="3689" spans="1:2" x14ac:dyDescent="0.25">
      <c r="A3689" s="67"/>
      <c r="B3689" s="67"/>
    </row>
    <row r="3690" spans="1:2" x14ac:dyDescent="0.25">
      <c r="A3690" s="67"/>
      <c r="B3690" s="67"/>
    </row>
    <row r="3691" spans="1:2" x14ac:dyDescent="0.25">
      <c r="A3691" s="67"/>
      <c r="B3691" s="67"/>
    </row>
    <row r="3692" spans="1:2" x14ac:dyDescent="0.25">
      <c r="A3692" s="67"/>
      <c r="B3692" s="67"/>
    </row>
    <row r="3693" spans="1:2" x14ac:dyDescent="0.25">
      <c r="A3693" s="67"/>
      <c r="B3693" s="67"/>
    </row>
    <row r="3694" spans="1:2" x14ac:dyDescent="0.25">
      <c r="A3694" s="67"/>
      <c r="B3694" s="67"/>
    </row>
    <row r="3695" spans="1:2" x14ac:dyDescent="0.25">
      <c r="A3695" s="67"/>
      <c r="B3695" s="67"/>
    </row>
    <row r="3696" spans="1:2" x14ac:dyDescent="0.25">
      <c r="A3696" s="67"/>
      <c r="B3696" s="67"/>
    </row>
    <row r="3697" spans="1:2" x14ac:dyDescent="0.25">
      <c r="A3697" s="67"/>
      <c r="B3697" s="67"/>
    </row>
    <row r="3698" spans="1:2" x14ac:dyDescent="0.25">
      <c r="A3698" s="67"/>
      <c r="B3698" s="67"/>
    </row>
    <row r="3699" spans="1:2" x14ac:dyDescent="0.25">
      <c r="A3699" s="67"/>
      <c r="B3699" s="67"/>
    </row>
    <row r="3700" spans="1:2" x14ac:dyDescent="0.25">
      <c r="A3700" s="67"/>
      <c r="B3700" s="67"/>
    </row>
    <row r="3701" spans="1:2" x14ac:dyDescent="0.25">
      <c r="A3701" s="67"/>
      <c r="B3701" s="67"/>
    </row>
    <row r="3702" spans="1:2" x14ac:dyDescent="0.25">
      <c r="A3702" s="67"/>
      <c r="B3702" s="67"/>
    </row>
    <row r="3703" spans="1:2" x14ac:dyDescent="0.25">
      <c r="A3703" s="67"/>
      <c r="B3703" s="67"/>
    </row>
    <row r="3704" spans="1:2" x14ac:dyDescent="0.25">
      <c r="A3704" s="67"/>
      <c r="B3704" s="67"/>
    </row>
    <row r="3705" spans="1:2" x14ac:dyDescent="0.25">
      <c r="A3705" s="67"/>
      <c r="B3705" s="67"/>
    </row>
    <row r="3706" spans="1:2" x14ac:dyDescent="0.25">
      <c r="A3706" s="67"/>
      <c r="B3706" s="67"/>
    </row>
    <row r="3707" spans="1:2" x14ac:dyDescent="0.25">
      <c r="A3707" s="67"/>
      <c r="B3707" s="67"/>
    </row>
    <row r="3708" spans="1:2" x14ac:dyDescent="0.25">
      <c r="A3708" s="67"/>
      <c r="B3708" s="67"/>
    </row>
    <row r="3709" spans="1:2" x14ac:dyDescent="0.25">
      <c r="A3709" s="67"/>
      <c r="B3709" s="67"/>
    </row>
    <row r="3710" spans="1:2" x14ac:dyDescent="0.25">
      <c r="A3710" s="67"/>
      <c r="B3710" s="67"/>
    </row>
    <row r="3711" spans="1:2" x14ac:dyDescent="0.25">
      <c r="A3711" s="67"/>
      <c r="B3711" s="67"/>
    </row>
    <row r="3712" spans="1:2" x14ac:dyDescent="0.25">
      <c r="A3712" s="67"/>
      <c r="B3712" s="67"/>
    </row>
    <row r="3713" spans="1:2" x14ac:dyDescent="0.25">
      <c r="A3713" s="67"/>
      <c r="B3713" s="67"/>
    </row>
    <row r="3714" spans="1:2" x14ac:dyDescent="0.25">
      <c r="A3714" s="67"/>
      <c r="B3714" s="67"/>
    </row>
    <row r="3715" spans="1:2" x14ac:dyDescent="0.25">
      <c r="A3715" s="67"/>
      <c r="B3715" s="67"/>
    </row>
    <row r="3716" spans="1:2" x14ac:dyDescent="0.25">
      <c r="A3716" s="67"/>
      <c r="B3716" s="67"/>
    </row>
    <row r="3717" spans="1:2" x14ac:dyDescent="0.25">
      <c r="A3717" s="67"/>
      <c r="B3717" s="67"/>
    </row>
    <row r="3718" spans="1:2" x14ac:dyDescent="0.25">
      <c r="A3718" s="67"/>
      <c r="B3718" s="67"/>
    </row>
    <row r="3719" spans="1:2" x14ac:dyDescent="0.25">
      <c r="A3719" s="67"/>
      <c r="B3719" s="67"/>
    </row>
    <row r="3720" spans="1:2" x14ac:dyDescent="0.25">
      <c r="A3720" s="67"/>
      <c r="B3720" s="67"/>
    </row>
    <row r="3721" spans="1:2" x14ac:dyDescent="0.25">
      <c r="A3721" s="67"/>
      <c r="B3721" s="67"/>
    </row>
    <row r="3722" spans="1:2" x14ac:dyDescent="0.25">
      <c r="A3722" s="67"/>
      <c r="B3722" s="67"/>
    </row>
    <row r="3723" spans="1:2" x14ac:dyDescent="0.25">
      <c r="A3723" s="67"/>
      <c r="B3723" s="67"/>
    </row>
    <row r="3724" spans="1:2" x14ac:dyDescent="0.25">
      <c r="A3724" s="67"/>
      <c r="B3724" s="67"/>
    </row>
    <row r="3725" spans="1:2" x14ac:dyDescent="0.25">
      <c r="A3725" s="67"/>
      <c r="B3725" s="67"/>
    </row>
    <row r="3726" spans="1:2" x14ac:dyDescent="0.25">
      <c r="A3726" s="67"/>
      <c r="B3726" s="67"/>
    </row>
    <row r="3727" spans="1:2" x14ac:dyDescent="0.25">
      <c r="A3727" s="67"/>
      <c r="B3727" s="67"/>
    </row>
    <row r="3728" spans="1:2" x14ac:dyDescent="0.25">
      <c r="A3728" s="67"/>
      <c r="B3728" s="67"/>
    </row>
    <row r="3729" spans="1:2" x14ac:dyDescent="0.25">
      <c r="A3729" s="67"/>
      <c r="B3729" s="67"/>
    </row>
    <row r="3730" spans="1:2" x14ac:dyDescent="0.25">
      <c r="A3730" s="67"/>
      <c r="B3730" s="67"/>
    </row>
    <row r="3731" spans="1:2" x14ac:dyDescent="0.25">
      <c r="A3731" s="67"/>
      <c r="B3731" s="67"/>
    </row>
    <row r="3732" spans="1:2" x14ac:dyDescent="0.25">
      <c r="A3732" s="67"/>
      <c r="B3732" s="67"/>
    </row>
    <row r="3733" spans="1:2" x14ac:dyDescent="0.25">
      <c r="A3733" s="67"/>
      <c r="B3733" s="67"/>
    </row>
    <row r="3734" spans="1:2" x14ac:dyDescent="0.25">
      <c r="A3734" s="67"/>
      <c r="B3734" s="67"/>
    </row>
    <row r="3735" spans="1:2" x14ac:dyDescent="0.25">
      <c r="A3735" s="67"/>
      <c r="B3735" s="67"/>
    </row>
    <row r="3736" spans="1:2" x14ac:dyDescent="0.25">
      <c r="A3736" s="67"/>
      <c r="B3736" s="67"/>
    </row>
    <row r="3737" spans="1:2" x14ac:dyDescent="0.25">
      <c r="A3737" s="67"/>
      <c r="B3737" s="67"/>
    </row>
    <row r="3738" spans="1:2" x14ac:dyDescent="0.25">
      <c r="A3738" s="67"/>
      <c r="B3738" s="67"/>
    </row>
    <row r="3739" spans="1:2" x14ac:dyDescent="0.25">
      <c r="A3739" s="67"/>
      <c r="B3739" s="67"/>
    </row>
    <row r="3740" spans="1:2" x14ac:dyDescent="0.25">
      <c r="A3740" s="67"/>
      <c r="B3740" s="67"/>
    </row>
    <row r="3741" spans="1:2" x14ac:dyDescent="0.25">
      <c r="A3741" s="67"/>
      <c r="B3741" s="67"/>
    </row>
    <row r="3742" spans="1:2" x14ac:dyDescent="0.25">
      <c r="A3742" s="67"/>
      <c r="B3742" s="67"/>
    </row>
    <row r="3743" spans="1:2" x14ac:dyDescent="0.25">
      <c r="A3743" s="67"/>
      <c r="B3743" s="67"/>
    </row>
    <row r="3744" spans="1:2" x14ac:dyDescent="0.25">
      <c r="A3744" s="67"/>
      <c r="B3744" s="67"/>
    </row>
    <row r="3745" spans="1:2" x14ac:dyDescent="0.25">
      <c r="A3745" s="67"/>
      <c r="B3745" s="67"/>
    </row>
    <row r="3746" spans="1:2" x14ac:dyDescent="0.25">
      <c r="A3746" s="67"/>
      <c r="B3746" s="67"/>
    </row>
    <row r="3747" spans="1:2" x14ac:dyDescent="0.25">
      <c r="A3747" s="67"/>
      <c r="B3747" s="67"/>
    </row>
    <row r="3748" spans="1:2" x14ac:dyDescent="0.25">
      <c r="A3748" s="67"/>
      <c r="B3748" s="67"/>
    </row>
    <row r="3749" spans="1:2" x14ac:dyDescent="0.25">
      <c r="A3749" s="67"/>
      <c r="B3749" s="67"/>
    </row>
    <row r="3750" spans="1:2" x14ac:dyDescent="0.25">
      <c r="A3750" s="67"/>
      <c r="B3750" s="67"/>
    </row>
    <row r="3751" spans="1:2" x14ac:dyDescent="0.25">
      <c r="A3751" s="67"/>
      <c r="B3751" s="67"/>
    </row>
    <row r="3752" spans="1:2" x14ac:dyDescent="0.25">
      <c r="A3752" s="67"/>
      <c r="B3752" s="67"/>
    </row>
    <row r="3753" spans="1:2" x14ac:dyDescent="0.25">
      <c r="A3753" s="67"/>
      <c r="B3753" s="67"/>
    </row>
    <row r="3754" spans="1:2" x14ac:dyDescent="0.25">
      <c r="A3754" s="67"/>
      <c r="B3754" s="67"/>
    </row>
    <row r="3755" spans="1:2" x14ac:dyDescent="0.25">
      <c r="A3755" s="67"/>
      <c r="B3755" s="67"/>
    </row>
    <row r="3756" spans="1:2" x14ac:dyDescent="0.25">
      <c r="A3756" s="67"/>
      <c r="B3756" s="67"/>
    </row>
    <row r="3757" spans="1:2" x14ac:dyDescent="0.25">
      <c r="A3757" s="67"/>
      <c r="B3757" s="67"/>
    </row>
    <row r="3758" spans="1:2" x14ac:dyDescent="0.25">
      <c r="A3758" s="67"/>
      <c r="B3758" s="67"/>
    </row>
    <row r="3759" spans="1:2" x14ac:dyDescent="0.25">
      <c r="A3759" s="67"/>
      <c r="B3759" s="67"/>
    </row>
    <row r="3760" spans="1:2" x14ac:dyDescent="0.25">
      <c r="A3760" s="67"/>
      <c r="B3760" s="67"/>
    </row>
    <row r="3761" spans="1:2" x14ac:dyDescent="0.25">
      <c r="A3761" s="67"/>
      <c r="B3761" s="67"/>
    </row>
    <row r="3762" spans="1:2" x14ac:dyDescent="0.25">
      <c r="A3762" s="67"/>
      <c r="B3762" s="67"/>
    </row>
    <row r="3763" spans="1:2" x14ac:dyDescent="0.25">
      <c r="A3763" s="67"/>
      <c r="B3763" s="67"/>
    </row>
    <row r="3764" spans="1:2" x14ac:dyDescent="0.25">
      <c r="A3764" s="67"/>
      <c r="B3764" s="67"/>
    </row>
    <row r="3765" spans="1:2" x14ac:dyDescent="0.25">
      <c r="A3765" s="67"/>
      <c r="B3765" s="67"/>
    </row>
    <row r="3766" spans="1:2" x14ac:dyDescent="0.25">
      <c r="A3766" s="67"/>
      <c r="B3766" s="67"/>
    </row>
    <row r="3767" spans="1:2" x14ac:dyDescent="0.25">
      <c r="A3767" s="67"/>
      <c r="B3767" s="67"/>
    </row>
    <row r="3768" spans="1:2" x14ac:dyDescent="0.25">
      <c r="A3768" s="67"/>
      <c r="B3768" s="67"/>
    </row>
    <row r="3769" spans="1:2" x14ac:dyDescent="0.25">
      <c r="A3769" s="67"/>
      <c r="B3769" s="67"/>
    </row>
    <row r="3770" spans="1:2" x14ac:dyDescent="0.25">
      <c r="A3770" s="67"/>
      <c r="B3770" s="67"/>
    </row>
    <row r="3771" spans="1:2" x14ac:dyDescent="0.25">
      <c r="A3771" s="67"/>
      <c r="B3771" s="67"/>
    </row>
    <row r="3772" spans="1:2" x14ac:dyDescent="0.25">
      <c r="A3772" s="67"/>
      <c r="B3772" s="67"/>
    </row>
    <row r="3773" spans="1:2" x14ac:dyDescent="0.25">
      <c r="A3773" s="67"/>
      <c r="B3773" s="67"/>
    </row>
    <row r="3774" spans="1:2" x14ac:dyDescent="0.25">
      <c r="A3774" s="67"/>
      <c r="B3774" s="67"/>
    </row>
    <row r="3775" spans="1:2" x14ac:dyDescent="0.25">
      <c r="A3775" s="67"/>
      <c r="B3775" s="67"/>
    </row>
    <row r="3776" spans="1:2" x14ac:dyDescent="0.25">
      <c r="A3776" s="67"/>
      <c r="B3776" s="67"/>
    </row>
    <row r="3777" spans="1:2" x14ac:dyDescent="0.25">
      <c r="A3777" s="67"/>
      <c r="B3777" s="67"/>
    </row>
    <row r="3778" spans="1:2" x14ac:dyDescent="0.25">
      <c r="A3778" s="67"/>
      <c r="B3778" s="67"/>
    </row>
    <row r="3779" spans="1:2" x14ac:dyDescent="0.25">
      <c r="A3779" s="67"/>
      <c r="B3779" s="67"/>
    </row>
    <row r="3780" spans="1:2" x14ac:dyDescent="0.25">
      <c r="A3780" s="67"/>
      <c r="B3780" s="67"/>
    </row>
    <row r="3781" spans="1:2" x14ac:dyDescent="0.25">
      <c r="A3781" s="67"/>
      <c r="B3781" s="67"/>
    </row>
    <row r="3782" spans="1:2" x14ac:dyDescent="0.25">
      <c r="A3782" s="67"/>
      <c r="B3782" s="67"/>
    </row>
    <row r="3783" spans="1:2" x14ac:dyDescent="0.25">
      <c r="A3783" s="67"/>
      <c r="B3783" s="67"/>
    </row>
    <row r="3784" spans="1:2" x14ac:dyDescent="0.25">
      <c r="A3784" s="67"/>
      <c r="B3784" s="67"/>
    </row>
    <row r="3785" spans="1:2" x14ac:dyDescent="0.25">
      <c r="A3785" s="67"/>
      <c r="B3785" s="67"/>
    </row>
    <row r="3786" spans="1:2" x14ac:dyDescent="0.25">
      <c r="A3786" s="67"/>
      <c r="B3786" s="67"/>
    </row>
    <row r="3787" spans="1:2" x14ac:dyDescent="0.25">
      <c r="A3787" s="67"/>
      <c r="B3787" s="67"/>
    </row>
    <row r="3788" spans="1:2" x14ac:dyDescent="0.25">
      <c r="A3788" s="67"/>
      <c r="B3788" s="67"/>
    </row>
    <row r="3789" spans="1:2" x14ac:dyDescent="0.25">
      <c r="A3789" s="67"/>
      <c r="B3789" s="67"/>
    </row>
    <row r="3790" spans="1:2" x14ac:dyDescent="0.25">
      <c r="A3790" s="67"/>
      <c r="B3790" s="67"/>
    </row>
    <row r="3791" spans="1:2" x14ac:dyDescent="0.25">
      <c r="A3791" s="67"/>
      <c r="B3791" s="67"/>
    </row>
    <row r="3792" spans="1:2" x14ac:dyDescent="0.25">
      <c r="A3792" s="67"/>
      <c r="B3792" s="67"/>
    </row>
    <row r="3793" spans="1:2" x14ac:dyDescent="0.25">
      <c r="A3793" s="67"/>
      <c r="B3793" s="67"/>
    </row>
    <row r="3794" spans="1:2" x14ac:dyDescent="0.25">
      <c r="A3794" s="67"/>
      <c r="B3794" s="67"/>
    </row>
    <row r="3795" spans="1:2" x14ac:dyDescent="0.25">
      <c r="A3795" s="67"/>
      <c r="B3795" s="67"/>
    </row>
    <row r="3796" spans="1:2" x14ac:dyDescent="0.25">
      <c r="A3796" s="67"/>
      <c r="B3796" s="67"/>
    </row>
    <row r="3797" spans="1:2" x14ac:dyDescent="0.25">
      <c r="A3797" s="67"/>
      <c r="B3797" s="67"/>
    </row>
    <row r="3798" spans="1:2" x14ac:dyDescent="0.25">
      <c r="A3798" s="67"/>
      <c r="B3798" s="67"/>
    </row>
    <row r="3799" spans="1:2" x14ac:dyDescent="0.25">
      <c r="A3799" s="67"/>
      <c r="B3799" s="67"/>
    </row>
    <row r="3800" spans="1:2" x14ac:dyDescent="0.25">
      <c r="A3800" s="67"/>
      <c r="B3800" s="67"/>
    </row>
    <row r="3801" spans="1:2" x14ac:dyDescent="0.25">
      <c r="A3801" s="67"/>
      <c r="B3801" s="67"/>
    </row>
    <row r="3802" spans="1:2" x14ac:dyDescent="0.25">
      <c r="A3802" s="67"/>
      <c r="B3802" s="67"/>
    </row>
    <row r="3803" spans="1:2" x14ac:dyDescent="0.25">
      <c r="A3803" s="67"/>
      <c r="B3803" s="67"/>
    </row>
    <row r="3804" spans="1:2" x14ac:dyDescent="0.25">
      <c r="A3804" s="67"/>
      <c r="B3804" s="67"/>
    </row>
    <row r="3805" spans="1:2" x14ac:dyDescent="0.25">
      <c r="A3805" s="67"/>
      <c r="B3805" s="67"/>
    </row>
    <row r="3806" spans="1:2" x14ac:dyDescent="0.25">
      <c r="A3806" s="67"/>
      <c r="B3806" s="67"/>
    </row>
    <row r="3807" spans="1:2" x14ac:dyDescent="0.25">
      <c r="A3807" s="67"/>
      <c r="B3807" s="67"/>
    </row>
    <row r="3808" spans="1:2" x14ac:dyDescent="0.25">
      <c r="A3808" s="67"/>
      <c r="B3808" s="67"/>
    </row>
    <row r="3809" spans="1:2" x14ac:dyDescent="0.25">
      <c r="A3809" s="67"/>
      <c r="B3809" s="67"/>
    </row>
    <row r="3810" spans="1:2" x14ac:dyDescent="0.25">
      <c r="A3810" s="67"/>
      <c r="B3810" s="67"/>
    </row>
    <row r="3811" spans="1:2" x14ac:dyDescent="0.25">
      <c r="A3811" s="67"/>
      <c r="B3811" s="67"/>
    </row>
    <row r="3812" spans="1:2" x14ac:dyDescent="0.25">
      <c r="A3812" s="67"/>
      <c r="B3812" s="67"/>
    </row>
    <row r="3813" spans="1:2" x14ac:dyDescent="0.25">
      <c r="A3813" s="67"/>
      <c r="B3813" s="67"/>
    </row>
    <row r="3814" spans="1:2" x14ac:dyDescent="0.25">
      <c r="A3814" s="67"/>
      <c r="B3814" s="67"/>
    </row>
    <row r="3815" spans="1:2" x14ac:dyDescent="0.25">
      <c r="A3815" s="67"/>
      <c r="B3815" s="67"/>
    </row>
    <row r="3816" spans="1:2" x14ac:dyDescent="0.25">
      <c r="A3816" s="67"/>
      <c r="B3816" s="67"/>
    </row>
    <row r="3817" spans="1:2" x14ac:dyDescent="0.25">
      <c r="A3817" s="67"/>
      <c r="B3817" s="67"/>
    </row>
    <row r="3818" spans="1:2" x14ac:dyDescent="0.25">
      <c r="A3818" s="67"/>
      <c r="B3818" s="67"/>
    </row>
    <row r="3819" spans="1:2" x14ac:dyDescent="0.25">
      <c r="A3819" s="67"/>
      <c r="B3819" s="67"/>
    </row>
    <row r="3820" spans="1:2" x14ac:dyDescent="0.25">
      <c r="A3820" s="67"/>
      <c r="B3820" s="67"/>
    </row>
    <row r="3821" spans="1:2" x14ac:dyDescent="0.25">
      <c r="A3821" s="67"/>
      <c r="B3821" s="67"/>
    </row>
    <row r="3822" spans="1:2" x14ac:dyDescent="0.25">
      <c r="A3822" s="67"/>
      <c r="B3822" s="67"/>
    </row>
    <row r="3823" spans="1:2" x14ac:dyDescent="0.25">
      <c r="A3823" s="67"/>
      <c r="B3823" s="67"/>
    </row>
    <row r="3824" spans="1:2" x14ac:dyDescent="0.25">
      <c r="A3824" s="67"/>
      <c r="B3824" s="67"/>
    </row>
    <row r="3825" spans="1:2" x14ac:dyDescent="0.25">
      <c r="A3825" s="67"/>
      <c r="B3825" s="67"/>
    </row>
    <row r="3826" spans="1:2" x14ac:dyDescent="0.25">
      <c r="A3826" s="67"/>
      <c r="B3826" s="67"/>
    </row>
    <row r="3827" spans="1:2" x14ac:dyDescent="0.25">
      <c r="A3827" s="67"/>
      <c r="B3827" s="67"/>
    </row>
    <row r="3828" spans="1:2" x14ac:dyDescent="0.25">
      <c r="A3828" s="67"/>
      <c r="B3828" s="67"/>
    </row>
    <row r="3829" spans="1:2" x14ac:dyDescent="0.25">
      <c r="A3829" s="67"/>
      <c r="B3829" s="67"/>
    </row>
    <row r="3830" spans="1:2" x14ac:dyDescent="0.25">
      <c r="A3830" s="67"/>
      <c r="B3830" s="67"/>
    </row>
    <row r="3831" spans="1:2" x14ac:dyDescent="0.25">
      <c r="A3831" s="67"/>
      <c r="B3831" s="67"/>
    </row>
    <row r="3832" spans="1:2" x14ac:dyDescent="0.25">
      <c r="A3832" s="67"/>
      <c r="B3832" s="67"/>
    </row>
    <row r="3833" spans="1:2" x14ac:dyDescent="0.25">
      <c r="A3833" s="67"/>
      <c r="B3833" s="67"/>
    </row>
    <row r="3834" spans="1:2" x14ac:dyDescent="0.25">
      <c r="A3834" s="67"/>
      <c r="B3834" s="67"/>
    </row>
    <row r="3835" spans="1:2" x14ac:dyDescent="0.25">
      <c r="A3835" s="67"/>
      <c r="B3835" s="67"/>
    </row>
    <row r="3836" spans="1:2" x14ac:dyDescent="0.25">
      <c r="A3836" s="67"/>
      <c r="B3836" s="67"/>
    </row>
    <row r="3837" spans="1:2" x14ac:dyDescent="0.25">
      <c r="A3837" s="67"/>
      <c r="B3837" s="67"/>
    </row>
    <row r="3838" spans="1:2" x14ac:dyDescent="0.25">
      <c r="A3838" s="67"/>
      <c r="B3838" s="67"/>
    </row>
    <row r="3839" spans="1:2" x14ac:dyDescent="0.25">
      <c r="A3839" s="67"/>
      <c r="B3839" s="67"/>
    </row>
    <row r="3840" spans="1:2" x14ac:dyDescent="0.25">
      <c r="A3840" s="67"/>
      <c r="B3840" s="67"/>
    </row>
    <row r="3841" spans="1:2" x14ac:dyDescent="0.25">
      <c r="A3841" s="67"/>
      <c r="B3841" s="67"/>
    </row>
    <row r="3842" spans="1:2" x14ac:dyDescent="0.25">
      <c r="A3842" s="67"/>
      <c r="B3842" s="67"/>
    </row>
    <row r="3843" spans="1:2" x14ac:dyDescent="0.25">
      <c r="A3843" s="67"/>
      <c r="B3843" s="67"/>
    </row>
    <row r="3844" spans="1:2" x14ac:dyDescent="0.25">
      <c r="A3844" s="67"/>
      <c r="B3844" s="67"/>
    </row>
    <row r="3845" spans="1:2" x14ac:dyDescent="0.25">
      <c r="A3845" s="67"/>
      <c r="B3845" s="67"/>
    </row>
    <row r="3846" spans="1:2" x14ac:dyDescent="0.25">
      <c r="A3846" s="67"/>
      <c r="B3846" s="67"/>
    </row>
    <row r="3847" spans="1:2" x14ac:dyDescent="0.25">
      <c r="A3847" s="67"/>
      <c r="B3847" s="67"/>
    </row>
    <row r="3848" spans="1:2" x14ac:dyDescent="0.25">
      <c r="A3848" s="67"/>
      <c r="B3848" s="67"/>
    </row>
    <row r="3849" spans="1:2" x14ac:dyDescent="0.25">
      <c r="A3849" s="67"/>
      <c r="B3849" s="67"/>
    </row>
    <row r="3850" spans="1:2" x14ac:dyDescent="0.25">
      <c r="A3850" s="67"/>
      <c r="B3850" s="67"/>
    </row>
    <row r="3851" spans="1:2" x14ac:dyDescent="0.25">
      <c r="A3851" s="67"/>
      <c r="B3851" s="67"/>
    </row>
    <row r="3852" spans="1:2" x14ac:dyDescent="0.25">
      <c r="A3852" s="67"/>
      <c r="B3852" s="67"/>
    </row>
    <row r="3853" spans="1:2" x14ac:dyDescent="0.25">
      <c r="A3853" s="67"/>
      <c r="B3853" s="67"/>
    </row>
    <row r="3854" spans="1:2" x14ac:dyDescent="0.25">
      <c r="A3854" s="67"/>
      <c r="B3854" s="67"/>
    </row>
    <row r="3855" spans="1:2" x14ac:dyDescent="0.25">
      <c r="A3855" s="67"/>
      <c r="B3855" s="67"/>
    </row>
    <row r="3856" spans="1:2" x14ac:dyDescent="0.25">
      <c r="A3856" s="67"/>
      <c r="B3856" s="67"/>
    </row>
    <row r="3857" spans="1:2" x14ac:dyDescent="0.25">
      <c r="A3857" s="67"/>
      <c r="B3857" s="67"/>
    </row>
    <row r="3858" spans="1:2" x14ac:dyDescent="0.25">
      <c r="A3858" s="67"/>
      <c r="B3858" s="67"/>
    </row>
    <row r="3859" spans="1:2" x14ac:dyDescent="0.25">
      <c r="A3859" s="67"/>
      <c r="B3859" s="67"/>
    </row>
    <row r="3860" spans="1:2" x14ac:dyDescent="0.25">
      <c r="A3860" s="67"/>
      <c r="B3860" s="67"/>
    </row>
    <row r="3861" spans="1:2" x14ac:dyDescent="0.25">
      <c r="A3861" s="67"/>
      <c r="B3861" s="67"/>
    </row>
    <row r="3862" spans="1:2" x14ac:dyDescent="0.25">
      <c r="A3862" s="67"/>
      <c r="B3862" s="67"/>
    </row>
    <row r="3863" spans="1:2" x14ac:dyDescent="0.25">
      <c r="A3863" s="67"/>
      <c r="B3863" s="67"/>
    </row>
    <row r="3864" spans="1:2" x14ac:dyDescent="0.25">
      <c r="A3864" s="67"/>
      <c r="B3864" s="67"/>
    </row>
    <row r="3865" spans="1:2" x14ac:dyDescent="0.25">
      <c r="A3865" s="67"/>
      <c r="B3865" s="67"/>
    </row>
    <row r="3866" spans="1:2" x14ac:dyDescent="0.25">
      <c r="A3866" s="67"/>
      <c r="B3866" s="67"/>
    </row>
    <row r="3867" spans="1:2" x14ac:dyDescent="0.25">
      <c r="A3867" s="67"/>
      <c r="B3867" s="67"/>
    </row>
    <row r="3868" spans="1:2" x14ac:dyDescent="0.25">
      <c r="A3868" s="67"/>
      <c r="B3868" s="67"/>
    </row>
    <row r="3869" spans="1:2" x14ac:dyDescent="0.25">
      <c r="A3869" s="67"/>
      <c r="B3869" s="67"/>
    </row>
    <row r="3870" spans="1:2" x14ac:dyDescent="0.25">
      <c r="A3870" s="67"/>
      <c r="B3870" s="67"/>
    </row>
    <row r="3871" spans="1:2" x14ac:dyDescent="0.25">
      <c r="A3871" s="67"/>
      <c r="B3871" s="67"/>
    </row>
    <row r="3872" spans="1:2" x14ac:dyDescent="0.25">
      <c r="A3872" s="67"/>
      <c r="B3872" s="67"/>
    </row>
    <row r="3873" spans="1:2" x14ac:dyDescent="0.25">
      <c r="A3873" s="67"/>
      <c r="B3873" s="67"/>
    </row>
    <row r="3874" spans="1:2" x14ac:dyDescent="0.25">
      <c r="A3874" s="67"/>
      <c r="B3874" s="67"/>
    </row>
    <row r="3875" spans="1:2" x14ac:dyDescent="0.25">
      <c r="A3875" s="67"/>
      <c r="B3875" s="67"/>
    </row>
    <row r="3876" spans="1:2" x14ac:dyDescent="0.25">
      <c r="A3876" s="67"/>
      <c r="B3876" s="67"/>
    </row>
    <row r="3877" spans="1:2" x14ac:dyDescent="0.25">
      <c r="A3877" s="67"/>
      <c r="B3877" s="67"/>
    </row>
    <row r="3878" spans="1:2" x14ac:dyDescent="0.25">
      <c r="A3878" s="67"/>
      <c r="B3878" s="67"/>
    </row>
    <row r="3879" spans="1:2" x14ac:dyDescent="0.25">
      <c r="A3879" s="67"/>
      <c r="B3879" s="67"/>
    </row>
    <row r="3880" spans="1:2" x14ac:dyDescent="0.25">
      <c r="A3880" s="67"/>
      <c r="B3880" s="67"/>
    </row>
    <row r="3881" spans="1:2" x14ac:dyDescent="0.25">
      <c r="A3881" s="67"/>
      <c r="B3881" s="67"/>
    </row>
    <row r="3882" spans="1:2" x14ac:dyDescent="0.25">
      <c r="A3882" s="67"/>
      <c r="B3882" s="67"/>
    </row>
    <row r="3883" spans="1:2" x14ac:dyDescent="0.25">
      <c r="A3883" s="67"/>
      <c r="B3883" s="67"/>
    </row>
    <row r="3884" spans="1:2" x14ac:dyDescent="0.25">
      <c r="A3884" s="67"/>
      <c r="B3884" s="67"/>
    </row>
    <row r="3885" spans="1:2" x14ac:dyDescent="0.25">
      <c r="A3885" s="67"/>
      <c r="B3885" s="67"/>
    </row>
    <row r="3886" spans="1:2" x14ac:dyDescent="0.25">
      <c r="A3886" s="67"/>
      <c r="B3886" s="67"/>
    </row>
    <row r="3887" spans="1:2" x14ac:dyDescent="0.25">
      <c r="A3887" s="67"/>
      <c r="B3887" s="67"/>
    </row>
    <row r="3888" spans="1:2" x14ac:dyDescent="0.25">
      <c r="A3888" s="67"/>
      <c r="B3888" s="67"/>
    </row>
    <row r="3889" spans="1:2" x14ac:dyDescent="0.25">
      <c r="A3889" s="67"/>
      <c r="B3889" s="67"/>
    </row>
    <row r="3890" spans="1:2" x14ac:dyDescent="0.25">
      <c r="A3890" s="67"/>
      <c r="B3890" s="67"/>
    </row>
    <row r="3891" spans="1:2" x14ac:dyDescent="0.25">
      <c r="A3891" s="67"/>
      <c r="B3891" s="67"/>
    </row>
    <row r="3892" spans="1:2" x14ac:dyDescent="0.25">
      <c r="A3892" s="67"/>
      <c r="B3892" s="67"/>
    </row>
    <row r="3893" spans="1:2" x14ac:dyDescent="0.25">
      <c r="A3893" s="67"/>
      <c r="B3893" s="67"/>
    </row>
    <row r="3894" spans="1:2" x14ac:dyDescent="0.25">
      <c r="A3894" s="67"/>
      <c r="B3894" s="67"/>
    </row>
    <row r="3895" spans="1:2" x14ac:dyDescent="0.25">
      <c r="A3895" s="67"/>
      <c r="B3895" s="67"/>
    </row>
    <row r="3896" spans="1:2" x14ac:dyDescent="0.25">
      <c r="A3896" s="67"/>
      <c r="B3896" s="67"/>
    </row>
    <row r="3897" spans="1:2" x14ac:dyDescent="0.25">
      <c r="A3897" s="67"/>
      <c r="B3897" s="67"/>
    </row>
    <row r="3898" spans="1:2" x14ac:dyDescent="0.25">
      <c r="A3898" s="67"/>
      <c r="B3898" s="67"/>
    </row>
    <row r="3899" spans="1:2" x14ac:dyDescent="0.25">
      <c r="A3899" s="67"/>
      <c r="B3899" s="67"/>
    </row>
    <row r="3900" spans="1:2" x14ac:dyDescent="0.25">
      <c r="A3900" s="67"/>
      <c r="B3900" s="67"/>
    </row>
    <row r="3901" spans="1:2" x14ac:dyDescent="0.25">
      <c r="A3901" s="67"/>
      <c r="B3901" s="67"/>
    </row>
    <row r="3902" spans="1:2" x14ac:dyDescent="0.25">
      <c r="A3902" s="67"/>
      <c r="B3902" s="67"/>
    </row>
    <row r="3903" spans="1:2" x14ac:dyDescent="0.25">
      <c r="A3903" s="67"/>
      <c r="B3903" s="67"/>
    </row>
    <row r="3904" spans="1:2" x14ac:dyDescent="0.25">
      <c r="A3904" s="67"/>
      <c r="B3904" s="67"/>
    </row>
    <row r="3905" spans="1:2" x14ac:dyDescent="0.25">
      <c r="A3905" s="67"/>
      <c r="B3905" s="67"/>
    </row>
    <row r="3906" spans="1:2" x14ac:dyDescent="0.25">
      <c r="A3906" s="67"/>
      <c r="B3906" s="67"/>
    </row>
    <row r="3907" spans="1:2" x14ac:dyDescent="0.25">
      <c r="A3907" s="67"/>
      <c r="B3907" s="67"/>
    </row>
    <row r="3908" spans="1:2" x14ac:dyDescent="0.25">
      <c r="A3908" s="67"/>
      <c r="B3908" s="67"/>
    </row>
    <row r="3909" spans="1:2" x14ac:dyDescent="0.25">
      <c r="A3909" s="67"/>
      <c r="B3909" s="67"/>
    </row>
    <row r="3910" spans="1:2" x14ac:dyDescent="0.25">
      <c r="A3910" s="67"/>
      <c r="B3910" s="67"/>
    </row>
    <row r="3911" spans="1:2" x14ac:dyDescent="0.25">
      <c r="A3911" s="67"/>
      <c r="B3911" s="67"/>
    </row>
    <row r="3912" spans="1:2" x14ac:dyDescent="0.25">
      <c r="A3912" s="67"/>
      <c r="B3912" s="67"/>
    </row>
    <row r="3913" spans="1:2" x14ac:dyDescent="0.25">
      <c r="A3913" s="67"/>
      <c r="B3913" s="67"/>
    </row>
    <row r="3914" spans="1:2" x14ac:dyDescent="0.25">
      <c r="A3914" s="67"/>
      <c r="B3914" s="67"/>
    </row>
    <row r="3915" spans="1:2" x14ac:dyDescent="0.25">
      <c r="A3915" s="67"/>
      <c r="B3915" s="67"/>
    </row>
    <row r="3916" spans="1:2" x14ac:dyDescent="0.25">
      <c r="A3916" s="67"/>
      <c r="B3916" s="67"/>
    </row>
    <row r="3917" spans="1:2" x14ac:dyDescent="0.25">
      <c r="A3917" s="67"/>
      <c r="B3917" s="67"/>
    </row>
    <row r="3918" spans="1:2" x14ac:dyDescent="0.25">
      <c r="A3918" s="67"/>
      <c r="B3918" s="67"/>
    </row>
    <row r="3919" spans="1:2" x14ac:dyDescent="0.25">
      <c r="A3919" s="67"/>
      <c r="B3919" s="67"/>
    </row>
    <row r="3920" spans="1:2" x14ac:dyDescent="0.25">
      <c r="A3920" s="67"/>
      <c r="B3920" s="67"/>
    </row>
    <row r="3921" spans="1:2" x14ac:dyDescent="0.25">
      <c r="A3921" s="67"/>
      <c r="B3921" s="67"/>
    </row>
    <row r="3922" spans="1:2" x14ac:dyDescent="0.25">
      <c r="A3922" s="67"/>
      <c r="B3922" s="67"/>
    </row>
    <row r="3923" spans="1:2" x14ac:dyDescent="0.25">
      <c r="A3923" s="67"/>
      <c r="B3923" s="67"/>
    </row>
    <row r="3924" spans="1:2" x14ac:dyDescent="0.25">
      <c r="A3924" s="67"/>
      <c r="B3924" s="67"/>
    </row>
    <row r="3925" spans="1:2" x14ac:dyDescent="0.25">
      <c r="A3925" s="67"/>
      <c r="B3925" s="67"/>
    </row>
    <row r="3926" spans="1:2" x14ac:dyDescent="0.25">
      <c r="A3926" s="67"/>
      <c r="B3926" s="67"/>
    </row>
    <row r="3927" spans="1:2" x14ac:dyDescent="0.25">
      <c r="A3927" s="67"/>
      <c r="B3927" s="67"/>
    </row>
    <row r="3928" spans="1:2" x14ac:dyDescent="0.25">
      <c r="A3928" s="67"/>
      <c r="B3928" s="67"/>
    </row>
    <row r="3929" spans="1:2" x14ac:dyDescent="0.25">
      <c r="A3929" s="67"/>
      <c r="B3929" s="67"/>
    </row>
    <row r="3930" spans="1:2" x14ac:dyDescent="0.25">
      <c r="A3930" s="67"/>
      <c r="B3930" s="67"/>
    </row>
    <row r="3931" spans="1:2" x14ac:dyDescent="0.25">
      <c r="A3931" s="67"/>
      <c r="B3931" s="67"/>
    </row>
    <row r="3932" spans="1:2" x14ac:dyDescent="0.25">
      <c r="A3932" s="67"/>
      <c r="B3932" s="67"/>
    </row>
    <row r="3933" spans="1:2" x14ac:dyDescent="0.25">
      <c r="A3933" s="67"/>
      <c r="B3933" s="67"/>
    </row>
    <row r="3934" spans="1:2" x14ac:dyDescent="0.25">
      <c r="A3934" s="67"/>
      <c r="B3934" s="67"/>
    </row>
    <row r="3935" spans="1:2" x14ac:dyDescent="0.25">
      <c r="A3935" s="67"/>
      <c r="B3935" s="67"/>
    </row>
    <row r="3936" spans="1:2" x14ac:dyDescent="0.25">
      <c r="A3936" s="67"/>
      <c r="B3936" s="67"/>
    </row>
    <row r="3937" spans="1:2" x14ac:dyDescent="0.25">
      <c r="A3937" s="67"/>
      <c r="B3937" s="67"/>
    </row>
    <row r="3938" spans="1:2" x14ac:dyDescent="0.25">
      <c r="A3938" s="67"/>
      <c r="B3938" s="67"/>
    </row>
    <row r="3939" spans="1:2" x14ac:dyDescent="0.25">
      <c r="A3939" s="67"/>
      <c r="B3939" s="67"/>
    </row>
    <row r="3940" spans="1:2" x14ac:dyDescent="0.25">
      <c r="A3940" s="67"/>
      <c r="B3940" s="67"/>
    </row>
    <row r="3941" spans="1:2" x14ac:dyDescent="0.25">
      <c r="A3941" s="67"/>
      <c r="B3941" s="67"/>
    </row>
    <row r="3942" spans="1:2" x14ac:dyDescent="0.25">
      <c r="A3942" s="67"/>
      <c r="B3942" s="67"/>
    </row>
    <row r="3943" spans="1:2" x14ac:dyDescent="0.25">
      <c r="A3943" s="67"/>
      <c r="B3943" s="67"/>
    </row>
    <row r="3944" spans="1:2" x14ac:dyDescent="0.25">
      <c r="A3944" s="67"/>
      <c r="B3944" s="67"/>
    </row>
    <row r="3945" spans="1:2" x14ac:dyDescent="0.25">
      <c r="A3945" s="67"/>
      <c r="B3945" s="67"/>
    </row>
    <row r="3946" spans="1:2" x14ac:dyDescent="0.25">
      <c r="A3946" s="67"/>
      <c r="B3946" s="67"/>
    </row>
    <row r="3947" spans="1:2" x14ac:dyDescent="0.25">
      <c r="A3947" s="67"/>
      <c r="B3947" s="67"/>
    </row>
    <row r="3948" spans="1:2" x14ac:dyDescent="0.25">
      <c r="A3948" s="67"/>
      <c r="B3948" s="67"/>
    </row>
    <row r="3949" spans="1:2" x14ac:dyDescent="0.25">
      <c r="A3949" s="67"/>
      <c r="B3949" s="67"/>
    </row>
    <row r="3950" spans="1:2" x14ac:dyDescent="0.25">
      <c r="A3950" s="67"/>
      <c r="B3950" s="67"/>
    </row>
    <row r="3951" spans="1:2" x14ac:dyDescent="0.25">
      <c r="A3951" s="67"/>
      <c r="B3951" s="67"/>
    </row>
    <row r="3952" spans="1:2" x14ac:dyDescent="0.25">
      <c r="A3952" s="67"/>
      <c r="B3952" s="67"/>
    </row>
    <row r="3953" spans="1:2" x14ac:dyDescent="0.25">
      <c r="A3953" s="67"/>
      <c r="B3953" s="67"/>
    </row>
    <row r="3954" spans="1:2" x14ac:dyDescent="0.25">
      <c r="A3954" s="67"/>
      <c r="B3954" s="67"/>
    </row>
    <row r="3955" spans="1:2" x14ac:dyDescent="0.25">
      <c r="A3955" s="67"/>
      <c r="B3955" s="67"/>
    </row>
    <row r="3956" spans="1:2" x14ac:dyDescent="0.25">
      <c r="A3956" s="67"/>
      <c r="B3956" s="67"/>
    </row>
    <row r="3957" spans="1:2" x14ac:dyDescent="0.25">
      <c r="A3957" s="67"/>
      <c r="B3957" s="67"/>
    </row>
    <row r="3958" spans="1:2" x14ac:dyDescent="0.25">
      <c r="A3958" s="67"/>
      <c r="B3958" s="67"/>
    </row>
    <row r="3959" spans="1:2" x14ac:dyDescent="0.25">
      <c r="A3959" s="67"/>
      <c r="B3959" s="67"/>
    </row>
    <row r="3960" spans="1:2" x14ac:dyDescent="0.25">
      <c r="A3960" s="67"/>
      <c r="B3960" s="67"/>
    </row>
    <row r="3961" spans="1:2" x14ac:dyDescent="0.25">
      <c r="A3961" s="67"/>
      <c r="B3961" s="67"/>
    </row>
    <row r="3962" spans="1:2" x14ac:dyDescent="0.25">
      <c r="A3962" s="67"/>
      <c r="B3962" s="67"/>
    </row>
    <row r="3963" spans="1:2" x14ac:dyDescent="0.25">
      <c r="A3963" s="67"/>
      <c r="B3963" s="67"/>
    </row>
    <row r="3964" spans="1:2" x14ac:dyDescent="0.25">
      <c r="A3964" s="67"/>
      <c r="B3964" s="67"/>
    </row>
    <row r="3965" spans="1:2" x14ac:dyDescent="0.25">
      <c r="A3965" s="67"/>
      <c r="B3965" s="67"/>
    </row>
    <row r="3966" spans="1:2" x14ac:dyDescent="0.25">
      <c r="A3966" s="67"/>
      <c r="B3966" s="67"/>
    </row>
    <row r="3967" spans="1:2" x14ac:dyDescent="0.25">
      <c r="A3967" s="67"/>
      <c r="B3967" s="67"/>
    </row>
    <row r="3968" spans="1:2" x14ac:dyDescent="0.25">
      <c r="A3968" s="67"/>
      <c r="B3968" s="67"/>
    </row>
    <row r="3969" spans="1:2" x14ac:dyDescent="0.25">
      <c r="A3969" s="67"/>
      <c r="B3969" s="67"/>
    </row>
    <row r="3970" spans="1:2" x14ac:dyDescent="0.25">
      <c r="A3970" s="67"/>
      <c r="B3970" s="67"/>
    </row>
    <row r="3971" spans="1:2" x14ac:dyDescent="0.25">
      <c r="A3971" s="67"/>
      <c r="B3971" s="67"/>
    </row>
    <row r="3972" spans="1:2" x14ac:dyDescent="0.25">
      <c r="A3972" s="67"/>
      <c r="B3972" s="67"/>
    </row>
    <row r="3973" spans="1:2" x14ac:dyDescent="0.25">
      <c r="A3973" s="67"/>
      <c r="B3973" s="67"/>
    </row>
    <row r="3974" spans="1:2" x14ac:dyDescent="0.25">
      <c r="A3974" s="67"/>
      <c r="B3974" s="67"/>
    </row>
    <row r="3975" spans="1:2" x14ac:dyDescent="0.25">
      <c r="A3975" s="67"/>
      <c r="B3975" s="67"/>
    </row>
    <row r="3976" spans="1:2" x14ac:dyDescent="0.25">
      <c r="A3976" s="67"/>
      <c r="B3976" s="67"/>
    </row>
    <row r="3977" spans="1:2" x14ac:dyDescent="0.25">
      <c r="A3977" s="67"/>
      <c r="B3977" s="67"/>
    </row>
    <row r="3978" spans="1:2" x14ac:dyDescent="0.25">
      <c r="A3978" s="67"/>
      <c r="B3978" s="67"/>
    </row>
    <row r="3979" spans="1:2" x14ac:dyDescent="0.25">
      <c r="A3979" s="67"/>
      <c r="B3979" s="67"/>
    </row>
    <row r="3980" spans="1:2" x14ac:dyDescent="0.25">
      <c r="A3980" s="67"/>
      <c r="B3980" s="67"/>
    </row>
    <row r="3981" spans="1:2" x14ac:dyDescent="0.25">
      <c r="A3981" s="67"/>
      <c r="B3981" s="67"/>
    </row>
    <row r="3982" spans="1:2" x14ac:dyDescent="0.25">
      <c r="A3982" s="67"/>
      <c r="B3982" s="67"/>
    </row>
    <row r="3983" spans="1:2" x14ac:dyDescent="0.25">
      <c r="A3983" s="67"/>
      <c r="B3983" s="67"/>
    </row>
    <row r="3984" spans="1:2" x14ac:dyDescent="0.25">
      <c r="A3984" s="67"/>
      <c r="B3984" s="67"/>
    </row>
    <row r="3985" spans="1:2" x14ac:dyDescent="0.25">
      <c r="A3985" s="67"/>
      <c r="B3985" s="67"/>
    </row>
    <row r="3986" spans="1:2" x14ac:dyDescent="0.25">
      <c r="A3986" s="67"/>
      <c r="B3986" s="67"/>
    </row>
    <row r="3987" spans="1:2" x14ac:dyDescent="0.25">
      <c r="A3987" s="67"/>
      <c r="B3987" s="67"/>
    </row>
    <row r="3988" spans="1:2" x14ac:dyDescent="0.25">
      <c r="A3988" s="67"/>
      <c r="B3988" s="67"/>
    </row>
    <row r="3989" spans="1:2" x14ac:dyDescent="0.25">
      <c r="A3989" s="67"/>
      <c r="B3989" s="67"/>
    </row>
    <row r="3990" spans="1:2" x14ac:dyDescent="0.25">
      <c r="A3990" s="67"/>
      <c r="B3990" s="67"/>
    </row>
    <row r="3991" spans="1:2" x14ac:dyDescent="0.25">
      <c r="A3991" s="67"/>
      <c r="B3991" s="67"/>
    </row>
    <row r="3992" spans="1:2" x14ac:dyDescent="0.25">
      <c r="A3992" s="67"/>
      <c r="B3992" s="67"/>
    </row>
    <row r="3993" spans="1:2" x14ac:dyDescent="0.25">
      <c r="A3993" s="67"/>
      <c r="B3993" s="67"/>
    </row>
    <row r="3994" spans="1:2" x14ac:dyDescent="0.25">
      <c r="A3994" s="67"/>
      <c r="B3994" s="67"/>
    </row>
    <row r="3995" spans="1:2" x14ac:dyDescent="0.25">
      <c r="A3995" s="67"/>
      <c r="B3995" s="67"/>
    </row>
    <row r="3996" spans="1:2" x14ac:dyDescent="0.25">
      <c r="A3996" s="67"/>
      <c r="B3996" s="67"/>
    </row>
    <row r="3997" spans="1:2" x14ac:dyDescent="0.25">
      <c r="A3997" s="67"/>
      <c r="B3997" s="67"/>
    </row>
    <row r="3998" spans="1:2" x14ac:dyDescent="0.25">
      <c r="A3998" s="67"/>
      <c r="B3998" s="67"/>
    </row>
    <row r="3999" spans="1:2" x14ac:dyDescent="0.25">
      <c r="A3999" s="67"/>
      <c r="B3999" s="67"/>
    </row>
    <row r="4000" spans="1:2" x14ac:dyDescent="0.25">
      <c r="A4000" s="67"/>
      <c r="B4000" s="67"/>
    </row>
    <row r="4001" spans="1:2" x14ac:dyDescent="0.25">
      <c r="A4001" s="67"/>
      <c r="B4001" s="67"/>
    </row>
    <row r="4002" spans="1:2" x14ac:dyDescent="0.25">
      <c r="A4002" s="67"/>
      <c r="B4002" s="67"/>
    </row>
    <row r="4003" spans="1:2" x14ac:dyDescent="0.25">
      <c r="A4003" s="67"/>
      <c r="B4003" s="67"/>
    </row>
    <row r="4004" spans="1:2" x14ac:dyDescent="0.25">
      <c r="A4004" s="67"/>
      <c r="B4004" s="67"/>
    </row>
    <row r="4005" spans="1:2" x14ac:dyDescent="0.25">
      <c r="A4005" s="67"/>
      <c r="B4005" s="67"/>
    </row>
    <row r="4006" spans="1:2" x14ac:dyDescent="0.25">
      <c r="A4006" s="67"/>
      <c r="B4006" s="67"/>
    </row>
    <row r="4007" spans="1:2" x14ac:dyDescent="0.25">
      <c r="A4007" s="67"/>
      <c r="B4007" s="67"/>
    </row>
    <row r="4008" spans="1:2" x14ac:dyDescent="0.25">
      <c r="A4008" s="67"/>
      <c r="B4008" s="67"/>
    </row>
    <row r="4009" spans="1:2" x14ac:dyDescent="0.25">
      <c r="A4009" s="67"/>
      <c r="B4009" s="67"/>
    </row>
    <row r="4010" spans="1:2" x14ac:dyDescent="0.25">
      <c r="A4010" s="67"/>
      <c r="B4010" s="67"/>
    </row>
    <row r="4011" spans="1:2" x14ac:dyDescent="0.25">
      <c r="A4011" s="67"/>
      <c r="B4011" s="67"/>
    </row>
    <row r="4012" spans="1:2" x14ac:dyDescent="0.25">
      <c r="A4012" s="67"/>
      <c r="B4012" s="67"/>
    </row>
    <row r="4013" spans="1:2" x14ac:dyDescent="0.25">
      <c r="A4013" s="67"/>
      <c r="B4013" s="67"/>
    </row>
    <row r="4014" spans="1:2" x14ac:dyDescent="0.25">
      <c r="A4014" s="67"/>
      <c r="B4014" s="67"/>
    </row>
    <row r="4015" spans="1:2" x14ac:dyDescent="0.25">
      <c r="A4015" s="67"/>
      <c r="B4015" s="67"/>
    </row>
    <row r="4016" spans="1:2" x14ac:dyDescent="0.25">
      <c r="A4016" s="67"/>
      <c r="B4016" s="67"/>
    </row>
    <row r="4017" spans="1:2" x14ac:dyDescent="0.25">
      <c r="A4017" s="67"/>
      <c r="B4017" s="67"/>
    </row>
    <row r="4018" spans="1:2" x14ac:dyDescent="0.25">
      <c r="A4018" s="67"/>
      <c r="B4018" s="67"/>
    </row>
    <row r="4019" spans="1:2" x14ac:dyDescent="0.25">
      <c r="A4019" s="67"/>
      <c r="B4019" s="67"/>
    </row>
    <row r="4020" spans="1:2" x14ac:dyDescent="0.25">
      <c r="A4020" s="67"/>
      <c r="B4020" s="67"/>
    </row>
    <row r="4021" spans="1:2" x14ac:dyDescent="0.25">
      <c r="A4021" s="67"/>
      <c r="B4021" s="67"/>
    </row>
    <row r="4022" spans="1:2" x14ac:dyDescent="0.25">
      <c r="A4022" s="67"/>
      <c r="B4022" s="67"/>
    </row>
    <row r="4023" spans="1:2" x14ac:dyDescent="0.25">
      <c r="A4023" s="67"/>
      <c r="B4023" s="67"/>
    </row>
    <row r="4024" spans="1:2" x14ac:dyDescent="0.25">
      <c r="A4024" s="67"/>
      <c r="B4024" s="67"/>
    </row>
    <row r="4025" spans="1:2" x14ac:dyDescent="0.25">
      <c r="A4025" s="67"/>
      <c r="B4025" s="67"/>
    </row>
    <row r="4026" spans="1:2" x14ac:dyDescent="0.25">
      <c r="A4026" s="67"/>
      <c r="B4026" s="67"/>
    </row>
    <row r="4027" spans="1:2" x14ac:dyDescent="0.25">
      <c r="A4027" s="67"/>
      <c r="B4027" s="67"/>
    </row>
    <row r="4028" spans="1:2" x14ac:dyDescent="0.25">
      <c r="A4028" s="67"/>
      <c r="B4028" s="67"/>
    </row>
    <row r="4029" spans="1:2" x14ac:dyDescent="0.25">
      <c r="A4029" s="67"/>
      <c r="B4029" s="67"/>
    </row>
    <row r="4030" spans="1:2" x14ac:dyDescent="0.25">
      <c r="A4030" s="67"/>
      <c r="B4030" s="67"/>
    </row>
    <row r="4031" spans="1:2" x14ac:dyDescent="0.25">
      <c r="A4031" s="67"/>
      <c r="B4031" s="67"/>
    </row>
    <row r="4032" spans="1:2" x14ac:dyDescent="0.25">
      <c r="A4032" s="67"/>
      <c r="B4032" s="67"/>
    </row>
    <row r="4033" spans="1:2" x14ac:dyDescent="0.25">
      <c r="A4033" s="67"/>
      <c r="B4033" s="67"/>
    </row>
    <row r="4034" spans="1:2" x14ac:dyDescent="0.25">
      <c r="A4034" s="67"/>
      <c r="B4034" s="67"/>
    </row>
    <row r="4035" spans="1:2" x14ac:dyDescent="0.25">
      <c r="A4035" s="67"/>
      <c r="B4035" s="67"/>
    </row>
    <row r="4036" spans="1:2" x14ac:dyDescent="0.25">
      <c r="A4036" s="67"/>
      <c r="B4036" s="67"/>
    </row>
    <row r="4037" spans="1:2" x14ac:dyDescent="0.25">
      <c r="A4037" s="67"/>
      <c r="B4037" s="67"/>
    </row>
    <row r="4038" spans="1:2" x14ac:dyDescent="0.25">
      <c r="A4038" s="67"/>
      <c r="B4038" s="67"/>
    </row>
    <row r="4039" spans="1:2" x14ac:dyDescent="0.25">
      <c r="A4039" s="67"/>
      <c r="B4039" s="67"/>
    </row>
    <row r="4040" spans="1:2" x14ac:dyDescent="0.25">
      <c r="A4040" s="67"/>
      <c r="B4040" s="67"/>
    </row>
    <row r="4041" spans="1:2" x14ac:dyDescent="0.25">
      <c r="A4041" s="67"/>
      <c r="B4041" s="67"/>
    </row>
    <row r="4042" spans="1:2" x14ac:dyDescent="0.25">
      <c r="A4042" s="67"/>
      <c r="B4042" s="67"/>
    </row>
    <row r="4043" spans="1:2" x14ac:dyDescent="0.25">
      <c r="A4043" s="67"/>
      <c r="B4043" s="67"/>
    </row>
    <row r="4044" spans="1:2" x14ac:dyDescent="0.25">
      <c r="A4044" s="67"/>
      <c r="B4044" s="67"/>
    </row>
    <row r="4045" spans="1:2" x14ac:dyDescent="0.25">
      <c r="A4045" s="67"/>
      <c r="B4045" s="67"/>
    </row>
    <row r="4046" spans="1:2" x14ac:dyDescent="0.25">
      <c r="A4046" s="67"/>
      <c r="B4046" s="67"/>
    </row>
    <row r="4047" spans="1:2" x14ac:dyDescent="0.25">
      <c r="A4047" s="67"/>
      <c r="B4047" s="67"/>
    </row>
    <row r="4048" spans="1:2" x14ac:dyDescent="0.25">
      <c r="A4048" s="67"/>
      <c r="B4048" s="67"/>
    </row>
    <row r="4049" spans="1:2" x14ac:dyDescent="0.25">
      <c r="A4049" s="67"/>
      <c r="B4049" s="67"/>
    </row>
    <row r="4050" spans="1:2" x14ac:dyDescent="0.25">
      <c r="A4050" s="67"/>
      <c r="B4050" s="67"/>
    </row>
    <row r="4051" spans="1:2" x14ac:dyDescent="0.25">
      <c r="A4051" s="67"/>
      <c r="B4051" s="67"/>
    </row>
    <row r="4052" spans="1:2" x14ac:dyDescent="0.25">
      <c r="A4052" s="67"/>
      <c r="B4052" s="67"/>
    </row>
    <row r="4053" spans="1:2" x14ac:dyDescent="0.25">
      <c r="A4053" s="67"/>
      <c r="B4053" s="67"/>
    </row>
    <row r="4054" spans="1:2" x14ac:dyDescent="0.25">
      <c r="A4054" s="67"/>
      <c r="B4054" s="67"/>
    </row>
    <row r="4055" spans="1:2" x14ac:dyDescent="0.25">
      <c r="A4055" s="67"/>
      <c r="B4055" s="67"/>
    </row>
    <row r="4056" spans="1:2" x14ac:dyDescent="0.25">
      <c r="A4056" s="67"/>
      <c r="B4056" s="67"/>
    </row>
    <row r="4057" spans="1:2" x14ac:dyDescent="0.25">
      <c r="A4057" s="67"/>
      <c r="B4057" s="67"/>
    </row>
    <row r="4058" spans="1:2" x14ac:dyDescent="0.25">
      <c r="A4058" s="67"/>
      <c r="B4058" s="67"/>
    </row>
    <row r="4059" spans="1:2" x14ac:dyDescent="0.25">
      <c r="A4059" s="67"/>
      <c r="B4059" s="67"/>
    </row>
    <row r="4060" spans="1:2" x14ac:dyDescent="0.25">
      <c r="A4060" s="67"/>
      <c r="B4060" s="67"/>
    </row>
    <row r="4061" spans="1:2" x14ac:dyDescent="0.25">
      <c r="A4061" s="67"/>
      <c r="B4061" s="67"/>
    </row>
    <row r="4062" spans="1:2" x14ac:dyDescent="0.25">
      <c r="A4062" s="67"/>
      <c r="B4062" s="67"/>
    </row>
    <row r="4063" spans="1:2" x14ac:dyDescent="0.25">
      <c r="A4063" s="67"/>
      <c r="B4063" s="67"/>
    </row>
    <row r="4064" spans="1:2" x14ac:dyDescent="0.25">
      <c r="A4064" s="67"/>
      <c r="B4064" s="67"/>
    </row>
    <row r="4065" spans="1:2" x14ac:dyDescent="0.25">
      <c r="A4065" s="67"/>
      <c r="B4065" s="67"/>
    </row>
    <row r="4066" spans="1:2" x14ac:dyDescent="0.25">
      <c r="A4066" s="67"/>
      <c r="B4066" s="67"/>
    </row>
    <row r="4067" spans="1:2" x14ac:dyDescent="0.25">
      <c r="A4067" s="67"/>
      <c r="B4067" s="67"/>
    </row>
    <row r="4068" spans="1:2" x14ac:dyDescent="0.25">
      <c r="A4068" s="67"/>
      <c r="B4068" s="67"/>
    </row>
    <row r="4069" spans="1:2" x14ac:dyDescent="0.25">
      <c r="A4069" s="67"/>
      <c r="B4069" s="67"/>
    </row>
    <row r="4070" spans="1:2" x14ac:dyDescent="0.25">
      <c r="A4070" s="67"/>
      <c r="B4070" s="67"/>
    </row>
    <row r="4071" spans="1:2" x14ac:dyDescent="0.25">
      <c r="A4071" s="67"/>
      <c r="B4071" s="67"/>
    </row>
    <row r="4072" spans="1:2" x14ac:dyDescent="0.25">
      <c r="A4072" s="67"/>
      <c r="B4072" s="67"/>
    </row>
    <row r="4073" spans="1:2" x14ac:dyDescent="0.25">
      <c r="A4073" s="67"/>
      <c r="B4073" s="67"/>
    </row>
    <row r="4074" spans="1:2" x14ac:dyDescent="0.25">
      <c r="A4074" s="67"/>
      <c r="B4074" s="67"/>
    </row>
    <row r="4075" spans="1:2" x14ac:dyDescent="0.25">
      <c r="A4075" s="67"/>
      <c r="B4075" s="67"/>
    </row>
    <row r="4076" spans="1:2" x14ac:dyDescent="0.25">
      <c r="A4076" s="67"/>
      <c r="B4076" s="67"/>
    </row>
    <row r="4077" spans="1:2" x14ac:dyDescent="0.25">
      <c r="A4077" s="67"/>
      <c r="B4077" s="67"/>
    </row>
    <row r="4078" spans="1:2" x14ac:dyDescent="0.25">
      <c r="A4078" s="67"/>
      <c r="B4078" s="67"/>
    </row>
    <row r="4079" spans="1:2" x14ac:dyDescent="0.25">
      <c r="A4079" s="67"/>
      <c r="B4079" s="67"/>
    </row>
    <row r="4080" spans="1:2" x14ac:dyDescent="0.25">
      <c r="A4080" s="67"/>
      <c r="B4080" s="67"/>
    </row>
    <row r="4081" spans="1:2" x14ac:dyDescent="0.25">
      <c r="A4081" s="67"/>
      <c r="B4081" s="67"/>
    </row>
    <row r="4082" spans="1:2" x14ac:dyDescent="0.25">
      <c r="A4082" s="67"/>
      <c r="B4082" s="67"/>
    </row>
    <row r="4083" spans="1:2" x14ac:dyDescent="0.25">
      <c r="A4083" s="67"/>
      <c r="B4083" s="67"/>
    </row>
    <row r="4084" spans="1:2" x14ac:dyDescent="0.25">
      <c r="A4084" s="67"/>
      <c r="B4084" s="67"/>
    </row>
    <row r="4085" spans="1:2" x14ac:dyDescent="0.25">
      <c r="A4085" s="67"/>
      <c r="B4085" s="67"/>
    </row>
    <row r="4086" spans="1:2" x14ac:dyDescent="0.25">
      <c r="A4086" s="67"/>
      <c r="B4086" s="67"/>
    </row>
    <row r="4087" spans="1:2" x14ac:dyDescent="0.25">
      <c r="A4087" s="67"/>
      <c r="B4087" s="67"/>
    </row>
    <row r="4088" spans="1:2" x14ac:dyDescent="0.25">
      <c r="A4088" s="67"/>
      <c r="B4088" s="67"/>
    </row>
    <row r="4089" spans="1:2" x14ac:dyDescent="0.25">
      <c r="A4089" s="67"/>
      <c r="B4089" s="67"/>
    </row>
    <row r="4090" spans="1:2" x14ac:dyDescent="0.25">
      <c r="A4090" s="67"/>
      <c r="B4090" s="67"/>
    </row>
    <row r="4091" spans="1:2" x14ac:dyDescent="0.25">
      <c r="A4091" s="67"/>
      <c r="B4091" s="67"/>
    </row>
    <row r="4092" spans="1:2" x14ac:dyDescent="0.25">
      <c r="A4092" s="67"/>
      <c r="B4092" s="67"/>
    </row>
    <row r="4093" spans="1:2" x14ac:dyDescent="0.25">
      <c r="A4093" s="67"/>
      <c r="B4093" s="67"/>
    </row>
    <row r="4094" spans="1:2" x14ac:dyDescent="0.25">
      <c r="A4094" s="67"/>
      <c r="B4094" s="67"/>
    </row>
    <row r="4095" spans="1:2" x14ac:dyDescent="0.25">
      <c r="A4095" s="67"/>
      <c r="B4095" s="67"/>
    </row>
    <row r="4096" spans="1:2" x14ac:dyDescent="0.25">
      <c r="A4096" s="67"/>
      <c r="B4096" s="67"/>
    </row>
    <row r="4097" spans="1:2" x14ac:dyDescent="0.25">
      <c r="A4097" s="67"/>
      <c r="B4097" s="67"/>
    </row>
    <row r="4098" spans="1:2" x14ac:dyDescent="0.25">
      <c r="A4098" s="67"/>
      <c r="B4098" s="67"/>
    </row>
    <row r="4099" spans="1:2" x14ac:dyDescent="0.25">
      <c r="A4099" s="67"/>
      <c r="B4099" s="67"/>
    </row>
    <row r="4100" spans="1:2" x14ac:dyDescent="0.25">
      <c r="A4100" s="67"/>
      <c r="B4100" s="67"/>
    </row>
    <row r="4101" spans="1:2" x14ac:dyDescent="0.25">
      <c r="A4101" s="67"/>
      <c r="B4101" s="67"/>
    </row>
    <row r="4102" spans="1:2" x14ac:dyDescent="0.25">
      <c r="A4102" s="67"/>
      <c r="B4102" s="67"/>
    </row>
    <row r="4103" spans="1:2" x14ac:dyDescent="0.25">
      <c r="A4103" s="67"/>
      <c r="B4103" s="67"/>
    </row>
    <row r="4104" spans="1:2" x14ac:dyDescent="0.25">
      <c r="A4104" s="67"/>
      <c r="B4104" s="67"/>
    </row>
    <row r="4105" spans="1:2" x14ac:dyDescent="0.25">
      <c r="A4105" s="67"/>
      <c r="B4105" s="67"/>
    </row>
    <row r="4106" spans="1:2" x14ac:dyDescent="0.25">
      <c r="A4106" s="67"/>
      <c r="B4106" s="67"/>
    </row>
    <row r="4107" spans="1:2" x14ac:dyDescent="0.25">
      <c r="A4107" s="67"/>
      <c r="B4107" s="67"/>
    </row>
    <row r="4108" spans="1:2" x14ac:dyDescent="0.25">
      <c r="A4108" s="67"/>
      <c r="B4108" s="67"/>
    </row>
    <row r="4109" spans="1:2" x14ac:dyDescent="0.25">
      <c r="A4109" s="67"/>
      <c r="B4109" s="67"/>
    </row>
    <row r="4110" spans="1:2" x14ac:dyDescent="0.25">
      <c r="A4110" s="67"/>
      <c r="B4110" s="67"/>
    </row>
    <row r="4111" spans="1:2" x14ac:dyDescent="0.25">
      <c r="A4111" s="67"/>
      <c r="B4111" s="67"/>
    </row>
    <row r="4112" spans="1:2" x14ac:dyDescent="0.25">
      <c r="A4112" s="67"/>
      <c r="B4112" s="67"/>
    </row>
    <row r="4113" spans="1:2" x14ac:dyDescent="0.25">
      <c r="A4113" s="67"/>
      <c r="B4113" s="67"/>
    </row>
    <row r="4114" spans="1:2" x14ac:dyDescent="0.25">
      <c r="A4114" s="67"/>
      <c r="B4114" s="67"/>
    </row>
    <row r="4115" spans="1:2" x14ac:dyDescent="0.25">
      <c r="A4115" s="67"/>
      <c r="B4115" s="67"/>
    </row>
    <row r="4116" spans="1:2" x14ac:dyDescent="0.25">
      <c r="A4116" s="67"/>
      <c r="B4116" s="67"/>
    </row>
    <row r="4117" spans="1:2" x14ac:dyDescent="0.25">
      <c r="A4117" s="67"/>
      <c r="B4117" s="67"/>
    </row>
    <row r="4118" spans="1:2" x14ac:dyDescent="0.25">
      <c r="A4118" s="67"/>
      <c r="B4118" s="67"/>
    </row>
    <row r="4119" spans="1:2" x14ac:dyDescent="0.25">
      <c r="A4119" s="67"/>
      <c r="B4119" s="67"/>
    </row>
    <row r="4120" spans="1:2" x14ac:dyDescent="0.25">
      <c r="A4120" s="67"/>
      <c r="B4120" s="67"/>
    </row>
    <row r="4121" spans="1:2" x14ac:dyDescent="0.25">
      <c r="A4121" s="67"/>
      <c r="B4121" s="67"/>
    </row>
    <row r="4122" spans="1:2" x14ac:dyDescent="0.25">
      <c r="A4122" s="67"/>
      <c r="B4122" s="67"/>
    </row>
    <row r="4123" spans="1:2" x14ac:dyDescent="0.25">
      <c r="A4123" s="67"/>
      <c r="B4123" s="67"/>
    </row>
    <row r="4124" spans="1:2" x14ac:dyDescent="0.25">
      <c r="A4124" s="67"/>
      <c r="B4124" s="67"/>
    </row>
    <row r="4125" spans="1:2" x14ac:dyDescent="0.25">
      <c r="A4125" s="67"/>
      <c r="B4125" s="67"/>
    </row>
    <row r="4126" spans="1:2" x14ac:dyDescent="0.25">
      <c r="A4126" s="67"/>
      <c r="B4126" s="67"/>
    </row>
    <row r="4127" spans="1:2" x14ac:dyDescent="0.25">
      <c r="A4127" s="67"/>
      <c r="B4127" s="67"/>
    </row>
    <row r="4128" spans="1:2" x14ac:dyDescent="0.25">
      <c r="A4128" s="67"/>
      <c r="B4128" s="67"/>
    </row>
    <row r="4129" spans="1:2" x14ac:dyDescent="0.25">
      <c r="A4129" s="67"/>
      <c r="B4129" s="67"/>
    </row>
    <row r="4130" spans="1:2" x14ac:dyDescent="0.25">
      <c r="A4130" s="67"/>
      <c r="B4130" s="67"/>
    </row>
    <row r="4131" spans="1:2" x14ac:dyDescent="0.25">
      <c r="A4131" s="67"/>
      <c r="B4131" s="67"/>
    </row>
    <row r="4132" spans="1:2" x14ac:dyDescent="0.25">
      <c r="A4132" s="67"/>
      <c r="B4132" s="67"/>
    </row>
    <row r="4133" spans="1:2" x14ac:dyDescent="0.25">
      <c r="A4133" s="67"/>
      <c r="B4133" s="67"/>
    </row>
    <row r="4134" spans="1:2" x14ac:dyDescent="0.25">
      <c r="A4134" s="67"/>
      <c r="B4134" s="67"/>
    </row>
    <row r="4135" spans="1:2" x14ac:dyDescent="0.25">
      <c r="A4135" s="67"/>
      <c r="B4135" s="67"/>
    </row>
    <row r="4136" spans="1:2" x14ac:dyDescent="0.25">
      <c r="A4136" s="67"/>
      <c r="B4136" s="67"/>
    </row>
    <row r="4137" spans="1:2" x14ac:dyDescent="0.25">
      <c r="A4137" s="67"/>
      <c r="B4137" s="67"/>
    </row>
    <row r="4138" spans="1:2" x14ac:dyDescent="0.25">
      <c r="A4138" s="67"/>
      <c r="B4138" s="67"/>
    </row>
    <row r="4139" spans="1:2" x14ac:dyDescent="0.25">
      <c r="A4139" s="67"/>
      <c r="B4139" s="67"/>
    </row>
    <row r="4140" spans="1:2" x14ac:dyDescent="0.25">
      <c r="A4140" s="67"/>
      <c r="B4140" s="67"/>
    </row>
    <row r="4141" spans="1:2" x14ac:dyDescent="0.25">
      <c r="A4141" s="67"/>
      <c r="B4141" s="67"/>
    </row>
    <row r="4142" spans="1:2" x14ac:dyDescent="0.25">
      <c r="A4142" s="67"/>
      <c r="B4142" s="67"/>
    </row>
    <row r="4143" spans="1:2" x14ac:dyDescent="0.25">
      <c r="A4143" s="67"/>
      <c r="B4143" s="67"/>
    </row>
    <row r="4144" spans="1:2" x14ac:dyDescent="0.25">
      <c r="A4144" s="67"/>
      <c r="B4144" s="67"/>
    </row>
    <row r="4145" spans="1:2" x14ac:dyDescent="0.25">
      <c r="A4145" s="67"/>
      <c r="B4145" s="67"/>
    </row>
    <row r="4146" spans="1:2" x14ac:dyDescent="0.25">
      <c r="A4146" s="67"/>
      <c r="B4146" s="67"/>
    </row>
    <row r="4147" spans="1:2" x14ac:dyDescent="0.25">
      <c r="A4147" s="67"/>
      <c r="B4147" s="67"/>
    </row>
    <row r="4148" spans="1:2" x14ac:dyDescent="0.25">
      <c r="A4148" s="67"/>
      <c r="B4148" s="67"/>
    </row>
    <row r="4149" spans="1:2" x14ac:dyDescent="0.25">
      <c r="A4149" s="67"/>
      <c r="B4149" s="67"/>
    </row>
    <row r="4150" spans="1:2" x14ac:dyDescent="0.25">
      <c r="A4150" s="67"/>
      <c r="B4150" s="67"/>
    </row>
    <row r="4151" spans="1:2" x14ac:dyDescent="0.25">
      <c r="A4151" s="67"/>
      <c r="B4151" s="67"/>
    </row>
    <row r="4152" spans="1:2" x14ac:dyDescent="0.25">
      <c r="A4152" s="67"/>
      <c r="B4152" s="67"/>
    </row>
    <row r="4153" spans="1:2" x14ac:dyDescent="0.25">
      <c r="A4153" s="67"/>
      <c r="B4153" s="67"/>
    </row>
    <row r="4154" spans="1:2" x14ac:dyDescent="0.25">
      <c r="A4154" s="67"/>
      <c r="B4154" s="67"/>
    </row>
    <row r="4155" spans="1:2" x14ac:dyDescent="0.25">
      <c r="A4155" s="67"/>
      <c r="B4155" s="67"/>
    </row>
    <row r="4156" spans="1:2" x14ac:dyDescent="0.25">
      <c r="A4156" s="67"/>
      <c r="B4156" s="67"/>
    </row>
    <row r="4157" spans="1:2" x14ac:dyDescent="0.25">
      <c r="A4157" s="67"/>
      <c r="B4157" s="67"/>
    </row>
    <row r="4158" spans="1:2" x14ac:dyDescent="0.25">
      <c r="A4158" s="67"/>
      <c r="B4158" s="67"/>
    </row>
    <row r="4159" spans="1:2" x14ac:dyDescent="0.25">
      <c r="A4159" s="67"/>
      <c r="B4159" s="67"/>
    </row>
    <row r="4160" spans="1:2" x14ac:dyDescent="0.25">
      <c r="A4160" s="67"/>
      <c r="B4160" s="67"/>
    </row>
    <row r="4161" spans="1:2" x14ac:dyDescent="0.25">
      <c r="A4161" s="67"/>
      <c r="B4161" s="67"/>
    </row>
    <row r="4162" spans="1:2" x14ac:dyDescent="0.25">
      <c r="A4162" s="67"/>
      <c r="B4162" s="67"/>
    </row>
    <row r="4163" spans="1:2" x14ac:dyDescent="0.25">
      <c r="A4163" s="67"/>
      <c r="B4163" s="67"/>
    </row>
    <row r="4164" spans="1:2" x14ac:dyDescent="0.25">
      <c r="A4164" s="67"/>
      <c r="B4164" s="67"/>
    </row>
    <row r="4165" spans="1:2" x14ac:dyDescent="0.25">
      <c r="A4165" s="67"/>
      <c r="B4165" s="67"/>
    </row>
    <row r="4166" spans="1:2" x14ac:dyDescent="0.25">
      <c r="A4166" s="67"/>
      <c r="B4166" s="67"/>
    </row>
    <row r="4167" spans="1:2" x14ac:dyDescent="0.25">
      <c r="A4167" s="67"/>
      <c r="B4167" s="67"/>
    </row>
    <row r="4168" spans="1:2" x14ac:dyDescent="0.25">
      <c r="A4168" s="67"/>
      <c r="B4168" s="67"/>
    </row>
    <row r="4169" spans="1:2" x14ac:dyDescent="0.25">
      <c r="A4169" s="67"/>
      <c r="B4169" s="67"/>
    </row>
    <row r="4170" spans="1:2" x14ac:dyDescent="0.25">
      <c r="A4170" s="67"/>
      <c r="B4170" s="67"/>
    </row>
    <row r="4171" spans="1:2" x14ac:dyDescent="0.25">
      <c r="A4171" s="67"/>
      <c r="B4171" s="67"/>
    </row>
    <row r="4172" spans="1:2" x14ac:dyDescent="0.25">
      <c r="A4172" s="67"/>
      <c r="B4172" s="67"/>
    </row>
    <row r="4173" spans="1:2" x14ac:dyDescent="0.25">
      <c r="A4173" s="67"/>
      <c r="B4173" s="67"/>
    </row>
    <row r="4174" spans="1:2" x14ac:dyDescent="0.25">
      <c r="A4174" s="67"/>
      <c r="B4174" s="67"/>
    </row>
    <row r="4175" spans="1:2" x14ac:dyDescent="0.25">
      <c r="A4175" s="67"/>
      <c r="B4175" s="67"/>
    </row>
    <row r="4176" spans="1:2" x14ac:dyDescent="0.25">
      <c r="A4176" s="67"/>
      <c r="B4176" s="67"/>
    </row>
    <row r="4177" spans="1:2" x14ac:dyDescent="0.25">
      <c r="A4177" s="67"/>
      <c r="B4177" s="67"/>
    </row>
    <row r="4178" spans="1:2" x14ac:dyDescent="0.25">
      <c r="A4178" s="67"/>
      <c r="B4178" s="67"/>
    </row>
    <row r="4179" spans="1:2" x14ac:dyDescent="0.25">
      <c r="A4179" s="67"/>
      <c r="B4179" s="67"/>
    </row>
    <row r="4180" spans="1:2" x14ac:dyDescent="0.25">
      <c r="A4180" s="67"/>
      <c r="B4180" s="67"/>
    </row>
    <row r="4181" spans="1:2" x14ac:dyDescent="0.25">
      <c r="A4181" s="67"/>
      <c r="B4181" s="67"/>
    </row>
    <row r="4182" spans="1:2" x14ac:dyDescent="0.25">
      <c r="A4182" s="67"/>
      <c r="B4182" s="67"/>
    </row>
    <row r="4183" spans="1:2" x14ac:dyDescent="0.25">
      <c r="A4183" s="67"/>
      <c r="B4183" s="67"/>
    </row>
    <row r="4184" spans="1:2" x14ac:dyDescent="0.25">
      <c r="A4184" s="67"/>
      <c r="B4184" s="67"/>
    </row>
    <row r="4185" spans="1:2" x14ac:dyDescent="0.25">
      <c r="A4185" s="67"/>
      <c r="B4185" s="67"/>
    </row>
    <row r="4186" spans="1:2" x14ac:dyDescent="0.25">
      <c r="A4186" s="67"/>
      <c r="B4186" s="67"/>
    </row>
    <row r="4187" spans="1:2" x14ac:dyDescent="0.25">
      <c r="A4187" s="67"/>
      <c r="B4187" s="67"/>
    </row>
    <row r="4188" spans="1:2" x14ac:dyDescent="0.25">
      <c r="A4188" s="67"/>
      <c r="B4188" s="67"/>
    </row>
    <row r="4189" spans="1:2" x14ac:dyDescent="0.25">
      <c r="A4189" s="67"/>
      <c r="B4189" s="67"/>
    </row>
    <row r="4190" spans="1:2" x14ac:dyDescent="0.25">
      <c r="A4190" s="67"/>
      <c r="B4190" s="67"/>
    </row>
    <row r="4191" spans="1:2" x14ac:dyDescent="0.25">
      <c r="A4191" s="67"/>
      <c r="B4191" s="67"/>
    </row>
    <row r="4192" spans="1:2" x14ac:dyDescent="0.25">
      <c r="A4192" s="67"/>
      <c r="B4192" s="67"/>
    </row>
    <row r="4193" spans="1:2" x14ac:dyDescent="0.25">
      <c r="A4193" s="67"/>
      <c r="B4193" s="67"/>
    </row>
    <row r="4194" spans="1:2" x14ac:dyDescent="0.25">
      <c r="A4194" s="67"/>
      <c r="B4194" s="67"/>
    </row>
    <row r="4195" spans="1:2" x14ac:dyDescent="0.25">
      <c r="A4195" s="67"/>
      <c r="B4195" s="67"/>
    </row>
    <row r="4196" spans="1:2" x14ac:dyDescent="0.25">
      <c r="A4196" s="67"/>
      <c r="B4196" s="67"/>
    </row>
    <row r="4197" spans="1:2" x14ac:dyDescent="0.25">
      <c r="A4197" s="67"/>
      <c r="B4197" s="67"/>
    </row>
    <row r="4198" spans="1:2" x14ac:dyDescent="0.25">
      <c r="A4198" s="67"/>
      <c r="B4198" s="67"/>
    </row>
    <row r="4199" spans="1:2" x14ac:dyDescent="0.25">
      <c r="A4199" s="67"/>
      <c r="B4199" s="67"/>
    </row>
    <row r="4200" spans="1:2" x14ac:dyDescent="0.25">
      <c r="A4200" s="67"/>
      <c r="B4200" s="67"/>
    </row>
    <row r="4201" spans="1:2" x14ac:dyDescent="0.25">
      <c r="A4201" s="67"/>
      <c r="B4201" s="67"/>
    </row>
    <row r="4202" spans="1:2" x14ac:dyDescent="0.25">
      <c r="A4202" s="67"/>
      <c r="B4202" s="67"/>
    </row>
    <row r="4203" spans="1:2" x14ac:dyDescent="0.25">
      <c r="A4203" s="67"/>
      <c r="B4203" s="67"/>
    </row>
    <row r="4204" spans="1:2" x14ac:dyDescent="0.25">
      <c r="A4204" s="67"/>
      <c r="B4204" s="67"/>
    </row>
    <row r="4205" spans="1:2" x14ac:dyDescent="0.25">
      <c r="A4205" s="67"/>
      <c r="B4205" s="67"/>
    </row>
    <row r="4206" spans="1:2" x14ac:dyDescent="0.25">
      <c r="A4206" s="67"/>
      <c r="B4206" s="67"/>
    </row>
    <row r="4207" spans="1:2" x14ac:dyDescent="0.25">
      <c r="A4207" s="67"/>
      <c r="B4207" s="67"/>
    </row>
    <row r="4208" spans="1:2" x14ac:dyDescent="0.25">
      <c r="A4208" s="67"/>
      <c r="B4208" s="67"/>
    </row>
    <row r="4209" spans="1:2" x14ac:dyDescent="0.25">
      <c r="A4209" s="67"/>
      <c r="B4209" s="67"/>
    </row>
    <row r="4210" spans="1:2" x14ac:dyDescent="0.25">
      <c r="A4210" s="67"/>
      <c r="B4210" s="67"/>
    </row>
    <row r="4211" spans="1:2" x14ac:dyDescent="0.25">
      <c r="A4211" s="67"/>
      <c r="B4211" s="67"/>
    </row>
    <row r="4212" spans="1:2" x14ac:dyDescent="0.25">
      <c r="A4212" s="67"/>
      <c r="B4212" s="67"/>
    </row>
    <row r="4213" spans="1:2" x14ac:dyDescent="0.25">
      <c r="A4213" s="67"/>
      <c r="B4213" s="67"/>
    </row>
    <row r="4214" spans="1:2" x14ac:dyDescent="0.25">
      <c r="A4214" s="67"/>
      <c r="B4214" s="67"/>
    </row>
    <row r="4215" spans="1:2" x14ac:dyDescent="0.25">
      <c r="A4215" s="67"/>
      <c r="B4215" s="67"/>
    </row>
    <row r="4216" spans="1:2" x14ac:dyDescent="0.25">
      <c r="A4216" s="67"/>
      <c r="B4216" s="67"/>
    </row>
    <row r="4217" spans="1:2" x14ac:dyDescent="0.25">
      <c r="A4217" s="67"/>
      <c r="B4217" s="67"/>
    </row>
    <row r="4218" spans="1:2" x14ac:dyDescent="0.25">
      <c r="A4218" s="67"/>
      <c r="B4218" s="67"/>
    </row>
    <row r="4219" spans="1:2" x14ac:dyDescent="0.25">
      <c r="A4219" s="67"/>
      <c r="B4219" s="67"/>
    </row>
    <row r="4220" spans="1:2" x14ac:dyDescent="0.25">
      <c r="A4220" s="67"/>
      <c r="B4220" s="67"/>
    </row>
    <row r="4221" spans="1:2" x14ac:dyDescent="0.25">
      <c r="A4221" s="67"/>
      <c r="B4221" s="67"/>
    </row>
    <row r="4222" spans="1:2" x14ac:dyDescent="0.25">
      <c r="A4222" s="67"/>
      <c r="B4222" s="67"/>
    </row>
    <row r="4223" spans="1:2" x14ac:dyDescent="0.25">
      <c r="A4223" s="67"/>
      <c r="B4223" s="67"/>
    </row>
    <row r="4224" spans="1:2" x14ac:dyDescent="0.25">
      <c r="A4224" s="67"/>
      <c r="B4224" s="67"/>
    </row>
    <row r="4225" spans="1:2" x14ac:dyDescent="0.25">
      <c r="A4225" s="67"/>
      <c r="B4225" s="67"/>
    </row>
    <row r="4226" spans="1:2" x14ac:dyDescent="0.25">
      <c r="A4226" s="67"/>
      <c r="B4226" s="67"/>
    </row>
    <row r="4227" spans="1:2" x14ac:dyDescent="0.25">
      <c r="A4227" s="67"/>
      <c r="B4227" s="67"/>
    </row>
    <row r="4228" spans="1:2" x14ac:dyDescent="0.25">
      <c r="A4228" s="67"/>
      <c r="B4228" s="67"/>
    </row>
    <row r="4229" spans="1:2" x14ac:dyDescent="0.25">
      <c r="A4229" s="67"/>
      <c r="B4229" s="67"/>
    </row>
    <row r="4230" spans="1:2" x14ac:dyDescent="0.25">
      <c r="A4230" s="67"/>
      <c r="B4230" s="67"/>
    </row>
    <row r="4231" spans="1:2" x14ac:dyDescent="0.25">
      <c r="A4231" s="67"/>
      <c r="B4231" s="67"/>
    </row>
    <row r="4232" spans="1:2" x14ac:dyDescent="0.25">
      <c r="A4232" s="67"/>
      <c r="B4232" s="67"/>
    </row>
    <row r="4233" spans="1:2" x14ac:dyDescent="0.25">
      <c r="A4233" s="67"/>
      <c r="B4233" s="67"/>
    </row>
    <row r="4234" spans="1:2" x14ac:dyDescent="0.25">
      <c r="A4234" s="67"/>
      <c r="B4234" s="67"/>
    </row>
    <row r="4235" spans="1:2" x14ac:dyDescent="0.25">
      <c r="A4235" s="67"/>
      <c r="B4235" s="67"/>
    </row>
    <row r="4236" spans="1:2" x14ac:dyDescent="0.25">
      <c r="A4236" s="67"/>
      <c r="B4236" s="67"/>
    </row>
    <row r="4237" spans="1:2" x14ac:dyDescent="0.25">
      <c r="A4237" s="67"/>
      <c r="B4237" s="67"/>
    </row>
    <row r="4238" spans="1:2" x14ac:dyDescent="0.25">
      <c r="A4238" s="67"/>
      <c r="B4238" s="67"/>
    </row>
    <row r="4239" spans="1:2" x14ac:dyDescent="0.25">
      <c r="A4239" s="67"/>
      <c r="B4239" s="67"/>
    </row>
    <row r="4240" spans="1:2" x14ac:dyDescent="0.25">
      <c r="A4240" s="67"/>
      <c r="B4240" s="67"/>
    </row>
    <row r="4241" spans="1:2" x14ac:dyDescent="0.25">
      <c r="A4241" s="67"/>
      <c r="B4241" s="67"/>
    </row>
    <row r="4242" spans="1:2" x14ac:dyDescent="0.25">
      <c r="A4242" s="67"/>
      <c r="B4242" s="67"/>
    </row>
    <row r="4243" spans="1:2" x14ac:dyDescent="0.25">
      <c r="A4243" s="67"/>
      <c r="B4243" s="67"/>
    </row>
    <row r="4244" spans="1:2" x14ac:dyDescent="0.25">
      <c r="A4244" s="67"/>
      <c r="B4244" s="67"/>
    </row>
    <row r="4245" spans="1:2" x14ac:dyDescent="0.25">
      <c r="A4245" s="67"/>
      <c r="B4245" s="67"/>
    </row>
    <row r="4246" spans="1:2" x14ac:dyDescent="0.25">
      <c r="A4246" s="67"/>
      <c r="B4246" s="67"/>
    </row>
    <row r="4247" spans="1:2" x14ac:dyDescent="0.25">
      <c r="A4247" s="67"/>
      <c r="B4247" s="67"/>
    </row>
    <row r="4248" spans="1:2" x14ac:dyDescent="0.25">
      <c r="A4248" s="67"/>
      <c r="B4248" s="67"/>
    </row>
    <row r="4249" spans="1:2" x14ac:dyDescent="0.25">
      <c r="A4249" s="67"/>
      <c r="B4249" s="67"/>
    </row>
    <row r="4250" spans="1:2" x14ac:dyDescent="0.25">
      <c r="A4250" s="67"/>
      <c r="B4250" s="67"/>
    </row>
    <row r="4251" spans="1:2" x14ac:dyDescent="0.25">
      <c r="A4251" s="67"/>
      <c r="B4251" s="67"/>
    </row>
    <row r="4252" spans="1:2" x14ac:dyDescent="0.25">
      <c r="A4252" s="67"/>
      <c r="B4252" s="67"/>
    </row>
    <row r="4253" spans="1:2" x14ac:dyDescent="0.25">
      <c r="A4253" s="67"/>
      <c r="B4253" s="67"/>
    </row>
    <row r="4254" spans="1:2" x14ac:dyDescent="0.25">
      <c r="A4254" s="67"/>
      <c r="B4254" s="67"/>
    </row>
    <row r="4255" spans="1:2" x14ac:dyDescent="0.25">
      <c r="A4255" s="67"/>
      <c r="B4255" s="67"/>
    </row>
    <row r="4256" spans="1:2" x14ac:dyDescent="0.25">
      <c r="A4256" s="67"/>
      <c r="B4256" s="67"/>
    </row>
    <row r="4257" spans="1:2" x14ac:dyDescent="0.25">
      <c r="A4257" s="67"/>
      <c r="B4257" s="67"/>
    </row>
    <row r="4258" spans="1:2" x14ac:dyDescent="0.25">
      <c r="A4258" s="67"/>
      <c r="B4258" s="67"/>
    </row>
    <row r="4259" spans="1:2" x14ac:dyDescent="0.25">
      <c r="A4259" s="67"/>
      <c r="B4259" s="67"/>
    </row>
    <row r="4260" spans="1:2" x14ac:dyDescent="0.25">
      <c r="A4260" s="67"/>
      <c r="B4260" s="67"/>
    </row>
    <row r="4261" spans="1:2" x14ac:dyDescent="0.25">
      <c r="A4261" s="67"/>
      <c r="B4261" s="67"/>
    </row>
    <row r="4262" spans="1:2" x14ac:dyDescent="0.25">
      <c r="A4262" s="67"/>
      <c r="B4262" s="67"/>
    </row>
    <row r="4263" spans="1:2" x14ac:dyDescent="0.25">
      <c r="A4263" s="67"/>
      <c r="B4263" s="67"/>
    </row>
    <row r="4264" spans="1:2" x14ac:dyDescent="0.25">
      <c r="A4264" s="67"/>
      <c r="B4264" s="67"/>
    </row>
    <row r="4265" spans="1:2" x14ac:dyDescent="0.25">
      <c r="A4265" s="67"/>
      <c r="B4265" s="67"/>
    </row>
    <row r="4266" spans="1:2" x14ac:dyDescent="0.25">
      <c r="A4266" s="67"/>
      <c r="B4266" s="67"/>
    </row>
    <row r="4267" spans="1:2" x14ac:dyDescent="0.25">
      <c r="A4267" s="67"/>
      <c r="B4267" s="67"/>
    </row>
    <row r="4268" spans="1:2" x14ac:dyDescent="0.25">
      <c r="A4268" s="67"/>
      <c r="B4268" s="67"/>
    </row>
    <row r="4269" spans="1:2" x14ac:dyDescent="0.25">
      <c r="A4269" s="67"/>
      <c r="B4269" s="67"/>
    </row>
    <row r="4270" spans="1:2" x14ac:dyDescent="0.25">
      <c r="A4270" s="67"/>
      <c r="B4270" s="67"/>
    </row>
    <row r="4271" spans="1:2" x14ac:dyDescent="0.25">
      <c r="A4271" s="67"/>
      <c r="B4271" s="67"/>
    </row>
    <row r="4272" spans="1:2" x14ac:dyDescent="0.25">
      <c r="A4272" s="67"/>
      <c r="B4272" s="67"/>
    </row>
    <row r="4273" spans="1:2" x14ac:dyDescent="0.25">
      <c r="A4273" s="67"/>
      <c r="B4273" s="67"/>
    </row>
    <row r="4274" spans="1:2" x14ac:dyDescent="0.25">
      <c r="A4274" s="67"/>
      <c r="B4274" s="67"/>
    </row>
    <row r="4275" spans="1:2" x14ac:dyDescent="0.25">
      <c r="A4275" s="67"/>
      <c r="B4275" s="67"/>
    </row>
    <row r="4276" spans="1:2" x14ac:dyDescent="0.25">
      <c r="A4276" s="67"/>
      <c r="B4276" s="67"/>
    </row>
    <row r="4277" spans="1:2" x14ac:dyDescent="0.25">
      <c r="A4277" s="67"/>
      <c r="B4277" s="67"/>
    </row>
    <row r="4278" spans="1:2" x14ac:dyDescent="0.25">
      <c r="A4278" s="67"/>
      <c r="B4278" s="67"/>
    </row>
    <row r="4279" spans="1:2" x14ac:dyDescent="0.25">
      <c r="A4279" s="67"/>
      <c r="B4279" s="67"/>
    </row>
    <row r="4280" spans="1:2" x14ac:dyDescent="0.25">
      <c r="A4280" s="67"/>
      <c r="B4280" s="67"/>
    </row>
    <row r="4281" spans="1:2" x14ac:dyDescent="0.25">
      <c r="A4281" s="67"/>
      <c r="B4281" s="67"/>
    </row>
    <row r="4282" spans="1:2" x14ac:dyDescent="0.25">
      <c r="A4282" s="67"/>
      <c r="B4282" s="67"/>
    </row>
    <row r="4283" spans="1:2" x14ac:dyDescent="0.25">
      <c r="A4283" s="67"/>
      <c r="B4283" s="67"/>
    </row>
    <row r="4284" spans="1:2" x14ac:dyDescent="0.25">
      <c r="A4284" s="67"/>
      <c r="B4284" s="67"/>
    </row>
    <row r="4285" spans="1:2" x14ac:dyDescent="0.25">
      <c r="A4285" s="67"/>
      <c r="B4285" s="67"/>
    </row>
    <row r="4286" spans="1:2" x14ac:dyDescent="0.25">
      <c r="A4286" s="67"/>
      <c r="B4286" s="67"/>
    </row>
    <row r="4287" spans="1:2" x14ac:dyDescent="0.25">
      <c r="A4287" s="67"/>
      <c r="B4287" s="67"/>
    </row>
    <row r="4288" spans="1:2" x14ac:dyDescent="0.25">
      <c r="A4288" s="67"/>
      <c r="B4288" s="67"/>
    </row>
    <row r="4289" spans="1:2" x14ac:dyDescent="0.25">
      <c r="A4289" s="67"/>
      <c r="B4289" s="67"/>
    </row>
    <row r="4290" spans="1:2" x14ac:dyDescent="0.25">
      <c r="A4290" s="67"/>
      <c r="B4290" s="67"/>
    </row>
    <row r="4291" spans="1:2" x14ac:dyDescent="0.25">
      <c r="A4291" s="67"/>
      <c r="B4291" s="67"/>
    </row>
    <row r="4292" spans="1:2" x14ac:dyDescent="0.25">
      <c r="A4292" s="67"/>
      <c r="B4292" s="67"/>
    </row>
    <row r="4293" spans="1:2" x14ac:dyDescent="0.25">
      <c r="A4293" s="67"/>
      <c r="B4293" s="67"/>
    </row>
    <row r="4294" spans="1:2" x14ac:dyDescent="0.25">
      <c r="A4294" s="67"/>
      <c r="B4294" s="67"/>
    </row>
    <row r="4295" spans="1:2" x14ac:dyDescent="0.25">
      <c r="A4295" s="67"/>
      <c r="B4295" s="67"/>
    </row>
    <row r="4296" spans="1:2" x14ac:dyDescent="0.25">
      <c r="A4296" s="67"/>
      <c r="B4296" s="67"/>
    </row>
    <row r="4297" spans="1:2" x14ac:dyDescent="0.25">
      <c r="A4297" s="67"/>
      <c r="B4297" s="67"/>
    </row>
    <row r="4298" spans="1:2" x14ac:dyDescent="0.25">
      <c r="A4298" s="67"/>
      <c r="B4298" s="67"/>
    </row>
    <row r="4299" spans="1:2" x14ac:dyDescent="0.25">
      <c r="A4299" s="67"/>
      <c r="B4299" s="67"/>
    </row>
    <row r="4300" spans="1:2" x14ac:dyDescent="0.25">
      <c r="A4300" s="67"/>
      <c r="B4300" s="67"/>
    </row>
    <row r="4301" spans="1:2" x14ac:dyDescent="0.25">
      <c r="A4301" s="67"/>
      <c r="B4301" s="67"/>
    </row>
    <row r="4302" spans="1:2" x14ac:dyDescent="0.25">
      <c r="A4302" s="67"/>
      <c r="B4302" s="67"/>
    </row>
    <row r="4303" spans="1:2" x14ac:dyDescent="0.25">
      <c r="A4303" s="67"/>
      <c r="B4303" s="67"/>
    </row>
    <row r="4304" spans="1:2" x14ac:dyDescent="0.25">
      <c r="A4304" s="67"/>
      <c r="B4304" s="67"/>
    </row>
    <row r="4305" spans="1:2" x14ac:dyDescent="0.25">
      <c r="A4305" s="67"/>
      <c r="B4305" s="67"/>
    </row>
    <row r="4306" spans="1:2" x14ac:dyDescent="0.25">
      <c r="A4306" s="67"/>
      <c r="B4306" s="67"/>
    </row>
    <row r="4307" spans="1:2" x14ac:dyDescent="0.25">
      <c r="A4307" s="67"/>
      <c r="B4307" s="67"/>
    </row>
    <row r="4308" spans="1:2" x14ac:dyDescent="0.25">
      <c r="A4308" s="67"/>
      <c r="B4308" s="67"/>
    </row>
    <row r="4309" spans="1:2" x14ac:dyDescent="0.25">
      <c r="A4309" s="67"/>
      <c r="B4309" s="67"/>
    </row>
    <row r="4310" spans="1:2" x14ac:dyDescent="0.25">
      <c r="A4310" s="67"/>
      <c r="B4310" s="67"/>
    </row>
    <row r="4311" spans="1:2" x14ac:dyDescent="0.25">
      <c r="A4311" s="67"/>
      <c r="B4311" s="67"/>
    </row>
    <row r="4312" spans="1:2" x14ac:dyDescent="0.25">
      <c r="A4312" s="67"/>
      <c r="B4312" s="67"/>
    </row>
    <row r="4313" spans="1:2" x14ac:dyDescent="0.25">
      <c r="A4313" s="67"/>
      <c r="B4313" s="67"/>
    </row>
    <row r="4314" spans="1:2" x14ac:dyDescent="0.25">
      <c r="A4314" s="67"/>
      <c r="B4314" s="67"/>
    </row>
    <row r="4315" spans="1:2" x14ac:dyDescent="0.25">
      <c r="A4315" s="67"/>
      <c r="B4315" s="67"/>
    </row>
    <row r="4316" spans="1:2" x14ac:dyDescent="0.25">
      <c r="A4316" s="67"/>
      <c r="B4316" s="67"/>
    </row>
    <row r="4317" spans="1:2" x14ac:dyDescent="0.25">
      <c r="A4317" s="67"/>
      <c r="B4317" s="67"/>
    </row>
    <row r="4318" spans="1:2" x14ac:dyDescent="0.25">
      <c r="A4318" s="67"/>
      <c r="B4318" s="67"/>
    </row>
    <row r="4319" spans="1:2" x14ac:dyDescent="0.25">
      <c r="A4319" s="67"/>
      <c r="B4319" s="67"/>
    </row>
    <row r="4320" spans="1:2" x14ac:dyDescent="0.25">
      <c r="A4320" s="67"/>
      <c r="B4320" s="67"/>
    </row>
    <row r="4321" spans="1:2" x14ac:dyDescent="0.25">
      <c r="A4321" s="67"/>
      <c r="B4321" s="67"/>
    </row>
    <row r="4322" spans="1:2" x14ac:dyDescent="0.25">
      <c r="A4322" s="67"/>
      <c r="B4322" s="67"/>
    </row>
    <row r="4323" spans="1:2" x14ac:dyDescent="0.25">
      <c r="A4323" s="67"/>
      <c r="B4323" s="67"/>
    </row>
    <row r="4324" spans="1:2" x14ac:dyDescent="0.25">
      <c r="A4324" s="67"/>
      <c r="B4324" s="67"/>
    </row>
    <row r="4325" spans="1:2" x14ac:dyDescent="0.25">
      <c r="A4325" s="67"/>
      <c r="B4325" s="67"/>
    </row>
    <row r="4326" spans="1:2" x14ac:dyDescent="0.25">
      <c r="A4326" s="67"/>
      <c r="B4326" s="67"/>
    </row>
    <row r="4327" spans="1:2" x14ac:dyDescent="0.25">
      <c r="A4327" s="67"/>
      <c r="B4327" s="67"/>
    </row>
    <row r="4328" spans="1:2" x14ac:dyDescent="0.25">
      <c r="A4328" s="67"/>
      <c r="B4328" s="67"/>
    </row>
    <row r="4329" spans="1:2" x14ac:dyDescent="0.25">
      <c r="A4329" s="67"/>
      <c r="B4329" s="67"/>
    </row>
    <row r="4330" spans="1:2" x14ac:dyDescent="0.25">
      <c r="A4330" s="67"/>
      <c r="B4330" s="67"/>
    </row>
    <row r="4331" spans="1:2" x14ac:dyDescent="0.25">
      <c r="A4331" s="67"/>
      <c r="B4331" s="67"/>
    </row>
    <row r="4332" spans="1:2" x14ac:dyDescent="0.25">
      <c r="A4332" s="67"/>
      <c r="B4332" s="67"/>
    </row>
    <row r="4333" spans="1:2" x14ac:dyDescent="0.25">
      <c r="A4333" s="67"/>
      <c r="B4333" s="67"/>
    </row>
    <row r="4334" spans="1:2" x14ac:dyDescent="0.25">
      <c r="A4334" s="67"/>
      <c r="B4334" s="67"/>
    </row>
    <row r="4335" spans="1:2" x14ac:dyDescent="0.25">
      <c r="A4335" s="67"/>
      <c r="B4335" s="67"/>
    </row>
    <row r="4336" spans="1:2" x14ac:dyDescent="0.25">
      <c r="A4336" s="67"/>
      <c r="B4336" s="67"/>
    </row>
    <row r="4337" spans="1:2" x14ac:dyDescent="0.25">
      <c r="A4337" s="67"/>
      <c r="B4337" s="67"/>
    </row>
    <row r="4338" spans="1:2" x14ac:dyDescent="0.25">
      <c r="A4338" s="67"/>
      <c r="B4338" s="67"/>
    </row>
    <row r="4339" spans="1:2" x14ac:dyDescent="0.25">
      <c r="A4339" s="67"/>
      <c r="B4339" s="67"/>
    </row>
    <row r="4340" spans="1:2" x14ac:dyDescent="0.25">
      <c r="A4340" s="67"/>
      <c r="B4340" s="67"/>
    </row>
    <row r="4341" spans="1:2" x14ac:dyDescent="0.25">
      <c r="A4341" s="67"/>
      <c r="B4341" s="67"/>
    </row>
    <row r="4342" spans="1:2" x14ac:dyDescent="0.25">
      <c r="A4342" s="67"/>
      <c r="B4342" s="67"/>
    </row>
    <row r="4343" spans="1:2" x14ac:dyDescent="0.25">
      <c r="A4343" s="67"/>
      <c r="B4343" s="67"/>
    </row>
    <row r="4344" spans="1:2" x14ac:dyDescent="0.25">
      <c r="A4344" s="67"/>
      <c r="B4344" s="67"/>
    </row>
    <row r="4345" spans="1:2" x14ac:dyDescent="0.25">
      <c r="A4345" s="67"/>
      <c r="B4345" s="67"/>
    </row>
    <row r="4346" spans="1:2" x14ac:dyDescent="0.25">
      <c r="A4346" s="67"/>
      <c r="B4346" s="67"/>
    </row>
    <row r="4347" spans="1:2" x14ac:dyDescent="0.25">
      <c r="A4347" s="67"/>
      <c r="B4347" s="67"/>
    </row>
    <row r="4348" spans="1:2" x14ac:dyDescent="0.25">
      <c r="A4348" s="67"/>
      <c r="B4348" s="67"/>
    </row>
    <row r="4349" spans="1:2" x14ac:dyDescent="0.25">
      <c r="A4349" s="67"/>
      <c r="B4349" s="67"/>
    </row>
    <row r="4350" spans="1:2" x14ac:dyDescent="0.25">
      <c r="A4350" s="67"/>
      <c r="B4350" s="67"/>
    </row>
    <row r="4351" spans="1:2" x14ac:dyDescent="0.25">
      <c r="A4351" s="67"/>
      <c r="B4351" s="67"/>
    </row>
    <row r="4352" spans="1:2" x14ac:dyDescent="0.25">
      <c r="A4352" s="67"/>
      <c r="B4352" s="67"/>
    </row>
    <row r="4353" spans="1:2" x14ac:dyDescent="0.25">
      <c r="A4353" s="67"/>
      <c r="B4353" s="67"/>
    </row>
    <row r="4354" spans="1:2" x14ac:dyDescent="0.25">
      <c r="A4354" s="67"/>
      <c r="B4354" s="67"/>
    </row>
    <row r="4355" spans="1:2" x14ac:dyDescent="0.25">
      <c r="A4355" s="67"/>
      <c r="B4355" s="67"/>
    </row>
    <row r="4356" spans="1:2" x14ac:dyDescent="0.25">
      <c r="A4356" s="67"/>
      <c r="B4356" s="67"/>
    </row>
    <row r="4357" spans="1:2" x14ac:dyDescent="0.25">
      <c r="A4357" s="67"/>
      <c r="B4357" s="67"/>
    </row>
    <row r="4358" spans="1:2" x14ac:dyDescent="0.25">
      <c r="A4358" s="67"/>
      <c r="B4358" s="67"/>
    </row>
    <row r="4359" spans="1:2" x14ac:dyDescent="0.25">
      <c r="A4359" s="67"/>
      <c r="B4359" s="67"/>
    </row>
    <row r="4360" spans="1:2" x14ac:dyDescent="0.25">
      <c r="A4360" s="67"/>
      <c r="B4360" s="67"/>
    </row>
    <row r="4361" spans="1:2" x14ac:dyDescent="0.25">
      <c r="A4361" s="67"/>
      <c r="B4361" s="67"/>
    </row>
    <row r="4362" spans="1:2" x14ac:dyDescent="0.25">
      <c r="A4362" s="67"/>
      <c r="B4362" s="67"/>
    </row>
    <row r="4363" spans="1:2" x14ac:dyDescent="0.25">
      <c r="A4363" s="67"/>
      <c r="B4363" s="67"/>
    </row>
    <row r="4364" spans="1:2" x14ac:dyDescent="0.25">
      <c r="A4364" s="67"/>
      <c r="B4364" s="67"/>
    </row>
    <row r="4365" spans="1:2" x14ac:dyDescent="0.25">
      <c r="A4365" s="67"/>
      <c r="B4365" s="67"/>
    </row>
    <row r="4366" spans="1:2" x14ac:dyDescent="0.25">
      <c r="A4366" s="67"/>
      <c r="B4366" s="67"/>
    </row>
    <row r="4367" spans="1:2" x14ac:dyDescent="0.25">
      <c r="A4367" s="67"/>
      <c r="B4367" s="67"/>
    </row>
    <row r="4368" spans="1:2" x14ac:dyDescent="0.25">
      <c r="A4368" s="67"/>
      <c r="B4368" s="67"/>
    </row>
    <row r="4369" spans="1:2" x14ac:dyDescent="0.25">
      <c r="A4369" s="67"/>
      <c r="B4369" s="67"/>
    </row>
    <row r="4370" spans="1:2" x14ac:dyDescent="0.25">
      <c r="A4370" s="67"/>
      <c r="B4370" s="67"/>
    </row>
    <row r="4371" spans="1:2" x14ac:dyDescent="0.25">
      <c r="A4371" s="67"/>
      <c r="B4371" s="67"/>
    </row>
    <row r="4372" spans="1:2" x14ac:dyDescent="0.25">
      <c r="A4372" s="67"/>
      <c r="B4372" s="67"/>
    </row>
    <row r="4373" spans="1:2" x14ac:dyDescent="0.25">
      <c r="A4373" s="67"/>
      <c r="B4373" s="67"/>
    </row>
    <row r="4374" spans="1:2" x14ac:dyDescent="0.25">
      <c r="A4374" s="67"/>
      <c r="B4374" s="67"/>
    </row>
    <row r="4375" spans="1:2" x14ac:dyDescent="0.25">
      <c r="A4375" s="67"/>
      <c r="B4375" s="67"/>
    </row>
    <row r="4376" spans="1:2" x14ac:dyDescent="0.25">
      <c r="A4376" s="67"/>
      <c r="B4376" s="67"/>
    </row>
    <row r="4377" spans="1:2" x14ac:dyDescent="0.25">
      <c r="A4377" s="67"/>
      <c r="B4377" s="67"/>
    </row>
    <row r="4378" spans="1:2" x14ac:dyDescent="0.25">
      <c r="A4378" s="67"/>
      <c r="B4378" s="67"/>
    </row>
    <row r="4379" spans="1:2" x14ac:dyDescent="0.25">
      <c r="A4379" s="67"/>
      <c r="B4379" s="67"/>
    </row>
    <row r="4380" spans="1:2" x14ac:dyDescent="0.25">
      <c r="A4380" s="67"/>
      <c r="B4380" s="67"/>
    </row>
    <row r="4381" spans="1:2" x14ac:dyDescent="0.25">
      <c r="A4381" s="67"/>
      <c r="B4381" s="67"/>
    </row>
    <row r="4382" spans="1:2" x14ac:dyDescent="0.25">
      <c r="A4382" s="67"/>
      <c r="B4382" s="67"/>
    </row>
    <row r="4383" spans="1:2" x14ac:dyDescent="0.25">
      <c r="A4383" s="67"/>
      <c r="B4383" s="67"/>
    </row>
    <row r="4384" spans="1:2" x14ac:dyDescent="0.25">
      <c r="A4384" s="67"/>
      <c r="B4384" s="67"/>
    </row>
    <row r="4385" spans="1:2" x14ac:dyDescent="0.25">
      <c r="A4385" s="67"/>
      <c r="B4385" s="67"/>
    </row>
    <row r="4386" spans="1:2" x14ac:dyDescent="0.25">
      <c r="A4386" s="67"/>
      <c r="B4386" s="67"/>
    </row>
    <row r="4387" spans="1:2" x14ac:dyDescent="0.25">
      <c r="A4387" s="67"/>
      <c r="B4387" s="67"/>
    </row>
    <row r="4388" spans="1:2" x14ac:dyDescent="0.25">
      <c r="A4388" s="67"/>
      <c r="B4388" s="67"/>
    </row>
    <row r="4389" spans="1:2" x14ac:dyDescent="0.25">
      <c r="A4389" s="67"/>
      <c r="B4389" s="67"/>
    </row>
    <row r="4390" spans="1:2" x14ac:dyDescent="0.25">
      <c r="A4390" s="67"/>
      <c r="B4390" s="67"/>
    </row>
    <row r="4391" spans="1:2" x14ac:dyDescent="0.25">
      <c r="A4391" s="67"/>
      <c r="B4391" s="67"/>
    </row>
    <row r="4392" spans="1:2" x14ac:dyDescent="0.25">
      <c r="A4392" s="67"/>
      <c r="B4392" s="67"/>
    </row>
    <row r="4393" spans="1:2" x14ac:dyDescent="0.25">
      <c r="A4393" s="67"/>
      <c r="B4393" s="67"/>
    </row>
    <row r="4394" spans="1:2" x14ac:dyDescent="0.25">
      <c r="A4394" s="67"/>
      <c r="B4394" s="67"/>
    </row>
    <row r="4395" spans="1:2" x14ac:dyDescent="0.25">
      <c r="A4395" s="67"/>
      <c r="B4395" s="67"/>
    </row>
    <row r="4396" spans="1:2" x14ac:dyDescent="0.25">
      <c r="A4396" s="67"/>
      <c r="B4396" s="67"/>
    </row>
    <row r="4397" spans="1:2" x14ac:dyDescent="0.25">
      <c r="A4397" s="67"/>
      <c r="B4397" s="67"/>
    </row>
    <row r="4398" spans="1:2" x14ac:dyDescent="0.25">
      <c r="A4398" s="67"/>
      <c r="B4398" s="67"/>
    </row>
    <row r="4399" spans="1:2" x14ac:dyDescent="0.25">
      <c r="A4399" s="67"/>
      <c r="B4399" s="67"/>
    </row>
    <row r="4400" spans="1:2" x14ac:dyDescent="0.25">
      <c r="A4400" s="67"/>
      <c r="B4400" s="67"/>
    </row>
    <row r="4401" spans="1:2" x14ac:dyDescent="0.25">
      <c r="A4401" s="67"/>
      <c r="B4401" s="67"/>
    </row>
    <row r="4402" spans="1:2" x14ac:dyDescent="0.25">
      <c r="A4402" s="67"/>
      <c r="B4402" s="67"/>
    </row>
    <row r="4403" spans="1:2" x14ac:dyDescent="0.25">
      <c r="A4403" s="67"/>
      <c r="B4403" s="67"/>
    </row>
    <row r="4404" spans="1:2" x14ac:dyDescent="0.25">
      <c r="A4404" s="67"/>
      <c r="B4404" s="67"/>
    </row>
    <row r="4405" spans="1:2" x14ac:dyDescent="0.25">
      <c r="A4405" s="67"/>
      <c r="B4405" s="67"/>
    </row>
    <row r="4406" spans="1:2" x14ac:dyDescent="0.25">
      <c r="A4406" s="67"/>
      <c r="B4406" s="67"/>
    </row>
    <row r="4407" spans="1:2" x14ac:dyDescent="0.25">
      <c r="A4407" s="67"/>
      <c r="B4407" s="67"/>
    </row>
    <row r="4408" spans="1:2" x14ac:dyDescent="0.25">
      <c r="A4408" s="67"/>
      <c r="B4408" s="67"/>
    </row>
    <row r="4409" spans="1:2" x14ac:dyDescent="0.25">
      <c r="A4409" s="67"/>
      <c r="B4409" s="67"/>
    </row>
    <row r="4410" spans="1:2" x14ac:dyDescent="0.25">
      <c r="A4410" s="67"/>
      <c r="B4410" s="67"/>
    </row>
    <row r="4411" spans="1:2" x14ac:dyDescent="0.25">
      <c r="A4411" s="67"/>
      <c r="B4411" s="67"/>
    </row>
    <row r="4412" spans="1:2" x14ac:dyDescent="0.25">
      <c r="A4412" s="67"/>
      <c r="B4412" s="67"/>
    </row>
    <row r="4413" spans="1:2" x14ac:dyDescent="0.25">
      <c r="A4413" s="67"/>
      <c r="B4413" s="67"/>
    </row>
    <row r="4414" spans="1:2" x14ac:dyDescent="0.25">
      <c r="A4414" s="67"/>
      <c r="B4414" s="67"/>
    </row>
    <row r="4415" spans="1:2" x14ac:dyDescent="0.25">
      <c r="A4415" s="67"/>
      <c r="B4415" s="67"/>
    </row>
    <row r="4416" spans="1:2" x14ac:dyDescent="0.25">
      <c r="A4416" s="67"/>
      <c r="B4416" s="67"/>
    </row>
    <row r="4417" spans="1:2" x14ac:dyDescent="0.25">
      <c r="A4417" s="67"/>
      <c r="B4417" s="67"/>
    </row>
    <row r="4418" spans="1:2" x14ac:dyDescent="0.25">
      <c r="A4418" s="67"/>
      <c r="B4418" s="67"/>
    </row>
    <row r="4419" spans="1:2" x14ac:dyDescent="0.25">
      <c r="A4419" s="67"/>
      <c r="B4419" s="67"/>
    </row>
    <row r="4420" spans="1:2" x14ac:dyDescent="0.25">
      <c r="A4420" s="67"/>
      <c r="B4420" s="67"/>
    </row>
    <row r="4421" spans="1:2" x14ac:dyDescent="0.25">
      <c r="A4421" s="67"/>
      <c r="B4421" s="67"/>
    </row>
    <row r="4422" spans="1:2" x14ac:dyDescent="0.25">
      <c r="A4422" s="67"/>
      <c r="B4422" s="67"/>
    </row>
    <row r="4423" spans="1:2" x14ac:dyDescent="0.25">
      <c r="A4423" s="67"/>
      <c r="B4423" s="67"/>
    </row>
    <row r="4424" spans="1:2" x14ac:dyDescent="0.25">
      <c r="A4424" s="67"/>
      <c r="B4424" s="67"/>
    </row>
    <row r="4425" spans="1:2" x14ac:dyDescent="0.25">
      <c r="A4425" s="67"/>
      <c r="B4425" s="67"/>
    </row>
    <row r="4426" spans="1:2" x14ac:dyDescent="0.25">
      <c r="A4426" s="67"/>
      <c r="B4426" s="67"/>
    </row>
    <row r="4427" spans="1:2" x14ac:dyDescent="0.25">
      <c r="A4427" s="67"/>
      <c r="B4427" s="67"/>
    </row>
    <row r="4428" spans="1:2" x14ac:dyDescent="0.25">
      <c r="A4428" s="67"/>
      <c r="B4428" s="67"/>
    </row>
    <row r="4429" spans="1:2" x14ac:dyDescent="0.25">
      <c r="A4429" s="67"/>
      <c r="B4429" s="67"/>
    </row>
    <row r="4430" spans="1:2" x14ac:dyDescent="0.25">
      <c r="A4430" s="67"/>
      <c r="B4430" s="67"/>
    </row>
    <row r="4431" spans="1:2" x14ac:dyDescent="0.25">
      <c r="A4431" s="67"/>
      <c r="B4431" s="67"/>
    </row>
    <row r="4432" spans="1:2" x14ac:dyDescent="0.25">
      <c r="A4432" s="67"/>
      <c r="B4432" s="67"/>
    </row>
    <row r="4433" spans="1:2" x14ac:dyDescent="0.25">
      <c r="A4433" s="67"/>
      <c r="B4433" s="67"/>
    </row>
    <row r="4434" spans="1:2" x14ac:dyDescent="0.25">
      <c r="A4434" s="67"/>
      <c r="B4434" s="67"/>
    </row>
    <row r="4435" spans="1:2" x14ac:dyDescent="0.25">
      <c r="A4435" s="67"/>
      <c r="B4435" s="67"/>
    </row>
    <row r="4436" spans="1:2" x14ac:dyDescent="0.25">
      <c r="A4436" s="67"/>
      <c r="B4436" s="67"/>
    </row>
    <row r="4437" spans="1:2" x14ac:dyDescent="0.25">
      <c r="A4437" s="67"/>
      <c r="B4437" s="67"/>
    </row>
    <row r="4438" spans="1:2" x14ac:dyDescent="0.25">
      <c r="A4438" s="67"/>
      <c r="B4438" s="67"/>
    </row>
    <row r="4439" spans="1:2" x14ac:dyDescent="0.25">
      <c r="A4439" s="67"/>
      <c r="B4439" s="67"/>
    </row>
    <row r="4440" spans="1:2" x14ac:dyDescent="0.25">
      <c r="A4440" s="67"/>
      <c r="B4440" s="67"/>
    </row>
    <row r="4441" spans="1:2" x14ac:dyDescent="0.25">
      <c r="A4441" s="67"/>
      <c r="B4441" s="67"/>
    </row>
    <row r="4442" spans="1:2" x14ac:dyDescent="0.25">
      <c r="A4442" s="67"/>
      <c r="B4442" s="67"/>
    </row>
    <row r="4443" spans="1:2" x14ac:dyDescent="0.25">
      <c r="A4443" s="67"/>
      <c r="B4443" s="67"/>
    </row>
    <row r="4444" spans="1:2" x14ac:dyDescent="0.25">
      <c r="A4444" s="67"/>
      <c r="B4444" s="67"/>
    </row>
    <row r="4445" spans="1:2" x14ac:dyDescent="0.25">
      <c r="A4445" s="67"/>
      <c r="B4445" s="67"/>
    </row>
    <row r="4446" spans="1:2" x14ac:dyDescent="0.25">
      <c r="A4446" s="67"/>
      <c r="B4446" s="67"/>
    </row>
    <row r="4447" spans="1:2" x14ac:dyDescent="0.25">
      <c r="A4447" s="67"/>
      <c r="B4447" s="67"/>
    </row>
    <row r="4448" spans="1:2" x14ac:dyDescent="0.25">
      <c r="A4448" s="67"/>
      <c r="B4448" s="67"/>
    </row>
    <row r="4449" spans="1:2" x14ac:dyDescent="0.25">
      <c r="A4449" s="67"/>
      <c r="B4449" s="67"/>
    </row>
    <row r="4450" spans="1:2" x14ac:dyDescent="0.25">
      <c r="A4450" s="67"/>
      <c r="B4450" s="67"/>
    </row>
    <row r="4451" spans="1:2" x14ac:dyDescent="0.25">
      <c r="A4451" s="67"/>
      <c r="B4451" s="67"/>
    </row>
    <row r="4452" spans="1:2" x14ac:dyDescent="0.25">
      <c r="A4452" s="67"/>
      <c r="B4452" s="67"/>
    </row>
    <row r="4453" spans="1:2" x14ac:dyDescent="0.25">
      <c r="A4453" s="67"/>
      <c r="B4453" s="67"/>
    </row>
    <row r="4454" spans="1:2" x14ac:dyDescent="0.25">
      <c r="A4454" s="67"/>
      <c r="B4454" s="67"/>
    </row>
    <row r="4455" spans="1:2" x14ac:dyDescent="0.25">
      <c r="A4455" s="67"/>
      <c r="B4455" s="67"/>
    </row>
    <row r="4456" spans="1:2" x14ac:dyDescent="0.25">
      <c r="A4456" s="67"/>
      <c r="B4456" s="67"/>
    </row>
    <row r="4457" spans="1:2" x14ac:dyDescent="0.25">
      <c r="A4457" s="67"/>
      <c r="B4457" s="67"/>
    </row>
    <row r="4458" spans="1:2" x14ac:dyDescent="0.25">
      <c r="A4458" s="67"/>
      <c r="B4458" s="67"/>
    </row>
    <row r="4459" spans="1:2" x14ac:dyDescent="0.25">
      <c r="A4459" s="67"/>
      <c r="B4459" s="67"/>
    </row>
    <row r="4460" spans="1:2" x14ac:dyDescent="0.25">
      <c r="A4460" s="67"/>
      <c r="B4460" s="67"/>
    </row>
    <row r="4461" spans="1:2" x14ac:dyDescent="0.25">
      <c r="A4461" s="67"/>
      <c r="B4461" s="67"/>
    </row>
    <row r="4462" spans="1:2" x14ac:dyDescent="0.25">
      <c r="A4462" s="67"/>
      <c r="B4462" s="67"/>
    </row>
    <row r="4463" spans="1:2" x14ac:dyDescent="0.25">
      <c r="A4463" s="67"/>
      <c r="B4463" s="67"/>
    </row>
    <row r="4464" spans="1:2" x14ac:dyDescent="0.25">
      <c r="A4464" s="67"/>
      <c r="B4464" s="67"/>
    </row>
    <row r="4465" spans="1:2" x14ac:dyDescent="0.25">
      <c r="A4465" s="67"/>
      <c r="B4465" s="67"/>
    </row>
    <row r="4466" spans="1:2" x14ac:dyDescent="0.25">
      <c r="A4466" s="67"/>
      <c r="B4466" s="67"/>
    </row>
    <row r="4467" spans="1:2" x14ac:dyDescent="0.25">
      <c r="A4467" s="67"/>
      <c r="B4467" s="67"/>
    </row>
    <row r="4468" spans="1:2" x14ac:dyDescent="0.25">
      <c r="A4468" s="67"/>
      <c r="B4468" s="67"/>
    </row>
    <row r="4469" spans="1:2" x14ac:dyDescent="0.25">
      <c r="A4469" s="67"/>
      <c r="B4469" s="67"/>
    </row>
    <row r="4470" spans="1:2" x14ac:dyDescent="0.25">
      <c r="A4470" s="67"/>
      <c r="B4470" s="67"/>
    </row>
    <row r="4471" spans="1:2" x14ac:dyDescent="0.25">
      <c r="A4471" s="67"/>
      <c r="B4471" s="67"/>
    </row>
    <row r="4472" spans="1:2" x14ac:dyDescent="0.25">
      <c r="A4472" s="67"/>
      <c r="B4472" s="67"/>
    </row>
    <row r="4473" spans="1:2" x14ac:dyDescent="0.25">
      <c r="A4473" s="67"/>
      <c r="B4473" s="67"/>
    </row>
    <row r="4474" spans="1:2" x14ac:dyDescent="0.25">
      <c r="A4474" s="67"/>
      <c r="B4474" s="67"/>
    </row>
    <row r="4475" spans="1:2" x14ac:dyDescent="0.25">
      <c r="A4475" s="67"/>
      <c r="B4475" s="67"/>
    </row>
    <row r="4476" spans="1:2" x14ac:dyDescent="0.25">
      <c r="A4476" s="67"/>
      <c r="B4476" s="67"/>
    </row>
    <row r="4477" spans="1:2" x14ac:dyDescent="0.25">
      <c r="A4477" s="67"/>
      <c r="B4477" s="67"/>
    </row>
    <row r="4478" spans="1:2" x14ac:dyDescent="0.25">
      <c r="A4478" s="67"/>
      <c r="B4478" s="67"/>
    </row>
    <row r="4479" spans="1:2" x14ac:dyDescent="0.25">
      <c r="A4479" s="67"/>
      <c r="B4479" s="67"/>
    </row>
    <row r="4480" spans="1:2" x14ac:dyDescent="0.25">
      <c r="A4480" s="67"/>
      <c r="B4480" s="67"/>
    </row>
    <row r="4481" spans="1:2" x14ac:dyDescent="0.25">
      <c r="A4481" s="67"/>
      <c r="B4481" s="67"/>
    </row>
    <row r="4482" spans="1:2" x14ac:dyDescent="0.25">
      <c r="A4482" s="67"/>
      <c r="B4482" s="67"/>
    </row>
    <row r="4483" spans="1:2" x14ac:dyDescent="0.25">
      <c r="A4483" s="67"/>
      <c r="B4483" s="67"/>
    </row>
    <row r="4484" spans="1:2" x14ac:dyDescent="0.25">
      <c r="A4484" s="67"/>
      <c r="B4484" s="67"/>
    </row>
    <row r="4485" spans="1:2" x14ac:dyDescent="0.25">
      <c r="A4485" s="67"/>
      <c r="B4485" s="67"/>
    </row>
    <row r="4486" spans="1:2" x14ac:dyDescent="0.25">
      <c r="A4486" s="67"/>
      <c r="B4486" s="67"/>
    </row>
    <row r="4487" spans="1:2" x14ac:dyDescent="0.25">
      <c r="A4487" s="67"/>
      <c r="B4487" s="67"/>
    </row>
    <row r="4488" spans="1:2" x14ac:dyDescent="0.25">
      <c r="A4488" s="67"/>
      <c r="B4488" s="67"/>
    </row>
    <row r="4489" spans="1:2" x14ac:dyDescent="0.25">
      <c r="A4489" s="67"/>
      <c r="B4489" s="67"/>
    </row>
    <row r="4490" spans="1:2" x14ac:dyDescent="0.25">
      <c r="A4490" s="67"/>
      <c r="B4490" s="67"/>
    </row>
    <row r="4491" spans="1:2" x14ac:dyDescent="0.25">
      <c r="A4491" s="67"/>
      <c r="B4491" s="67"/>
    </row>
    <row r="4492" spans="1:2" x14ac:dyDescent="0.25">
      <c r="A4492" s="67"/>
      <c r="B4492" s="67"/>
    </row>
    <row r="4493" spans="1:2" x14ac:dyDescent="0.25">
      <c r="A4493" s="67"/>
      <c r="B4493" s="67"/>
    </row>
    <row r="4494" spans="1:2" x14ac:dyDescent="0.25">
      <c r="A4494" s="67"/>
      <c r="B4494" s="67"/>
    </row>
    <row r="4495" spans="1:2" x14ac:dyDescent="0.25">
      <c r="A4495" s="67"/>
      <c r="B4495" s="67"/>
    </row>
    <row r="4496" spans="1:2" x14ac:dyDescent="0.25">
      <c r="A4496" s="67"/>
      <c r="B4496" s="67"/>
    </row>
    <row r="4497" spans="1:2" x14ac:dyDescent="0.25">
      <c r="A4497" s="67"/>
      <c r="B4497" s="67"/>
    </row>
    <row r="4498" spans="1:2" x14ac:dyDescent="0.25">
      <c r="A4498" s="67"/>
      <c r="B4498" s="67"/>
    </row>
    <row r="4499" spans="1:2" x14ac:dyDescent="0.25">
      <c r="A4499" s="67"/>
      <c r="B4499" s="67"/>
    </row>
    <row r="4500" spans="1:2" x14ac:dyDescent="0.25">
      <c r="A4500" s="67"/>
      <c r="B4500" s="67"/>
    </row>
    <row r="4501" spans="1:2" x14ac:dyDescent="0.25">
      <c r="A4501" s="67"/>
      <c r="B4501" s="67"/>
    </row>
    <row r="4502" spans="1:2" x14ac:dyDescent="0.25">
      <c r="A4502" s="67"/>
      <c r="B4502" s="67"/>
    </row>
    <row r="4503" spans="1:2" x14ac:dyDescent="0.25">
      <c r="A4503" s="67"/>
      <c r="B4503" s="67"/>
    </row>
    <row r="4504" spans="1:2" x14ac:dyDescent="0.25">
      <c r="A4504" s="67"/>
      <c r="B4504" s="67"/>
    </row>
    <row r="4505" spans="1:2" x14ac:dyDescent="0.25">
      <c r="A4505" s="67"/>
      <c r="B4505" s="67"/>
    </row>
    <row r="4506" spans="1:2" x14ac:dyDescent="0.25">
      <c r="A4506" s="67"/>
      <c r="B4506" s="67"/>
    </row>
    <row r="4507" spans="1:2" x14ac:dyDescent="0.25">
      <c r="A4507" s="67"/>
      <c r="B4507" s="67"/>
    </row>
    <row r="4508" spans="1:2" x14ac:dyDescent="0.25">
      <c r="A4508" s="67"/>
      <c r="B4508" s="67"/>
    </row>
    <row r="4509" spans="1:2" x14ac:dyDescent="0.25">
      <c r="A4509" s="67"/>
      <c r="B4509" s="67"/>
    </row>
    <row r="4510" spans="1:2" x14ac:dyDescent="0.25">
      <c r="A4510" s="67"/>
      <c r="B4510" s="67"/>
    </row>
    <row r="4511" spans="1:2" x14ac:dyDescent="0.25">
      <c r="A4511" s="67"/>
      <c r="B4511" s="67"/>
    </row>
    <row r="4512" spans="1:2" x14ac:dyDescent="0.25">
      <c r="A4512" s="67"/>
      <c r="B4512" s="67"/>
    </row>
    <row r="4513" spans="1:2" x14ac:dyDescent="0.25">
      <c r="A4513" s="67"/>
      <c r="B4513" s="67"/>
    </row>
    <row r="4514" spans="1:2" x14ac:dyDescent="0.25">
      <c r="A4514" s="67"/>
      <c r="B4514" s="67"/>
    </row>
    <row r="4515" spans="1:2" x14ac:dyDescent="0.25">
      <c r="A4515" s="67"/>
      <c r="B4515" s="67"/>
    </row>
    <row r="4516" spans="1:2" x14ac:dyDescent="0.25">
      <c r="A4516" s="67"/>
      <c r="B4516" s="67"/>
    </row>
    <row r="4517" spans="1:2" x14ac:dyDescent="0.25">
      <c r="A4517" s="67"/>
      <c r="B4517" s="67"/>
    </row>
    <row r="4518" spans="1:2" x14ac:dyDescent="0.25">
      <c r="A4518" s="67"/>
      <c r="B4518" s="67"/>
    </row>
    <row r="4519" spans="1:2" x14ac:dyDescent="0.25">
      <c r="A4519" s="67"/>
      <c r="B4519" s="67"/>
    </row>
    <row r="4520" spans="1:2" x14ac:dyDescent="0.25">
      <c r="A4520" s="67"/>
      <c r="B4520" s="67"/>
    </row>
    <row r="4521" spans="1:2" x14ac:dyDescent="0.25">
      <c r="A4521" s="67"/>
      <c r="B4521" s="67"/>
    </row>
    <row r="4522" spans="1:2" x14ac:dyDescent="0.25">
      <c r="A4522" s="67"/>
      <c r="B4522" s="67"/>
    </row>
    <row r="4523" spans="1:2" x14ac:dyDescent="0.25">
      <c r="A4523" s="67"/>
      <c r="B4523" s="67"/>
    </row>
    <row r="4524" spans="1:2" x14ac:dyDescent="0.25">
      <c r="A4524" s="67"/>
      <c r="B4524" s="67"/>
    </row>
    <row r="4525" spans="1:2" x14ac:dyDescent="0.25">
      <c r="A4525" s="67"/>
      <c r="B4525" s="67"/>
    </row>
    <row r="4526" spans="1:2" x14ac:dyDescent="0.25">
      <c r="A4526" s="67"/>
      <c r="B4526" s="67"/>
    </row>
    <row r="4527" spans="1:2" x14ac:dyDescent="0.25">
      <c r="A4527" s="67"/>
      <c r="B4527" s="67"/>
    </row>
    <row r="4528" spans="1:2" x14ac:dyDescent="0.25">
      <c r="A4528" s="67"/>
      <c r="B4528" s="67"/>
    </row>
    <row r="4529" spans="1:2" x14ac:dyDescent="0.25">
      <c r="A4529" s="67"/>
      <c r="B4529" s="67"/>
    </row>
    <row r="4530" spans="1:2" x14ac:dyDescent="0.25">
      <c r="A4530" s="67"/>
      <c r="B4530" s="67"/>
    </row>
    <row r="4531" spans="1:2" x14ac:dyDescent="0.25">
      <c r="A4531" s="67"/>
      <c r="B4531" s="67"/>
    </row>
    <row r="4532" spans="1:2" x14ac:dyDescent="0.25">
      <c r="A4532" s="67"/>
      <c r="B4532" s="67"/>
    </row>
    <row r="4533" spans="1:2" x14ac:dyDescent="0.25">
      <c r="A4533" s="67"/>
      <c r="B4533" s="67"/>
    </row>
    <row r="4534" spans="1:2" x14ac:dyDescent="0.25">
      <c r="A4534" s="67"/>
      <c r="B4534" s="67"/>
    </row>
    <row r="4535" spans="1:2" x14ac:dyDescent="0.25">
      <c r="A4535" s="67"/>
      <c r="B4535" s="67"/>
    </row>
    <row r="4536" spans="1:2" x14ac:dyDescent="0.25">
      <c r="A4536" s="67"/>
      <c r="B4536" s="67"/>
    </row>
    <row r="4537" spans="1:2" x14ac:dyDescent="0.25">
      <c r="A4537" s="67"/>
      <c r="B4537" s="67"/>
    </row>
    <row r="4538" spans="1:2" x14ac:dyDescent="0.25">
      <c r="A4538" s="67"/>
      <c r="B4538" s="67"/>
    </row>
    <row r="4539" spans="1:2" x14ac:dyDescent="0.25">
      <c r="A4539" s="67"/>
      <c r="B4539" s="67"/>
    </row>
    <row r="4540" spans="1:2" x14ac:dyDescent="0.25">
      <c r="A4540" s="67"/>
      <c r="B4540" s="67"/>
    </row>
    <row r="4541" spans="1:2" x14ac:dyDescent="0.25">
      <c r="A4541" s="67"/>
      <c r="B4541" s="67"/>
    </row>
    <row r="4542" spans="1:2" x14ac:dyDescent="0.25">
      <c r="A4542" s="67"/>
      <c r="B4542" s="67"/>
    </row>
    <row r="4543" spans="1:2" x14ac:dyDescent="0.25">
      <c r="A4543" s="67"/>
      <c r="B4543" s="67"/>
    </row>
    <row r="4544" spans="1:2" x14ac:dyDescent="0.25">
      <c r="A4544" s="67"/>
      <c r="B4544" s="67"/>
    </row>
    <row r="4545" spans="1:2" x14ac:dyDescent="0.25">
      <c r="A4545" s="67"/>
      <c r="B4545" s="67"/>
    </row>
    <row r="4546" spans="1:2" x14ac:dyDescent="0.25">
      <c r="A4546" s="67"/>
      <c r="B4546" s="67"/>
    </row>
    <row r="4547" spans="1:2" x14ac:dyDescent="0.25">
      <c r="A4547" s="67"/>
      <c r="B4547" s="67"/>
    </row>
    <row r="4548" spans="1:2" x14ac:dyDescent="0.25">
      <c r="A4548" s="67"/>
      <c r="B4548" s="67"/>
    </row>
    <row r="4549" spans="1:2" x14ac:dyDescent="0.25">
      <c r="A4549" s="67"/>
      <c r="B4549" s="67"/>
    </row>
    <row r="4550" spans="1:2" x14ac:dyDescent="0.25">
      <c r="A4550" s="67"/>
      <c r="B4550" s="67"/>
    </row>
    <row r="4551" spans="1:2" x14ac:dyDescent="0.25">
      <c r="A4551" s="67"/>
      <c r="B4551" s="67"/>
    </row>
    <row r="4552" spans="1:2" x14ac:dyDescent="0.25">
      <c r="A4552" s="67"/>
      <c r="B4552" s="67"/>
    </row>
    <row r="4553" spans="1:2" x14ac:dyDescent="0.25">
      <c r="A4553" s="67"/>
      <c r="B4553" s="67"/>
    </row>
    <row r="4554" spans="1:2" x14ac:dyDescent="0.25">
      <c r="A4554" s="67"/>
      <c r="B4554" s="67"/>
    </row>
    <row r="4555" spans="1:2" x14ac:dyDescent="0.25">
      <c r="A4555" s="67"/>
      <c r="B4555" s="67"/>
    </row>
    <row r="4556" spans="1:2" x14ac:dyDescent="0.25">
      <c r="A4556" s="67"/>
      <c r="B4556" s="67"/>
    </row>
    <row r="4557" spans="1:2" x14ac:dyDescent="0.25">
      <c r="A4557" s="67"/>
      <c r="B4557" s="67"/>
    </row>
    <row r="4558" spans="1:2" x14ac:dyDescent="0.25">
      <c r="A4558" s="67"/>
      <c r="B4558" s="67"/>
    </row>
    <row r="4559" spans="1:2" x14ac:dyDescent="0.25">
      <c r="A4559" s="67"/>
      <c r="B4559" s="67"/>
    </row>
    <row r="4560" spans="1:2" x14ac:dyDescent="0.25">
      <c r="A4560" s="67"/>
      <c r="B4560" s="67"/>
    </row>
    <row r="4561" spans="1:2" x14ac:dyDescent="0.25">
      <c r="A4561" s="67"/>
      <c r="B4561" s="67"/>
    </row>
    <row r="4562" spans="1:2" x14ac:dyDescent="0.25">
      <c r="A4562" s="67"/>
      <c r="B4562" s="67"/>
    </row>
    <row r="4563" spans="1:2" x14ac:dyDescent="0.25">
      <c r="A4563" s="67"/>
      <c r="B4563" s="67"/>
    </row>
    <row r="4564" spans="1:2" x14ac:dyDescent="0.25">
      <c r="A4564" s="67"/>
      <c r="B4564" s="67"/>
    </row>
    <row r="4565" spans="1:2" x14ac:dyDescent="0.25">
      <c r="A4565" s="67"/>
      <c r="B4565" s="67"/>
    </row>
    <row r="4566" spans="1:2" x14ac:dyDescent="0.25">
      <c r="A4566" s="67"/>
      <c r="B4566" s="67"/>
    </row>
    <row r="4567" spans="1:2" x14ac:dyDescent="0.25">
      <c r="A4567" s="67"/>
      <c r="B4567" s="67"/>
    </row>
    <row r="4568" spans="1:2" x14ac:dyDescent="0.25">
      <c r="A4568" s="67"/>
      <c r="B4568" s="67"/>
    </row>
    <row r="4569" spans="1:2" x14ac:dyDescent="0.25">
      <c r="A4569" s="67"/>
      <c r="B4569" s="67"/>
    </row>
    <row r="4570" spans="1:2" x14ac:dyDescent="0.25">
      <c r="A4570" s="67"/>
      <c r="B4570" s="67"/>
    </row>
    <row r="4571" spans="1:2" x14ac:dyDescent="0.25">
      <c r="A4571" s="67"/>
      <c r="B4571" s="67"/>
    </row>
    <row r="4572" spans="1:2" x14ac:dyDescent="0.25">
      <c r="A4572" s="67"/>
      <c r="B4572" s="67"/>
    </row>
    <row r="4573" spans="1:2" x14ac:dyDescent="0.25">
      <c r="A4573" s="67"/>
      <c r="B4573" s="67"/>
    </row>
    <row r="4574" spans="1:2" x14ac:dyDescent="0.25">
      <c r="A4574" s="67"/>
      <c r="B4574" s="67"/>
    </row>
    <row r="4575" spans="1:2" x14ac:dyDescent="0.25">
      <c r="A4575" s="67"/>
      <c r="B4575" s="67"/>
    </row>
    <row r="4576" spans="1:2" x14ac:dyDescent="0.25">
      <c r="A4576" s="67"/>
      <c r="B4576" s="67"/>
    </row>
    <row r="4577" spans="1:2" x14ac:dyDescent="0.25">
      <c r="A4577" s="67"/>
      <c r="B4577" s="67"/>
    </row>
    <row r="4578" spans="1:2" x14ac:dyDescent="0.25">
      <c r="A4578" s="67"/>
      <c r="B4578" s="67"/>
    </row>
    <row r="4579" spans="1:2" x14ac:dyDescent="0.25">
      <c r="A4579" s="67"/>
      <c r="B4579" s="67"/>
    </row>
    <row r="4580" spans="1:2" x14ac:dyDescent="0.25">
      <c r="A4580" s="67"/>
      <c r="B4580" s="67"/>
    </row>
    <row r="4581" spans="1:2" x14ac:dyDescent="0.25">
      <c r="A4581" s="67"/>
      <c r="B4581" s="67"/>
    </row>
    <row r="4582" spans="1:2" x14ac:dyDescent="0.25">
      <c r="A4582" s="67"/>
      <c r="B4582" s="67"/>
    </row>
    <row r="4583" spans="1:2" x14ac:dyDescent="0.25">
      <c r="A4583" s="67"/>
      <c r="B4583" s="67"/>
    </row>
    <row r="4584" spans="1:2" x14ac:dyDescent="0.25">
      <c r="A4584" s="67"/>
      <c r="B4584" s="67"/>
    </row>
    <row r="4585" spans="1:2" x14ac:dyDescent="0.25">
      <c r="A4585" s="67"/>
      <c r="B4585" s="67"/>
    </row>
    <row r="4586" spans="1:2" x14ac:dyDescent="0.25">
      <c r="A4586" s="67"/>
      <c r="B4586" s="67"/>
    </row>
    <row r="4587" spans="1:2" x14ac:dyDescent="0.25">
      <c r="A4587" s="67"/>
      <c r="B4587" s="67"/>
    </row>
    <row r="4588" spans="1:2" x14ac:dyDescent="0.25">
      <c r="A4588" s="67"/>
      <c r="B4588" s="67"/>
    </row>
    <row r="4589" spans="1:2" x14ac:dyDescent="0.25">
      <c r="A4589" s="67"/>
      <c r="B4589" s="67"/>
    </row>
    <row r="4590" spans="1:2" x14ac:dyDescent="0.25">
      <c r="A4590" s="67"/>
      <c r="B4590" s="67"/>
    </row>
    <row r="4591" spans="1:2" x14ac:dyDescent="0.25">
      <c r="A4591" s="67"/>
      <c r="B4591" s="67"/>
    </row>
    <row r="4592" spans="1:2" x14ac:dyDescent="0.25">
      <c r="A4592" s="67"/>
      <c r="B4592" s="67"/>
    </row>
    <row r="4593" spans="1:2" x14ac:dyDescent="0.25">
      <c r="A4593" s="67"/>
      <c r="B4593" s="67"/>
    </row>
    <row r="4594" spans="1:2" x14ac:dyDescent="0.25">
      <c r="A4594" s="67"/>
      <c r="B4594" s="67"/>
    </row>
    <row r="4595" spans="1:2" x14ac:dyDescent="0.25">
      <c r="A4595" s="67"/>
      <c r="B4595" s="67"/>
    </row>
    <row r="4596" spans="1:2" x14ac:dyDescent="0.25">
      <c r="A4596" s="67"/>
      <c r="B4596" s="67"/>
    </row>
    <row r="4597" spans="1:2" x14ac:dyDescent="0.25">
      <c r="A4597" s="67"/>
      <c r="B4597" s="67"/>
    </row>
    <row r="4598" spans="1:2" x14ac:dyDescent="0.25">
      <c r="A4598" s="67"/>
      <c r="B4598" s="67"/>
    </row>
    <row r="4599" spans="1:2" x14ac:dyDescent="0.25">
      <c r="A4599" s="67"/>
      <c r="B4599" s="67"/>
    </row>
    <row r="4600" spans="1:2" x14ac:dyDescent="0.25">
      <c r="A4600" s="67"/>
      <c r="B4600" s="67"/>
    </row>
    <row r="4601" spans="1:2" x14ac:dyDescent="0.25">
      <c r="A4601" s="67"/>
      <c r="B4601" s="67"/>
    </row>
    <row r="4602" spans="1:2" x14ac:dyDescent="0.25">
      <c r="A4602" s="67"/>
      <c r="B4602" s="67"/>
    </row>
    <row r="4603" spans="1:2" x14ac:dyDescent="0.25">
      <c r="A4603" s="67"/>
      <c r="B4603" s="67"/>
    </row>
    <row r="4604" spans="1:2" x14ac:dyDescent="0.25">
      <c r="A4604" s="67"/>
      <c r="B4604" s="67"/>
    </row>
    <row r="4605" spans="1:2" x14ac:dyDescent="0.25">
      <c r="A4605" s="67"/>
      <c r="B4605" s="67"/>
    </row>
    <row r="4606" spans="1:2" x14ac:dyDescent="0.25">
      <c r="A4606" s="67"/>
      <c r="B4606" s="67"/>
    </row>
    <row r="4607" spans="1:2" x14ac:dyDescent="0.25">
      <c r="A4607" s="67"/>
      <c r="B4607" s="67"/>
    </row>
    <row r="4608" spans="1:2" x14ac:dyDescent="0.25">
      <c r="A4608" s="67"/>
      <c r="B4608" s="67"/>
    </row>
    <row r="4609" spans="1:2" x14ac:dyDescent="0.25">
      <c r="A4609" s="67"/>
      <c r="B4609" s="67"/>
    </row>
    <row r="4610" spans="1:2" x14ac:dyDescent="0.25">
      <c r="A4610" s="67"/>
      <c r="B4610" s="67"/>
    </row>
    <row r="4611" spans="1:2" x14ac:dyDescent="0.25">
      <c r="A4611" s="67"/>
      <c r="B4611" s="67"/>
    </row>
    <row r="4612" spans="1:2" x14ac:dyDescent="0.25">
      <c r="A4612" s="67"/>
      <c r="B4612" s="67"/>
    </row>
    <row r="4613" spans="1:2" x14ac:dyDescent="0.25">
      <c r="A4613" s="67"/>
      <c r="B4613" s="67"/>
    </row>
    <row r="4614" spans="1:2" x14ac:dyDescent="0.25">
      <c r="A4614" s="67"/>
      <c r="B4614" s="67"/>
    </row>
    <row r="4615" spans="1:2" x14ac:dyDescent="0.25">
      <c r="A4615" s="67"/>
      <c r="B4615" s="67"/>
    </row>
    <row r="4616" spans="1:2" x14ac:dyDescent="0.25">
      <c r="A4616" s="67"/>
      <c r="B4616" s="67"/>
    </row>
    <row r="4617" spans="1:2" x14ac:dyDescent="0.25">
      <c r="A4617" s="67"/>
      <c r="B4617" s="67"/>
    </row>
    <row r="4618" spans="1:2" x14ac:dyDescent="0.25">
      <c r="A4618" s="67"/>
      <c r="B4618" s="67"/>
    </row>
    <row r="4619" spans="1:2" x14ac:dyDescent="0.25">
      <c r="A4619" s="67"/>
      <c r="B4619" s="67"/>
    </row>
    <row r="4620" spans="1:2" x14ac:dyDescent="0.25">
      <c r="A4620" s="67"/>
      <c r="B4620" s="67"/>
    </row>
    <row r="4621" spans="1:2" x14ac:dyDescent="0.25">
      <c r="A4621" s="67"/>
      <c r="B4621" s="67"/>
    </row>
    <row r="4622" spans="1:2" x14ac:dyDescent="0.25">
      <c r="A4622" s="67"/>
      <c r="B4622" s="67"/>
    </row>
    <row r="4623" spans="1:2" x14ac:dyDescent="0.25">
      <c r="A4623" s="67"/>
      <c r="B4623" s="67"/>
    </row>
    <row r="4624" spans="1:2" x14ac:dyDescent="0.25">
      <c r="A4624" s="67"/>
      <c r="B4624" s="67"/>
    </row>
    <row r="4625" spans="1:2" x14ac:dyDescent="0.25">
      <c r="A4625" s="67"/>
      <c r="B4625" s="67"/>
    </row>
    <row r="4626" spans="1:2" x14ac:dyDescent="0.25">
      <c r="A4626" s="67"/>
      <c r="B4626" s="67"/>
    </row>
    <row r="4627" spans="1:2" x14ac:dyDescent="0.25">
      <c r="A4627" s="67"/>
      <c r="B4627" s="67"/>
    </row>
    <row r="4628" spans="1:2" x14ac:dyDescent="0.25">
      <c r="A4628" s="67"/>
      <c r="B4628" s="67"/>
    </row>
    <row r="4629" spans="1:2" x14ac:dyDescent="0.25">
      <c r="A4629" s="67"/>
      <c r="B4629" s="67"/>
    </row>
    <row r="4630" spans="1:2" x14ac:dyDescent="0.25">
      <c r="A4630" s="67"/>
      <c r="B4630" s="67"/>
    </row>
    <row r="4631" spans="1:2" x14ac:dyDescent="0.25">
      <c r="A4631" s="67"/>
      <c r="B4631" s="67"/>
    </row>
    <row r="4632" spans="1:2" x14ac:dyDescent="0.25">
      <c r="A4632" s="67"/>
      <c r="B4632" s="67"/>
    </row>
    <row r="4633" spans="1:2" x14ac:dyDescent="0.25">
      <c r="A4633" s="67"/>
      <c r="B4633" s="67"/>
    </row>
    <row r="4634" spans="1:2" x14ac:dyDescent="0.25">
      <c r="A4634" s="67"/>
      <c r="B4634" s="67"/>
    </row>
    <row r="4635" spans="1:2" x14ac:dyDescent="0.25">
      <c r="A4635" s="67"/>
      <c r="B4635" s="67"/>
    </row>
    <row r="4636" spans="1:2" x14ac:dyDescent="0.25">
      <c r="A4636" s="67"/>
      <c r="B4636" s="67"/>
    </row>
    <row r="4637" spans="1:2" x14ac:dyDescent="0.25">
      <c r="A4637" s="67"/>
      <c r="B4637" s="67"/>
    </row>
    <row r="4638" spans="1:2" x14ac:dyDescent="0.25">
      <c r="A4638" s="67"/>
      <c r="B4638" s="67"/>
    </row>
    <row r="4639" spans="1:2" x14ac:dyDescent="0.25">
      <c r="A4639" s="67"/>
      <c r="B4639" s="67"/>
    </row>
    <row r="4640" spans="1:2" x14ac:dyDescent="0.25">
      <c r="A4640" s="67"/>
      <c r="B4640" s="67"/>
    </row>
    <row r="4641" spans="1:2" x14ac:dyDescent="0.25">
      <c r="A4641" s="67"/>
      <c r="B4641" s="67"/>
    </row>
    <row r="4642" spans="1:2" x14ac:dyDescent="0.25">
      <c r="A4642" s="67"/>
      <c r="B4642" s="67"/>
    </row>
    <row r="4643" spans="1:2" x14ac:dyDescent="0.25">
      <c r="A4643" s="67"/>
      <c r="B4643" s="67"/>
    </row>
    <row r="4644" spans="1:2" x14ac:dyDescent="0.25">
      <c r="A4644" s="67"/>
      <c r="B4644" s="67"/>
    </row>
    <row r="4645" spans="1:2" x14ac:dyDescent="0.25">
      <c r="A4645" s="67"/>
      <c r="B4645" s="67"/>
    </row>
    <row r="4646" spans="1:2" x14ac:dyDescent="0.25">
      <c r="A4646" s="67"/>
      <c r="B4646" s="67"/>
    </row>
    <row r="4647" spans="1:2" x14ac:dyDescent="0.25">
      <c r="A4647" s="67"/>
      <c r="B4647" s="67"/>
    </row>
    <row r="4648" spans="1:2" x14ac:dyDescent="0.25">
      <c r="A4648" s="67"/>
      <c r="B4648" s="67"/>
    </row>
    <row r="4649" spans="1:2" x14ac:dyDescent="0.25">
      <c r="A4649" s="67"/>
      <c r="B4649" s="67"/>
    </row>
    <row r="4650" spans="1:2" x14ac:dyDescent="0.25">
      <c r="A4650" s="67"/>
      <c r="B4650" s="67"/>
    </row>
    <row r="4651" spans="1:2" x14ac:dyDescent="0.25">
      <c r="A4651" s="67"/>
      <c r="B4651" s="67"/>
    </row>
    <row r="4652" spans="1:2" x14ac:dyDescent="0.25">
      <c r="A4652" s="67"/>
      <c r="B4652" s="67"/>
    </row>
    <row r="4653" spans="1:2" x14ac:dyDescent="0.25">
      <c r="A4653" s="67"/>
      <c r="B4653" s="67"/>
    </row>
    <row r="4654" spans="1:2" x14ac:dyDescent="0.25">
      <c r="A4654" s="67"/>
      <c r="B4654" s="67"/>
    </row>
    <row r="4655" spans="1:2" x14ac:dyDescent="0.25">
      <c r="A4655" s="67"/>
      <c r="B4655" s="67"/>
    </row>
    <row r="4656" spans="1:2" x14ac:dyDescent="0.25">
      <c r="A4656" s="67"/>
      <c r="B4656" s="67"/>
    </row>
    <row r="4657" spans="1:2" x14ac:dyDescent="0.25">
      <c r="A4657" s="67"/>
      <c r="B4657" s="67"/>
    </row>
    <row r="4658" spans="1:2" x14ac:dyDescent="0.25">
      <c r="A4658" s="67"/>
      <c r="B4658" s="67"/>
    </row>
    <row r="4659" spans="1:2" x14ac:dyDescent="0.25">
      <c r="A4659" s="67"/>
      <c r="B4659" s="67"/>
    </row>
    <row r="4660" spans="1:2" x14ac:dyDescent="0.25">
      <c r="A4660" s="67"/>
      <c r="B4660" s="67"/>
    </row>
    <row r="4661" spans="1:2" x14ac:dyDescent="0.25">
      <c r="A4661" s="67"/>
      <c r="B4661" s="67"/>
    </row>
    <row r="4662" spans="1:2" x14ac:dyDescent="0.25">
      <c r="A4662" s="67"/>
      <c r="B4662" s="67"/>
    </row>
    <row r="4663" spans="1:2" x14ac:dyDescent="0.25">
      <c r="A4663" s="67"/>
      <c r="B4663" s="67"/>
    </row>
    <row r="4664" spans="1:2" x14ac:dyDescent="0.25">
      <c r="A4664" s="67"/>
      <c r="B4664" s="67"/>
    </row>
    <row r="4665" spans="1:2" x14ac:dyDescent="0.25">
      <c r="A4665" s="67"/>
      <c r="B4665" s="67"/>
    </row>
    <row r="4666" spans="1:2" x14ac:dyDescent="0.25">
      <c r="A4666" s="67"/>
      <c r="B4666" s="67"/>
    </row>
    <row r="4667" spans="1:2" x14ac:dyDescent="0.25">
      <c r="A4667" s="67"/>
      <c r="B4667" s="67"/>
    </row>
    <row r="4668" spans="1:2" x14ac:dyDescent="0.25">
      <c r="A4668" s="67"/>
      <c r="B4668" s="67"/>
    </row>
    <row r="4669" spans="1:2" x14ac:dyDescent="0.25">
      <c r="A4669" s="67"/>
      <c r="B4669" s="67"/>
    </row>
    <row r="4670" spans="1:2" x14ac:dyDescent="0.25">
      <c r="A4670" s="67"/>
      <c r="B4670" s="67"/>
    </row>
    <row r="4671" spans="1:2" x14ac:dyDescent="0.25">
      <c r="A4671" s="67"/>
      <c r="B4671" s="67"/>
    </row>
    <row r="4672" spans="1:2" x14ac:dyDescent="0.25">
      <c r="A4672" s="67"/>
      <c r="B4672" s="67"/>
    </row>
    <row r="4673" spans="1:2" x14ac:dyDescent="0.25">
      <c r="A4673" s="67"/>
      <c r="B4673" s="67"/>
    </row>
    <row r="4674" spans="1:2" x14ac:dyDescent="0.25">
      <c r="A4674" s="67"/>
      <c r="B4674" s="67"/>
    </row>
    <row r="4675" spans="1:2" x14ac:dyDescent="0.25">
      <c r="A4675" s="67"/>
      <c r="B4675" s="67"/>
    </row>
    <row r="4676" spans="1:2" x14ac:dyDescent="0.25">
      <c r="A4676" s="67"/>
      <c r="B4676" s="67"/>
    </row>
    <row r="4677" spans="1:2" x14ac:dyDescent="0.25">
      <c r="A4677" s="67"/>
      <c r="B4677" s="67"/>
    </row>
    <row r="4678" spans="1:2" x14ac:dyDescent="0.25">
      <c r="A4678" s="67"/>
      <c r="B4678" s="67"/>
    </row>
    <row r="4679" spans="1:2" x14ac:dyDescent="0.25">
      <c r="A4679" s="67"/>
      <c r="B4679" s="67"/>
    </row>
    <row r="4680" spans="1:2" x14ac:dyDescent="0.25">
      <c r="A4680" s="67"/>
      <c r="B4680" s="67"/>
    </row>
    <row r="4681" spans="1:2" x14ac:dyDescent="0.25">
      <c r="A4681" s="67"/>
      <c r="B4681" s="67"/>
    </row>
    <row r="4682" spans="1:2" x14ac:dyDescent="0.25">
      <c r="A4682" s="67"/>
      <c r="B4682" s="67"/>
    </row>
    <row r="4683" spans="1:2" x14ac:dyDescent="0.25">
      <c r="A4683" s="67"/>
      <c r="B4683" s="67"/>
    </row>
    <row r="4684" spans="1:2" x14ac:dyDescent="0.25">
      <c r="A4684" s="67"/>
      <c r="B4684" s="67"/>
    </row>
    <row r="4685" spans="1:2" x14ac:dyDescent="0.25">
      <c r="A4685" s="67"/>
      <c r="B4685" s="67"/>
    </row>
    <row r="4686" spans="1:2" x14ac:dyDescent="0.25">
      <c r="A4686" s="67"/>
      <c r="B4686" s="67"/>
    </row>
    <row r="4687" spans="1:2" x14ac:dyDescent="0.25">
      <c r="A4687" s="67"/>
      <c r="B4687" s="67"/>
    </row>
    <row r="4688" spans="1:2" x14ac:dyDescent="0.25">
      <c r="A4688" s="67"/>
      <c r="B4688" s="67"/>
    </row>
    <row r="4689" spans="1:2" x14ac:dyDescent="0.25">
      <c r="A4689" s="67"/>
      <c r="B4689" s="67"/>
    </row>
    <row r="4690" spans="1:2" x14ac:dyDescent="0.25">
      <c r="A4690" s="67"/>
      <c r="B4690" s="67"/>
    </row>
    <row r="4691" spans="1:2" x14ac:dyDescent="0.25">
      <c r="A4691" s="67"/>
      <c r="B4691" s="67"/>
    </row>
    <row r="4692" spans="1:2" x14ac:dyDescent="0.25">
      <c r="A4692" s="67"/>
      <c r="B4692" s="67"/>
    </row>
    <row r="4693" spans="1:2" x14ac:dyDescent="0.25">
      <c r="A4693" s="67"/>
      <c r="B4693" s="67"/>
    </row>
    <row r="4694" spans="1:2" x14ac:dyDescent="0.25">
      <c r="A4694" s="67"/>
      <c r="B4694" s="67"/>
    </row>
    <row r="4695" spans="1:2" x14ac:dyDescent="0.25">
      <c r="A4695" s="67"/>
      <c r="B4695" s="67"/>
    </row>
    <row r="4696" spans="1:2" x14ac:dyDescent="0.25">
      <c r="A4696" s="67"/>
      <c r="B4696" s="67"/>
    </row>
    <row r="4697" spans="1:2" x14ac:dyDescent="0.25">
      <c r="A4697" s="67"/>
      <c r="B4697" s="67"/>
    </row>
    <row r="4698" spans="1:2" x14ac:dyDescent="0.25">
      <c r="A4698" s="67"/>
      <c r="B4698" s="67"/>
    </row>
    <row r="4699" spans="1:2" x14ac:dyDescent="0.25">
      <c r="A4699" s="67"/>
      <c r="B4699" s="67"/>
    </row>
    <row r="4700" spans="1:2" x14ac:dyDescent="0.25">
      <c r="A4700" s="67"/>
      <c r="B4700" s="67"/>
    </row>
    <row r="4701" spans="1:2" x14ac:dyDescent="0.25">
      <c r="A4701" s="67"/>
      <c r="B4701" s="67"/>
    </row>
    <row r="4702" spans="1:2" x14ac:dyDescent="0.25">
      <c r="A4702" s="67"/>
      <c r="B4702" s="67"/>
    </row>
    <row r="4703" spans="1:2" x14ac:dyDescent="0.25">
      <c r="A4703" s="67"/>
      <c r="B4703" s="67"/>
    </row>
    <row r="4704" spans="1:2" x14ac:dyDescent="0.25">
      <c r="A4704" s="67"/>
      <c r="B4704" s="67"/>
    </row>
    <row r="4705" spans="1:2" x14ac:dyDescent="0.25">
      <c r="A4705" s="67"/>
      <c r="B4705" s="67"/>
    </row>
    <row r="4706" spans="1:2" x14ac:dyDescent="0.25">
      <c r="A4706" s="67"/>
      <c r="B4706" s="67"/>
    </row>
    <row r="4707" spans="1:2" x14ac:dyDescent="0.25">
      <c r="A4707" s="67"/>
      <c r="B4707" s="67"/>
    </row>
    <row r="4708" spans="1:2" x14ac:dyDescent="0.25">
      <c r="A4708" s="67"/>
      <c r="B4708" s="67"/>
    </row>
    <row r="4709" spans="1:2" x14ac:dyDescent="0.25">
      <c r="A4709" s="67"/>
      <c r="B4709" s="67"/>
    </row>
    <row r="4710" spans="1:2" x14ac:dyDescent="0.25">
      <c r="A4710" s="67"/>
      <c r="B4710" s="67"/>
    </row>
    <row r="4711" spans="1:2" x14ac:dyDescent="0.25">
      <c r="A4711" s="67"/>
      <c r="B4711" s="67"/>
    </row>
    <row r="4712" spans="1:2" x14ac:dyDescent="0.25">
      <c r="A4712" s="67"/>
      <c r="B4712" s="67"/>
    </row>
    <row r="4713" spans="1:2" x14ac:dyDescent="0.25">
      <c r="A4713" s="67"/>
      <c r="B4713" s="67"/>
    </row>
    <row r="4714" spans="1:2" x14ac:dyDescent="0.25">
      <c r="A4714" s="67"/>
      <c r="B4714" s="67"/>
    </row>
    <row r="4715" spans="1:2" x14ac:dyDescent="0.25">
      <c r="A4715" s="67"/>
      <c r="B4715" s="67"/>
    </row>
    <row r="4716" spans="1:2" x14ac:dyDescent="0.25">
      <c r="A4716" s="67"/>
      <c r="B4716" s="67"/>
    </row>
    <row r="4717" spans="1:2" x14ac:dyDescent="0.25">
      <c r="A4717" s="67"/>
      <c r="B4717" s="67"/>
    </row>
    <row r="4718" spans="1:2" x14ac:dyDescent="0.25">
      <c r="A4718" s="67"/>
      <c r="B4718" s="67"/>
    </row>
    <row r="4719" spans="1:2" x14ac:dyDescent="0.25">
      <c r="A4719" s="67"/>
      <c r="B4719" s="67"/>
    </row>
    <row r="4720" spans="1:2" x14ac:dyDescent="0.25">
      <c r="A4720" s="67"/>
      <c r="B4720" s="67"/>
    </row>
    <row r="4721" spans="1:2" x14ac:dyDescent="0.25">
      <c r="A4721" s="67"/>
      <c r="B4721" s="67"/>
    </row>
    <row r="4722" spans="1:2" x14ac:dyDescent="0.25">
      <c r="A4722" s="67"/>
      <c r="B4722" s="67"/>
    </row>
    <row r="4723" spans="1:2" x14ac:dyDescent="0.25">
      <c r="A4723" s="67"/>
      <c r="B4723" s="67"/>
    </row>
    <row r="4724" spans="1:2" x14ac:dyDescent="0.25">
      <c r="A4724" s="67"/>
      <c r="B4724" s="67"/>
    </row>
    <row r="4725" spans="1:2" x14ac:dyDescent="0.25">
      <c r="A4725" s="67"/>
      <c r="B4725" s="67"/>
    </row>
    <row r="4726" spans="1:2" x14ac:dyDescent="0.25">
      <c r="A4726" s="67"/>
      <c r="B4726" s="67"/>
    </row>
    <row r="4727" spans="1:2" x14ac:dyDescent="0.25">
      <c r="A4727" s="67"/>
      <c r="B4727" s="67"/>
    </row>
    <row r="4728" spans="1:2" x14ac:dyDescent="0.25">
      <c r="A4728" s="67"/>
      <c r="B4728" s="67"/>
    </row>
    <row r="4729" spans="1:2" x14ac:dyDescent="0.25">
      <c r="A4729" s="67"/>
      <c r="B4729" s="67"/>
    </row>
    <row r="4730" spans="1:2" x14ac:dyDescent="0.25">
      <c r="A4730" s="67"/>
      <c r="B4730" s="67"/>
    </row>
    <row r="4731" spans="1:2" x14ac:dyDescent="0.25">
      <c r="A4731" s="67"/>
      <c r="B4731" s="67"/>
    </row>
    <row r="4732" spans="1:2" x14ac:dyDescent="0.25">
      <c r="A4732" s="67"/>
      <c r="B4732" s="67"/>
    </row>
    <row r="4733" spans="1:2" x14ac:dyDescent="0.25">
      <c r="A4733" s="67"/>
      <c r="B4733" s="67"/>
    </row>
    <row r="4734" spans="1:2" x14ac:dyDescent="0.25">
      <c r="A4734" s="67"/>
      <c r="B4734" s="67"/>
    </row>
    <row r="4735" spans="1:2" x14ac:dyDescent="0.25">
      <c r="A4735" s="67"/>
      <c r="B4735" s="67"/>
    </row>
    <row r="4736" spans="1:2" x14ac:dyDescent="0.25">
      <c r="A4736" s="67"/>
      <c r="B4736" s="67"/>
    </row>
    <row r="4737" spans="1:2" x14ac:dyDescent="0.25">
      <c r="A4737" s="67"/>
      <c r="B4737" s="67"/>
    </row>
    <row r="4738" spans="1:2" x14ac:dyDescent="0.25">
      <c r="A4738" s="67"/>
      <c r="B4738" s="67"/>
    </row>
    <row r="4739" spans="1:2" x14ac:dyDescent="0.25">
      <c r="A4739" s="67"/>
      <c r="B4739" s="67"/>
    </row>
    <row r="4740" spans="1:2" x14ac:dyDescent="0.25">
      <c r="A4740" s="67"/>
      <c r="B4740" s="67"/>
    </row>
    <row r="4741" spans="1:2" x14ac:dyDescent="0.25">
      <c r="A4741" s="67"/>
      <c r="B4741" s="67"/>
    </row>
    <row r="4742" spans="1:2" x14ac:dyDescent="0.25">
      <c r="A4742" s="67"/>
      <c r="B4742" s="67"/>
    </row>
    <row r="4743" spans="1:2" x14ac:dyDescent="0.25">
      <c r="A4743" s="67"/>
      <c r="B4743" s="67"/>
    </row>
    <row r="4744" spans="1:2" x14ac:dyDescent="0.25">
      <c r="A4744" s="67"/>
      <c r="B4744" s="67"/>
    </row>
    <row r="4745" spans="1:2" x14ac:dyDescent="0.25">
      <c r="A4745" s="67"/>
      <c r="B4745" s="67"/>
    </row>
    <row r="4746" spans="1:2" x14ac:dyDescent="0.25">
      <c r="A4746" s="67"/>
      <c r="B4746" s="67"/>
    </row>
    <row r="4747" spans="1:2" x14ac:dyDescent="0.25">
      <c r="A4747" s="67"/>
      <c r="B4747" s="67"/>
    </row>
    <row r="4748" spans="1:2" x14ac:dyDescent="0.25">
      <c r="A4748" s="67"/>
      <c r="B4748" s="67"/>
    </row>
    <row r="4749" spans="1:2" x14ac:dyDescent="0.25">
      <c r="A4749" s="67"/>
      <c r="B4749" s="67"/>
    </row>
    <row r="4750" spans="1:2" x14ac:dyDescent="0.25">
      <c r="A4750" s="67"/>
      <c r="B4750" s="67"/>
    </row>
    <row r="4751" spans="1:2" x14ac:dyDescent="0.25">
      <c r="A4751" s="67"/>
      <c r="B4751" s="67"/>
    </row>
    <row r="4752" spans="1:2" x14ac:dyDescent="0.25">
      <c r="A4752" s="67"/>
      <c r="B4752" s="67"/>
    </row>
    <row r="4753" spans="1:2" x14ac:dyDescent="0.25">
      <c r="A4753" s="67"/>
      <c r="B4753" s="67"/>
    </row>
    <row r="4754" spans="1:2" x14ac:dyDescent="0.25">
      <c r="A4754" s="67"/>
      <c r="B4754" s="67"/>
    </row>
    <row r="4755" spans="1:2" x14ac:dyDescent="0.25">
      <c r="A4755" s="67"/>
      <c r="B4755" s="67"/>
    </row>
    <row r="4756" spans="1:2" x14ac:dyDescent="0.25">
      <c r="A4756" s="67"/>
      <c r="B4756" s="67"/>
    </row>
    <row r="4757" spans="1:2" x14ac:dyDescent="0.25">
      <c r="A4757" s="67"/>
      <c r="B4757" s="67"/>
    </row>
    <row r="4758" spans="1:2" x14ac:dyDescent="0.25">
      <c r="A4758" s="67"/>
      <c r="B4758" s="67"/>
    </row>
    <row r="4759" spans="1:2" x14ac:dyDescent="0.25">
      <c r="A4759" s="67"/>
      <c r="B4759" s="67"/>
    </row>
    <row r="4760" spans="1:2" x14ac:dyDescent="0.25">
      <c r="A4760" s="67"/>
      <c r="B4760" s="67"/>
    </row>
    <row r="4761" spans="1:2" x14ac:dyDescent="0.25">
      <c r="A4761" s="67"/>
      <c r="B4761" s="67"/>
    </row>
    <row r="4762" spans="1:2" x14ac:dyDescent="0.25">
      <c r="A4762" s="67"/>
      <c r="B4762" s="67"/>
    </row>
    <row r="4763" spans="1:2" x14ac:dyDescent="0.25">
      <c r="A4763" s="67"/>
      <c r="B4763" s="67"/>
    </row>
    <row r="4764" spans="1:2" x14ac:dyDescent="0.25">
      <c r="A4764" s="67"/>
      <c r="B4764" s="67"/>
    </row>
    <row r="4765" spans="1:2" x14ac:dyDescent="0.25">
      <c r="A4765" s="67"/>
      <c r="B4765" s="67"/>
    </row>
    <row r="4766" spans="1:2" x14ac:dyDescent="0.25">
      <c r="A4766" s="67"/>
      <c r="B4766" s="67"/>
    </row>
    <row r="4767" spans="1:2" x14ac:dyDescent="0.25">
      <c r="A4767" s="67"/>
      <c r="B4767" s="67"/>
    </row>
    <row r="4768" spans="1:2" x14ac:dyDescent="0.25">
      <c r="A4768" s="67"/>
      <c r="B4768" s="67"/>
    </row>
    <row r="4769" spans="1:2" x14ac:dyDescent="0.25">
      <c r="A4769" s="67"/>
      <c r="B4769" s="67"/>
    </row>
    <row r="4770" spans="1:2" x14ac:dyDescent="0.25">
      <c r="A4770" s="67"/>
      <c r="B4770" s="67"/>
    </row>
    <row r="4771" spans="1:2" x14ac:dyDescent="0.25">
      <c r="A4771" s="67"/>
      <c r="B4771" s="67"/>
    </row>
    <row r="4772" spans="1:2" x14ac:dyDescent="0.25">
      <c r="A4772" s="67"/>
      <c r="B4772" s="67"/>
    </row>
    <row r="4773" spans="1:2" x14ac:dyDescent="0.25">
      <c r="A4773" s="67"/>
      <c r="B4773" s="67"/>
    </row>
    <row r="4774" spans="1:2" x14ac:dyDescent="0.25">
      <c r="A4774" s="67"/>
      <c r="B4774" s="67"/>
    </row>
    <row r="4775" spans="1:2" x14ac:dyDescent="0.25">
      <c r="A4775" s="67"/>
      <c r="B4775" s="67"/>
    </row>
    <row r="4776" spans="1:2" x14ac:dyDescent="0.25">
      <c r="A4776" s="67"/>
      <c r="B4776" s="67"/>
    </row>
    <row r="4777" spans="1:2" x14ac:dyDescent="0.25">
      <c r="A4777" s="67"/>
      <c r="B4777" s="67"/>
    </row>
    <row r="4778" spans="1:2" x14ac:dyDescent="0.25">
      <c r="A4778" s="67"/>
      <c r="B4778" s="67"/>
    </row>
    <row r="4779" spans="1:2" x14ac:dyDescent="0.25">
      <c r="A4779" s="67"/>
      <c r="B4779" s="67"/>
    </row>
    <row r="4780" spans="1:2" x14ac:dyDescent="0.25">
      <c r="A4780" s="67"/>
      <c r="B4780" s="67"/>
    </row>
    <row r="4781" spans="1:2" x14ac:dyDescent="0.25">
      <c r="A4781" s="67"/>
      <c r="B4781" s="67"/>
    </row>
    <row r="4782" spans="1:2" x14ac:dyDescent="0.25">
      <c r="A4782" s="67"/>
      <c r="B4782" s="67"/>
    </row>
    <row r="4783" spans="1:2" x14ac:dyDescent="0.25">
      <c r="A4783" s="67"/>
      <c r="B4783" s="67"/>
    </row>
    <row r="4784" spans="1:2" x14ac:dyDescent="0.25">
      <c r="A4784" s="67"/>
      <c r="B4784" s="67"/>
    </row>
    <row r="4785" spans="1:2" x14ac:dyDescent="0.25">
      <c r="A4785" s="67"/>
      <c r="B4785" s="67"/>
    </row>
    <row r="4786" spans="1:2" x14ac:dyDescent="0.25">
      <c r="A4786" s="67"/>
      <c r="B4786" s="67"/>
    </row>
    <row r="4787" spans="1:2" x14ac:dyDescent="0.25">
      <c r="A4787" s="67"/>
      <c r="B4787" s="67"/>
    </row>
    <row r="4788" spans="1:2" x14ac:dyDescent="0.25">
      <c r="A4788" s="67"/>
      <c r="B4788" s="67"/>
    </row>
    <row r="4789" spans="1:2" x14ac:dyDescent="0.25">
      <c r="A4789" s="67"/>
      <c r="B4789" s="67"/>
    </row>
    <row r="4790" spans="1:2" x14ac:dyDescent="0.25">
      <c r="A4790" s="67"/>
      <c r="B4790" s="67"/>
    </row>
    <row r="4791" spans="1:2" x14ac:dyDescent="0.25">
      <c r="A4791" s="67"/>
      <c r="B4791" s="67"/>
    </row>
    <row r="4792" spans="1:2" x14ac:dyDescent="0.25">
      <c r="A4792" s="67"/>
      <c r="B4792" s="67"/>
    </row>
    <row r="4793" spans="1:2" x14ac:dyDescent="0.25">
      <c r="A4793" s="67"/>
      <c r="B4793" s="67"/>
    </row>
    <row r="4794" spans="1:2" x14ac:dyDescent="0.25">
      <c r="A4794" s="67"/>
      <c r="B4794" s="67"/>
    </row>
    <row r="4795" spans="1:2" x14ac:dyDescent="0.25">
      <c r="A4795" s="67"/>
      <c r="B4795" s="67"/>
    </row>
    <row r="4796" spans="1:2" x14ac:dyDescent="0.25">
      <c r="A4796" s="67"/>
      <c r="B4796" s="67"/>
    </row>
    <row r="4797" spans="1:2" x14ac:dyDescent="0.25">
      <c r="A4797" s="67"/>
      <c r="B4797" s="67"/>
    </row>
    <row r="4798" spans="1:2" x14ac:dyDescent="0.25">
      <c r="A4798" s="67"/>
      <c r="B4798" s="67"/>
    </row>
    <row r="4799" spans="1:2" x14ac:dyDescent="0.25">
      <c r="A4799" s="67"/>
      <c r="B4799" s="67"/>
    </row>
    <row r="4800" spans="1:2" x14ac:dyDescent="0.25">
      <c r="A4800" s="67"/>
      <c r="B4800" s="67"/>
    </row>
    <row r="4801" spans="1:2" x14ac:dyDescent="0.25">
      <c r="A4801" s="67"/>
      <c r="B4801" s="67"/>
    </row>
    <row r="4802" spans="1:2" x14ac:dyDescent="0.25">
      <c r="A4802" s="67"/>
      <c r="B4802" s="67"/>
    </row>
    <row r="4803" spans="1:2" x14ac:dyDescent="0.25">
      <c r="A4803" s="67"/>
      <c r="B4803" s="67"/>
    </row>
    <row r="4804" spans="1:2" x14ac:dyDescent="0.25">
      <c r="A4804" s="67"/>
      <c r="B4804" s="67"/>
    </row>
    <row r="4805" spans="1:2" x14ac:dyDescent="0.25">
      <c r="A4805" s="67"/>
      <c r="B4805" s="67"/>
    </row>
    <row r="4806" spans="1:2" x14ac:dyDescent="0.25">
      <c r="A4806" s="67"/>
      <c r="B4806" s="67"/>
    </row>
    <row r="4807" spans="1:2" x14ac:dyDescent="0.25">
      <c r="A4807" s="67"/>
      <c r="B4807" s="67"/>
    </row>
    <row r="4808" spans="1:2" x14ac:dyDescent="0.25">
      <c r="A4808" s="67"/>
      <c r="B4808" s="67"/>
    </row>
    <row r="4809" spans="1:2" x14ac:dyDescent="0.25">
      <c r="A4809" s="67"/>
      <c r="B4809" s="67"/>
    </row>
    <row r="4810" spans="1:2" x14ac:dyDescent="0.25">
      <c r="A4810" s="67"/>
      <c r="B4810" s="67"/>
    </row>
    <row r="4811" spans="1:2" x14ac:dyDescent="0.25">
      <c r="A4811" s="67"/>
      <c r="B4811" s="67"/>
    </row>
    <row r="4812" spans="1:2" x14ac:dyDescent="0.25">
      <c r="A4812" s="67"/>
      <c r="B4812" s="67"/>
    </row>
    <row r="4813" spans="1:2" x14ac:dyDescent="0.25">
      <c r="A4813" s="67"/>
      <c r="B4813" s="67"/>
    </row>
    <row r="4814" spans="1:2" x14ac:dyDescent="0.25">
      <c r="A4814" s="67"/>
      <c r="B4814" s="67"/>
    </row>
    <row r="4815" spans="1:2" x14ac:dyDescent="0.25">
      <c r="A4815" s="67"/>
      <c r="B4815" s="67"/>
    </row>
    <row r="4816" spans="1:2" x14ac:dyDescent="0.25">
      <c r="A4816" s="67"/>
      <c r="B4816" s="67"/>
    </row>
    <row r="4817" spans="1:2" x14ac:dyDescent="0.25">
      <c r="A4817" s="67"/>
      <c r="B4817" s="67"/>
    </row>
    <row r="4818" spans="1:2" x14ac:dyDescent="0.25">
      <c r="A4818" s="67"/>
      <c r="B4818" s="67"/>
    </row>
    <row r="4819" spans="1:2" x14ac:dyDescent="0.25">
      <c r="A4819" s="67"/>
      <c r="B4819" s="67"/>
    </row>
    <row r="4820" spans="1:2" x14ac:dyDescent="0.25">
      <c r="A4820" s="67"/>
      <c r="B4820" s="67"/>
    </row>
    <row r="4821" spans="1:2" x14ac:dyDescent="0.25">
      <c r="A4821" s="67"/>
      <c r="B4821" s="67"/>
    </row>
    <row r="4822" spans="1:2" x14ac:dyDescent="0.25">
      <c r="A4822" s="67"/>
      <c r="B4822" s="67"/>
    </row>
    <row r="4823" spans="1:2" x14ac:dyDescent="0.25">
      <c r="A4823" s="67"/>
      <c r="B4823" s="67"/>
    </row>
    <row r="4824" spans="1:2" x14ac:dyDescent="0.25">
      <c r="A4824" s="67"/>
      <c r="B4824" s="67"/>
    </row>
    <row r="4825" spans="1:2" x14ac:dyDescent="0.25">
      <c r="A4825" s="67"/>
      <c r="B4825" s="67"/>
    </row>
    <row r="4826" spans="1:2" x14ac:dyDescent="0.25">
      <c r="A4826" s="67"/>
      <c r="B4826" s="67"/>
    </row>
    <row r="4827" spans="1:2" x14ac:dyDescent="0.25">
      <c r="A4827" s="67"/>
      <c r="B4827" s="67"/>
    </row>
    <row r="4828" spans="1:2" x14ac:dyDescent="0.25">
      <c r="A4828" s="67"/>
      <c r="B4828" s="67"/>
    </row>
    <row r="4829" spans="1:2" x14ac:dyDescent="0.25">
      <c r="A4829" s="67"/>
      <c r="B4829" s="67"/>
    </row>
    <row r="4830" spans="1:2" x14ac:dyDescent="0.25">
      <c r="A4830" s="67"/>
      <c r="B4830" s="67"/>
    </row>
    <row r="4831" spans="1:2" x14ac:dyDescent="0.25">
      <c r="A4831" s="67"/>
      <c r="B4831" s="67"/>
    </row>
    <row r="4832" spans="1:2" x14ac:dyDescent="0.25">
      <c r="A4832" s="67"/>
      <c r="B4832" s="67"/>
    </row>
    <row r="4833" spans="1:2" x14ac:dyDescent="0.25">
      <c r="A4833" s="67"/>
      <c r="B4833" s="67"/>
    </row>
    <row r="4834" spans="1:2" x14ac:dyDescent="0.25">
      <c r="A4834" s="67"/>
      <c r="B4834" s="67"/>
    </row>
    <row r="4835" spans="1:2" x14ac:dyDescent="0.25">
      <c r="A4835" s="67"/>
      <c r="B4835" s="67"/>
    </row>
    <row r="4836" spans="1:2" x14ac:dyDescent="0.25">
      <c r="A4836" s="67"/>
      <c r="B4836" s="67"/>
    </row>
    <row r="4837" spans="1:2" x14ac:dyDescent="0.25">
      <c r="A4837" s="67"/>
      <c r="B4837" s="67"/>
    </row>
    <row r="4838" spans="1:2" x14ac:dyDescent="0.25">
      <c r="A4838" s="67"/>
      <c r="B4838" s="67"/>
    </row>
    <row r="4839" spans="1:2" x14ac:dyDescent="0.25">
      <c r="A4839" s="67"/>
      <c r="B4839" s="67"/>
    </row>
    <row r="4840" spans="1:2" x14ac:dyDescent="0.25">
      <c r="A4840" s="67"/>
      <c r="B4840" s="67"/>
    </row>
    <row r="4841" spans="1:2" x14ac:dyDescent="0.25">
      <c r="A4841" s="67"/>
      <c r="B4841" s="67"/>
    </row>
    <row r="4842" spans="1:2" x14ac:dyDescent="0.25">
      <c r="A4842" s="67"/>
      <c r="B4842" s="67"/>
    </row>
    <row r="4843" spans="1:2" x14ac:dyDescent="0.25">
      <c r="A4843" s="67"/>
      <c r="B4843" s="67"/>
    </row>
    <row r="4844" spans="1:2" x14ac:dyDescent="0.25">
      <c r="A4844" s="67"/>
      <c r="B4844" s="67"/>
    </row>
    <row r="4845" spans="1:2" x14ac:dyDescent="0.25">
      <c r="A4845" s="67"/>
      <c r="B4845" s="67"/>
    </row>
    <row r="4846" spans="1:2" x14ac:dyDescent="0.25">
      <c r="A4846" s="67"/>
      <c r="B4846" s="67"/>
    </row>
    <row r="4847" spans="1:2" x14ac:dyDescent="0.25">
      <c r="A4847" s="67"/>
      <c r="B4847" s="67"/>
    </row>
    <row r="4848" spans="1:2" x14ac:dyDescent="0.25">
      <c r="A4848" s="67"/>
      <c r="B4848" s="67"/>
    </row>
    <row r="4849" spans="1:2" x14ac:dyDescent="0.25">
      <c r="A4849" s="67"/>
      <c r="B4849" s="67"/>
    </row>
    <row r="4850" spans="1:2" x14ac:dyDescent="0.25">
      <c r="A4850" s="67"/>
      <c r="B4850" s="67"/>
    </row>
    <row r="4851" spans="1:2" x14ac:dyDescent="0.25">
      <c r="A4851" s="67"/>
      <c r="B4851" s="67"/>
    </row>
    <row r="4852" spans="1:2" x14ac:dyDescent="0.25">
      <c r="A4852" s="67"/>
      <c r="B4852" s="67"/>
    </row>
    <row r="4853" spans="1:2" x14ac:dyDescent="0.25">
      <c r="A4853" s="67"/>
      <c r="B4853" s="67"/>
    </row>
    <row r="4854" spans="1:2" x14ac:dyDescent="0.25">
      <c r="A4854" s="67"/>
      <c r="B4854" s="67"/>
    </row>
    <row r="4855" spans="1:2" x14ac:dyDescent="0.25">
      <c r="A4855" s="67"/>
      <c r="B4855" s="67"/>
    </row>
    <row r="4856" spans="1:2" x14ac:dyDescent="0.25">
      <c r="A4856" s="67"/>
      <c r="B4856" s="67"/>
    </row>
    <row r="4857" spans="1:2" x14ac:dyDescent="0.25">
      <c r="A4857" s="67"/>
      <c r="B4857" s="67"/>
    </row>
    <row r="4858" spans="1:2" x14ac:dyDescent="0.25">
      <c r="A4858" s="67"/>
      <c r="B4858" s="67"/>
    </row>
    <row r="4859" spans="1:2" x14ac:dyDescent="0.25">
      <c r="A4859" s="67"/>
      <c r="B4859" s="67"/>
    </row>
    <row r="4860" spans="1:2" x14ac:dyDescent="0.25">
      <c r="A4860" s="67"/>
      <c r="B4860" s="67"/>
    </row>
    <row r="4861" spans="1:2" x14ac:dyDescent="0.25">
      <c r="A4861" s="67"/>
      <c r="B4861" s="67"/>
    </row>
    <row r="4862" spans="1:2" x14ac:dyDescent="0.25">
      <c r="A4862" s="67"/>
      <c r="B4862" s="67"/>
    </row>
    <row r="4863" spans="1:2" x14ac:dyDescent="0.25">
      <c r="A4863" s="67"/>
      <c r="B4863" s="67"/>
    </row>
    <row r="4864" spans="1:2" x14ac:dyDescent="0.25">
      <c r="A4864" s="67"/>
      <c r="B4864" s="67"/>
    </row>
    <row r="4865" spans="1:2" x14ac:dyDescent="0.25">
      <c r="A4865" s="67"/>
      <c r="B4865" s="67"/>
    </row>
    <row r="4866" spans="1:2" x14ac:dyDescent="0.25">
      <c r="A4866" s="67"/>
      <c r="B4866" s="67"/>
    </row>
    <row r="4867" spans="1:2" x14ac:dyDescent="0.25">
      <c r="A4867" s="67"/>
      <c r="B4867" s="67"/>
    </row>
    <row r="4868" spans="1:2" x14ac:dyDescent="0.25">
      <c r="A4868" s="67"/>
      <c r="B4868" s="67"/>
    </row>
    <row r="4869" spans="1:2" x14ac:dyDescent="0.25">
      <c r="A4869" s="67"/>
      <c r="B4869" s="67"/>
    </row>
    <row r="4870" spans="1:2" x14ac:dyDescent="0.25">
      <c r="A4870" s="67"/>
      <c r="B4870" s="67"/>
    </row>
    <row r="4871" spans="1:2" x14ac:dyDescent="0.25">
      <c r="A4871" s="67"/>
      <c r="B4871" s="67"/>
    </row>
    <row r="4872" spans="1:2" x14ac:dyDescent="0.25">
      <c r="A4872" s="67"/>
      <c r="B4872" s="67"/>
    </row>
    <row r="4873" spans="1:2" x14ac:dyDescent="0.25">
      <c r="A4873" s="67"/>
      <c r="B4873" s="67"/>
    </row>
    <row r="4874" spans="1:2" x14ac:dyDescent="0.25">
      <c r="A4874" s="67"/>
      <c r="B4874" s="67"/>
    </row>
    <row r="4875" spans="1:2" x14ac:dyDescent="0.25">
      <c r="A4875" s="67"/>
      <c r="B4875" s="67"/>
    </row>
    <row r="4876" spans="1:2" x14ac:dyDescent="0.25">
      <c r="A4876" s="67"/>
      <c r="B4876" s="67"/>
    </row>
    <row r="4877" spans="1:2" x14ac:dyDescent="0.25">
      <c r="A4877" s="67"/>
      <c r="B4877" s="67"/>
    </row>
    <row r="4878" spans="1:2" x14ac:dyDescent="0.25">
      <c r="A4878" s="67"/>
      <c r="B4878" s="67"/>
    </row>
    <row r="4879" spans="1:2" x14ac:dyDescent="0.25">
      <c r="A4879" s="67"/>
      <c r="B4879" s="67"/>
    </row>
    <row r="4880" spans="1:2" x14ac:dyDescent="0.25">
      <c r="A4880" s="67"/>
      <c r="B4880" s="67"/>
    </row>
    <row r="4881" spans="1:2" x14ac:dyDescent="0.25">
      <c r="A4881" s="67"/>
      <c r="B4881" s="67"/>
    </row>
    <row r="4882" spans="1:2" x14ac:dyDescent="0.25">
      <c r="A4882" s="67"/>
      <c r="B4882" s="67"/>
    </row>
    <row r="4883" spans="1:2" x14ac:dyDescent="0.25">
      <c r="A4883" s="67"/>
      <c r="B4883" s="67"/>
    </row>
    <row r="4884" spans="1:2" x14ac:dyDescent="0.25">
      <c r="A4884" s="67"/>
      <c r="B4884" s="67"/>
    </row>
    <row r="4885" spans="1:2" x14ac:dyDescent="0.25">
      <c r="A4885" s="67"/>
      <c r="B4885" s="67"/>
    </row>
    <row r="4886" spans="1:2" x14ac:dyDescent="0.25">
      <c r="A4886" s="67"/>
      <c r="B4886" s="67"/>
    </row>
    <row r="4887" spans="1:2" x14ac:dyDescent="0.25">
      <c r="A4887" s="67"/>
      <c r="B4887" s="67"/>
    </row>
    <row r="4888" spans="1:2" x14ac:dyDescent="0.25">
      <c r="A4888" s="67"/>
      <c r="B4888" s="67"/>
    </row>
    <row r="4889" spans="1:2" x14ac:dyDescent="0.25">
      <c r="A4889" s="67"/>
      <c r="B4889" s="67"/>
    </row>
    <row r="4890" spans="1:2" x14ac:dyDescent="0.25">
      <c r="A4890" s="67"/>
      <c r="B4890" s="67"/>
    </row>
    <row r="4891" spans="1:2" x14ac:dyDescent="0.25">
      <c r="A4891" s="67"/>
      <c r="B4891" s="67"/>
    </row>
    <row r="4892" spans="1:2" x14ac:dyDescent="0.25">
      <c r="A4892" s="67"/>
      <c r="B4892" s="67"/>
    </row>
    <row r="4893" spans="1:2" x14ac:dyDescent="0.25">
      <c r="A4893" s="67"/>
      <c r="B4893" s="67"/>
    </row>
    <row r="4894" spans="1:2" x14ac:dyDescent="0.25">
      <c r="A4894" s="67"/>
      <c r="B4894" s="67"/>
    </row>
    <row r="4895" spans="1:2" x14ac:dyDescent="0.25">
      <c r="A4895" s="67"/>
      <c r="B4895" s="67"/>
    </row>
    <row r="4896" spans="1:2" x14ac:dyDescent="0.25">
      <c r="A4896" s="67"/>
      <c r="B4896" s="67"/>
    </row>
    <row r="4897" spans="1:2" x14ac:dyDescent="0.25">
      <c r="A4897" s="67"/>
      <c r="B4897" s="67"/>
    </row>
    <row r="4898" spans="1:2" x14ac:dyDescent="0.25">
      <c r="A4898" s="67"/>
      <c r="B4898" s="67"/>
    </row>
    <row r="4899" spans="1:2" x14ac:dyDescent="0.25">
      <c r="A4899" s="67"/>
      <c r="B4899" s="67"/>
    </row>
    <row r="4900" spans="1:2" x14ac:dyDescent="0.25">
      <c r="A4900" s="67"/>
      <c r="B4900" s="67"/>
    </row>
    <row r="4901" spans="1:2" x14ac:dyDescent="0.25">
      <c r="A4901" s="67"/>
      <c r="B4901" s="67"/>
    </row>
    <row r="4902" spans="1:2" x14ac:dyDescent="0.25">
      <c r="A4902" s="67"/>
      <c r="B4902" s="67"/>
    </row>
    <row r="4903" spans="1:2" x14ac:dyDescent="0.25">
      <c r="A4903" s="67"/>
      <c r="B4903" s="67"/>
    </row>
    <row r="4904" spans="1:2" x14ac:dyDescent="0.25">
      <c r="A4904" s="67"/>
      <c r="B4904" s="67"/>
    </row>
    <row r="4905" spans="1:2" x14ac:dyDescent="0.25">
      <c r="A4905" s="67"/>
      <c r="B4905" s="67"/>
    </row>
    <row r="4906" spans="1:2" x14ac:dyDescent="0.25">
      <c r="A4906" s="67"/>
      <c r="B4906" s="67"/>
    </row>
    <row r="4907" spans="1:2" x14ac:dyDescent="0.25">
      <c r="A4907" s="67"/>
      <c r="B4907" s="67"/>
    </row>
    <row r="4908" spans="1:2" x14ac:dyDescent="0.25">
      <c r="A4908" s="67"/>
      <c r="B4908" s="67"/>
    </row>
    <row r="4909" spans="1:2" x14ac:dyDescent="0.25">
      <c r="A4909" s="67"/>
      <c r="B4909" s="67"/>
    </row>
    <row r="4910" spans="1:2" x14ac:dyDescent="0.25">
      <c r="A4910" s="67"/>
      <c r="B4910" s="67"/>
    </row>
    <row r="4911" spans="1:2" x14ac:dyDescent="0.25">
      <c r="A4911" s="67"/>
      <c r="B4911" s="67"/>
    </row>
    <row r="4912" spans="1:2" x14ac:dyDescent="0.25">
      <c r="A4912" s="67"/>
      <c r="B4912" s="67"/>
    </row>
    <row r="4913" spans="1:2" x14ac:dyDescent="0.25">
      <c r="A4913" s="67"/>
      <c r="B4913" s="67"/>
    </row>
    <row r="4914" spans="1:2" x14ac:dyDescent="0.25">
      <c r="A4914" s="67"/>
      <c r="B4914" s="67"/>
    </row>
    <row r="4915" spans="1:2" x14ac:dyDescent="0.25">
      <c r="A4915" s="67"/>
      <c r="B4915" s="67"/>
    </row>
    <row r="4916" spans="1:2" x14ac:dyDescent="0.25">
      <c r="A4916" s="67"/>
      <c r="B4916" s="67"/>
    </row>
    <row r="4917" spans="1:2" x14ac:dyDescent="0.25">
      <c r="A4917" s="67"/>
      <c r="B4917" s="67"/>
    </row>
    <row r="4918" spans="1:2" x14ac:dyDescent="0.25">
      <c r="A4918" s="67"/>
      <c r="B4918" s="67"/>
    </row>
    <row r="4919" spans="1:2" x14ac:dyDescent="0.25">
      <c r="A4919" s="67"/>
      <c r="B4919" s="67"/>
    </row>
    <row r="4920" spans="1:2" x14ac:dyDescent="0.25">
      <c r="A4920" s="67"/>
      <c r="B4920" s="67"/>
    </row>
    <row r="4921" spans="1:2" x14ac:dyDescent="0.25">
      <c r="A4921" s="67"/>
      <c r="B4921" s="67"/>
    </row>
    <row r="4922" spans="1:2" x14ac:dyDescent="0.25">
      <c r="A4922" s="67"/>
      <c r="B4922" s="67"/>
    </row>
    <row r="4923" spans="1:2" x14ac:dyDescent="0.25">
      <c r="A4923" s="67"/>
      <c r="B4923" s="67"/>
    </row>
    <row r="4924" spans="1:2" x14ac:dyDescent="0.25">
      <c r="A4924" s="67"/>
      <c r="B4924" s="67"/>
    </row>
    <row r="4925" spans="1:2" x14ac:dyDescent="0.25">
      <c r="A4925" s="67"/>
      <c r="B4925" s="67"/>
    </row>
    <row r="4926" spans="1:2" x14ac:dyDescent="0.25">
      <c r="A4926" s="67"/>
      <c r="B4926" s="67"/>
    </row>
    <row r="4927" spans="1:2" x14ac:dyDescent="0.25">
      <c r="A4927" s="67"/>
      <c r="B4927" s="67"/>
    </row>
    <row r="4928" spans="1:2" x14ac:dyDescent="0.25">
      <c r="A4928" s="67"/>
      <c r="B4928" s="67"/>
    </row>
    <row r="4929" spans="1:2" x14ac:dyDescent="0.25">
      <c r="A4929" s="67"/>
      <c r="B4929" s="67"/>
    </row>
    <row r="4930" spans="1:2" x14ac:dyDescent="0.25">
      <c r="A4930" s="67"/>
      <c r="B4930" s="67"/>
    </row>
    <row r="4931" spans="1:2" x14ac:dyDescent="0.25">
      <c r="A4931" s="67"/>
      <c r="B4931" s="67"/>
    </row>
    <row r="4932" spans="1:2" x14ac:dyDescent="0.25">
      <c r="A4932" s="67"/>
      <c r="B4932" s="67"/>
    </row>
    <row r="4933" spans="1:2" x14ac:dyDescent="0.25">
      <c r="A4933" s="67"/>
      <c r="B4933" s="67"/>
    </row>
    <row r="4934" spans="1:2" x14ac:dyDescent="0.25">
      <c r="A4934" s="67"/>
      <c r="B4934" s="67"/>
    </row>
    <row r="4935" spans="1:2" x14ac:dyDescent="0.25">
      <c r="A4935" s="67"/>
      <c r="B4935" s="67"/>
    </row>
    <row r="4936" spans="1:2" x14ac:dyDescent="0.25">
      <c r="A4936" s="67"/>
      <c r="B4936" s="67"/>
    </row>
    <row r="4937" spans="1:2" x14ac:dyDescent="0.25">
      <c r="A4937" s="67"/>
      <c r="B4937" s="67"/>
    </row>
    <row r="4938" spans="1:2" x14ac:dyDescent="0.25">
      <c r="A4938" s="67"/>
      <c r="B4938" s="67"/>
    </row>
    <row r="4939" spans="1:2" x14ac:dyDescent="0.25">
      <c r="A4939" s="67"/>
      <c r="B4939" s="67"/>
    </row>
    <row r="4940" spans="1:2" x14ac:dyDescent="0.25">
      <c r="A4940" s="67"/>
      <c r="B4940" s="67"/>
    </row>
    <row r="4941" spans="1:2" x14ac:dyDescent="0.25">
      <c r="A4941" s="67"/>
      <c r="B4941" s="67"/>
    </row>
    <row r="4942" spans="1:2" x14ac:dyDescent="0.25">
      <c r="A4942" s="67"/>
      <c r="B4942" s="67"/>
    </row>
    <row r="4943" spans="1:2" x14ac:dyDescent="0.25">
      <c r="A4943" s="67"/>
      <c r="B4943" s="67"/>
    </row>
    <row r="4944" spans="1:2" x14ac:dyDescent="0.25">
      <c r="A4944" s="67"/>
      <c r="B4944" s="67"/>
    </row>
  </sheetData>
  <mergeCells count="8">
    <mergeCell ref="A1:K1"/>
    <mergeCell ref="A2:K2"/>
    <mergeCell ref="A3:K3"/>
    <mergeCell ref="A6:A7"/>
    <mergeCell ref="B6:B7"/>
    <mergeCell ref="C6:E6"/>
    <mergeCell ref="F6:H6"/>
    <mergeCell ref="I6:K6"/>
  </mergeCells>
  <printOptions horizontalCentered="1"/>
  <pageMargins left="0.51181102362204722" right="0.51181102362204722" top="0.47244094488188981" bottom="0.74803149606299213" header="0.31496062992125984" footer="0.31496062992125984"/>
  <pageSetup paperSize="9" scale="68" orientation="landscape" r:id="rId1"/>
  <headerFooter>
    <oddHeader>&amp;R&amp;"Times New Roman CE,Félkövér"&amp;11 3. melléklet a 23/2018.(X.15.) önkormányzati rendelethez&amp;"Times New Roman CE,Dőlt"&amp;10
3. melléklet
a 3/2018.(II.8.) önkormányzati rendelethez</oddHeader>
  </headerFooter>
  <rowBreaks count="2" manualBreakCount="2">
    <brk id="25" max="16383" man="1"/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T38"/>
  <sheetViews>
    <sheetView zoomScaleNormal="100" workbookViewId="0">
      <selection activeCell="D21" sqref="D21"/>
    </sheetView>
  </sheetViews>
  <sheetFormatPr defaultRowHeight="15.75" x14ac:dyDescent="0.25"/>
  <cols>
    <col min="1" max="1" width="35.75" style="86" customWidth="1"/>
    <col min="2" max="2" width="11" style="86" customWidth="1"/>
    <col min="3" max="3" width="14.75" style="108" customWidth="1"/>
    <col min="4" max="4" width="14.5" style="108" customWidth="1"/>
    <col min="5" max="5" width="15" style="108" customWidth="1"/>
    <col min="6" max="6" width="14.375" style="108" customWidth="1"/>
    <col min="7" max="7" width="14.25" style="108" customWidth="1"/>
    <col min="8" max="8" width="14.625" style="108" customWidth="1"/>
    <col min="9" max="9" width="14.75" style="108" customWidth="1"/>
    <col min="10" max="10" width="14.375" style="108" customWidth="1"/>
    <col min="11" max="11" width="14.75" style="108" customWidth="1"/>
    <col min="12" max="254" width="9" style="86"/>
  </cols>
  <sheetData>
    <row r="1" spans="1:254" x14ac:dyDescent="0.25">
      <c r="A1" s="959" t="s">
        <v>193</v>
      </c>
      <c r="B1" s="959"/>
      <c r="C1" s="959"/>
      <c r="D1" s="959"/>
      <c r="E1" s="959"/>
      <c r="F1" s="959"/>
      <c r="G1" s="959"/>
      <c r="H1" s="959"/>
      <c r="I1" s="959"/>
      <c r="J1" s="959"/>
      <c r="K1" s="959"/>
    </row>
    <row r="2" spans="1:254" x14ac:dyDescent="0.25">
      <c r="A2" s="959" t="s">
        <v>687</v>
      </c>
      <c r="B2" s="959"/>
      <c r="C2" s="959"/>
      <c r="D2" s="959"/>
      <c r="E2" s="959"/>
      <c r="F2" s="959"/>
      <c r="G2" s="959"/>
      <c r="H2" s="959"/>
      <c r="I2" s="959"/>
      <c r="J2" s="959"/>
      <c r="K2" s="959"/>
    </row>
    <row r="3" spans="1:254" x14ac:dyDescent="0.25">
      <c r="A3" s="959" t="s">
        <v>979</v>
      </c>
      <c r="B3" s="959"/>
      <c r="C3" s="959"/>
      <c r="D3" s="959"/>
      <c r="E3" s="959"/>
      <c r="F3" s="959"/>
      <c r="G3" s="959"/>
      <c r="H3" s="959"/>
      <c r="I3" s="959"/>
      <c r="J3" s="959"/>
      <c r="K3" s="959"/>
    </row>
    <row r="5" spans="1:254" ht="16.5" thickBot="1" x14ac:dyDescent="0.3"/>
    <row r="6" spans="1:254" ht="46.5" customHeight="1" thickTop="1" thickBot="1" x14ac:dyDescent="0.3">
      <c r="A6" s="967" t="s">
        <v>146</v>
      </c>
      <c r="B6" s="967" t="s">
        <v>163</v>
      </c>
      <c r="C6" s="950" t="s">
        <v>22</v>
      </c>
      <c r="D6" s="951"/>
      <c r="E6" s="952"/>
      <c r="F6" s="960" t="s">
        <v>194</v>
      </c>
      <c r="G6" s="961"/>
      <c r="H6" s="962"/>
      <c r="I6" s="969" t="s">
        <v>153</v>
      </c>
      <c r="J6" s="970"/>
      <c r="K6" s="9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  <c r="GJ6" s="71"/>
      <c r="GK6" s="71"/>
      <c r="GL6" s="71"/>
      <c r="GM6" s="71"/>
      <c r="GN6" s="71"/>
      <c r="GO6" s="71"/>
      <c r="GP6" s="71"/>
      <c r="GQ6" s="71"/>
      <c r="GR6" s="71"/>
      <c r="GS6" s="71"/>
      <c r="GT6" s="71"/>
      <c r="GU6" s="71"/>
      <c r="GV6" s="71"/>
      <c r="GW6" s="71"/>
      <c r="GX6" s="71"/>
      <c r="GY6" s="71"/>
      <c r="GZ6" s="71"/>
      <c r="HA6" s="71"/>
      <c r="HB6" s="71"/>
      <c r="HC6" s="71"/>
      <c r="HD6" s="71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54" ht="33" thickTop="1" thickBot="1" x14ac:dyDescent="0.3">
      <c r="A7" s="968"/>
      <c r="B7" s="968"/>
      <c r="C7" s="345" t="s">
        <v>389</v>
      </c>
      <c r="D7" s="373" t="s">
        <v>390</v>
      </c>
      <c r="E7" s="373" t="s">
        <v>975</v>
      </c>
      <c r="F7" s="373" t="s">
        <v>389</v>
      </c>
      <c r="G7" s="373" t="s">
        <v>390</v>
      </c>
      <c r="H7" s="373" t="s">
        <v>975</v>
      </c>
      <c r="I7" s="373" t="s">
        <v>389</v>
      </c>
      <c r="J7" s="346" t="s">
        <v>390</v>
      </c>
      <c r="K7" s="346" t="s">
        <v>975</v>
      </c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  <c r="FY7" s="73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3"/>
      <c r="GN7" s="73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3"/>
      <c r="HC7" s="73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54" ht="17.25" thickTop="1" thickBot="1" x14ac:dyDescent="0.3">
      <c r="A8" s="204" t="s">
        <v>147</v>
      </c>
      <c r="B8" s="206"/>
      <c r="C8" s="4" t="s">
        <v>195</v>
      </c>
      <c r="D8" s="4" t="s">
        <v>391</v>
      </c>
      <c r="E8" s="4" t="s">
        <v>392</v>
      </c>
      <c r="F8" s="205" t="s">
        <v>196</v>
      </c>
      <c r="G8" s="205" t="s">
        <v>393</v>
      </c>
      <c r="H8" s="205" t="s">
        <v>394</v>
      </c>
      <c r="I8" s="4" t="s">
        <v>197</v>
      </c>
      <c r="J8" s="4" t="s">
        <v>395</v>
      </c>
      <c r="K8" s="4" t="s">
        <v>396</v>
      </c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3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54" ht="16.5" thickTop="1" x14ac:dyDescent="0.25">
      <c r="A9" s="77" t="s">
        <v>28</v>
      </c>
      <c r="B9" s="77" t="s">
        <v>164</v>
      </c>
      <c r="C9" s="81">
        <v>478630</v>
      </c>
      <c r="D9" s="81">
        <v>-6326</v>
      </c>
      <c r="E9" s="81">
        <f>SUM(C9:D9)</f>
        <v>472304</v>
      </c>
      <c r="F9" s="81">
        <v>7315351</v>
      </c>
      <c r="G9" s="81">
        <v>211179</v>
      </c>
      <c r="H9" s="81">
        <f>SUM(F9:G9)</f>
        <v>7526530</v>
      </c>
      <c r="I9" s="255">
        <f>SUM(C9+F9)</f>
        <v>7793981</v>
      </c>
      <c r="J9" s="255">
        <f t="shared" ref="J9:K13" si="0">SUM(D9+G9)</f>
        <v>204853</v>
      </c>
      <c r="K9" s="255">
        <f t="shared" si="0"/>
        <v>7998834</v>
      </c>
    </row>
    <row r="10" spans="1:254" ht="31.5" x14ac:dyDescent="0.25">
      <c r="A10" s="87" t="s">
        <v>29</v>
      </c>
      <c r="B10" s="87" t="s">
        <v>165</v>
      </c>
      <c r="C10" s="88">
        <v>114847</v>
      </c>
      <c r="D10" s="88">
        <v>618</v>
      </c>
      <c r="E10" s="88">
        <f t="shared" ref="E10:E13" si="1">SUM(C10:D10)</f>
        <v>115465</v>
      </c>
      <c r="F10" s="88">
        <v>1523397</v>
      </c>
      <c r="G10" s="88">
        <v>49644</v>
      </c>
      <c r="H10" s="88">
        <f>SUM(F10:G10)</f>
        <v>1573041</v>
      </c>
      <c r="I10" s="93">
        <f>SUM(C10+F10)</f>
        <v>1638244</v>
      </c>
      <c r="J10" s="93">
        <f t="shared" si="0"/>
        <v>50262</v>
      </c>
      <c r="K10" s="93">
        <f t="shared" si="0"/>
        <v>1688506</v>
      </c>
    </row>
    <row r="11" spans="1:254" x14ac:dyDescent="0.25">
      <c r="A11" s="94" t="s">
        <v>30</v>
      </c>
      <c r="B11" s="94" t="s">
        <v>166</v>
      </c>
      <c r="C11" s="88">
        <v>8202173</v>
      </c>
      <c r="D11" s="88">
        <v>616746</v>
      </c>
      <c r="E11" s="88">
        <f t="shared" si="1"/>
        <v>8818919</v>
      </c>
      <c r="F11" s="88">
        <v>4823474</v>
      </c>
      <c r="G11" s="88">
        <v>407281</v>
      </c>
      <c r="H11" s="88">
        <f t="shared" ref="H11:H17" si="2">SUM(F11:G11)</f>
        <v>5230755</v>
      </c>
      <c r="I11" s="93">
        <f>SUM(C11+F11)</f>
        <v>13025647</v>
      </c>
      <c r="J11" s="93">
        <f t="shared" si="0"/>
        <v>1024027</v>
      </c>
      <c r="K11" s="93">
        <f t="shared" si="0"/>
        <v>14049674</v>
      </c>
    </row>
    <row r="12" spans="1:254" x14ac:dyDescent="0.25">
      <c r="A12" s="94" t="s">
        <v>514</v>
      </c>
      <c r="B12" s="94" t="s">
        <v>167</v>
      </c>
      <c r="C12" s="88">
        <v>41014</v>
      </c>
      <c r="D12" s="88">
        <v>7645</v>
      </c>
      <c r="E12" s="88">
        <f t="shared" si="1"/>
        <v>48659</v>
      </c>
      <c r="F12" s="88">
        <v>10000</v>
      </c>
      <c r="G12" s="88">
        <v>63194</v>
      </c>
      <c r="H12" s="88">
        <f t="shared" si="2"/>
        <v>73194</v>
      </c>
      <c r="I12" s="93">
        <f>SUM(C12+F12)</f>
        <v>51014</v>
      </c>
      <c r="J12" s="93">
        <f t="shared" si="0"/>
        <v>70839</v>
      </c>
      <c r="K12" s="93">
        <f t="shared" si="0"/>
        <v>121853</v>
      </c>
    </row>
    <row r="13" spans="1:254" ht="31.5" x14ac:dyDescent="0.25">
      <c r="A13" s="87" t="s">
        <v>191</v>
      </c>
      <c r="B13" s="87" t="s">
        <v>331</v>
      </c>
      <c r="C13" s="88">
        <v>13701859</v>
      </c>
      <c r="D13" s="81">
        <v>300953</v>
      </c>
      <c r="E13" s="88">
        <f t="shared" si="1"/>
        <v>14002812</v>
      </c>
      <c r="F13" s="81">
        <v>0</v>
      </c>
      <c r="G13" s="81">
        <v>20</v>
      </c>
      <c r="H13" s="88">
        <f t="shared" si="2"/>
        <v>20</v>
      </c>
      <c r="I13" s="93">
        <f>SUM(C13+F13)</f>
        <v>13701859</v>
      </c>
      <c r="J13" s="93">
        <f t="shared" si="0"/>
        <v>300973</v>
      </c>
      <c r="K13" s="93">
        <f t="shared" si="0"/>
        <v>14002832</v>
      </c>
    </row>
    <row r="14" spans="1:254" ht="31.5" x14ac:dyDescent="0.25">
      <c r="A14" s="342" t="s">
        <v>375</v>
      </c>
      <c r="B14" s="99"/>
      <c r="C14" s="100">
        <f>SUM(C9+C10+C11+C12+C13)</f>
        <v>22538523</v>
      </c>
      <c r="D14" s="100">
        <f t="shared" ref="D14:E14" si="3">SUM(D9+D10+D11+D12+D13)</f>
        <v>919636</v>
      </c>
      <c r="E14" s="100">
        <f t="shared" si="3"/>
        <v>23458159</v>
      </c>
      <c r="F14" s="100">
        <f>SUM(F9+F10+F11+F12+F13)</f>
        <v>13672222</v>
      </c>
      <c r="G14" s="100">
        <f t="shared" ref="G14:H14" si="4">SUM(G9+G10+G11+G12+G13)</f>
        <v>731318</v>
      </c>
      <c r="H14" s="100">
        <f t="shared" si="4"/>
        <v>14403540</v>
      </c>
      <c r="I14" s="100">
        <f>SUM(I9:I12,I13)</f>
        <v>36210745</v>
      </c>
      <c r="J14" s="100">
        <f t="shared" ref="J14:K14" si="5">SUM(J9:J12,J13)</f>
        <v>1650954</v>
      </c>
      <c r="K14" s="100">
        <f t="shared" si="5"/>
        <v>37861699</v>
      </c>
    </row>
    <row r="15" spans="1:254" x14ac:dyDescent="0.25">
      <c r="A15" s="94" t="s">
        <v>171</v>
      </c>
      <c r="B15" s="94" t="s">
        <v>168</v>
      </c>
      <c r="C15" s="89">
        <v>28461078</v>
      </c>
      <c r="D15" s="89">
        <v>521082</v>
      </c>
      <c r="E15" s="89">
        <f>SUM(C15:D15)</f>
        <v>28982160</v>
      </c>
      <c r="F15" s="89">
        <v>253087</v>
      </c>
      <c r="G15" s="89">
        <v>-8380</v>
      </c>
      <c r="H15" s="89">
        <f t="shared" si="2"/>
        <v>244707</v>
      </c>
      <c r="I15" s="93">
        <f>SUM(C15+F15)</f>
        <v>28714165</v>
      </c>
      <c r="J15" s="93">
        <f t="shared" ref="J15:K17" si="6">SUM(D15+G15)</f>
        <v>512702</v>
      </c>
      <c r="K15" s="93">
        <f t="shared" si="6"/>
        <v>29226867</v>
      </c>
    </row>
    <row r="16" spans="1:254" x14ac:dyDescent="0.25">
      <c r="A16" s="94" t="s">
        <v>172</v>
      </c>
      <c r="B16" s="94" t="s">
        <v>169</v>
      </c>
      <c r="C16" s="89">
        <v>4530947</v>
      </c>
      <c r="D16" s="89">
        <v>-521602</v>
      </c>
      <c r="E16" s="89">
        <f>SUM(C16:D16)</f>
        <v>4009345</v>
      </c>
      <c r="F16" s="89">
        <v>27304</v>
      </c>
      <c r="G16" s="89">
        <v>-361</v>
      </c>
      <c r="H16" s="89">
        <f t="shared" si="2"/>
        <v>26943</v>
      </c>
      <c r="I16" s="93">
        <f>SUM(C16+F16)</f>
        <v>4558251</v>
      </c>
      <c r="J16" s="93">
        <f t="shared" si="6"/>
        <v>-521963</v>
      </c>
      <c r="K16" s="93">
        <f t="shared" si="6"/>
        <v>4036288</v>
      </c>
    </row>
    <row r="17" spans="1:254" x14ac:dyDescent="0.25">
      <c r="A17" s="94" t="s">
        <v>282</v>
      </c>
      <c r="B17" s="94" t="s">
        <v>170</v>
      </c>
      <c r="C17" s="89">
        <v>974097</v>
      </c>
      <c r="D17" s="89">
        <v>364588</v>
      </c>
      <c r="E17" s="89">
        <f>SUM(C17:D17)</f>
        <v>1338685</v>
      </c>
      <c r="F17" s="89">
        <v>0</v>
      </c>
      <c r="G17" s="89">
        <v>0</v>
      </c>
      <c r="H17" s="89">
        <f t="shared" si="2"/>
        <v>0</v>
      </c>
      <c r="I17" s="93">
        <f>SUM(C17+F17)</f>
        <v>974097</v>
      </c>
      <c r="J17" s="93">
        <f t="shared" si="6"/>
        <v>364588</v>
      </c>
      <c r="K17" s="93">
        <f t="shared" si="6"/>
        <v>1338685</v>
      </c>
    </row>
    <row r="18" spans="1:254" ht="31.5" x14ac:dyDescent="0.25">
      <c r="A18" s="342" t="s">
        <v>376</v>
      </c>
      <c r="B18" s="193"/>
      <c r="C18" s="101">
        <f>SUM(C15:C17)</f>
        <v>33966122</v>
      </c>
      <c r="D18" s="101">
        <f t="shared" ref="D18:E18" si="7">SUM(D15:D17)</f>
        <v>364068</v>
      </c>
      <c r="E18" s="101">
        <f t="shared" si="7"/>
        <v>34330190</v>
      </c>
      <c r="F18" s="100">
        <f>SUM(F15:F17)</f>
        <v>280391</v>
      </c>
      <c r="G18" s="100">
        <f t="shared" ref="G18:H18" si="8">SUM(G15:G17)</f>
        <v>-8741</v>
      </c>
      <c r="H18" s="100">
        <f t="shared" si="8"/>
        <v>271650</v>
      </c>
      <c r="I18" s="100">
        <f>SUM(I15:I17)</f>
        <v>34246513</v>
      </c>
      <c r="J18" s="100">
        <f t="shared" ref="J18:K18" si="9">SUM(J15:J17)</f>
        <v>355327</v>
      </c>
      <c r="K18" s="100">
        <f t="shared" si="9"/>
        <v>34601840</v>
      </c>
    </row>
    <row r="19" spans="1:254" s="218" customFormat="1" x14ac:dyDescent="0.25">
      <c r="A19" s="214" t="s">
        <v>218</v>
      </c>
      <c r="B19" s="214"/>
      <c r="C19" s="215">
        <v>109885</v>
      </c>
      <c r="D19" s="215">
        <v>-36597</v>
      </c>
      <c r="E19" s="215">
        <f>SUM(C19:D19)</f>
        <v>73288</v>
      </c>
      <c r="F19" s="215">
        <v>0</v>
      </c>
      <c r="G19" s="215">
        <v>0</v>
      </c>
      <c r="H19" s="215">
        <f>SUM(F19:G19)</f>
        <v>0</v>
      </c>
      <c r="I19" s="256">
        <f>SUM(C19+F19)</f>
        <v>109885</v>
      </c>
      <c r="J19" s="256">
        <f t="shared" ref="J19:K20" si="10">SUM(D19+G19)</f>
        <v>-36597</v>
      </c>
      <c r="K19" s="256">
        <f t="shared" si="10"/>
        <v>73288</v>
      </c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7"/>
      <c r="AP19" s="217"/>
      <c r="AQ19" s="217"/>
      <c r="AR19" s="217"/>
      <c r="AS19" s="217"/>
      <c r="AT19" s="217"/>
      <c r="AU19" s="217"/>
      <c r="AV19" s="217"/>
      <c r="AW19" s="217"/>
      <c r="AX19" s="217"/>
      <c r="AY19" s="217"/>
      <c r="AZ19" s="217"/>
      <c r="BA19" s="217"/>
      <c r="BB19" s="217"/>
      <c r="BC19" s="217"/>
      <c r="BD19" s="217"/>
      <c r="BE19" s="217"/>
      <c r="BF19" s="217"/>
      <c r="BG19" s="217"/>
      <c r="BH19" s="217"/>
      <c r="BI19" s="217"/>
      <c r="BJ19" s="217"/>
      <c r="BK19" s="217"/>
      <c r="BL19" s="217"/>
      <c r="BM19" s="217"/>
      <c r="BN19" s="217"/>
      <c r="BO19" s="217"/>
      <c r="BP19" s="217"/>
      <c r="BQ19" s="217"/>
      <c r="BR19" s="217"/>
      <c r="BS19" s="217"/>
      <c r="BT19" s="217"/>
      <c r="BU19" s="217"/>
      <c r="BV19" s="217"/>
      <c r="BW19" s="217"/>
      <c r="BX19" s="217"/>
      <c r="BY19" s="217"/>
      <c r="BZ19" s="217"/>
      <c r="CA19" s="217"/>
      <c r="CB19" s="217"/>
      <c r="CC19" s="217"/>
      <c r="CD19" s="217"/>
      <c r="CE19" s="217"/>
      <c r="CF19" s="217"/>
      <c r="CG19" s="217"/>
      <c r="CH19" s="217"/>
      <c r="CI19" s="217"/>
      <c r="CJ19" s="217"/>
      <c r="CK19" s="217"/>
      <c r="CL19" s="217"/>
      <c r="CM19" s="217"/>
      <c r="CN19" s="217"/>
      <c r="CO19" s="217"/>
      <c r="CP19" s="217"/>
      <c r="CQ19" s="217"/>
      <c r="CR19" s="217"/>
      <c r="CS19" s="217"/>
      <c r="CT19" s="217"/>
      <c r="CU19" s="217"/>
      <c r="CV19" s="217"/>
      <c r="CW19" s="217"/>
      <c r="CX19" s="217"/>
      <c r="CY19" s="217"/>
      <c r="CZ19" s="217"/>
      <c r="DA19" s="217"/>
      <c r="DB19" s="217"/>
      <c r="DC19" s="217"/>
      <c r="DD19" s="217"/>
      <c r="DE19" s="217"/>
      <c r="DF19" s="217"/>
      <c r="DG19" s="217"/>
      <c r="DH19" s="217"/>
      <c r="DI19" s="217"/>
      <c r="DJ19" s="217"/>
      <c r="DK19" s="217"/>
      <c r="DL19" s="217"/>
      <c r="DM19" s="217"/>
      <c r="DN19" s="217"/>
      <c r="DO19" s="217"/>
      <c r="DP19" s="217"/>
      <c r="DQ19" s="217"/>
      <c r="DR19" s="217"/>
      <c r="DS19" s="217"/>
      <c r="DT19" s="217"/>
      <c r="DU19" s="217"/>
      <c r="DV19" s="217"/>
      <c r="DW19" s="217"/>
      <c r="DX19" s="217"/>
      <c r="DY19" s="217"/>
      <c r="DZ19" s="217"/>
      <c r="EA19" s="217"/>
      <c r="EB19" s="217"/>
      <c r="EC19" s="217"/>
      <c r="ED19" s="217"/>
      <c r="EE19" s="217"/>
      <c r="EF19" s="217"/>
      <c r="EG19" s="217"/>
      <c r="EH19" s="217"/>
      <c r="EI19" s="217"/>
      <c r="EJ19" s="217"/>
      <c r="EK19" s="217"/>
      <c r="EL19" s="217"/>
      <c r="EM19" s="217"/>
      <c r="EN19" s="217"/>
      <c r="EO19" s="217"/>
      <c r="EP19" s="217"/>
      <c r="EQ19" s="217"/>
      <c r="ER19" s="217"/>
      <c r="ES19" s="217"/>
      <c r="ET19" s="217"/>
      <c r="EU19" s="217"/>
      <c r="EV19" s="217"/>
      <c r="EW19" s="217"/>
      <c r="EX19" s="217"/>
      <c r="EY19" s="217"/>
      <c r="EZ19" s="217"/>
      <c r="FA19" s="217"/>
      <c r="FB19" s="217"/>
      <c r="FC19" s="217"/>
      <c r="FD19" s="217"/>
      <c r="FE19" s="217"/>
      <c r="FF19" s="217"/>
      <c r="FG19" s="217"/>
      <c r="FH19" s="217"/>
      <c r="FI19" s="217"/>
      <c r="FJ19" s="217"/>
      <c r="FK19" s="217"/>
      <c r="FL19" s="217"/>
      <c r="FM19" s="217"/>
      <c r="FN19" s="217"/>
      <c r="FO19" s="217"/>
      <c r="FP19" s="217"/>
      <c r="FQ19" s="217"/>
      <c r="FR19" s="217"/>
      <c r="FS19" s="217"/>
      <c r="FT19" s="217"/>
      <c r="FU19" s="217"/>
      <c r="FV19" s="217"/>
      <c r="FW19" s="217"/>
      <c r="FX19" s="217"/>
      <c r="FY19" s="217"/>
      <c r="FZ19" s="217"/>
      <c r="GA19" s="217"/>
      <c r="GB19" s="217"/>
      <c r="GC19" s="217"/>
      <c r="GD19" s="217"/>
      <c r="GE19" s="217"/>
      <c r="GF19" s="217"/>
      <c r="GG19" s="217"/>
      <c r="GH19" s="217"/>
      <c r="GI19" s="217"/>
      <c r="GJ19" s="217"/>
      <c r="GK19" s="217"/>
      <c r="GL19" s="217"/>
      <c r="GM19" s="217"/>
      <c r="GN19" s="217"/>
      <c r="GO19" s="217"/>
      <c r="GP19" s="217"/>
      <c r="GQ19" s="217"/>
      <c r="GR19" s="217"/>
      <c r="GS19" s="217"/>
      <c r="GT19" s="217"/>
      <c r="GU19" s="217"/>
      <c r="GV19" s="217"/>
      <c r="GW19" s="217"/>
      <c r="GX19" s="217"/>
      <c r="GY19" s="217"/>
      <c r="GZ19" s="217"/>
      <c r="HA19" s="217"/>
      <c r="HB19" s="217"/>
      <c r="HC19" s="217"/>
      <c r="HD19" s="217"/>
      <c r="HE19" s="217"/>
      <c r="HF19" s="217"/>
      <c r="HG19" s="217"/>
      <c r="HH19" s="217"/>
      <c r="HI19" s="217"/>
      <c r="HJ19" s="217"/>
      <c r="HK19" s="217"/>
      <c r="HL19" s="217"/>
      <c r="HM19" s="217"/>
      <c r="HN19" s="217"/>
      <c r="HO19" s="217"/>
      <c r="HP19" s="217"/>
      <c r="HQ19" s="217"/>
      <c r="HR19" s="217"/>
      <c r="HS19" s="217"/>
      <c r="HT19" s="217"/>
      <c r="HU19" s="217"/>
      <c r="HV19" s="217"/>
      <c r="HW19" s="217"/>
      <c r="HX19" s="217"/>
      <c r="HY19" s="217"/>
      <c r="HZ19" s="217"/>
      <c r="IA19" s="217"/>
      <c r="IB19" s="217"/>
      <c r="IC19" s="217"/>
      <c r="ID19" s="217"/>
      <c r="IE19" s="217"/>
      <c r="IF19" s="217"/>
      <c r="IG19" s="217"/>
      <c r="IH19" s="217"/>
      <c r="II19" s="217"/>
      <c r="IJ19" s="217"/>
      <c r="IK19" s="217"/>
      <c r="IL19" s="217"/>
      <c r="IM19" s="217"/>
      <c r="IN19" s="217"/>
      <c r="IO19" s="217"/>
      <c r="IP19" s="217"/>
      <c r="IQ19" s="217"/>
      <c r="IR19" s="217"/>
      <c r="IS19" s="217"/>
      <c r="IT19" s="217"/>
    </row>
    <row r="20" spans="1:254" s="218" customFormat="1" x14ac:dyDescent="0.25">
      <c r="A20" s="214" t="s">
        <v>219</v>
      </c>
      <c r="B20" s="223"/>
      <c r="C20" s="215">
        <v>2085542</v>
      </c>
      <c r="D20" s="215">
        <v>541979</v>
      </c>
      <c r="E20" s="215">
        <f>SUM(C20:D20)</f>
        <v>2627521</v>
      </c>
      <c r="F20" s="215">
        <v>0</v>
      </c>
      <c r="G20" s="215">
        <v>0</v>
      </c>
      <c r="H20" s="215">
        <f>SUM(F20:G20)</f>
        <v>0</v>
      </c>
      <c r="I20" s="256">
        <f>SUM(C20+F20)</f>
        <v>2085542</v>
      </c>
      <c r="J20" s="256">
        <f t="shared" si="10"/>
        <v>541979</v>
      </c>
      <c r="K20" s="256">
        <f t="shared" si="10"/>
        <v>2627521</v>
      </c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217"/>
      <c r="BA20" s="217"/>
      <c r="BB20" s="217"/>
      <c r="BC20" s="217"/>
      <c r="BD20" s="217"/>
      <c r="BE20" s="217"/>
      <c r="BF20" s="217"/>
      <c r="BG20" s="217"/>
      <c r="BH20" s="217"/>
      <c r="BI20" s="217"/>
      <c r="BJ20" s="217"/>
      <c r="BK20" s="217"/>
      <c r="BL20" s="217"/>
      <c r="BM20" s="217"/>
      <c r="BN20" s="217"/>
      <c r="BO20" s="217"/>
      <c r="BP20" s="217"/>
      <c r="BQ20" s="217"/>
      <c r="BR20" s="217"/>
      <c r="BS20" s="217"/>
      <c r="BT20" s="217"/>
      <c r="BU20" s="217"/>
      <c r="BV20" s="217"/>
      <c r="BW20" s="217"/>
      <c r="BX20" s="217"/>
      <c r="BY20" s="217"/>
      <c r="BZ20" s="217"/>
      <c r="CA20" s="217"/>
      <c r="CB20" s="217"/>
      <c r="CC20" s="217"/>
      <c r="CD20" s="217"/>
      <c r="CE20" s="217"/>
      <c r="CF20" s="217"/>
      <c r="CG20" s="217"/>
      <c r="CH20" s="217"/>
      <c r="CI20" s="217"/>
      <c r="CJ20" s="217"/>
      <c r="CK20" s="217"/>
      <c r="CL20" s="217"/>
      <c r="CM20" s="217"/>
      <c r="CN20" s="217"/>
      <c r="CO20" s="217"/>
      <c r="CP20" s="217"/>
      <c r="CQ20" s="217"/>
      <c r="CR20" s="217"/>
      <c r="CS20" s="217"/>
      <c r="CT20" s="217"/>
      <c r="CU20" s="217"/>
      <c r="CV20" s="217"/>
      <c r="CW20" s="217"/>
      <c r="CX20" s="217"/>
      <c r="CY20" s="217"/>
      <c r="CZ20" s="217"/>
      <c r="DA20" s="217"/>
      <c r="DB20" s="217"/>
      <c r="DC20" s="217"/>
      <c r="DD20" s="217"/>
      <c r="DE20" s="217"/>
      <c r="DF20" s="217"/>
      <c r="DG20" s="217"/>
      <c r="DH20" s="217"/>
      <c r="DI20" s="217"/>
      <c r="DJ20" s="217"/>
      <c r="DK20" s="217"/>
      <c r="DL20" s="217"/>
      <c r="DM20" s="217"/>
      <c r="DN20" s="217"/>
      <c r="DO20" s="217"/>
      <c r="DP20" s="217"/>
      <c r="DQ20" s="217"/>
      <c r="DR20" s="217"/>
      <c r="DS20" s="217"/>
      <c r="DT20" s="217"/>
      <c r="DU20" s="217"/>
      <c r="DV20" s="217"/>
      <c r="DW20" s="217"/>
      <c r="DX20" s="217"/>
      <c r="DY20" s="217"/>
      <c r="DZ20" s="217"/>
      <c r="EA20" s="217"/>
      <c r="EB20" s="217"/>
      <c r="EC20" s="217"/>
      <c r="ED20" s="217"/>
      <c r="EE20" s="217"/>
      <c r="EF20" s="217"/>
      <c r="EG20" s="217"/>
      <c r="EH20" s="217"/>
      <c r="EI20" s="217"/>
      <c r="EJ20" s="217"/>
      <c r="EK20" s="217"/>
      <c r="EL20" s="217"/>
      <c r="EM20" s="217"/>
      <c r="EN20" s="217"/>
      <c r="EO20" s="217"/>
      <c r="EP20" s="217"/>
      <c r="EQ20" s="217"/>
      <c r="ER20" s="217"/>
      <c r="ES20" s="217"/>
      <c r="ET20" s="217"/>
      <c r="EU20" s="217"/>
      <c r="EV20" s="217"/>
      <c r="EW20" s="217"/>
      <c r="EX20" s="217"/>
      <c r="EY20" s="217"/>
      <c r="EZ20" s="217"/>
      <c r="FA20" s="217"/>
      <c r="FB20" s="217"/>
      <c r="FC20" s="217"/>
      <c r="FD20" s="217"/>
      <c r="FE20" s="217"/>
      <c r="FF20" s="217"/>
      <c r="FG20" s="217"/>
      <c r="FH20" s="217"/>
      <c r="FI20" s="217"/>
      <c r="FJ20" s="217"/>
      <c r="FK20" s="217"/>
      <c r="FL20" s="217"/>
      <c r="FM20" s="217"/>
      <c r="FN20" s="217"/>
      <c r="FO20" s="217"/>
      <c r="FP20" s="217"/>
      <c r="FQ20" s="217"/>
      <c r="FR20" s="217"/>
      <c r="FS20" s="217"/>
      <c r="FT20" s="217"/>
      <c r="FU20" s="217"/>
      <c r="FV20" s="217"/>
      <c r="FW20" s="217"/>
      <c r="FX20" s="217"/>
      <c r="FY20" s="217"/>
      <c r="FZ20" s="217"/>
      <c r="GA20" s="217"/>
      <c r="GB20" s="217"/>
      <c r="GC20" s="217"/>
      <c r="GD20" s="217"/>
      <c r="GE20" s="217"/>
      <c r="GF20" s="217"/>
      <c r="GG20" s="217"/>
      <c r="GH20" s="217"/>
      <c r="GI20" s="217"/>
      <c r="GJ20" s="217"/>
      <c r="GK20" s="217"/>
      <c r="GL20" s="217"/>
      <c r="GM20" s="217"/>
      <c r="GN20" s="217"/>
      <c r="GO20" s="217"/>
      <c r="GP20" s="217"/>
      <c r="GQ20" s="217"/>
      <c r="GR20" s="217"/>
      <c r="GS20" s="217"/>
      <c r="GT20" s="217"/>
      <c r="GU20" s="217"/>
      <c r="GV20" s="217"/>
      <c r="GW20" s="217"/>
      <c r="GX20" s="217"/>
      <c r="GY20" s="217"/>
      <c r="GZ20" s="217"/>
      <c r="HA20" s="217"/>
      <c r="HB20" s="217"/>
      <c r="HC20" s="217"/>
      <c r="HD20" s="217"/>
      <c r="HE20" s="217"/>
      <c r="HF20" s="217"/>
      <c r="HG20" s="217"/>
      <c r="HH20" s="217"/>
      <c r="HI20" s="217"/>
      <c r="HJ20" s="217"/>
      <c r="HK20" s="217"/>
      <c r="HL20" s="217"/>
      <c r="HM20" s="217"/>
      <c r="HN20" s="217"/>
      <c r="HO20" s="217"/>
      <c r="HP20" s="217"/>
      <c r="HQ20" s="217"/>
      <c r="HR20" s="217"/>
      <c r="HS20" s="217"/>
      <c r="HT20" s="217"/>
      <c r="HU20" s="217"/>
      <c r="HV20" s="217"/>
      <c r="HW20" s="217"/>
      <c r="HX20" s="217"/>
      <c r="HY20" s="217"/>
      <c r="HZ20" s="217"/>
      <c r="IA20" s="217"/>
      <c r="IB20" s="217"/>
      <c r="IC20" s="217"/>
      <c r="ID20" s="217"/>
      <c r="IE20" s="217"/>
      <c r="IF20" s="217"/>
      <c r="IG20" s="217"/>
      <c r="IH20" s="217"/>
      <c r="II20" s="217"/>
      <c r="IJ20" s="217"/>
      <c r="IK20" s="217"/>
      <c r="IL20" s="217"/>
      <c r="IM20" s="217"/>
      <c r="IN20" s="217"/>
      <c r="IO20" s="217"/>
      <c r="IP20" s="217"/>
      <c r="IQ20" s="217"/>
      <c r="IR20" s="217"/>
      <c r="IS20" s="217"/>
      <c r="IT20" s="217"/>
    </row>
    <row r="21" spans="1:254" s="222" customFormat="1" ht="16.5" thickBot="1" x14ac:dyDescent="0.3">
      <c r="A21" s="219" t="s">
        <v>220</v>
      </c>
      <c r="B21" s="224" t="s">
        <v>332</v>
      </c>
      <c r="C21" s="220">
        <f>SUM(C19:C20)</f>
        <v>2195427</v>
      </c>
      <c r="D21" s="220">
        <f t="shared" ref="D21:E21" si="11">SUM(D19:D20)</f>
        <v>505382</v>
      </c>
      <c r="E21" s="220">
        <f t="shared" si="11"/>
        <v>2700809</v>
      </c>
      <c r="F21" s="220">
        <f>SUM(F19:F20)</f>
        <v>0</v>
      </c>
      <c r="G21" s="220">
        <f t="shared" ref="G21:H21" si="12">SUM(G19:G20)</f>
        <v>0</v>
      </c>
      <c r="H21" s="220">
        <f t="shared" si="12"/>
        <v>0</v>
      </c>
      <c r="I21" s="260">
        <f>SUM(I19:I20)</f>
        <v>2195427</v>
      </c>
      <c r="J21" s="260">
        <f t="shared" ref="J21:K21" si="13">SUM(J19:J20)</f>
        <v>505382</v>
      </c>
      <c r="K21" s="260">
        <f t="shared" si="13"/>
        <v>2700809</v>
      </c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  <c r="BT21" s="221"/>
      <c r="BU21" s="221"/>
      <c r="BV21" s="221"/>
      <c r="BW21" s="221"/>
      <c r="BX21" s="221"/>
      <c r="BY21" s="221"/>
      <c r="BZ21" s="221"/>
      <c r="CA21" s="221"/>
      <c r="CB21" s="221"/>
      <c r="CC21" s="221"/>
      <c r="CD21" s="221"/>
      <c r="CE21" s="221"/>
      <c r="CF21" s="221"/>
      <c r="CG21" s="221"/>
      <c r="CH21" s="221"/>
      <c r="CI21" s="221"/>
      <c r="CJ21" s="221"/>
      <c r="CK21" s="221"/>
      <c r="CL21" s="221"/>
      <c r="CM21" s="221"/>
      <c r="CN21" s="221"/>
      <c r="CO21" s="221"/>
      <c r="CP21" s="221"/>
      <c r="CQ21" s="221"/>
      <c r="CR21" s="221"/>
      <c r="CS21" s="221"/>
      <c r="CT21" s="221"/>
      <c r="CU21" s="221"/>
      <c r="CV21" s="221"/>
      <c r="CW21" s="221"/>
      <c r="CX21" s="221"/>
      <c r="CY21" s="221"/>
      <c r="CZ21" s="221"/>
      <c r="DA21" s="221"/>
      <c r="DB21" s="221"/>
      <c r="DC21" s="221"/>
      <c r="DD21" s="221"/>
      <c r="DE21" s="221"/>
      <c r="DF21" s="221"/>
      <c r="DG21" s="221"/>
      <c r="DH21" s="221"/>
      <c r="DI21" s="221"/>
      <c r="DJ21" s="221"/>
      <c r="DK21" s="221"/>
      <c r="DL21" s="221"/>
      <c r="DM21" s="221"/>
      <c r="DN21" s="221"/>
      <c r="DO21" s="221"/>
      <c r="DP21" s="221"/>
      <c r="DQ21" s="221"/>
      <c r="DR21" s="221"/>
      <c r="DS21" s="221"/>
      <c r="DT21" s="221"/>
      <c r="DU21" s="221"/>
      <c r="DV21" s="221"/>
      <c r="DW21" s="221"/>
      <c r="DX21" s="221"/>
      <c r="DY21" s="221"/>
      <c r="DZ21" s="221"/>
      <c r="EA21" s="221"/>
      <c r="EB21" s="221"/>
      <c r="EC21" s="221"/>
      <c r="ED21" s="221"/>
      <c r="EE21" s="221"/>
      <c r="EF21" s="221"/>
      <c r="EG21" s="221"/>
      <c r="EH21" s="221"/>
      <c r="EI21" s="221"/>
      <c r="EJ21" s="221"/>
      <c r="EK21" s="221"/>
      <c r="EL21" s="221"/>
      <c r="EM21" s="221"/>
      <c r="EN21" s="221"/>
      <c r="EO21" s="221"/>
      <c r="EP21" s="221"/>
      <c r="EQ21" s="221"/>
      <c r="ER21" s="221"/>
      <c r="ES21" s="221"/>
      <c r="ET21" s="221"/>
      <c r="EU21" s="221"/>
      <c r="EV21" s="221"/>
      <c r="EW21" s="221"/>
      <c r="EX21" s="221"/>
      <c r="EY21" s="221"/>
      <c r="EZ21" s="221"/>
      <c r="FA21" s="221"/>
      <c r="FB21" s="221"/>
      <c r="FC21" s="221"/>
      <c r="FD21" s="221"/>
      <c r="FE21" s="221"/>
      <c r="FF21" s="221"/>
      <c r="FG21" s="221"/>
      <c r="FH21" s="221"/>
      <c r="FI21" s="221"/>
      <c r="FJ21" s="221"/>
      <c r="FK21" s="221"/>
      <c r="FL21" s="221"/>
      <c r="FM21" s="221"/>
      <c r="FN21" s="221"/>
      <c r="FO21" s="221"/>
      <c r="FP21" s="221"/>
      <c r="FQ21" s="221"/>
      <c r="FR21" s="221"/>
      <c r="FS21" s="221"/>
      <c r="FT21" s="221"/>
      <c r="FU21" s="221"/>
      <c r="FV21" s="221"/>
      <c r="FW21" s="221"/>
      <c r="FX21" s="221"/>
      <c r="FY21" s="221"/>
      <c r="FZ21" s="221"/>
      <c r="GA21" s="221"/>
      <c r="GB21" s="221"/>
      <c r="GC21" s="221"/>
      <c r="GD21" s="221"/>
      <c r="GE21" s="221"/>
      <c r="GF21" s="221"/>
      <c r="GG21" s="221"/>
      <c r="GH21" s="221"/>
      <c r="GI21" s="221"/>
      <c r="GJ21" s="221"/>
      <c r="GK21" s="221"/>
      <c r="GL21" s="221"/>
      <c r="GM21" s="221"/>
      <c r="GN21" s="221"/>
      <c r="GO21" s="221"/>
      <c r="GP21" s="221"/>
      <c r="GQ21" s="221"/>
      <c r="GR21" s="221"/>
      <c r="GS21" s="221"/>
      <c r="GT21" s="221"/>
      <c r="GU21" s="221"/>
      <c r="GV21" s="221"/>
      <c r="GW21" s="221"/>
      <c r="GX21" s="221"/>
      <c r="GY21" s="221"/>
      <c r="GZ21" s="221"/>
      <c r="HA21" s="221"/>
      <c r="HB21" s="221"/>
      <c r="HC21" s="221"/>
      <c r="HD21" s="221"/>
      <c r="HE21" s="221"/>
      <c r="HF21" s="221"/>
      <c r="HG21" s="221"/>
      <c r="HH21" s="221"/>
      <c r="HI21" s="221"/>
      <c r="HJ21" s="221"/>
      <c r="HK21" s="221"/>
      <c r="HL21" s="221"/>
      <c r="HM21" s="221"/>
      <c r="HN21" s="221"/>
      <c r="HO21" s="221"/>
      <c r="HP21" s="221"/>
      <c r="HQ21" s="221"/>
      <c r="HR21" s="221"/>
      <c r="HS21" s="221"/>
      <c r="HT21" s="221"/>
      <c r="HU21" s="221"/>
      <c r="HV21" s="221"/>
      <c r="HW21" s="221"/>
      <c r="HX21" s="221"/>
      <c r="HY21" s="221"/>
      <c r="HZ21" s="221"/>
      <c r="IA21" s="221"/>
      <c r="IB21" s="221"/>
      <c r="IC21" s="221"/>
      <c r="ID21" s="221"/>
      <c r="IE21" s="221"/>
      <c r="IF21" s="221"/>
      <c r="IG21" s="221"/>
      <c r="IH21" s="221"/>
      <c r="II21" s="221"/>
      <c r="IJ21" s="221"/>
      <c r="IK21" s="221"/>
      <c r="IL21" s="221"/>
      <c r="IM21" s="221"/>
      <c r="IN21" s="221"/>
      <c r="IO21" s="221"/>
      <c r="IP21" s="221"/>
      <c r="IQ21" s="221"/>
      <c r="IR21" s="221"/>
      <c r="IS21" s="221"/>
      <c r="IT21" s="221"/>
    </row>
    <row r="22" spans="1:254" ht="17.25" thickTop="1" thickBot="1" x14ac:dyDescent="0.3">
      <c r="A22" s="104" t="s">
        <v>221</v>
      </c>
      <c r="B22" s="196" t="s">
        <v>287</v>
      </c>
      <c r="C22" s="105">
        <f>+C21+C18+C14</f>
        <v>58700072</v>
      </c>
      <c r="D22" s="105">
        <f t="shared" ref="D22:E22" si="14">+D21+D18+D14</f>
        <v>1789086</v>
      </c>
      <c r="E22" s="105">
        <f t="shared" si="14"/>
        <v>60489158</v>
      </c>
      <c r="F22" s="105">
        <f>+F21+F18+F14</f>
        <v>13952613</v>
      </c>
      <c r="G22" s="105">
        <f t="shared" ref="G22:H22" si="15">+G21+G18+G14</f>
        <v>722577</v>
      </c>
      <c r="H22" s="105">
        <f t="shared" si="15"/>
        <v>14675190</v>
      </c>
      <c r="I22" s="105">
        <f>+I21+I18+I14</f>
        <v>72652685</v>
      </c>
      <c r="J22" s="105">
        <f t="shared" ref="J22:K22" si="16">+J21+J18+J14</f>
        <v>2511663</v>
      </c>
      <c r="K22" s="105">
        <f t="shared" si="16"/>
        <v>75164348</v>
      </c>
    </row>
    <row r="23" spans="1:254" ht="32.25" thickTop="1" x14ac:dyDescent="0.25">
      <c r="A23" s="329" t="s">
        <v>515</v>
      </c>
      <c r="B23" s="330" t="s">
        <v>509</v>
      </c>
      <c r="C23" s="311">
        <v>14500000</v>
      </c>
      <c r="D23" s="311">
        <f>18350000-44508</f>
        <v>18305492</v>
      </c>
      <c r="E23" s="311">
        <f>SUM(C23:D23)</f>
        <v>32805492</v>
      </c>
      <c r="F23" s="311"/>
      <c r="G23" s="311"/>
      <c r="H23" s="311">
        <f>SUM(F23:G23)</f>
        <v>0</v>
      </c>
      <c r="I23" s="311">
        <f>SUM(C23+F23)</f>
        <v>14500000</v>
      </c>
      <c r="J23" s="311">
        <f>SUM(D23+G23)</f>
        <v>18305492</v>
      </c>
      <c r="K23" s="311">
        <f>SUM(E23+H23)</f>
        <v>32805492</v>
      </c>
      <c r="IS23"/>
      <c r="IT23"/>
    </row>
    <row r="24" spans="1:254" ht="31.5" x14ac:dyDescent="0.25">
      <c r="A24" s="589" t="s">
        <v>1124</v>
      </c>
      <c r="B24" s="590" t="s">
        <v>516</v>
      </c>
      <c r="C24" s="392">
        <v>138572</v>
      </c>
      <c r="D24" s="392">
        <v>-7645</v>
      </c>
      <c r="E24" s="392">
        <f>SUM(C24:D24)</f>
        <v>130927</v>
      </c>
      <c r="F24" s="392"/>
      <c r="G24" s="392"/>
      <c r="H24" s="392"/>
      <c r="I24" s="311">
        <f>SUM(C24+F24)</f>
        <v>138572</v>
      </c>
      <c r="J24" s="311">
        <f t="shared" ref="J24:J25" si="17">SUM(D24+G24)</f>
        <v>-7645</v>
      </c>
      <c r="K24" s="392">
        <f t="shared" ref="K24" si="18">SUM(E24:H24)</f>
        <v>130927</v>
      </c>
      <c r="IS24"/>
      <c r="IT24"/>
    </row>
    <row r="25" spans="1:254" ht="16.5" thickBot="1" x14ac:dyDescent="0.3">
      <c r="A25" s="335" t="s">
        <v>517</v>
      </c>
      <c r="B25" s="588" t="s">
        <v>329</v>
      </c>
      <c r="C25" s="310">
        <v>10792662</v>
      </c>
      <c r="D25" s="310">
        <v>373059</v>
      </c>
      <c r="E25" s="310">
        <f>SUM(C25:D25)</f>
        <v>11165721</v>
      </c>
      <c r="F25" s="310"/>
      <c r="G25" s="310"/>
      <c r="H25" s="310"/>
      <c r="I25" s="311">
        <f>SUM(C25+F25)</f>
        <v>10792662</v>
      </c>
      <c r="J25" s="311">
        <f t="shared" si="17"/>
        <v>373059</v>
      </c>
      <c r="K25" s="392">
        <f t="shared" ref="K25" si="19">SUM(E25:H25)</f>
        <v>11165721</v>
      </c>
      <c r="IS25"/>
      <c r="IT25"/>
    </row>
    <row r="26" spans="1:254" s="332" customFormat="1" ht="17.25" thickTop="1" thickBot="1" x14ac:dyDescent="0.3">
      <c r="A26" s="106" t="s">
        <v>518</v>
      </c>
      <c r="B26" s="194" t="s">
        <v>222</v>
      </c>
      <c r="C26" s="261">
        <f>SUM(C23:C25)</f>
        <v>25431234</v>
      </c>
      <c r="D26" s="261">
        <f>SUM(D23:D25)</f>
        <v>18670906</v>
      </c>
      <c r="E26" s="261">
        <f>SUM(E23:E25)</f>
        <v>44102140</v>
      </c>
      <c r="F26" s="261">
        <f>SUM(F23:F24)</f>
        <v>0</v>
      </c>
      <c r="G26" s="261">
        <f>SUM(G23:G24)</f>
        <v>0</v>
      </c>
      <c r="H26" s="261">
        <f>SUM(H23:H24)</f>
        <v>0</v>
      </c>
      <c r="I26" s="261">
        <f>SUM(I23:I25)</f>
        <v>25431234</v>
      </c>
      <c r="J26" s="261">
        <f t="shared" ref="J26:K26" si="20">SUM(J23:J25)</f>
        <v>18670906</v>
      </c>
      <c r="K26" s="261">
        <f t="shared" si="20"/>
        <v>44102140</v>
      </c>
      <c r="L26" s="331"/>
      <c r="M26" s="331"/>
      <c r="N26" s="331"/>
      <c r="O26" s="331"/>
      <c r="P26" s="331"/>
      <c r="Q26" s="331"/>
      <c r="R26" s="331"/>
      <c r="S26" s="331"/>
      <c r="T26" s="331"/>
      <c r="U26" s="331"/>
      <c r="V26" s="331"/>
      <c r="W26" s="331"/>
      <c r="X26" s="331"/>
      <c r="Y26" s="331"/>
      <c r="Z26" s="331"/>
      <c r="AA26" s="331"/>
      <c r="AB26" s="331"/>
      <c r="AC26" s="331"/>
      <c r="AD26" s="331"/>
      <c r="AE26" s="331"/>
      <c r="AF26" s="331"/>
      <c r="AG26" s="331"/>
      <c r="AH26" s="331"/>
      <c r="AI26" s="331"/>
      <c r="AJ26" s="331"/>
      <c r="AK26" s="331"/>
      <c r="AL26" s="331"/>
      <c r="AM26" s="331"/>
      <c r="AN26" s="331"/>
      <c r="AO26" s="331"/>
      <c r="AP26" s="331"/>
      <c r="AQ26" s="331"/>
      <c r="AR26" s="331"/>
      <c r="AS26" s="331"/>
      <c r="AT26" s="331"/>
      <c r="AU26" s="331"/>
      <c r="AV26" s="331"/>
      <c r="AW26" s="331"/>
      <c r="AX26" s="331"/>
      <c r="AY26" s="331"/>
      <c r="AZ26" s="331"/>
      <c r="BA26" s="331"/>
      <c r="BB26" s="331"/>
      <c r="BC26" s="331"/>
      <c r="BD26" s="331"/>
      <c r="BE26" s="331"/>
      <c r="BF26" s="331"/>
      <c r="BG26" s="331"/>
      <c r="BH26" s="331"/>
      <c r="BI26" s="331"/>
      <c r="BJ26" s="331"/>
      <c r="BK26" s="331"/>
      <c r="BL26" s="331"/>
      <c r="BM26" s="331"/>
      <c r="BN26" s="331"/>
      <c r="BO26" s="331"/>
      <c r="BP26" s="331"/>
      <c r="BQ26" s="331"/>
      <c r="BR26" s="331"/>
      <c r="BS26" s="331"/>
      <c r="BT26" s="331"/>
      <c r="BU26" s="331"/>
      <c r="BV26" s="331"/>
      <c r="BW26" s="331"/>
      <c r="BX26" s="331"/>
      <c r="BY26" s="331"/>
      <c r="BZ26" s="331"/>
      <c r="CA26" s="331"/>
      <c r="CB26" s="331"/>
      <c r="CC26" s="331"/>
      <c r="CD26" s="331"/>
      <c r="CE26" s="331"/>
      <c r="CF26" s="331"/>
      <c r="CG26" s="331"/>
      <c r="CH26" s="331"/>
      <c r="CI26" s="331"/>
      <c r="CJ26" s="331"/>
      <c r="CK26" s="331"/>
      <c r="CL26" s="331"/>
      <c r="CM26" s="331"/>
      <c r="CN26" s="331"/>
      <c r="CO26" s="331"/>
      <c r="CP26" s="331"/>
      <c r="CQ26" s="331"/>
      <c r="CR26" s="331"/>
      <c r="CS26" s="331"/>
      <c r="CT26" s="331"/>
      <c r="CU26" s="331"/>
      <c r="CV26" s="331"/>
      <c r="CW26" s="331"/>
      <c r="CX26" s="331"/>
      <c r="CY26" s="331"/>
      <c r="CZ26" s="331"/>
      <c r="DA26" s="331"/>
      <c r="DB26" s="331"/>
      <c r="DC26" s="331"/>
      <c r="DD26" s="331"/>
      <c r="DE26" s="331"/>
      <c r="DF26" s="331"/>
      <c r="DG26" s="331"/>
      <c r="DH26" s="331"/>
      <c r="DI26" s="331"/>
      <c r="DJ26" s="331"/>
      <c r="DK26" s="331"/>
      <c r="DL26" s="331"/>
      <c r="DM26" s="331"/>
      <c r="DN26" s="331"/>
      <c r="DO26" s="331"/>
      <c r="DP26" s="331"/>
      <c r="DQ26" s="331"/>
      <c r="DR26" s="331"/>
      <c r="DS26" s="331"/>
      <c r="DT26" s="331"/>
      <c r="DU26" s="331"/>
      <c r="DV26" s="331"/>
      <c r="DW26" s="331"/>
      <c r="DX26" s="331"/>
      <c r="DY26" s="331"/>
      <c r="DZ26" s="331"/>
      <c r="EA26" s="331"/>
      <c r="EB26" s="331"/>
      <c r="EC26" s="331"/>
      <c r="ED26" s="331"/>
      <c r="EE26" s="331"/>
      <c r="EF26" s="331"/>
      <c r="EG26" s="331"/>
      <c r="EH26" s="331"/>
      <c r="EI26" s="331"/>
      <c r="EJ26" s="331"/>
      <c r="EK26" s="331"/>
      <c r="EL26" s="331"/>
      <c r="EM26" s="331"/>
      <c r="EN26" s="331"/>
      <c r="EO26" s="331"/>
      <c r="EP26" s="331"/>
      <c r="EQ26" s="331"/>
      <c r="ER26" s="331"/>
      <c r="ES26" s="331"/>
      <c r="ET26" s="331"/>
      <c r="EU26" s="331"/>
      <c r="EV26" s="331"/>
      <c r="EW26" s="331"/>
      <c r="EX26" s="331"/>
      <c r="EY26" s="331"/>
      <c r="EZ26" s="331"/>
      <c r="FA26" s="331"/>
      <c r="FB26" s="331"/>
      <c r="FC26" s="331"/>
      <c r="FD26" s="331"/>
      <c r="FE26" s="331"/>
      <c r="FF26" s="331"/>
      <c r="FG26" s="331"/>
      <c r="FH26" s="331"/>
      <c r="FI26" s="331"/>
      <c r="FJ26" s="331"/>
      <c r="FK26" s="331"/>
      <c r="FL26" s="331"/>
      <c r="FM26" s="331"/>
      <c r="FN26" s="331"/>
      <c r="FO26" s="331"/>
      <c r="FP26" s="331"/>
      <c r="FQ26" s="331"/>
      <c r="FR26" s="331"/>
      <c r="FS26" s="331"/>
      <c r="FT26" s="331"/>
      <c r="FU26" s="331"/>
      <c r="FV26" s="331"/>
      <c r="FW26" s="331"/>
      <c r="FX26" s="331"/>
      <c r="FY26" s="331"/>
      <c r="FZ26" s="331"/>
      <c r="GA26" s="331"/>
      <c r="GB26" s="331"/>
      <c r="GC26" s="331"/>
      <c r="GD26" s="331"/>
      <c r="GE26" s="331"/>
      <c r="GF26" s="331"/>
      <c r="GG26" s="331"/>
      <c r="GH26" s="331"/>
      <c r="GI26" s="331"/>
      <c r="GJ26" s="331"/>
      <c r="GK26" s="331"/>
      <c r="GL26" s="331"/>
      <c r="GM26" s="331"/>
      <c r="GN26" s="331"/>
      <c r="GO26" s="331"/>
      <c r="GP26" s="331"/>
      <c r="GQ26" s="331"/>
      <c r="GR26" s="331"/>
      <c r="GS26" s="331"/>
      <c r="GT26" s="331"/>
      <c r="GU26" s="331"/>
      <c r="GV26" s="331"/>
      <c r="GW26" s="331"/>
      <c r="GX26" s="331"/>
      <c r="GY26" s="331"/>
      <c r="GZ26" s="331"/>
      <c r="HA26" s="331"/>
      <c r="HB26" s="331"/>
      <c r="HC26" s="331"/>
      <c r="HD26" s="331"/>
      <c r="HE26" s="331"/>
      <c r="HF26" s="331"/>
      <c r="HG26" s="331"/>
      <c r="HH26" s="331"/>
      <c r="HI26" s="331"/>
      <c r="HJ26" s="331"/>
      <c r="HK26" s="331"/>
      <c r="HL26" s="331"/>
      <c r="HM26" s="331"/>
      <c r="HN26" s="331"/>
      <c r="HO26" s="331"/>
      <c r="HP26" s="331"/>
      <c r="HQ26" s="331"/>
      <c r="HR26" s="331"/>
      <c r="HS26" s="331"/>
      <c r="HT26" s="331"/>
      <c r="HU26" s="331"/>
      <c r="HV26" s="331"/>
      <c r="HW26" s="331"/>
      <c r="HX26" s="331"/>
      <c r="HY26" s="331"/>
      <c r="HZ26" s="331"/>
      <c r="IA26" s="331"/>
      <c r="IB26" s="331"/>
      <c r="IC26" s="331"/>
      <c r="ID26" s="331"/>
      <c r="IE26" s="331"/>
      <c r="IF26" s="331"/>
      <c r="IG26" s="331"/>
      <c r="IH26" s="331"/>
      <c r="II26" s="331"/>
      <c r="IJ26" s="331"/>
      <c r="IK26" s="331"/>
      <c r="IL26" s="331"/>
      <c r="IM26" s="331"/>
      <c r="IN26" s="331"/>
      <c r="IO26" s="331"/>
      <c r="IP26" s="331"/>
      <c r="IQ26" s="331"/>
      <c r="IR26" s="331"/>
    </row>
    <row r="27" spans="1:254" s="218" customFormat="1" ht="17.25" thickTop="1" thickBot="1" x14ac:dyDescent="0.3">
      <c r="A27" s="760" t="s">
        <v>372</v>
      </c>
      <c r="B27" s="761"/>
      <c r="C27" s="762"/>
      <c r="D27" s="762"/>
      <c r="E27" s="762"/>
      <c r="F27" s="763">
        <v>1890.68</v>
      </c>
      <c r="G27" s="763">
        <v>31.75</v>
      </c>
      <c r="H27" s="763">
        <f>SUM(F27:G27)</f>
        <v>1922.43</v>
      </c>
      <c r="I27" s="763">
        <f>F27</f>
        <v>1890.68</v>
      </c>
      <c r="J27" s="763">
        <f t="shared" ref="J27:K27" si="21">G27</f>
        <v>31.75</v>
      </c>
      <c r="K27" s="763">
        <f t="shared" si="21"/>
        <v>1922.43</v>
      </c>
      <c r="L27" s="764"/>
      <c r="M27" s="764"/>
      <c r="N27" s="764"/>
      <c r="O27" s="764"/>
      <c r="P27" s="764"/>
      <c r="Q27" s="764"/>
      <c r="R27" s="764"/>
      <c r="S27" s="764"/>
      <c r="T27" s="764"/>
      <c r="U27" s="764"/>
      <c r="V27" s="764"/>
      <c r="W27" s="764"/>
      <c r="X27" s="764"/>
      <c r="Y27" s="764"/>
      <c r="Z27" s="764"/>
      <c r="AA27" s="764"/>
      <c r="AB27" s="764"/>
      <c r="AC27" s="764"/>
      <c r="AD27" s="764"/>
      <c r="AE27" s="764"/>
      <c r="AF27" s="764"/>
      <c r="AG27" s="764"/>
      <c r="AH27" s="764"/>
      <c r="AI27" s="764"/>
      <c r="AJ27" s="764"/>
      <c r="AK27" s="764"/>
      <c r="AL27" s="764"/>
      <c r="AM27" s="764"/>
      <c r="AN27" s="764"/>
      <c r="AO27" s="764"/>
      <c r="AP27" s="764"/>
      <c r="AQ27" s="764"/>
      <c r="AR27" s="764"/>
      <c r="AS27" s="764"/>
      <c r="AT27" s="764"/>
      <c r="AU27" s="764"/>
      <c r="AV27" s="764"/>
      <c r="AW27" s="764"/>
      <c r="AX27" s="764"/>
      <c r="AY27" s="764"/>
      <c r="AZ27" s="764"/>
      <c r="BA27" s="764"/>
      <c r="BB27" s="764"/>
      <c r="BC27" s="764"/>
      <c r="BD27" s="764"/>
      <c r="BE27" s="764"/>
      <c r="BF27" s="764"/>
      <c r="BG27" s="764"/>
      <c r="BH27" s="764"/>
      <c r="BI27" s="764"/>
      <c r="BJ27" s="764"/>
      <c r="BK27" s="764"/>
      <c r="BL27" s="764"/>
      <c r="BM27" s="764"/>
      <c r="BN27" s="764"/>
      <c r="BO27" s="764"/>
      <c r="BP27" s="764"/>
      <c r="BQ27" s="764"/>
      <c r="BR27" s="764"/>
      <c r="BS27" s="764"/>
      <c r="BT27" s="764"/>
      <c r="BU27" s="764"/>
      <c r="BV27" s="764"/>
      <c r="BW27" s="764"/>
      <c r="BX27" s="764"/>
      <c r="BY27" s="764"/>
      <c r="BZ27" s="764"/>
      <c r="CA27" s="764"/>
      <c r="CB27" s="764"/>
      <c r="CC27" s="764"/>
      <c r="CD27" s="764"/>
      <c r="CE27" s="764"/>
      <c r="CF27" s="764"/>
      <c r="CG27" s="764"/>
      <c r="CH27" s="764"/>
      <c r="CI27" s="764"/>
      <c r="CJ27" s="764"/>
      <c r="CK27" s="764"/>
      <c r="CL27" s="764"/>
      <c r="CM27" s="764"/>
      <c r="CN27" s="764"/>
      <c r="CO27" s="764"/>
      <c r="CP27" s="764"/>
      <c r="CQ27" s="764"/>
      <c r="CR27" s="764"/>
      <c r="CS27" s="764"/>
      <c r="CT27" s="764"/>
      <c r="CU27" s="764"/>
      <c r="CV27" s="764"/>
      <c r="CW27" s="764"/>
      <c r="CX27" s="764"/>
      <c r="CY27" s="764"/>
      <c r="CZ27" s="764"/>
      <c r="DA27" s="764"/>
      <c r="DB27" s="764"/>
      <c r="DC27" s="764"/>
      <c r="DD27" s="764"/>
      <c r="DE27" s="764"/>
      <c r="DF27" s="764"/>
      <c r="DG27" s="764"/>
      <c r="DH27" s="764"/>
      <c r="DI27" s="764"/>
      <c r="DJ27" s="764"/>
      <c r="DK27" s="764"/>
      <c r="DL27" s="764"/>
      <c r="DM27" s="764"/>
      <c r="DN27" s="764"/>
      <c r="DO27" s="764"/>
      <c r="DP27" s="764"/>
      <c r="DQ27" s="764"/>
      <c r="DR27" s="764"/>
      <c r="DS27" s="764"/>
      <c r="DT27" s="764"/>
      <c r="DU27" s="764"/>
      <c r="DV27" s="764"/>
      <c r="DW27" s="764"/>
      <c r="DX27" s="764"/>
      <c r="DY27" s="764"/>
      <c r="DZ27" s="764"/>
      <c r="EA27" s="764"/>
      <c r="EB27" s="764"/>
      <c r="EC27" s="764"/>
      <c r="ED27" s="764"/>
      <c r="EE27" s="764"/>
      <c r="EF27" s="764"/>
      <c r="EG27" s="764"/>
      <c r="EH27" s="764"/>
      <c r="EI27" s="764"/>
      <c r="EJ27" s="764"/>
      <c r="EK27" s="764"/>
      <c r="EL27" s="764"/>
      <c r="EM27" s="764"/>
      <c r="EN27" s="764"/>
      <c r="EO27" s="764"/>
      <c r="EP27" s="764"/>
      <c r="EQ27" s="764"/>
      <c r="ER27" s="764"/>
      <c r="ES27" s="764"/>
      <c r="ET27" s="764"/>
      <c r="EU27" s="764"/>
      <c r="EV27" s="764"/>
      <c r="EW27" s="764"/>
      <c r="EX27" s="764"/>
      <c r="EY27" s="764"/>
      <c r="EZ27" s="764"/>
      <c r="FA27" s="764"/>
      <c r="FB27" s="764"/>
      <c r="FC27" s="764"/>
      <c r="FD27" s="764"/>
      <c r="FE27" s="764"/>
      <c r="FF27" s="764"/>
      <c r="FG27" s="764"/>
      <c r="FH27" s="764"/>
      <c r="FI27" s="764"/>
      <c r="FJ27" s="764"/>
      <c r="FK27" s="764"/>
      <c r="FL27" s="764"/>
      <c r="FM27" s="764"/>
      <c r="FN27" s="764"/>
      <c r="FO27" s="764"/>
      <c r="FP27" s="764"/>
      <c r="FQ27" s="764"/>
      <c r="FR27" s="764"/>
      <c r="FS27" s="764"/>
      <c r="FT27" s="764"/>
      <c r="FU27" s="764"/>
      <c r="FV27" s="764"/>
      <c r="FW27" s="764"/>
      <c r="FX27" s="764"/>
      <c r="FY27" s="764"/>
      <c r="FZ27" s="764"/>
      <c r="GA27" s="764"/>
      <c r="GB27" s="764"/>
      <c r="GC27" s="764"/>
      <c r="GD27" s="764"/>
      <c r="GE27" s="764"/>
      <c r="GF27" s="764"/>
      <c r="GG27" s="764"/>
      <c r="GH27" s="764"/>
      <c r="GI27" s="764"/>
      <c r="GJ27" s="764"/>
      <c r="GK27" s="764"/>
      <c r="GL27" s="764"/>
      <c r="GM27" s="764"/>
      <c r="GN27" s="764"/>
      <c r="GO27" s="764"/>
      <c r="GP27" s="764"/>
      <c r="GQ27" s="764"/>
      <c r="GR27" s="764"/>
      <c r="GS27" s="764"/>
      <c r="GT27" s="764"/>
      <c r="GU27" s="764"/>
      <c r="GV27" s="764"/>
      <c r="GW27" s="764"/>
      <c r="GX27" s="764"/>
      <c r="GY27" s="764"/>
      <c r="GZ27" s="764"/>
      <c r="HA27" s="764"/>
      <c r="HB27" s="764"/>
      <c r="HC27" s="764"/>
      <c r="HD27" s="764"/>
      <c r="HE27" s="764"/>
      <c r="HF27" s="764"/>
      <c r="HG27" s="764"/>
      <c r="HH27" s="764"/>
      <c r="HI27" s="764"/>
      <c r="HJ27" s="764"/>
      <c r="HK27" s="764"/>
      <c r="HL27" s="764"/>
      <c r="HM27" s="764"/>
      <c r="HN27" s="764"/>
      <c r="HO27" s="764"/>
      <c r="HP27" s="764"/>
      <c r="HQ27" s="764"/>
      <c r="HR27" s="764"/>
      <c r="HS27" s="764"/>
      <c r="HT27" s="764"/>
      <c r="HU27" s="764"/>
      <c r="HV27" s="764"/>
      <c r="HW27" s="764"/>
      <c r="HX27" s="764"/>
      <c r="HY27" s="764"/>
      <c r="HZ27" s="764"/>
      <c r="IA27" s="764"/>
      <c r="IB27" s="764"/>
      <c r="IC27" s="764"/>
      <c r="ID27" s="764"/>
      <c r="IE27" s="764"/>
      <c r="IF27" s="764"/>
      <c r="IG27" s="764"/>
      <c r="IH27" s="764"/>
      <c r="II27" s="764"/>
      <c r="IJ27" s="764"/>
      <c r="IK27" s="764"/>
      <c r="IL27" s="764"/>
      <c r="IM27" s="764"/>
      <c r="IN27" s="764"/>
      <c r="IO27" s="764"/>
      <c r="IP27" s="764"/>
      <c r="IQ27" s="764"/>
      <c r="IR27" s="764"/>
    </row>
    <row r="28" spans="1:254" ht="16.5" thickTop="1" x14ac:dyDescent="0.25">
      <c r="A28" s="108"/>
      <c r="B28" s="108"/>
      <c r="C28" s="86"/>
      <c r="D28" s="86"/>
      <c r="E28" s="86"/>
      <c r="F28" s="86"/>
      <c r="G28" s="86"/>
      <c r="H28" s="86"/>
    </row>
    <row r="29" spans="1:254" x14ac:dyDescent="0.25">
      <c r="A29" s="108"/>
      <c r="B29" s="108"/>
      <c r="C29" s="86"/>
      <c r="D29" s="86"/>
      <c r="E29" s="86"/>
      <c r="F29" s="86"/>
      <c r="G29" s="86"/>
      <c r="H29" s="86"/>
    </row>
    <row r="30" spans="1:254" x14ac:dyDescent="0.25">
      <c r="A30" s="108"/>
      <c r="B30" s="108"/>
      <c r="C30" s="86"/>
      <c r="D30" s="86"/>
      <c r="E30" s="86"/>
      <c r="F30" s="86"/>
      <c r="G30" s="86"/>
      <c r="H30" s="86"/>
    </row>
    <row r="31" spans="1:254" x14ac:dyDescent="0.25">
      <c r="A31" s="108"/>
      <c r="B31" s="108"/>
      <c r="C31" s="86"/>
      <c r="D31" s="86"/>
      <c r="E31" s="86"/>
      <c r="F31" s="86"/>
      <c r="G31" s="86"/>
      <c r="H31" s="86"/>
    </row>
    <row r="32" spans="1:254" x14ac:dyDescent="0.25">
      <c r="A32" s="108"/>
      <c r="B32" s="108"/>
      <c r="C32" s="86"/>
      <c r="D32" s="86"/>
      <c r="E32" s="86"/>
      <c r="F32" s="86"/>
      <c r="G32" s="86"/>
      <c r="H32" s="86"/>
    </row>
    <row r="33" spans="1:8" x14ac:dyDescent="0.25">
      <c r="A33" s="108"/>
      <c r="B33" s="108"/>
      <c r="C33" s="86"/>
      <c r="D33" s="86"/>
      <c r="E33" s="86"/>
      <c r="F33" s="86"/>
      <c r="G33" s="86"/>
      <c r="H33" s="86"/>
    </row>
    <row r="34" spans="1:8" x14ac:dyDescent="0.25">
      <c r="A34" s="108"/>
      <c r="B34" s="108"/>
      <c r="C34" s="86"/>
      <c r="D34" s="86"/>
      <c r="E34" s="86"/>
      <c r="F34" s="86"/>
      <c r="G34" s="86"/>
      <c r="H34" s="86"/>
    </row>
    <row r="35" spans="1:8" x14ac:dyDescent="0.25">
      <c r="A35" s="108"/>
      <c r="B35" s="108"/>
      <c r="C35" s="86"/>
      <c r="D35" s="86"/>
      <c r="E35" s="86"/>
      <c r="F35" s="86"/>
      <c r="G35" s="86"/>
      <c r="H35" s="86"/>
    </row>
    <row r="36" spans="1:8" x14ac:dyDescent="0.25">
      <c r="A36" s="108"/>
      <c r="B36" s="108"/>
      <c r="C36" s="86"/>
      <c r="D36" s="86"/>
      <c r="E36" s="86"/>
      <c r="F36" s="86"/>
      <c r="G36" s="86"/>
      <c r="H36" s="86"/>
    </row>
    <row r="37" spans="1:8" x14ac:dyDescent="0.25">
      <c r="A37" s="61"/>
      <c r="B37" s="61"/>
      <c r="C37" s="86"/>
      <c r="D37" s="86"/>
      <c r="E37" s="86"/>
      <c r="F37" s="86"/>
      <c r="G37" s="86"/>
      <c r="H37" s="86"/>
    </row>
    <row r="38" spans="1:8" x14ac:dyDescent="0.25">
      <c r="C38" s="57"/>
      <c r="D38" s="57"/>
      <c r="E38" s="57"/>
    </row>
  </sheetData>
  <mergeCells count="8">
    <mergeCell ref="A1:K1"/>
    <mergeCell ref="A2:K2"/>
    <mergeCell ref="A3:K3"/>
    <mergeCell ref="A6:A7"/>
    <mergeCell ref="B6:B7"/>
    <mergeCell ref="C6:E6"/>
    <mergeCell ref="F6:H6"/>
    <mergeCell ref="I6:K6"/>
  </mergeCells>
  <pageMargins left="0.51181102362204722" right="0.51181102362204722" top="0.94488188976377963" bottom="0.74803149606299213" header="0.31496062992125984" footer="0.31496062992125984"/>
  <pageSetup paperSize="9" scale="71" orientation="landscape" r:id="rId1"/>
  <headerFooter>
    <oddHeader>&amp;R&amp;"Times New Roman CE,Félkövér"&amp;11 4. melléklet a 23/2018.(X.15.) önkormányzati rendelethez&amp;"Times New Roman CE,Dőlt"&amp;10
4. melléklet
a 3/2018.(II.8.) önkormányzati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22"/>
  <sheetViews>
    <sheetView workbookViewId="0">
      <selection activeCell="G21" sqref="G21"/>
    </sheetView>
  </sheetViews>
  <sheetFormatPr defaultRowHeight="15.75" x14ac:dyDescent="0.25"/>
  <cols>
    <col min="1" max="1" width="44.5" style="86" customWidth="1"/>
    <col min="2" max="2" width="14.25" style="107" customWidth="1"/>
    <col min="3" max="3" width="16.125" style="108" customWidth="1"/>
  </cols>
  <sheetData>
    <row r="1" spans="1:3" x14ac:dyDescent="0.25">
      <c r="A1" s="959" t="s">
        <v>235</v>
      </c>
      <c r="B1" s="959"/>
      <c r="C1" s="959"/>
    </row>
    <row r="2" spans="1:3" x14ac:dyDescent="0.25">
      <c r="A2" s="959" t="s">
        <v>686</v>
      </c>
      <c r="B2" s="959"/>
      <c r="C2" s="959"/>
    </row>
    <row r="3" spans="1:3" x14ac:dyDescent="0.25">
      <c r="A3" s="959" t="s">
        <v>979</v>
      </c>
      <c r="B3" s="959"/>
      <c r="C3" s="959"/>
    </row>
    <row r="5" spans="1:3" ht="16.5" thickBot="1" x14ac:dyDescent="0.3"/>
    <row r="6" spans="1:3" ht="17.25" customHeight="1" thickTop="1" thickBot="1" x14ac:dyDescent="0.3">
      <c r="A6" s="257" t="s">
        <v>146</v>
      </c>
      <c r="B6" s="258" t="s">
        <v>163</v>
      </c>
      <c r="C6" s="254" t="s">
        <v>153</v>
      </c>
    </row>
    <row r="7" spans="1:3" ht="16.5" thickTop="1" x14ac:dyDescent="0.25">
      <c r="A7" s="252" t="s">
        <v>230</v>
      </c>
      <c r="B7" s="253" t="s">
        <v>236</v>
      </c>
      <c r="C7" s="333">
        <f>'3 bevétel(szűkített)'!K52</f>
        <v>47553300</v>
      </c>
    </row>
    <row r="8" spans="1:3" x14ac:dyDescent="0.25">
      <c r="A8" s="250" t="s">
        <v>237</v>
      </c>
      <c r="B8" s="251"/>
      <c r="C8" s="255">
        <f>'3 bevétel(szűkített)'!K58</f>
        <v>13397467</v>
      </c>
    </row>
    <row r="9" spans="1:3" x14ac:dyDescent="0.25">
      <c r="A9" s="87" t="s">
        <v>321</v>
      </c>
      <c r="B9" s="246"/>
      <c r="C9" s="93">
        <f>'3 bevétel(szűkített)'!K59</f>
        <v>11165721</v>
      </c>
    </row>
    <row r="10" spans="1:3" ht="31.5" x14ac:dyDescent="0.25">
      <c r="A10" s="87" t="s">
        <v>522</v>
      </c>
      <c r="B10" s="246"/>
      <c r="C10" s="93">
        <f>'3 bevétel(szűkített)'!K60</f>
        <v>47150000</v>
      </c>
    </row>
    <row r="11" spans="1:3" s="243" customFormat="1" x14ac:dyDescent="0.25">
      <c r="A11" s="99" t="s">
        <v>330</v>
      </c>
      <c r="B11" s="245" t="s">
        <v>183</v>
      </c>
      <c r="C11" s="93">
        <f>SUM(C8:C10)</f>
        <v>71713188</v>
      </c>
    </row>
    <row r="12" spans="1:3" x14ac:dyDescent="0.25">
      <c r="A12" s="94"/>
      <c r="B12" s="99"/>
      <c r="C12" s="93"/>
    </row>
    <row r="13" spans="1:3" s="243" customFormat="1" x14ac:dyDescent="0.25">
      <c r="A13" s="99" t="s">
        <v>231</v>
      </c>
      <c r="B13" s="99" t="s">
        <v>173</v>
      </c>
      <c r="C13" s="93">
        <f>'4 kiadás(szűkített)'!K22</f>
        <v>75164348</v>
      </c>
    </row>
    <row r="14" spans="1:3" x14ac:dyDescent="0.25">
      <c r="A14" s="87" t="s">
        <v>523</v>
      </c>
      <c r="B14" s="216"/>
      <c r="C14" s="256">
        <f>'4 kiadás(szűkített)'!K23</f>
        <v>32805492</v>
      </c>
    </row>
    <row r="15" spans="1:3" ht="31.5" x14ac:dyDescent="0.25">
      <c r="A15" s="334" t="s">
        <v>1125</v>
      </c>
      <c r="B15" s="247"/>
      <c r="C15" s="256">
        <f>'4 kiadás(szűkített)'!K24</f>
        <v>130927</v>
      </c>
    </row>
    <row r="16" spans="1:3" x14ac:dyDescent="0.25">
      <c r="A16" s="334" t="s">
        <v>524</v>
      </c>
      <c r="B16" s="247"/>
      <c r="C16" s="256">
        <f>'4 kiadás(szűkített)'!K25</f>
        <v>11165721</v>
      </c>
    </row>
    <row r="17" spans="1:3" x14ac:dyDescent="0.25">
      <c r="A17" s="247" t="s">
        <v>525</v>
      </c>
      <c r="B17" s="247" t="s">
        <v>222</v>
      </c>
      <c r="C17" s="248">
        <f>SUM(C14+C15+C16)</f>
        <v>44102140</v>
      </c>
    </row>
    <row r="18" spans="1:3" x14ac:dyDescent="0.25">
      <c r="A18" s="94"/>
      <c r="B18" s="99"/>
      <c r="C18" s="88"/>
    </row>
    <row r="19" spans="1:3" s="243" customFormat="1" x14ac:dyDescent="0.25">
      <c r="A19" s="99" t="s">
        <v>232</v>
      </c>
      <c r="B19" s="99"/>
      <c r="C19" s="93">
        <f>SUM(C7-C13)</f>
        <v>-27611048</v>
      </c>
    </row>
    <row r="20" spans="1:3" s="243" customFormat="1" x14ac:dyDescent="0.25">
      <c r="A20" s="99" t="s">
        <v>233</v>
      </c>
      <c r="B20" s="99"/>
      <c r="C20" s="93">
        <f>SUM(C11-C17)</f>
        <v>27611048</v>
      </c>
    </row>
    <row r="21" spans="1:3" s="243" customFormat="1" ht="16.5" thickBot="1" x14ac:dyDescent="0.3">
      <c r="A21" s="249" t="s">
        <v>234</v>
      </c>
      <c r="B21" s="249"/>
      <c r="C21" s="244">
        <f>SUM(C19+C20)</f>
        <v>0</v>
      </c>
    </row>
    <row r="22" spans="1:3" ht="16.5" thickTop="1" x14ac:dyDescent="0.25"/>
  </sheetData>
  <mergeCells count="3">
    <mergeCell ref="A1:C1"/>
    <mergeCell ref="A2:C2"/>
    <mergeCell ref="A3:C3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&amp;R&amp;"Times New Roman CE,Félkövér"&amp;10 5. melléklet a 23/2018.(X.15.) önkormányzati rendelethez&amp;"Times New Roman CE,Dőlt"
5. melléklet
a 3/2018.(II.8.)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550"/>
  <sheetViews>
    <sheetView view="pageBreakPreview" zoomScale="60" zoomScaleNormal="100" workbookViewId="0">
      <pane xSplit="2" ySplit="4" topLeftCell="C5" activePane="bottomRight" state="frozen"/>
      <selection activeCell="O562" sqref="O562"/>
      <selection pane="topRight" activeCell="O562" sqref="O562"/>
      <selection pane="bottomLeft" activeCell="O562" sqref="O562"/>
      <selection pane="bottomRight" activeCell="L17" sqref="L17"/>
    </sheetView>
  </sheetViews>
  <sheetFormatPr defaultColWidth="9" defaultRowHeight="15.75" x14ac:dyDescent="0.25"/>
  <cols>
    <col min="1" max="1" width="3.125" style="431" customWidth="1"/>
    <col min="2" max="2" width="38.25" style="430" customWidth="1"/>
    <col min="3" max="3" width="15.75" style="429" customWidth="1"/>
    <col min="4" max="4" width="16.875" style="429" customWidth="1"/>
    <col min="5" max="5" width="11.75" style="429" customWidth="1"/>
    <col min="6" max="6" width="10.125" style="429" customWidth="1"/>
    <col min="7" max="7" width="12.625" style="429" customWidth="1"/>
    <col min="8" max="8" width="13.25" style="429" customWidth="1"/>
    <col min="9" max="9" width="12.375" style="429" customWidth="1"/>
    <col min="10" max="10" width="13.75" style="429" customWidth="1"/>
    <col min="11" max="11" width="13.375" style="429" customWidth="1"/>
    <col min="12" max="12" width="14" style="429" customWidth="1"/>
    <col min="13" max="13" width="14.875" style="429" customWidth="1"/>
    <col min="14" max="14" width="12.5" style="429" customWidth="1"/>
    <col min="15" max="15" width="11.125" style="429" customWidth="1"/>
    <col min="16" max="16" width="10.25" style="429" customWidth="1"/>
    <col min="17" max="17" width="9.25" style="429" bestFit="1" customWidth="1"/>
    <col min="18" max="16384" width="9" style="429"/>
  </cols>
  <sheetData>
    <row r="1" spans="1:15" ht="21.75" customHeight="1" thickBot="1" x14ac:dyDescent="0.3">
      <c r="A1" s="972" t="s">
        <v>478</v>
      </c>
      <c r="B1" s="975" t="s">
        <v>477</v>
      </c>
      <c r="C1" s="975" t="s">
        <v>273</v>
      </c>
      <c r="D1" s="975" t="s">
        <v>274</v>
      </c>
      <c r="E1" s="975" t="s">
        <v>476</v>
      </c>
      <c r="F1" s="975" t="s">
        <v>54</v>
      </c>
      <c r="G1" s="975" t="s">
        <v>59</v>
      </c>
      <c r="H1" s="975" t="s">
        <v>275</v>
      </c>
      <c r="I1" s="975" t="s">
        <v>276</v>
      </c>
      <c r="J1" s="975" t="s">
        <v>495</v>
      </c>
      <c r="K1" s="975" t="s">
        <v>496</v>
      </c>
      <c r="L1" s="975" t="s">
        <v>475</v>
      </c>
      <c r="M1" s="977" t="s">
        <v>474</v>
      </c>
      <c r="N1" s="978"/>
      <c r="O1" s="975" t="s">
        <v>473</v>
      </c>
    </row>
    <row r="2" spans="1:15" ht="33.75" customHeight="1" thickBot="1" x14ac:dyDescent="0.3">
      <c r="A2" s="973"/>
      <c r="B2" s="976"/>
      <c r="C2" s="976"/>
      <c r="D2" s="976"/>
      <c r="E2" s="976"/>
      <c r="F2" s="976"/>
      <c r="G2" s="976"/>
      <c r="H2" s="976"/>
      <c r="I2" s="976"/>
      <c r="J2" s="976"/>
      <c r="K2" s="976"/>
      <c r="L2" s="976"/>
      <c r="M2" s="474" t="s">
        <v>472</v>
      </c>
      <c r="N2" s="473" t="s">
        <v>277</v>
      </c>
      <c r="O2" s="976"/>
    </row>
    <row r="3" spans="1:15" thickBot="1" x14ac:dyDescent="0.3">
      <c r="A3" s="974"/>
      <c r="B3" s="774"/>
      <c r="C3" s="775" t="s">
        <v>174</v>
      </c>
      <c r="D3" s="775" t="s">
        <v>175</v>
      </c>
      <c r="E3" s="775" t="s">
        <v>176</v>
      </c>
      <c r="F3" s="775" t="s">
        <v>177</v>
      </c>
      <c r="G3" s="775" t="s">
        <v>178</v>
      </c>
      <c r="H3" s="775" t="s">
        <v>179</v>
      </c>
      <c r="I3" s="775" t="s">
        <v>180</v>
      </c>
      <c r="J3" s="472" t="s">
        <v>471</v>
      </c>
      <c r="K3" s="471" t="s">
        <v>470</v>
      </c>
      <c r="L3" s="775" t="s">
        <v>469</v>
      </c>
      <c r="M3" s="979" t="s">
        <v>183</v>
      </c>
      <c r="N3" s="980"/>
      <c r="O3" s="470" t="s">
        <v>468</v>
      </c>
    </row>
    <row r="4" spans="1:15" ht="17.25" thickTop="1" thickBot="1" x14ac:dyDescent="0.3">
      <c r="A4" s="433"/>
      <c r="B4" s="469" t="s">
        <v>148</v>
      </c>
      <c r="C4" s="468" t="s">
        <v>149</v>
      </c>
      <c r="D4" s="468" t="s">
        <v>150</v>
      </c>
      <c r="E4" s="468" t="s">
        <v>151</v>
      </c>
      <c r="F4" s="468" t="s">
        <v>152</v>
      </c>
      <c r="G4" s="468" t="s">
        <v>467</v>
      </c>
      <c r="H4" s="468" t="s">
        <v>35</v>
      </c>
      <c r="I4" s="468" t="s">
        <v>36</v>
      </c>
      <c r="J4" s="468" t="s">
        <v>466</v>
      </c>
      <c r="K4" s="468" t="s">
        <v>465</v>
      </c>
      <c r="L4" s="468" t="s">
        <v>464</v>
      </c>
      <c r="M4" s="981" t="s">
        <v>40</v>
      </c>
      <c r="N4" s="982"/>
      <c r="O4" s="467" t="s">
        <v>278</v>
      </c>
    </row>
    <row r="5" spans="1:15" ht="16.5" thickTop="1" x14ac:dyDescent="0.25">
      <c r="A5" s="443" t="s">
        <v>154</v>
      </c>
      <c r="B5" s="445" t="s">
        <v>463</v>
      </c>
      <c r="C5" s="445"/>
      <c r="D5" s="445"/>
      <c r="E5" s="445"/>
      <c r="F5" s="445"/>
      <c r="G5" s="445"/>
      <c r="H5" s="445"/>
      <c r="I5" s="445"/>
      <c r="J5" s="445"/>
      <c r="K5" s="445"/>
      <c r="L5" s="445"/>
      <c r="M5" s="445"/>
      <c r="N5" s="445"/>
      <c r="O5" s="445"/>
    </row>
    <row r="6" spans="1:15" x14ac:dyDescent="0.25">
      <c r="A6" s="443"/>
      <c r="B6" s="441" t="s">
        <v>389</v>
      </c>
      <c r="C6" s="441">
        <v>403860</v>
      </c>
      <c r="D6" s="441"/>
      <c r="E6" s="441"/>
      <c r="F6" s="441">
        <v>1902</v>
      </c>
      <c r="G6" s="441"/>
      <c r="H6" s="441"/>
      <c r="I6" s="441"/>
      <c r="J6" s="441">
        <f>SUM(C6+E6+F6+H6)</f>
        <v>405762</v>
      </c>
      <c r="K6" s="441">
        <f>SUM(D6+G6+I6)</f>
        <v>0</v>
      </c>
      <c r="L6" s="441">
        <f>SUM(J6:K6)</f>
        <v>405762</v>
      </c>
      <c r="M6" s="441">
        <v>271154</v>
      </c>
      <c r="N6" s="441">
        <v>90634</v>
      </c>
      <c r="O6" s="441">
        <f>SUM(L6:N6)</f>
        <v>767550</v>
      </c>
    </row>
    <row r="7" spans="1:15" s="448" customFormat="1" x14ac:dyDescent="0.25">
      <c r="A7" s="451"/>
      <c r="B7" s="442" t="s">
        <v>432</v>
      </c>
      <c r="C7" s="442">
        <v>306930</v>
      </c>
      <c r="D7" s="442"/>
      <c r="E7" s="442"/>
      <c r="F7" s="442">
        <v>1427</v>
      </c>
      <c r="G7" s="442"/>
      <c r="H7" s="442"/>
      <c r="I7" s="449"/>
      <c r="J7" s="449">
        <f>SUM(C7+E7+F7+H7)</f>
        <v>308357</v>
      </c>
      <c r="K7" s="449">
        <f>SUM(D7+G7+I7)</f>
        <v>0</v>
      </c>
      <c r="L7" s="449">
        <f>SUM(J7:K7)</f>
        <v>308357</v>
      </c>
      <c r="M7" s="449">
        <v>201983</v>
      </c>
      <c r="N7" s="449">
        <v>90634</v>
      </c>
      <c r="O7" s="449">
        <f>SUM(L7:N7)</f>
        <v>600974</v>
      </c>
    </row>
    <row r="8" spans="1:15" s="448" customFormat="1" x14ac:dyDescent="0.25">
      <c r="A8" s="451"/>
      <c r="B8" s="442" t="s">
        <v>431</v>
      </c>
      <c r="C8" s="442">
        <v>96930</v>
      </c>
      <c r="D8" s="442"/>
      <c r="E8" s="442"/>
      <c r="F8" s="442">
        <v>475</v>
      </c>
      <c r="G8" s="442"/>
      <c r="H8" s="442"/>
      <c r="I8" s="449"/>
      <c r="J8" s="449">
        <f>SUM(C8+E8+F8+H8)</f>
        <v>97405</v>
      </c>
      <c r="K8" s="449">
        <f>SUM(D8+G8+I8)</f>
        <v>0</v>
      </c>
      <c r="L8" s="449">
        <f>SUM(J8:K8)</f>
        <v>97405</v>
      </c>
      <c r="M8" s="449">
        <v>69171</v>
      </c>
      <c r="N8" s="449"/>
      <c r="O8" s="449">
        <f>SUM(L8:N8)</f>
        <v>166576</v>
      </c>
    </row>
    <row r="9" spans="1:15" s="448" customFormat="1" x14ac:dyDescent="0.25">
      <c r="A9" s="451"/>
      <c r="B9" s="442" t="s">
        <v>140</v>
      </c>
      <c r="C9" s="674"/>
      <c r="D9" s="674"/>
      <c r="E9" s="674"/>
      <c r="F9" s="674"/>
      <c r="G9" s="674"/>
      <c r="H9" s="674"/>
      <c r="I9" s="674"/>
      <c r="J9" s="674"/>
      <c r="K9" s="674"/>
      <c r="L9" s="674"/>
      <c r="M9" s="674"/>
      <c r="N9" s="674"/>
      <c r="O9" s="674"/>
    </row>
    <row r="10" spans="1:15" s="776" customFormat="1" ht="31.5" x14ac:dyDescent="0.25">
      <c r="A10" s="443"/>
      <c r="B10" s="674" t="s">
        <v>1168</v>
      </c>
      <c r="C10" s="674"/>
      <c r="D10" s="674"/>
      <c r="E10" s="674"/>
      <c r="F10" s="674"/>
      <c r="G10" s="674"/>
      <c r="H10" s="674"/>
      <c r="I10" s="674"/>
      <c r="J10" s="674">
        <f t="shared" ref="J10:J18" si="0">SUM(C10+E10+F10+H10)</f>
        <v>0</v>
      </c>
      <c r="K10" s="674">
        <f t="shared" ref="K10:K18" si="1">SUM(D10+G10+I10)</f>
        <v>0</v>
      </c>
      <c r="L10" s="674">
        <f t="shared" ref="L10:L18" si="2">SUM(J10:K10)</f>
        <v>0</v>
      </c>
      <c r="M10" s="674">
        <v>3364</v>
      </c>
      <c r="N10" s="674"/>
      <c r="O10" s="674">
        <f t="shared" ref="O10:O18" si="3">SUM(L10:N10)</f>
        <v>3364</v>
      </c>
    </row>
    <row r="11" spans="1:15" s="776" customFormat="1" ht="31.5" x14ac:dyDescent="0.25">
      <c r="A11" s="443"/>
      <c r="B11" s="674" t="s">
        <v>628</v>
      </c>
      <c r="C11" s="674"/>
      <c r="D11" s="674"/>
      <c r="E11" s="674"/>
      <c r="F11" s="674"/>
      <c r="G11" s="674"/>
      <c r="H11" s="674"/>
      <c r="I11" s="674"/>
      <c r="J11" s="674">
        <f t="shared" si="0"/>
        <v>0</v>
      </c>
      <c r="K11" s="674">
        <f t="shared" si="1"/>
        <v>0</v>
      </c>
      <c r="L11" s="674">
        <f t="shared" si="2"/>
        <v>0</v>
      </c>
      <c r="M11" s="674">
        <v>5789</v>
      </c>
      <c r="N11" s="674"/>
      <c r="O11" s="674">
        <f t="shared" si="3"/>
        <v>5789</v>
      </c>
    </row>
    <row r="12" spans="1:15" s="776" customFormat="1" ht="47.25" x14ac:dyDescent="0.25">
      <c r="A12" s="443"/>
      <c r="B12" s="674" t="s">
        <v>1169</v>
      </c>
      <c r="C12" s="674"/>
      <c r="D12" s="674"/>
      <c r="E12" s="674"/>
      <c r="F12" s="674"/>
      <c r="G12" s="674"/>
      <c r="H12" s="674"/>
      <c r="I12" s="674"/>
      <c r="J12" s="674">
        <f t="shared" si="0"/>
        <v>0</v>
      </c>
      <c r="K12" s="674">
        <f t="shared" si="1"/>
        <v>0</v>
      </c>
      <c r="L12" s="674">
        <f t="shared" si="2"/>
        <v>0</v>
      </c>
      <c r="M12" s="674">
        <v>239</v>
      </c>
      <c r="N12" s="674"/>
      <c r="O12" s="674">
        <f t="shared" si="3"/>
        <v>239</v>
      </c>
    </row>
    <row r="13" spans="1:15" s="776" customFormat="1" ht="31.5" x14ac:dyDescent="0.25">
      <c r="A13" s="443"/>
      <c r="B13" s="674" t="s">
        <v>928</v>
      </c>
      <c r="C13" s="674"/>
      <c r="D13" s="674"/>
      <c r="E13" s="674"/>
      <c r="F13" s="674">
        <v>18403</v>
      </c>
      <c r="G13" s="674"/>
      <c r="H13" s="674"/>
      <c r="I13" s="674"/>
      <c r="J13" s="674">
        <f t="shared" si="0"/>
        <v>18403</v>
      </c>
      <c r="K13" s="674">
        <f t="shared" si="1"/>
        <v>0</v>
      </c>
      <c r="L13" s="674">
        <f t="shared" si="2"/>
        <v>18403</v>
      </c>
      <c r="M13" s="674">
        <v>-30695</v>
      </c>
      <c r="N13" s="674"/>
      <c r="O13" s="674">
        <f t="shared" si="3"/>
        <v>-12292</v>
      </c>
    </row>
    <row r="14" spans="1:15" s="448" customFormat="1" x14ac:dyDescent="0.25">
      <c r="A14" s="451"/>
      <c r="B14" s="442" t="s">
        <v>141</v>
      </c>
      <c r="C14" s="674"/>
      <c r="D14" s="674"/>
      <c r="E14" s="674"/>
      <c r="F14" s="674"/>
      <c r="G14" s="674"/>
      <c r="H14" s="674"/>
      <c r="I14" s="674"/>
      <c r="J14" s="674"/>
      <c r="K14" s="674"/>
      <c r="L14" s="674"/>
      <c r="M14" s="674"/>
      <c r="N14" s="674"/>
      <c r="O14" s="674"/>
    </row>
    <row r="15" spans="1:15" s="776" customFormat="1" ht="78.75" x14ac:dyDescent="0.25">
      <c r="A15" s="443"/>
      <c r="B15" s="674" t="s">
        <v>1170</v>
      </c>
      <c r="C15" s="674"/>
      <c r="D15" s="674"/>
      <c r="E15" s="674"/>
      <c r="F15" s="674"/>
      <c r="G15" s="674"/>
      <c r="H15" s="674"/>
      <c r="I15" s="674"/>
      <c r="J15" s="674">
        <f t="shared" si="0"/>
        <v>0</v>
      </c>
      <c r="K15" s="674">
        <f t="shared" si="1"/>
        <v>0</v>
      </c>
      <c r="L15" s="674">
        <f t="shared" si="2"/>
        <v>0</v>
      </c>
      <c r="M15" s="674">
        <v>400</v>
      </c>
      <c r="N15" s="674"/>
      <c r="O15" s="674">
        <f t="shared" si="3"/>
        <v>400</v>
      </c>
    </row>
    <row r="16" spans="1:15" s="776" customFormat="1" ht="63" x14ac:dyDescent="0.25">
      <c r="A16" s="443"/>
      <c r="B16" s="674" t="s">
        <v>1171</v>
      </c>
      <c r="C16" s="674"/>
      <c r="D16" s="674"/>
      <c r="E16" s="674"/>
      <c r="F16" s="674"/>
      <c r="G16" s="674"/>
      <c r="H16" s="674"/>
      <c r="I16" s="674"/>
      <c r="J16" s="674">
        <f t="shared" si="0"/>
        <v>0</v>
      </c>
      <c r="K16" s="674">
        <f t="shared" si="1"/>
        <v>0</v>
      </c>
      <c r="L16" s="674">
        <f t="shared" si="2"/>
        <v>0</v>
      </c>
      <c r="M16" s="674">
        <v>200</v>
      </c>
      <c r="N16" s="674"/>
      <c r="O16" s="674">
        <f t="shared" si="3"/>
        <v>200</v>
      </c>
    </row>
    <row r="17" spans="1:16" s="776" customFormat="1" x14ac:dyDescent="0.25">
      <c r="A17" s="443"/>
      <c r="B17" s="674" t="s">
        <v>1172</v>
      </c>
      <c r="C17" s="674"/>
      <c r="D17" s="674"/>
      <c r="E17" s="674"/>
      <c r="F17" s="674"/>
      <c r="G17" s="674"/>
      <c r="H17" s="674"/>
      <c r="I17" s="674"/>
      <c r="J17" s="674">
        <f t="shared" si="0"/>
        <v>0</v>
      </c>
      <c r="K17" s="674">
        <f t="shared" si="1"/>
        <v>0</v>
      </c>
      <c r="L17" s="674">
        <f t="shared" si="2"/>
        <v>0</v>
      </c>
      <c r="M17" s="674">
        <v>5464</v>
      </c>
      <c r="N17" s="674"/>
      <c r="O17" s="674">
        <f t="shared" si="3"/>
        <v>5464</v>
      </c>
    </row>
    <row r="18" spans="1:16" s="776" customFormat="1" ht="63.75" thickBot="1" x14ac:dyDescent="0.3">
      <c r="A18" s="443"/>
      <c r="B18" s="674" t="s">
        <v>1173</v>
      </c>
      <c r="C18" s="674"/>
      <c r="D18" s="674"/>
      <c r="E18" s="674"/>
      <c r="F18" s="674"/>
      <c r="G18" s="674"/>
      <c r="H18" s="674"/>
      <c r="I18" s="674"/>
      <c r="J18" s="674">
        <f t="shared" si="0"/>
        <v>0</v>
      </c>
      <c r="K18" s="674">
        <f t="shared" si="1"/>
        <v>0</v>
      </c>
      <c r="L18" s="674">
        <f t="shared" si="2"/>
        <v>0</v>
      </c>
      <c r="M18" s="674">
        <v>11038</v>
      </c>
      <c r="N18" s="674"/>
      <c r="O18" s="674">
        <f t="shared" si="3"/>
        <v>11038</v>
      </c>
    </row>
    <row r="19" spans="1:16" ht="17.25" thickTop="1" thickBot="1" x14ac:dyDescent="0.3">
      <c r="A19" s="433"/>
      <c r="B19" s="432" t="s">
        <v>430</v>
      </c>
      <c r="C19" s="432">
        <f>+C6+C10+C15+C16+C11+C12+C13+C17+C18</f>
        <v>403860</v>
      </c>
      <c r="D19" s="432">
        <f t="shared" ref="D19:O19" si="4">+D6+D10+D15+D16+D11+D12+D13+D17+D18</f>
        <v>0</v>
      </c>
      <c r="E19" s="432">
        <f t="shared" si="4"/>
        <v>0</v>
      </c>
      <c r="F19" s="432">
        <f t="shared" si="4"/>
        <v>20305</v>
      </c>
      <c r="G19" s="432">
        <f t="shared" si="4"/>
        <v>0</v>
      </c>
      <c r="H19" s="432">
        <f t="shared" si="4"/>
        <v>0</v>
      </c>
      <c r="I19" s="432">
        <f t="shared" si="4"/>
        <v>0</v>
      </c>
      <c r="J19" s="432">
        <f t="shared" si="4"/>
        <v>424165</v>
      </c>
      <c r="K19" s="432">
        <f t="shared" si="4"/>
        <v>0</v>
      </c>
      <c r="L19" s="432">
        <f t="shared" si="4"/>
        <v>424165</v>
      </c>
      <c r="M19" s="432">
        <f t="shared" si="4"/>
        <v>266953</v>
      </c>
      <c r="N19" s="432">
        <f t="shared" si="4"/>
        <v>90634</v>
      </c>
      <c r="O19" s="432">
        <f t="shared" si="4"/>
        <v>781752</v>
      </c>
      <c r="P19" s="429">
        <f>O20+O21</f>
        <v>781752</v>
      </c>
    </row>
    <row r="20" spans="1:16" ht="17.25" thickTop="1" thickBot="1" x14ac:dyDescent="0.3">
      <c r="A20" s="433"/>
      <c r="B20" s="432" t="s">
        <v>429</v>
      </c>
      <c r="C20" s="432">
        <f>+C7+C10+C11+C12+C13</f>
        <v>306930</v>
      </c>
      <c r="D20" s="432">
        <f t="shared" ref="D20:O20" si="5">+D7+D10+D11+D12+D13</f>
        <v>0</v>
      </c>
      <c r="E20" s="432">
        <f t="shared" si="5"/>
        <v>0</v>
      </c>
      <c r="F20" s="432">
        <f t="shared" si="5"/>
        <v>19830</v>
      </c>
      <c r="G20" s="432">
        <f t="shared" si="5"/>
        <v>0</v>
      </c>
      <c r="H20" s="432">
        <f t="shared" si="5"/>
        <v>0</v>
      </c>
      <c r="I20" s="432">
        <f t="shared" si="5"/>
        <v>0</v>
      </c>
      <c r="J20" s="432">
        <f t="shared" si="5"/>
        <v>326760</v>
      </c>
      <c r="K20" s="432">
        <f t="shared" si="5"/>
        <v>0</v>
      </c>
      <c r="L20" s="432">
        <f t="shared" si="5"/>
        <v>326760</v>
      </c>
      <c r="M20" s="432">
        <f t="shared" si="5"/>
        <v>180680</v>
      </c>
      <c r="N20" s="432">
        <f t="shared" si="5"/>
        <v>90634</v>
      </c>
      <c r="O20" s="432">
        <f t="shared" si="5"/>
        <v>598074</v>
      </c>
    </row>
    <row r="21" spans="1:16" ht="17.25" thickTop="1" thickBot="1" x14ac:dyDescent="0.3">
      <c r="A21" s="433"/>
      <c r="B21" s="432" t="s">
        <v>428</v>
      </c>
      <c r="C21" s="432">
        <f t="shared" ref="C21:O21" si="6">+C8+C15+C16+C17+C18</f>
        <v>96930</v>
      </c>
      <c r="D21" s="432">
        <f t="shared" si="6"/>
        <v>0</v>
      </c>
      <c r="E21" s="432">
        <f t="shared" si="6"/>
        <v>0</v>
      </c>
      <c r="F21" s="432">
        <f t="shared" si="6"/>
        <v>475</v>
      </c>
      <c r="G21" s="432">
        <f t="shared" si="6"/>
        <v>0</v>
      </c>
      <c r="H21" s="432">
        <f t="shared" si="6"/>
        <v>0</v>
      </c>
      <c r="I21" s="432">
        <f t="shared" si="6"/>
        <v>0</v>
      </c>
      <c r="J21" s="432">
        <f t="shared" si="6"/>
        <v>97405</v>
      </c>
      <c r="K21" s="432">
        <f t="shared" si="6"/>
        <v>0</v>
      </c>
      <c r="L21" s="432">
        <f t="shared" si="6"/>
        <v>97405</v>
      </c>
      <c r="M21" s="432">
        <f t="shared" si="6"/>
        <v>86273</v>
      </c>
      <c r="N21" s="432">
        <f t="shared" si="6"/>
        <v>0</v>
      </c>
      <c r="O21" s="432">
        <f t="shared" si="6"/>
        <v>183678</v>
      </c>
    </row>
    <row r="22" spans="1:16" ht="32.25" thickTop="1" x14ac:dyDescent="0.25">
      <c r="A22" s="443" t="s">
        <v>155</v>
      </c>
      <c r="B22" s="445" t="s">
        <v>462</v>
      </c>
      <c r="C22" s="445"/>
      <c r="D22" s="445"/>
      <c r="E22" s="445"/>
      <c r="F22" s="445"/>
      <c r="G22" s="445"/>
      <c r="H22" s="445"/>
      <c r="I22" s="445"/>
      <c r="J22" s="441"/>
      <c r="K22" s="441"/>
      <c r="L22" s="441"/>
      <c r="M22" s="441"/>
      <c r="N22" s="441"/>
      <c r="O22" s="441"/>
    </row>
    <row r="23" spans="1:16" x14ac:dyDescent="0.25">
      <c r="A23" s="443"/>
      <c r="B23" s="441" t="s">
        <v>389</v>
      </c>
      <c r="C23" s="441">
        <v>7387</v>
      </c>
      <c r="D23" s="441"/>
      <c r="E23" s="441"/>
      <c r="F23" s="441">
        <v>12883</v>
      </c>
      <c r="G23" s="441"/>
      <c r="H23" s="441"/>
      <c r="I23" s="441"/>
      <c r="J23" s="441">
        <f>SUM(C23+E23+F23+H23)</f>
        <v>20270</v>
      </c>
      <c r="K23" s="441">
        <f>SUM(D23+G23+I23)</f>
        <v>0</v>
      </c>
      <c r="L23" s="441">
        <f>SUM(J23:K23)</f>
        <v>20270</v>
      </c>
      <c r="M23" s="441">
        <v>117612</v>
      </c>
      <c r="N23" s="441">
        <v>420</v>
      </c>
      <c r="O23" s="441">
        <f>SUM(L23:N23)</f>
        <v>138302</v>
      </c>
    </row>
    <row r="24" spans="1:16" s="448" customFormat="1" x14ac:dyDescent="0.25">
      <c r="A24" s="451"/>
      <c r="B24" s="442" t="s">
        <v>432</v>
      </c>
      <c r="C24" s="442">
        <v>7387</v>
      </c>
      <c r="D24" s="442"/>
      <c r="E24" s="442"/>
      <c r="F24" s="442">
        <v>5153</v>
      </c>
      <c r="G24" s="442"/>
      <c r="H24" s="442"/>
      <c r="I24" s="442"/>
      <c r="J24" s="449">
        <f>SUM(C24+E24+F24+H24)</f>
        <v>12540</v>
      </c>
      <c r="K24" s="449">
        <f>SUM(D24+G24+I24)</f>
        <v>0</v>
      </c>
      <c r="L24" s="449">
        <f>SUM(J24:K24)</f>
        <v>12540</v>
      </c>
      <c r="M24" s="449">
        <v>48169</v>
      </c>
      <c r="N24" s="449">
        <v>420</v>
      </c>
      <c r="O24" s="449">
        <f>SUM(L24:N24)</f>
        <v>61129</v>
      </c>
    </row>
    <row r="25" spans="1:16" s="448" customFormat="1" x14ac:dyDescent="0.25">
      <c r="A25" s="451"/>
      <c r="B25" s="442" t="s">
        <v>431</v>
      </c>
      <c r="C25" s="442"/>
      <c r="D25" s="442"/>
      <c r="E25" s="442"/>
      <c r="F25" s="442">
        <v>7730</v>
      </c>
      <c r="G25" s="442"/>
      <c r="H25" s="442"/>
      <c r="I25" s="442"/>
      <c r="J25" s="449">
        <f>SUM(C25+E25+F25+H25)</f>
        <v>7730</v>
      </c>
      <c r="K25" s="449">
        <f>SUM(D25+G25+I25)</f>
        <v>0</v>
      </c>
      <c r="L25" s="449">
        <f>SUM(J25:K25)</f>
        <v>7730</v>
      </c>
      <c r="M25" s="449">
        <v>69443</v>
      </c>
      <c r="N25" s="449"/>
      <c r="O25" s="449">
        <f>SUM(L25:N25)</f>
        <v>77173</v>
      </c>
    </row>
    <row r="26" spans="1:16" s="448" customFormat="1" x14ac:dyDescent="0.25">
      <c r="A26" s="451"/>
      <c r="B26" s="442" t="s">
        <v>634</v>
      </c>
      <c r="C26" s="674"/>
      <c r="D26" s="674"/>
      <c r="E26" s="674"/>
      <c r="F26" s="674"/>
      <c r="G26" s="674"/>
      <c r="H26" s="674"/>
      <c r="I26" s="674"/>
      <c r="J26" s="674"/>
      <c r="K26" s="674"/>
      <c r="L26" s="674"/>
      <c r="M26" s="674"/>
      <c r="N26" s="674"/>
      <c r="O26" s="674"/>
    </row>
    <row r="27" spans="1:16" s="448" customFormat="1" ht="31.5" x14ac:dyDescent="0.25">
      <c r="A27" s="451"/>
      <c r="B27" s="674" t="s">
        <v>1168</v>
      </c>
      <c r="C27" s="674"/>
      <c r="D27" s="674"/>
      <c r="E27" s="674"/>
      <c r="F27" s="674"/>
      <c r="G27" s="674"/>
      <c r="H27" s="674"/>
      <c r="I27" s="674"/>
      <c r="J27" s="674">
        <f t="shared" ref="J27:J31" si="7">SUM(C27+E27+F27+H27)</f>
        <v>0</v>
      </c>
      <c r="K27" s="674">
        <f t="shared" ref="K27:K31" si="8">SUM(D27+G27+I27)</f>
        <v>0</v>
      </c>
      <c r="L27" s="674">
        <f t="shared" ref="L27:L31" si="9">SUM(J27:K27)</f>
        <v>0</v>
      </c>
      <c r="M27" s="674">
        <v>438</v>
      </c>
      <c r="N27" s="674"/>
      <c r="O27" s="674">
        <f t="shared" ref="O27:O31" si="10">SUM(L27:N27)</f>
        <v>438</v>
      </c>
    </row>
    <row r="28" spans="1:16" s="448" customFormat="1" ht="47.25" x14ac:dyDescent="0.25">
      <c r="A28" s="451"/>
      <c r="B28" s="674" t="s">
        <v>1174</v>
      </c>
      <c r="C28" s="674"/>
      <c r="D28" s="674"/>
      <c r="E28" s="674"/>
      <c r="F28" s="674"/>
      <c r="G28" s="674"/>
      <c r="H28" s="674"/>
      <c r="I28" s="674"/>
      <c r="J28" s="674">
        <f t="shared" si="7"/>
        <v>0</v>
      </c>
      <c r="K28" s="674">
        <f t="shared" si="8"/>
        <v>0</v>
      </c>
      <c r="L28" s="674">
        <f t="shared" si="9"/>
        <v>0</v>
      </c>
      <c r="M28" s="674">
        <v>5215</v>
      </c>
      <c r="N28" s="674"/>
      <c r="O28" s="674">
        <f t="shared" si="10"/>
        <v>5215</v>
      </c>
    </row>
    <row r="29" spans="1:16" s="448" customFormat="1" ht="31.5" x14ac:dyDescent="0.25">
      <c r="A29" s="451"/>
      <c r="B29" s="674" t="s">
        <v>1175</v>
      </c>
      <c r="C29" s="674"/>
      <c r="D29" s="674"/>
      <c r="E29" s="674"/>
      <c r="F29" s="674"/>
      <c r="G29" s="674"/>
      <c r="H29" s="674"/>
      <c r="I29" s="674"/>
      <c r="J29" s="674">
        <f t="shared" si="7"/>
        <v>0</v>
      </c>
      <c r="K29" s="674">
        <f t="shared" si="8"/>
        <v>0</v>
      </c>
      <c r="L29" s="674">
        <f t="shared" si="9"/>
        <v>0</v>
      </c>
      <c r="M29" s="674">
        <v>-1009</v>
      </c>
      <c r="N29" s="674"/>
      <c r="O29" s="674">
        <f t="shared" si="10"/>
        <v>-1009</v>
      </c>
    </row>
    <row r="30" spans="1:16" s="448" customFormat="1" x14ac:dyDescent="0.25">
      <c r="A30" s="451"/>
      <c r="B30" s="442" t="s">
        <v>141</v>
      </c>
      <c r="C30" s="674"/>
      <c r="D30" s="674"/>
      <c r="E30" s="674"/>
      <c r="F30" s="674"/>
      <c r="G30" s="674"/>
      <c r="H30" s="674"/>
      <c r="I30" s="674"/>
      <c r="J30" s="674"/>
      <c r="K30" s="674"/>
      <c r="L30" s="674"/>
      <c r="M30" s="674"/>
      <c r="N30" s="674"/>
      <c r="O30" s="674"/>
    </row>
    <row r="31" spans="1:16" s="448" customFormat="1" ht="16.5" thickBot="1" x14ac:dyDescent="0.3">
      <c r="A31" s="933"/>
      <c r="B31" s="934" t="s">
        <v>1172</v>
      </c>
      <c r="C31" s="934"/>
      <c r="D31" s="934"/>
      <c r="E31" s="934"/>
      <c r="F31" s="934"/>
      <c r="G31" s="934"/>
      <c r="H31" s="934"/>
      <c r="I31" s="934"/>
      <c r="J31" s="934">
        <f t="shared" si="7"/>
        <v>0</v>
      </c>
      <c r="K31" s="934">
        <f t="shared" si="8"/>
        <v>0</v>
      </c>
      <c r="L31" s="934">
        <f t="shared" si="9"/>
        <v>0</v>
      </c>
      <c r="M31" s="934">
        <v>1188</v>
      </c>
      <c r="N31" s="934"/>
      <c r="O31" s="934">
        <f t="shared" si="10"/>
        <v>1188</v>
      </c>
    </row>
    <row r="32" spans="1:16" ht="17.25" thickTop="1" thickBot="1" x14ac:dyDescent="0.3">
      <c r="A32" s="433"/>
      <c r="B32" s="432" t="s">
        <v>430</v>
      </c>
      <c r="C32" s="432">
        <f>+C23+C27+C31+C28+C29</f>
        <v>7387</v>
      </c>
      <c r="D32" s="432">
        <f t="shared" ref="D32:O32" si="11">+D23+D27+D31+D28+D29</f>
        <v>0</v>
      </c>
      <c r="E32" s="432">
        <f t="shared" si="11"/>
        <v>0</v>
      </c>
      <c r="F32" s="432">
        <f t="shared" si="11"/>
        <v>12883</v>
      </c>
      <c r="G32" s="432">
        <f t="shared" si="11"/>
        <v>0</v>
      </c>
      <c r="H32" s="432">
        <f t="shared" si="11"/>
        <v>0</v>
      </c>
      <c r="I32" s="432">
        <f t="shared" si="11"/>
        <v>0</v>
      </c>
      <c r="J32" s="432">
        <f t="shared" si="11"/>
        <v>20270</v>
      </c>
      <c r="K32" s="432">
        <f t="shared" si="11"/>
        <v>0</v>
      </c>
      <c r="L32" s="432">
        <f t="shared" si="11"/>
        <v>20270</v>
      </c>
      <c r="M32" s="432">
        <f t="shared" si="11"/>
        <v>123444</v>
      </c>
      <c r="N32" s="432">
        <f t="shared" si="11"/>
        <v>420</v>
      </c>
      <c r="O32" s="432">
        <f t="shared" si="11"/>
        <v>144134</v>
      </c>
      <c r="P32" s="429">
        <f>O33+O34</f>
        <v>144134</v>
      </c>
    </row>
    <row r="33" spans="1:16" ht="17.25" thickTop="1" thickBot="1" x14ac:dyDescent="0.3">
      <c r="A33" s="433"/>
      <c r="B33" s="432" t="s">
        <v>429</v>
      </c>
      <c r="C33" s="432">
        <f>+C24+C27+C28+C29</f>
        <v>7387</v>
      </c>
      <c r="D33" s="432">
        <f t="shared" ref="D33:O33" si="12">+D24+D27+D28+D29</f>
        <v>0</v>
      </c>
      <c r="E33" s="432">
        <f t="shared" si="12"/>
        <v>0</v>
      </c>
      <c r="F33" s="432">
        <f t="shared" si="12"/>
        <v>5153</v>
      </c>
      <c r="G33" s="432">
        <f t="shared" si="12"/>
        <v>0</v>
      </c>
      <c r="H33" s="432">
        <f t="shared" si="12"/>
        <v>0</v>
      </c>
      <c r="I33" s="432">
        <f t="shared" si="12"/>
        <v>0</v>
      </c>
      <c r="J33" s="432">
        <f t="shared" si="12"/>
        <v>12540</v>
      </c>
      <c r="K33" s="432">
        <f t="shared" si="12"/>
        <v>0</v>
      </c>
      <c r="L33" s="432">
        <f t="shared" si="12"/>
        <v>12540</v>
      </c>
      <c r="M33" s="432">
        <f t="shared" si="12"/>
        <v>52813</v>
      </c>
      <c r="N33" s="432">
        <f t="shared" si="12"/>
        <v>420</v>
      </c>
      <c r="O33" s="432">
        <f t="shared" si="12"/>
        <v>65773</v>
      </c>
    </row>
    <row r="34" spans="1:16" ht="17.25" thickTop="1" thickBot="1" x14ac:dyDescent="0.3">
      <c r="A34" s="433"/>
      <c r="B34" s="432" t="s">
        <v>428</v>
      </c>
      <c r="C34" s="432">
        <f>+C25+C31</f>
        <v>0</v>
      </c>
      <c r="D34" s="432">
        <f t="shared" ref="D34:O34" si="13">+D25+D31</f>
        <v>0</v>
      </c>
      <c r="E34" s="432">
        <f t="shared" si="13"/>
        <v>0</v>
      </c>
      <c r="F34" s="432">
        <f t="shared" si="13"/>
        <v>7730</v>
      </c>
      <c r="G34" s="432">
        <f t="shared" si="13"/>
        <v>0</v>
      </c>
      <c r="H34" s="432">
        <f t="shared" si="13"/>
        <v>0</v>
      </c>
      <c r="I34" s="432">
        <f t="shared" si="13"/>
        <v>0</v>
      </c>
      <c r="J34" s="432">
        <f t="shared" si="13"/>
        <v>7730</v>
      </c>
      <c r="K34" s="432">
        <f t="shared" si="13"/>
        <v>0</v>
      </c>
      <c r="L34" s="432">
        <f t="shared" si="13"/>
        <v>7730</v>
      </c>
      <c r="M34" s="432">
        <f t="shared" si="13"/>
        <v>70631</v>
      </c>
      <c r="N34" s="432">
        <f t="shared" si="13"/>
        <v>0</v>
      </c>
      <c r="O34" s="432">
        <f t="shared" si="13"/>
        <v>78361</v>
      </c>
    </row>
    <row r="35" spans="1:16" ht="17.25" thickTop="1" thickBot="1" x14ac:dyDescent="0.3">
      <c r="A35" s="433"/>
      <c r="B35" s="432" t="s">
        <v>461</v>
      </c>
      <c r="C35" s="432">
        <f t="shared" ref="C35:O35" si="14">SUM(C19+C32)</f>
        <v>411247</v>
      </c>
      <c r="D35" s="432">
        <f t="shared" si="14"/>
        <v>0</v>
      </c>
      <c r="E35" s="432">
        <f t="shared" si="14"/>
        <v>0</v>
      </c>
      <c r="F35" s="432">
        <f t="shared" si="14"/>
        <v>33188</v>
      </c>
      <c r="G35" s="432">
        <f t="shared" si="14"/>
        <v>0</v>
      </c>
      <c r="H35" s="432">
        <f t="shared" si="14"/>
        <v>0</v>
      </c>
      <c r="I35" s="432">
        <f t="shared" si="14"/>
        <v>0</v>
      </c>
      <c r="J35" s="432">
        <f t="shared" si="14"/>
        <v>444435</v>
      </c>
      <c r="K35" s="432">
        <f t="shared" si="14"/>
        <v>0</v>
      </c>
      <c r="L35" s="432">
        <f t="shared" si="14"/>
        <v>444435</v>
      </c>
      <c r="M35" s="432">
        <f t="shared" si="14"/>
        <v>390397</v>
      </c>
      <c r="N35" s="432">
        <f t="shared" si="14"/>
        <v>91054</v>
      </c>
      <c r="O35" s="432">
        <f t="shared" si="14"/>
        <v>925886</v>
      </c>
    </row>
    <row r="36" spans="1:16" ht="16.5" thickTop="1" x14ac:dyDescent="0.25">
      <c r="A36" s="443" t="s">
        <v>156</v>
      </c>
      <c r="B36" s="452" t="s">
        <v>460</v>
      </c>
      <c r="C36" s="452"/>
      <c r="D36" s="452"/>
      <c r="E36" s="452"/>
      <c r="F36" s="452"/>
      <c r="G36" s="452"/>
      <c r="H36" s="452"/>
      <c r="I36" s="452"/>
      <c r="J36" s="452"/>
      <c r="K36" s="452"/>
      <c r="L36" s="452"/>
      <c r="M36" s="452"/>
      <c r="N36" s="452"/>
      <c r="O36" s="452"/>
    </row>
    <row r="37" spans="1:16" x14ac:dyDescent="0.25">
      <c r="A37" s="443"/>
      <c r="B37" s="441" t="s">
        <v>389</v>
      </c>
      <c r="C37" s="441">
        <v>5075</v>
      </c>
      <c r="D37" s="441"/>
      <c r="E37" s="441"/>
      <c r="F37" s="441">
        <v>1594</v>
      </c>
      <c r="G37" s="441"/>
      <c r="H37" s="441"/>
      <c r="I37" s="441"/>
      <c r="J37" s="441">
        <f>SUM(C37+E37+F37+H37)</f>
        <v>6669</v>
      </c>
      <c r="K37" s="441">
        <f>SUM(D37+G37+I37)</f>
        <v>0</v>
      </c>
      <c r="L37" s="441">
        <f>SUM(J37:K37)</f>
        <v>6669</v>
      </c>
      <c r="M37" s="441">
        <v>85175</v>
      </c>
      <c r="N37" s="441">
        <v>299</v>
      </c>
      <c r="O37" s="441">
        <f>SUM(L37:N37)</f>
        <v>92143</v>
      </c>
    </row>
    <row r="38" spans="1:16" s="448" customFormat="1" x14ac:dyDescent="0.25">
      <c r="A38" s="451"/>
      <c r="B38" s="442" t="s">
        <v>432</v>
      </c>
      <c r="C38" s="442">
        <v>5075</v>
      </c>
      <c r="D38" s="442"/>
      <c r="E38" s="442"/>
      <c r="F38" s="442">
        <v>1594</v>
      </c>
      <c r="G38" s="442"/>
      <c r="H38" s="442"/>
      <c r="I38" s="442"/>
      <c r="J38" s="449">
        <f>SUM(C38+E38+F38+H38)</f>
        <v>6669</v>
      </c>
      <c r="K38" s="449">
        <f>SUM(D38+G38+I38)</f>
        <v>0</v>
      </c>
      <c r="L38" s="449">
        <f>SUM(J38:K38)</f>
        <v>6669</v>
      </c>
      <c r="M38" s="449">
        <v>84271</v>
      </c>
      <c r="N38" s="449">
        <v>299</v>
      </c>
      <c r="O38" s="449">
        <f>SUM(L38:N38)</f>
        <v>91239</v>
      </c>
    </row>
    <row r="39" spans="1:16" s="448" customFormat="1" x14ac:dyDescent="0.25">
      <c r="A39" s="450"/>
      <c r="B39" s="446" t="s">
        <v>431</v>
      </c>
      <c r="C39" s="446"/>
      <c r="D39" s="446"/>
      <c r="E39" s="446"/>
      <c r="F39" s="446"/>
      <c r="G39" s="446"/>
      <c r="H39" s="446"/>
      <c r="I39" s="446"/>
      <c r="J39" s="463">
        <f>SUM(C39+E39+F39+H39)</f>
        <v>0</v>
      </c>
      <c r="K39" s="463">
        <f>SUM(D39+G39+I39)</f>
        <v>0</v>
      </c>
      <c r="L39" s="463">
        <f>SUM(J39:K39)</f>
        <v>0</v>
      </c>
      <c r="M39" s="463">
        <v>904</v>
      </c>
      <c r="N39" s="463"/>
      <c r="O39" s="463">
        <f>SUM(L39:N39)</f>
        <v>904</v>
      </c>
    </row>
    <row r="40" spans="1:16" s="448" customFormat="1" x14ac:dyDescent="0.25">
      <c r="A40" s="450"/>
      <c r="B40" s="446" t="s">
        <v>140</v>
      </c>
      <c r="C40" s="675"/>
      <c r="D40" s="675"/>
      <c r="E40" s="675"/>
      <c r="F40" s="675"/>
      <c r="G40" s="675"/>
      <c r="H40" s="675"/>
      <c r="I40" s="675"/>
      <c r="J40" s="675"/>
      <c r="K40" s="675"/>
      <c r="L40" s="675"/>
      <c r="M40" s="675"/>
      <c r="N40" s="675"/>
      <c r="O40" s="675"/>
    </row>
    <row r="41" spans="1:16" s="448" customFormat="1" ht="31.5" x14ac:dyDescent="0.25">
      <c r="A41" s="450"/>
      <c r="B41" s="674" t="s">
        <v>1168</v>
      </c>
      <c r="C41" s="675"/>
      <c r="D41" s="675"/>
      <c r="E41" s="675"/>
      <c r="F41" s="675"/>
      <c r="G41" s="675"/>
      <c r="H41" s="675"/>
      <c r="I41" s="675"/>
      <c r="J41" s="675">
        <f t="shared" ref="J41:J45" si="15">SUM(C41+E41+F41+H41)</f>
        <v>0</v>
      </c>
      <c r="K41" s="675">
        <f t="shared" ref="K41:K45" si="16">SUM(D41+G41+I41)</f>
        <v>0</v>
      </c>
      <c r="L41" s="675">
        <f t="shared" ref="L41:L45" si="17">SUM(J41:K41)</f>
        <v>0</v>
      </c>
      <c r="M41" s="675">
        <v>119</v>
      </c>
      <c r="N41" s="675"/>
      <c r="O41" s="675">
        <f t="shared" ref="O41:O45" si="18">SUM(L41:N41)</f>
        <v>119</v>
      </c>
    </row>
    <row r="42" spans="1:16" s="448" customFormat="1" ht="47.25" x14ac:dyDescent="0.25">
      <c r="A42" s="450"/>
      <c r="B42" s="674" t="s">
        <v>1174</v>
      </c>
      <c r="C42" s="675"/>
      <c r="D42" s="675"/>
      <c r="E42" s="675"/>
      <c r="F42" s="675"/>
      <c r="G42" s="675"/>
      <c r="H42" s="675"/>
      <c r="I42" s="675"/>
      <c r="J42" s="675">
        <f>SUM(C42+E42+F42+H42)</f>
        <v>0</v>
      </c>
      <c r="K42" s="675">
        <f t="shared" si="16"/>
        <v>0</v>
      </c>
      <c r="L42" s="675">
        <f t="shared" si="17"/>
        <v>0</v>
      </c>
      <c r="M42" s="675">
        <v>473</v>
      </c>
      <c r="N42" s="675"/>
      <c r="O42" s="675">
        <f t="shared" si="18"/>
        <v>473</v>
      </c>
    </row>
    <row r="43" spans="1:16" s="448" customFormat="1" ht="31.5" x14ac:dyDescent="0.25">
      <c r="A43" s="450"/>
      <c r="B43" s="674" t="s">
        <v>928</v>
      </c>
      <c r="C43" s="675"/>
      <c r="D43" s="675"/>
      <c r="E43" s="675"/>
      <c r="F43" s="675"/>
      <c r="G43" s="675"/>
      <c r="H43" s="675"/>
      <c r="I43" s="675"/>
      <c r="J43" s="675">
        <f>SUM(C43+E43+F43+H43)</f>
        <v>0</v>
      </c>
      <c r="K43" s="675">
        <f t="shared" si="16"/>
        <v>0</v>
      </c>
      <c r="L43" s="675">
        <f t="shared" si="17"/>
        <v>0</v>
      </c>
      <c r="M43" s="675">
        <v>78</v>
      </c>
      <c r="N43" s="675"/>
      <c r="O43" s="675">
        <f t="shared" si="18"/>
        <v>78</v>
      </c>
    </row>
    <row r="44" spans="1:16" s="448" customFormat="1" x14ac:dyDescent="0.25">
      <c r="A44" s="450"/>
      <c r="B44" s="446" t="s">
        <v>635</v>
      </c>
      <c r="C44" s="675"/>
      <c r="D44" s="675"/>
      <c r="E44" s="675"/>
      <c r="F44" s="675"/>
      <c r="G44" s="675"/>
      <c r="H44" s="675"/>
      <c r="I44" s="675"/>
      <c r="J44" s="675"/>
      <c r="K44" s="675"/>
      <c r="L44" s="675"/>
      <c r="M44" s="675"/>
      <c r="N44" s="675"/>
      <c r="O44" s="675"/>
    </row>
    <row r="45" spans="1:16" s="448" customFormat="1" ht="16.5" thickBot="1" x14ac:dyDescent="0.3">
      <c r="A45" s="450"/>
      <c r="B45" s="674" t="s">
        <v>1172</v>
      </c>
      <c r="C45" s="675"/>
      <c r="D45" s="675"/>
      <c r="E45" s="675"/>
      <c r="F45" s="675"/>
      <c r="G45" s="675"/>
      <c r="H45" s="675"/>
      <c r="I45" s="675"/>
      <c r="J45" s="675">
        <f t="shared" si="15"/>
        <v>0</v>
      </c>
      <c r="K45" s="675">
        <f t="shared" si="16"/>
        <v>0</v>
      </c>
      <c r="L45" s="675">
        <f t="shared" si="17"/>
        <v>0</v>
      </c>
      <c r="M45" s="675">
        <v>1175</v>
      </c>
      <c r="N45" s="675"/>
      <c r="O45" s="675">
        <f t="shared" si="18"/>
        <v>1175</v>
      </c>
    </row>
    <row r="46" spans="1:16" ht="17.25" thickTop="1" thickBot="1" x14ac:dyDescent="0.3">
      <c r="A46" s="433"/>
      <c r="B46" s="432" t="s">
        <v>430</v>
      </c>
      <c r="C46" s="432">
        <f>+C37+C41+C45+C42+C43</f>
        <v>5075</v>
      </c>
      <c r="D46" s="432">
        <f t="shared" ref="D46:O46" si="19">+D37+D41+D45+D42+D43</f>
        <v>0</v>
      </c>
      <c r="E46" s="432">
        <f t="shared" si="19"/>
        <v>0</v>
      </c>
      <c r="F46" s="432">
        <f t="shared" si="19"/>
        <v>1594</v>
      </c>
      <c r="G46" s="432">
        <f t="shared" si="19"/>
        <v>0</v>
      </c>
      <c r="H46" s="432">
        <f t="shared" si="19"/>
        <v>0</v>
      </c>
      <c r="I46" s="432">
        <f t="shared" si="19"/>
        <v>0</v>
      </c>
      <c r="J46" s="432">
        <f t="shared" si="19"/>
        <v>6669</v>
      </c>
      <c r="K46" s="432">
        <f t="shared" si="19"/>
        <v>0</v>
      </c>
      <c r="L46" s="432">
        <f t="shared" si="19"/>
        <v>6669</v>
      </c>
      <c r="M46" s="432">
        <f t="shared" si="19"/>
        <v>87020</v>
      </c>
      <c r="N46" s="432">
        <f t="shared" si="19"/>
        <v>299</v>
      </c>
      <c r="O46" s="432">
        <f t="shared" si="19"/>
        <v>93988</v>
      </c>
      <c r="P46" s="429">
        <f>O47+O48</f>
        <v>93988</v>
      </c>
    </row>
    <row r="47" spans="1:16" ht="17.25" thickTop="1" thickBot="1" x14ac:dyDescent="0.3">
      <c r="A47" s="433"/>
      <c r="B47" s="432" t="s">
        <v>429</v>
      </c>
      <c r="C47" s="432">
        <f t="shared" ref="C47:O47" si="20">+C38+C41+C42+C43</f>
        <v>5075</v>
      </c>
      <c r="D47" s="432">
        <f t="shared" si="20"/>
        <v>0</v>
      </c>
      <c r="E47" s="432">
        <f t="shared" si="20"/>
        <v>0</v>
      </c>
      <c r="F47" s="432">
        <f t="shared" si="20"/>
        <v>1594</v>
      </c>
      <c r="G47" s="432">
        <f t="shared" si="20"/>
        <v>0</v>
      </c>
      <c r="H47" s="432">
        <f t="shared" si="20"/>
        <v>0</v>
      </c>
      <c r="I47" s="432">
        <f t="shared" si="20"/>
        <v>0</v>
      </c>
      <c r="J47" s="432">
        <f t="shared" si="20"/>
        <v>6669</v>
      </c>
      <c r="K47" s="432">
        <f t="shared" si="20"/>
        <v>0</v>
      </c>
      <c r="L47" s="432">
        <f t="shared" si="20"/>
        <v>6669</v>
      </c>
      <c r="M47" s="432">
        <f t="shared" si="20"/>
        <v>84941</v>
      </c>
      <c r="N47" s="432">
        <f t="shared" si="20"/>
        <v>299</v>
      </c>
      <c r="O47" s="432">
        <f t="shared" si="20"/>
        <v>91909</v>
      </c>
    </row>
    <row r="48" spans="1:16" ht="17.25" thickTop="1" thickBot="1" x14ac:dyDescent="0.3">
      <c r="A48" s="433"/>
      <c r="B48" s="432" t="s">
        <v>428</v>
      </c>
      <c r="C48" s="432">
        <f>+C39+C45</f>
        <v>0</v>
      </c>
      <c r="D48" s="432">
        <f t="shared" ref="D48:O48" si="21">+D39+D45</f>
        <v>0</v>
      </c>
      <c r="E48" s="432">
        <f t="shared" si="21"/>
        <v>0</v>
      </c>
      <c r="F48" s="432">
        <f t="shared" si="21"/>
        <v>0</v>
      </c>
      <c r="G48" s="432">
        <f t="shared" si="21"/>
        <v>0</v>
      </c>
      <c r="H48" s="432">
        <f t="shared" si="21"/>
        <v>0</v>
      </c>
      <c r="I48" s="432">
        <f t="shared" si="21"/>
        <v>0</v>
      </c>
      <c r="J48" s="432">
        <f t="shared" si="21"/>
        <v>0</v>
      </c>
      <c r="K48" s="432">
        <f t="shared" si="21"/>
        <v>0</v>
      </c>
      <c r="L48" s="432">
        <f t="shared" si="21"/>
        <v>0</v>
      </c>
      <c r="M48" s="432">
        <f t="shared" si="21"/>
        <v>2079</v>
      </c>
      <c r="N48" s="432">
        <f t="shared" si="21"/>
        <v>0</v>
      </c>
      <c r="O48" s="432">
        <f t="shared" si="21"/>
        <v>2079</v>
      </c>
    </row>
    <row r="49" spans="1:16" ht="16.5" thickTop="1" x14ac:dyDescent="0.25">
      <c r="A49" s="443" t="s">
        <v>157</v>
      </c>
      <c r="B49" s="445" t="s">
        <v>1176</v>
      </c>
      <c r="C49" s="445"/>
      <c r="D49" s="445"/>
      <c r="E49" s="445"/>
      <c r="F49" s="445"/>
      <c r="G49" s="445"/>
      <c r="H49" s="445"/>
      <c r="I49" s="445"/>
      <c r="J49" s="445"/>
      <c r="K49" s="445"/>
      <c r="L49" s="445"/>
      <c r="M49" s="445"/>
      <c r="N49" s="445"/>
      <c r="O49" s="445"/>
    </row>
    <row r="50" spans="1:16" x14ac:dyDescent="0.25">
      <c r="A50" s="443"/>
      <c r="B50" s="441" t="s">
        <v>389</v>
      </c>
      <c r="C50" s="441">
        <v>6664</v>
      </c>
      <c r="D50" s="441"/>
      <c r="E50" s="441"/>
      <c r="F50" s="441">
        <v>1231</v>
      </c>
      <c r="G50" s="441"/>
      <c r="H50" s="441"/>
      <c r="I50" s="441"/>
      <c r="J50" s="441">
        <f>SUM(C50+E50+F50+H50)</f>
        <v>7895</v>
      </c>
      <c r="K50" s="441">
        <f>SUM(D50+G50+I50)</f>
        <v>0</v>
      </c>
      <c r="L50" s="441">
        <f>SUM(J50:K50)</f>
        <v>7895</v>
      </c>
      <c r="M50" s="441">
        <v>92435</v>
      </c>
      <c r="N50" s="441">
        <v>144</v>
      </c>
      <c r="O50" s="441">
        <f>SUM(L50:N50)</f>
        <v>100474</v>
      </c>
    </row>
    <row r="51" spans="1:16" s="448" customFormat="1" x14ac:dyDescent="0.25">
      <c r="A51" s="451"/>
      <c r="B51" s="442" t="s">
        <v>432</v>
      </c>
      <c r="C51" s="442">
        <v>6664</v>
      </c>
      <c r="D51" s="442"/>
      <c r="E51" s="442"/>
      <c r="F51" s="442">
        <v>1231</v>
      </c>
      <c r="G51" s="442"/>
      <c r="H51" s="442"/>
      <c r="I51" s="442"/>
      <c r="J51" s="449">
        <f>SUM(C51+E51+F51+H51)</f>
        <v>7895</v>
      </c>
      <c r="K51" s="449">
        <f>SUM(D51+G51+I51)</f>
        <v>0</v>
      </c>
      <c r="L51" s="449">
        <f>SUM(J51:K51)</f>
        <v>7895</v>
      </c>
      <c r="M51" s="449">
        <v>91485</v>
      </c>
      <c r="N51" s="449">
        <v>144</v>
      </c>
      <c r="O51" s="449">
        <f>SUM(L51:N51)</f>
        <v>99524</v>
      </c>
    </row>
    <row r="52" spans="1:16" s="448" customFormat="1" x14ac:dyDescent="0.25">
      <c r="A52" s="451"/>
      <c r="B52" s="442" t="s">
        <v>431</v>
      </c>
      <c r="C52" s="442"/>
      <c r="D52" s="442"/>
      <c r="E52" s="442"/>
      <c r="F52" s="442"/>
      <c r="G52" s="442"/>
      <c r="H52" s="442"/>
      <c r="I52" s="442"/>
      <c r="J52" s="449">
        <f>SUM(C52+E52+F52+H52)</f>
        <v>0</v>
      </c>
      <c r="K52" s="449">
        <f>SUM(D52+G52+I52)</f>
        <v>0</v>
      </c>
      <c r="L52" s="449">
        <f>SUM(J52:K52)</f>
        <v>0</v>
      </c>
      <c r="M52" s="449">
        <v>950</v>
      </c>
      <c r="N52" s="449"/>
      <c r="O52" s="449">
        <f>SUM(L52:N52)</f>
        <v>950</v>
      </c>
    </row>
    <row r="53" spans="1:16" s="448" customFormat="1" x14ac:dyDescent="0.25">
      <c r="A53" s="451"/>
      <c r="B53" s="442" t="s">
        <v>140</v>
      </c>
      <c r="C53" s="674"/>
      <c r="D53" s="674"/>
      <c r="E53" s="674"/>
      <c r="F53" s="674"/>
      <c r="G53" s="674"/>
      <c r="H53" s="674"/>
      <c r="I53" s="674"/>
      <c r="J53" s="674"/>
      <c r="K53" s="674"/>
      <c r="L53" s="674"/>
      <c r="M53" s="674"/>
      <c r="N53" s="674"/>
      <c r="O53" s="674"/>
    </row>
    <row r="54" spans="1:16" s="448" customFormat="1" ht="31.5" x14ac:dyDescent="0.25">
      <c r="A54" s="451"/>
      <c r="B54" s="674" t="s">
        <v>1168</v>
      </c>
      <c r="C54" s="674"/>
      <c r="D54" s="674"/>
      <c r="E54" s="674"/>
      <c r="F54" s="674"/>
      <c r="G54" s="674"/>
      <c r="H54" s="674"/>
      <c r="I54" s="674"/>
      <c r="J54" s="674">
        <f t="shared" ref="J54:J58" si="22">SUM(C54+E54+F54+H54)</f>
        <v>0</v>
      </c>
      <c r="K54" s="674">
        <f t="shared" ref="K54:K58" si="23">SUM(D54+G54+I54)</f>
        <v>0</v>
      </c>
      <c r="L54" s="674">
        <f t="shared" ref="L54:L58" si="24">SUM(J54:K54)</f>
        <v>0</v>
      </c>
      <c r="M54" s="674">
        <v>361</v>
      </c>
      <c r="N54" s="674"/>
      <c r="O54" s="674">
        <f t="shared" ref="O54:O58" si="25">SUM(L54:N54)</f>
        <v>361</v>
      </c>
    </row>
    <row r="55" spans="1:16" s="448" customFormat="1" ht="47.25" x14ac:dyDescent="0.25">
      <c r="A55" s="451"/>
      <c r="B55" s="674" t="s">
        <v>1174</v>
      </c>
      <c r="C55" s="674"/>
      <c r="D55" s="674"/>
      <c r="E55" s="674"/>
      <c r="F55" s="674"/>
      <c r="G55" s="674"/>
      <c r="H55" s="674"/>
      <c r="I55" s="674"/>
      <c r="J55" s="674">
        <f t="shared" si="22"/>
        <v>0</v>
      </c>
      <c r="K55" s="674">
        <f t="shared" si="23"/>
        <v>0</v>
      </c>
      <c r="L55" s="674">
        <f t="shared" si="24"/>
        <v>0</v>
      </c>
      <c r="M55" s="674">
        <v>622</v>
      </c>
      <c r="N55" s="674"/>
      <c r="O55" s="674">
        <f t="shared" si="25"/>
        <v>622</v>
      </c>
    </row>
    <row r="56" spans="1:16" s="448" customFormat="1" ht="31.5" x14ac:dyDescent="0.25">
      <c r="A56" s="451"/>
      <c r="B56" s="674" t="s">
        <v>628</v>
      </c>
      <c r="C56" s="674"/>
      <c r="D56" s="674"/>
      <c r="E56" s="674"/>
      <c r="F56" s="674"/>
      <c r="G56" s="674"/>
      <c r="H56" s="674"/>
      <c r="I56" s="674"/>
      <c r="J56" s="674">
        <f t="shared" si="22"/>
        <v>0</v>
      </c>
      <c r="K56" s="674">
        <f t="shared" si="23"/>
        <v>0</v>
      </c>
      <c r="L56" s="674">
        <f t="shared" si="24"/>
        <v>0</v>
      </c>
      <c r="M56" s="674">
        <v>695</v>
      </c>
      <c r="N56" s="674"/>
      <c r="O56" s="674">
        <f t="shared" si="25"/>
        <v>695</v>
      </c>
    </row>
    <row r="57" spans="1:16" s="448" customFormat="1" x14ac:dyDescent="0.25">
      <c r="A57" s="451"/>
      <c r="B57" s="442" t="s">
        <v>141</v>
      </c>
      <c r="C57" s="674"/>
      <c r="D57" s="674"/>
      <c r="E57" s="674"/>
      <c r="F57" s="674"/>
      <c r="G57" s="674"/>
      <c r="H57" s="674"/>
      <c r="I57" s="674"/>
      <c r="J57" s="674"/>
      <c r="K57" s="674"/>
      <c r="L57" s="674"/>
      <c r="M57" s="674"/>
      <c r="N57" s="674"/>
      <c r="O57" s="674"/>
    </row>
    <row r="58" spans="1:16" s="448" customFormat="1" ht="16.5" thickBot="1" x14ac:dyDescent="0.3">
      <c r="A58" s="451"/>
      <c r="B58" s="674" t="s">
        <v>1172</v>
      </c>
      <c r="C58" s="674"/>
      <c r="D58" s="674"/>
      <c r="E58" s="674"/>
      <c r="F58" s="674"/>
      <c r="G58" s="674"/>
      <c r="H58" s="674"/>
      <c r="I58" s="674"/>
      <c r="J58" s="674">
        <f t="shared" si="22"/>
        <v>0</v>
      </c>
      <c r="K58" s="674">
        <f t="shared" si="23"/>
        <v>0</v>
      </c>
      <c r="L58" s="674">
        <f t="shared" si="24"/>
        <v>0</v>
      </c>
      <c r="M58" s="674">
        <v>1105</v>
      </c>
      <c r="N58" s="674"/>
      <c r="O58" s="674">
        <f t="shared" si="25"/>
        <v>1105</v>
      </c>
    </row>
    <row r="59" spans="1:16" ht="17.25" thickTop="1" thickBot="1" x14ac:dyDescent="0.3">
      <c r="A59" s="433"/>
      <c r="B59" s="432" t="s">
        <v>430</v>
      </c>
      <c r="C59" s="432">
        <f>+C50+C54+C58+C55+C56</f>
        <v>6664</v>
      </c>
      <c r="D59" s="432">
        <f t="shared" ref="D59:O59" si="26">+D50+D54+D58+D55+D56</f>
        <v>0</v>
      </c>
      <c r="E59" s="432">
        <f t="shared" si="26"/>
        <v>0</v>
      </c>
      <c r="F59" s="432">
        <f t="shared" si="26"/>
        <v>1231</v>
      </c>
      <c r="G59" s="432">
        <f t="shared" si="26"/>
        <v>0</v>
      </c>
      <c r="H59" s="432">
        <f t="shared" si="26"/>
        <v>0</v>
      </c>
      <c r="I59" s="432">
        <f t="shared" si="26"/>
        <v>0</v>
      </c>
      <c r="J59" s="432">
        <f t="shared" si="26"/>
        <v>7895</v>
      </c>
      <c r="K59" s="432">
        <f t="shared" si="26"/>
        <v>0</v>
      </c>
      <c r="L59" s="432">
        <f t="shared" si="26"/>
        <v>7895</v>
      </c>
      <c r="M59" s="432">
        <f t="shared" si="26"/>
        <v>95218</v>
      </c>
      <c r="N59" s="432">
        <f t="shared" si="26"/>
        <v>144</v>
      </c>
      <c r="O59" s="432">
        <f t="shared" si="26"/>
        <v>103257</v>
      </c>
      <c r="P59" s="429">
        <f>O60+O61</f>
        <v>103257</v>
      </c>
    </row>
    <row r="60" spans="1:16" ht="17.25" thickTop="1" thickBot="1" x14ac:dyDescent="0.3">
      <c r="A60" s="433"/>
      <c r="B60" s="432" t="s">
        <v>429</v>
      </c>
      <c r="C60" s="432">
        <f t="shared" ref="C60:O60" si="27">+C51+C54+C55+C56</f>
        <v>6664</v>
      </c>
      <c r="D60" s="432">
        <f t="shared" si="27"/>
        <v>0</v>
      </c>
      <c r="E60" s="432">
        <f t="shared" si="27"/>
        <v>0</v>
      </c>
      <c r="F60" s="432">
        <f t="shared" si="27"/>
        <v>1231</v>
      </c>
      <c r="G60" s="432">
        <f t="shared" si="27"/>
        <v>0</v>
      </c>
      <c r="H60" s="432">
        <f t="shared" si="27"/>
        <v>0</v>
      </c>
      <c r="I60" s="432">
        <f t="shared" si="27"/>
        <v>0</v>
      </c>
      <c r="J60" s="432">
        <f t="shared" si="27"/>
        <v>7895</v>
      </c>
      <c r="K60" s="432">
        <f t="shared" si="27"/>
        <v>0</v>
      </c>
      <c r="L60" s="432">
        <f t="shared" si="27"/>
        <v>7895</v>
      </c>
      <c r="M60" s="432">
        <f t="shared" si="27"/>
        <v>93163</v>
      </c>
      <c r="N60" s="432">
        <f t="shared" si="27"/>
        <v>144</v>
      </c>
      <c r="O60" s="432">
        <f t="shared" si="27"/>
        <v>101202</v>
      </c>
    </row>
    <row r="61" spans="1:16" ht="17.25" thickTop="1" thickBot="1" x14ac:dyDescent="0.3">
      <c r="A61" s="433"/>
      <c r="B61" s="432" t="s">
        <v>428</v>
      </c>
      <c r="C61" s="432">
        <f>+C52+C58</f>
        <v>0</v>
      </c>
      <c r="D61" s="432">
        <f t="shared" ref="D61:O61" si="28">+D52+D58</f>
        <v>0</v>
      </c>
      <c r="E61" s="432">
        <f t="shared" si="28"/>
        <v>0</v>
      </c>
      <c r="F61" s="432">
        <f t="shared" si="28"/>
        <v>0</v>
      </c>
      <c r="G61" s="432">
        <f t="shared" si="28"/>
        <v>0</v>
      </c>
      <c r="H61" s="432">
        <f t="shared" si="28"/>
        <v>0</v>
      </c>
      <c r="I61" s="432">
        <f t="shared" si="28"/>
        <v>0</v>
      </c>
      <c r="J61" s="432">
        <f t="shared" si="28"/>
        <v>0</v>
      </c>
      <c r="K61" s="432">
        <f t="shared" si="28"/>
        <v>0</v>
      </c>
      <c r="L61" s="432">
        <f t="shared" si="28"/>
        <v>0</v>
      </c>
      <c r="M61" s="432">
        <f t="shared" si="28"/>
        <v>2055</v>
      </c>
      <c r="N61" s="432">
        <f t="shared" si="28"/>
        <v>0</v>
      </c>
      <c r="O61" s="432">
        <f t="shared" si="28"/>
        <v>2055</v>
      </c>
    </row>
    <row r="62" spans="1:16" ht="16.5" thickTop="1" x14ac:dyDescent="0.25">
      <c r="A62" s="443" t="s">
        <v>158</v>
      </c>
      <c r="B62" s="445" t="s">
        <v>459</v>
      </c>
      <c r="C62" s="445"/>
      <c r="D62" s="445"/>
      <c r="E62" s="445"/>
      <c r="F62" s="445"/>
      <c r="G62" s="445"/>
      <c r="H62" s="445"/>
      <c r="I62" s="445"/>
      <c r="J62" s="445"/>
      <c r="K62" s="445"/>
      <c r="L62" s="445"/>
      <c r="M62" s="445"/>
      <c r="N62" s="445"/>
      <c r="O62" s="445"/>
    </row>
    <row r="63" spans="1:16" x14ac:dyDescent="0.25">
      <c r="A63" s="443"/>
      <c r="B63" s="441" t="s">
        <v>389</v>
      </c>
      <c r="C63" s="441">
        <v>5772</v>
      </c>
      <c r="D63" s="441"/>
      <c r="E63" s="441"/>
      <c r="F63" s="441">
        <v>1902</v>
      </c>
      <c r="G63" s="441"/>
      <c r="H63" s="441"/>
      <c r="I63" s="441"/>
      <c r="J63" s="441">
        <f>SUM(C63+E63+F63+H63)</f>
        <v>7674</v>
      </c>
      <c r="K63" s="441">
        <f>SUM(D63+G63+I63)</f>
        <v>0</v>
      </c>
      <c r="L63" s="441">
        <f>SUM(J63:K63)</f>
        <v>7674</v>
      </c>
      <c r="M63" s="441">
        <v>85249</v>
      </c>
      <c r="N63" s="441">
        <v>272</v>
      </c>
      <c r="O63" s="441">
        <f>SUM(L63:N63)</f>
        <v>93195</v>
      </c>
    </row>
    <row r="64" spans="1:16" s="448" customFormat="1" x14ac:dyDescent="0.25">
      <c r="A64" s="451"/>
      <c r="B64" s="442" t="s">
        <v>432</v>
      </c>
      <c r="C64" s="442">
        <v>5772</v>
      </c>
      <c r="D64" s="442"/>
      <c r="E64" s="442"/>
      <c r="F64" s="442">
        <v>1902</v>
      </c>
      <c r="G64" s="442"/>
      <c r="H64" s="442"/>
      <c r="I64" s="442"/>
      <c r="J64" s="449">
        <f>SUM(C64+E64+F64+H64)</f>
        <v>7674</v>
      </c>
      <c r="K64" s="449">
        <f>SUM(D64+G64+I64)</f>
        <v>0</v>
      </c>
      <c r="L64" s="449">
        <f>SUM(J64:K64)</f>
        <v>7674</v>
      </c>
      <c r="M64" s="449">
        <v>84245</v>
      </c>
      <c r="N64" s="449">
        <v>272</v>
      </c>
      <c r="O64" s="449">
        <f>SUM(L64:N64)</f>
        <v>92191</v>
      </c>
    </row>
    <row r="65" spans="1:16" s="448" customFormat="1" x14ac:dyDescent="0.25">
      <c r="A65" s="451"/>
      <c r="B65" s="442" t="s">
        <v>431</v>
      </c>
      <c r="C65" s="442"/>
      <c r="D65" s="442"/>
      <c r="E65" s="442"/>
      <c r="F65" s="442"/>
      <c r="G65" s="442"/>
      <c r="H65" s="442"/>
      <c r="I65" s="442"/>
      <c r="J65" s="449">
        <f>SUM(C65+E65+F65+H65)</f>
        <v>0</v>
      </c>
      <c r="K65" s="449">
        <f>SUM(D65+G65+I65)</f>
        <v>0</v>
      </c>
      <c r="L65" s="449">
        <f>SUM(J65:K65)</f>
        <v>0</v>
      </c>
      <c r="M65" s="449">
        <v>1004</v>
      </c>
      <c r="N65" s="449"/>
      <c r="O65" s="449">
        <f>SUM(L65:N65)</f>
        <v>1004</v>
      </c>
    </row>
    <row r="66" spans="1:16" s="448" customFormat="1" x14ac:dyDescent="0.25">
      <c r="A66" s="451"/>
      <c r="B66" s="442" t="s">
        <v>140</v>
      </c>
      <c r="C66" s="674"/>
      <c r="D66" s="674"/>
      <c r="E66" s="674"/>
      <c r="F66" s="674"/>
      <c r="G66" s="674"/>
      <c r="H66" s="674"/>
      <c r="I66" s="674"/>
      <c r="J66" s="674"/>
      <c r="K66" s="674"/>
      <c r="L66" s="674"/>
      <c r="M66" s="674"/>
      <c r="N66" s="674"/>
      <c r="O66" s="674"/>
    </row>
    <row r="67" spans="1:16" s="448" customFormat="1" ht="31.5" x14ac:dyDescent="0.25">
      <c r="A67" s="450"/>
      <c r="B67" s="675" t="s">
        <v>1168</v>
      </c>
      <c r="C67" s="675"/>
      <c r="D67" s="675"/>
      <c r="E67" s="675"/>
      <c r="F67" s="675"/>
      <c r="G67" s="675"/>
      <c r="H67" s="675"/>
      <c r="I67" s="675"/>
      <c r="J67" s="675">
        <f t="shared" ref="J67:J72" si="29">SUM(C67+E67+F67+H67)</f>
        <v>0</v>
      </c>
      <c r="K67" s="675">
        <f t="shared" ref="K67:K72" si="30">SUM(D67+G67+I67)</f>
        <v>0</v>
      </c>
      <c r="L67" s="675">
        <f t="shared" ref="L67:L72" si="31">SUM(J67:K67)</f>
        <v>0</v>
      </c>
      <c r="M67" s="675">
        <v>232</v>
      </c>
      <c r="N67" s="675"/>
      <c r="O67" s="675">
        <f t="shared" ref="O67:O72" si="32">SUM(L67:N67)</f>
        <v>232</v>
      </c>
    </row>
    <row r="68" spans="1:16" s="448" customFormat="1" ht="47.25" x14ac:dyDescent="0.25">
      <c r="A68" s="450"/>
      <c r="B68" s="675" t="s">
        <v>1174</v>
      </c>
      <c r="C68" s="675"/>
      <c r="D68" s="675"/>
      <c r="E68" s="675"/>
      <c r="F68" s="675"/>
      <c r="G68" s="675"/>
      <c r="H68" s="675"/>
      <c r="I68" s="675"/>
      <c r="J68" s="675">
        <f t="shared" si="29"/>
        <v>0</v>
      </c>
      <c r="K68" s="675">
        <f t="shared" si="30"/>
        <v>0</v>
      </c>
      <c r="L68" s="675">
        <f t="shared" si="31"/>
        <v>0</v>
      </c>
      <c r="M68" s="675">
        <v>621</v>
      </c>
      <c r="N68" s="675"/>
      <c r="O68" s="675">
        <f t="shared" si="32"/>
        <v>621</v>
      </c>
    </row>
    <row r="69" spans="1:16" s="448" customFormat="1" ht="31.5" x14ac:dyDescent="0.25">
      <c r="A69" s="451"/>
      <c r="B69" s="674" t="s">
        <v>628</v>
      </c>
      <c r="C69" s="674"/>
      <c r="D69" s="674"/>
      <c r="E69" s="674"/>
      <c r="F69" s="674"/>
      <c r="G69" s="674"/>
      <c r="H69" s="674"/>
      <c r="I69" s="674"/>
      <c r="J69" s="674">
        <f t="shared" si="29"/>
        <v>0</v>
      </c>
      <c r="K69" s="674">
        <f t="shared" si="30"/>
        <v>0</v>
      </c>
      <c r="L69" s="674">
        <f t="shared" si="31"/>
        <v>0</v>
      </c>
      <c r="M69" s="674">
        <v>75</v>
      </c>
      <c r="N69" s="674"/>
      <c r="O69" s="674">
        <f t="shared" si="32"/>
        <v>75</v>
      </c>
    </row>
    <row r="70" spans="1:16" s="448" customFormat="1" x14ac:dyDescent="0.25">
      <c r="A70" s="451"/>
      <c r="B70" s="442" t="s">
        <v>141</v>
      </c>
      <c r="C70" s="674"/>
      <c r="D70" s="674"/>
      <c r="E70" s="674"/>
      <c r="F70" s="674"/>
      <c r="G70" s="674"/>
      <c r="H70" s="674"/>
      <c r="I70" s="674"/>
      <c r="J70" s="674"/>
      <c r="K70" s="674"/>
      <c r="L70" s="674"/>
      <c r="M70" s="674"/>
      <c r="N70" s="674"/>
      <c r="O70" s="674"/>
    </row>
    <row r="71" spans="1:16" s="448" customFormat="1" ht="63" x14ac:dyDescent="0.25">
      <c r="A71" s="451"/>
      <c r="B71" s="674" t="s">
        <v>1177</v>
      </c>
      <c r="C71" s="674"/>
      <c r="D71" s="674"/>
      <c r="E71" s="674"/>
      <c r="F71" s="674"/>
      <c r="G71" s="674"/>
      <c r="H71" s="674"/>
      <c r="I71" s="674"/>
      <c r="J71" s="674">
        <f t="shared" si="29"/>
        <v>0</v>
      </c>
      <c r="K71" s="674">
        <f t="shared" si="30"/>
        <v>0</v>
      </c>
      <c r="L71" s="674">
        <f t="shared" si="31"/>
        <v>0</v>
      </c>
      <c r="M71" s="674">
        <v>60</v>
      </c>
      <c r="N71" s="674"/>
      <c r="O71" s="674">
        <f t="shared" si="32"/>
        <v>60</v>
      </c>
    </row>
    <row r="72" spans="1:16" s="448" customFormat="1" ht="16.5" thickBot="1" x14ac:dyDescent="0.3">
      <c r="A72" s="451"/>
      <c r="B72" s="674" t="s">
        <v>1172</v>
      </c>
      <c r="C72" s="674"/>
      <c r="D72" s="674"/>
      <c r="E72" s="674"/>
      <c r="F72" s="674"/>
      <c r="G72" s="674"/>
      <c r="H72" s="674"/>
      <c r="I72" s="674"/>
      <c r="J72" s="674">
        <f t="shared" si="29"/>
        <v>0</v>
      </c>
      <c r="K72" s="674">
        <f t="shared" si="30"/>
        <v>0</v>
      </c>
      <c r="L72" s="674">
        <f t="shared" si="31"/>
        <v>0</v>
      </c>
      <c r="M72" s="674">
        <v>1118</v>
      </c>
      <c r="N72" s="674"/>
      <c r="O72" s="674">
        <f t="shared" si="32"/>
        <v>1118</v>
      </c>
    </row>
    <row r="73" spans="1:16" ht="17.25" thickTop="1" thickBot="1" x14ac:dyDescent="0.3">
      <c r="A73" s="433"/>
      <c r="B73" s="432" t="s">
        <v>430</v>
      </c>
      <c r="C73" s="432">
        <f>+C63+C67+C71+C68+C69+C72</f>
        <v>5772</v>
      </c>
      <c r="D73" s="432">
        <f t="shared" ref="D73:O73" si="33">+D63+D67+D71+D68+D69+D72</f>
        <v>0</v>
      </c>
      <c r="E73" s="432">
        <f t="shared" si="33"/>
        <v>0</v>
      </c>
      <c r="F73" s="432">
        <f t="shared" si="33"/>
        <v>1902</v>
      </c>
      <c r="G73" s="432">
        <f t="shared" si="33"/>
        <v>0</v>
      </c>
      <c r="H73" s="432">
        <f t="shared" si="33"/>
        <v>0</v>
      </c>
      <c r="I73" s="432">
        <f t="shared" si="33"/>
        <v>0</v>
      </c>
      <c r="J73" s="432">
        <f t="shared" si="33"/>
        <v>7674</v>
      </c>
      <c r="K73" s="432">
        <f t="shared" si="33"/>
        <v>0</v>
      </c>
      <c r="L73" s="432">
        <f t="shared" si="33"/>
        <v>7674</v>
      </c>
      <c r="M73" s="432">
        <f t="shared" si="33"/>
        <v>87355</v>
      </c>
      <c r="N73" s="432">
        <f t="shared" si="33"/>
        <v>272</v>
      </c>
      <c r="O73" s="432">
        <f t="shared" si="33"/>
        <v>95301</v>
      </c>
      <c r="P73" s="429">
        <f>O74+O75</f>
        <v>95301</v>
      </c>
    </row>
    <row r="74" spans="1:16" ht="17.25" thickTop="1" thickBot="1" x14ac:dyDescent="0.3">
      <c r="A74" s="433"/>
      <c r="B74" s="432" t="s">
        <v>429</v>
      </c>
      <c r="C74" s="432">
        <f t="shared" ref="C74:O74" si="34">+C64+C67+C68+C69</f>
        <v>5772</v>
      </c>
      <c r="D74" s="432">
        <f t="shared" si="34"/>
        <v>0</v>
      </c>
      <c r="E74" s="432">
        <f t="shared" si="34"/>
        <v>0</v>
      </c>
      <c r="F74" s="432">
        <f t="shared" si="34"/>
        <v>1902</v>
      </c>
      <c r="G74" s="432">
        <f t="shared" si="34"/>
        <v>0</v>
      </c>
      <c r="H74" s="432">
        <f t="shared" si="34"/>
        <v>0</v>
      </c>
      <c r="I74" s="432">
        <f t="shared" si="34"/>
        <v>0</v>
      </c>
      <c r="J74" s="432">
        <f t="shared" si="34"/>
        <v>7674</v>
      </c>
      <c r="K74" s="432">
        <f t="shared" si="34"/>
        <v>0</v>
      </c>
      <c r="L74" s="432">
        <f t="shared" si="34"/>
        <v>7674</v>
      </c>
      <c r="M74" s="432">
        <f t="shared" si="34"/>
        <v>85173</v>
      </c>
      <c r="N74" s="432">
        <f t="shared" si="34"/>
        <v>272</v>
      </c>
      <c r="O74" s="432">
        <f t="shared" si="34"/>
        <v>93119</v>
      </c>
    </row>
    <row r="75" spans="1:16" ht="17.25" thickTop="1" thickBot="1" x14ac:dyDescent="0.3">
      <c r="A75" s="433"/>
      <c r="B75" s="432" t="s">
        <v>428</v>
      </c>
      <c r="C75" s="432">
        <f>+C65+C71+C72</f>
        <v>0</v>
      </c>
      <c r="D75" s="432">
        <f t="shared" ref="D75:O75" si="35">+D65+D71+D72</f>
        <v>0</v>
      </c>
      <c r="E75" s="432">
        <f t="shared" si="35"/>
        <v>0</v>
      </c>
      <c r="F75" s="432">
        <f t="shared" si="35"/>
        <v>0</v>
      </c>
      <c r="G75" s="432">
        <f t="shared" si="35"/>
        <v>0</v>
      </c>
      <c r="H75" s="432">
        <f t="shared" si="35"/>
        <v>0</v>
      </c>
      <c r="I75" s="432">
        <f t="shared" si="35"/>
        <v>0</v>
      </c>
      <c r="J75" s="432">
        <f t="shared" si="35"/>
        <v>0</v>
      </c>
      <c r="K75" s="432">
        <f t="shared" si="35"/>
        <v>0</v>
      </c>
      <c r="L75" s="432">
        <f t="shared" si="35"/>
        <v>0</v>
      </c>
      <c r="M75" s="432">
        <f t="shared" si="35"/>
        <v>2182</v>
      </c>
      <c r="N75" s="432">
        <f t="shared" si="35"/>
        <v>0</v>
      </c>
      <c r="O75" s="432">
        <f t="shared" si="35"/>
        <v>2182</v>
      </c>
    </row>
    <row r="76" spans="1:16" ht="16.5" thickTop="1" x14ac:dyDescent="0.25">
      <c r="A76" s="443" t="s">
        <v>159</v>
      </c>
      <c r="B76" s="445" t="s">
        <v>458</v>
      </c>
      <c r="C76" s="445"/>
      <c r="D76" s="445"/>
      <c r="E76" s="445"/>
      <c r="F76" s="445"/>
      <c r="G76" s="445"/>
      <c r="H76" s="445"/>
      <c r="I76" s="445"/>
      <c r="J76" s="445"/>
      <c r="K76" s="445"/>
      <c r="L76" s="445"/>
      <c r="M76" s="445"/>
      <c r="N76" s="445"/>
      <c r="O76" s="445"/>
    </row>
    <row r="77" spans="1:16" x14ac:dyDescent="0.25">
      <c r="A77" s="443"/>
      <c r="B77" s="441" t="s">
        <v>389</v>
      </c>
      <c r="C77" s="441">
        <v>3332</v>
      </c>
      <c r="D77" s="441"/>
      <c r="E77" s="441"/>
      <c r="F77" s="441">
        <v>472</v>
      </c>
      <c r="G77" s="441"/>
      <c r="H77" s="441"/>
      <c r="I77" s="441"/>
      <c r="J77" s="441">
        <f>SUM(C77+E77+F77+H77)</f>
        <v>3804</v>
      </c>
      <c r="K77" s="441">
        <f>SUM(D77+G77+I77)</f>
        <v>0</v>
      </c>
      <c r="L77" s="441">
        <f>SUM(J77:K77)</f>
        <v>3804</v>
      </c>
      <c r="M77" s="441">
        <v>49732</v>
      </c>
      <c r="N77" s="441">
        <v>217</v>
      </c>
      <c r="O77" s="441">
        <f>SUM(L77:N77)</f>
        <v>53753</v>
      </c>
    </row>
    <row r="78" spans="1:16" s="448" customFormat="1" x14ac:dyDescent="0.25">
      <c r="A78" s="451"/>
      <c r="B78" s="442" t="s">
        <v>432</v>
      </c>
      <c r="C78" s="442">
        <v>3332</v>
      </c>
      <c r="D78" s="442"/>
      <c r="E78" s="442"/>
      <c r="F78" s="442">
        <v>472</v>
      </c>
      <c r="G78" s="442"/>
      <c r="H78" s="442"/>
      <c r="I78" s="442"/>
      <c r="J78" s="449">
        <f>SUM(C78+E78+F78+H78)</f>
        <v>3804</v>
      </c>
      <c r="K78" s="449">
        <f>SUM(D78+G78+I78)</f>
        <v>0</v>
      </c>
      <c r="L78" s="449">
        <f>SUM(J78:K78)</f>
        <v>3804</v>
      </c>
      <c r="M78" s="449">
        <v>49209</v>
      </c>
      <c r="N78" s="449">
        <v>217</v>
      </c>
      <c r="O78" s="449">
        <f>SUM(L78:N78)</f>
        <v>53230</v>
      </c>
    </row>
    <row r="79" spans="1:16" s="448" customFormat="1" x14ac:dyDescent="0.25">
      <c r="A79" s="451"/>
      <c r="B79" s="442" t="s">
        <v>431</v>
      </c>
      <c r="C79" s="442"/>
      <c r="D79" s="442"/>
      <c r="E79" s="442"/>
      <c r="F79" s="442"/>
      <c r="G79" s="442"/>
      <c r="H79" s="442"/>
      <c r="I79" s="442"/>
      <c r="J79" s="449">
        <f>SUM(C79+E79+F79+H79)</f>
        <v>0</v>
      </c>
      <c r="K79" s="449">
        <f>SUM(D79+G79+I79)</f>
        <v>0</v>
      </c>
      <c r="L79" s="449">
        <f>SUM(J79:K79)</f>
        <v>0</v>
      </c>
      <c r="M79" s="449">
        <v>523</v>
      </c>
      <c r="N79" s="449"/>
      <c r="O79" s="449">
        <f>SUM(L79:N79)</f>
        <v>523</v>
      </c>
    </row>
    <row r="80" spans="1:16" s="448" customFormat="1" x14ac:dyDescent="0.25">
      <c r="A80" s="451"/>
      <c r="B80" s="442" t="s">
        <v>140</v>
      </c>
      <c r="C80" s="674"/>
      <c r="D80" s="674"/>
      <c r="E80" s="674"/>
      <c r="F80" s="674"/>
      <c r="G80" s="674"/>
      <c r="H80" s="674"/>
      <c r="I80" s="674"/>
      <c r="J80" s="674"/>
      <c r="K80" s="674"/>
      <c r="L80" s="674"/>
      <c r="M80" s="674"/>
      <c r="N80" s="674"/>
      <c r="O80" s="674"/>
    </row>
    <row r="81" spans="1:16" s="448" customFormat="1" x14ac:dyDescent="0.25">
      <c r="A81" s="451"/>
      <c r="B81" s="674" t="s">
        <v>1178</v>
      </c>
      <c r="C81" s="674"/>
      <c r="D81" s="674"/>
      <c r="E81" s="674"/>
      <c r="F81" s="674"/>
      <c r="G81" s="674"/>
      <c r="H81" s="674"/>
      <c r="I81" s="674"/>
      <c r="J81" s="674">
        <f t="shared" ref="J81:J85" si="36">SUM(C81+E81+F81+H81)</f>
        <v>0</v>
      </c>
      <c r="K81" s="674">
        <f t="shared" ref="K81:K85" si="37">SUM(D81+G81+I81)</f>
        <v>0</v>
      </c>
      <c r="L81" s="674">
        <f t="shared" ref="L81:L85" si="38">SUM(J81:K81)</f>
        <v>0</v>
      </c>
      <c r="M81" s="674">
        <v>139</v>
      </c>
      <c r="N81" s="674"/>
      <c r="O81" s="674">
        <f t="shared" ref="O81:O85" si="39">SUM(L81:N81)</f>
        <v>139</v>
      </c>
    </row>
    <row r="82" spans="1:16" s="448" customFormat="1" ht="47.25" x14ac:dyDescent="0.25">
      <c r="A82" s="451"/>
      <c r="B82" s="674" t="s">
        <v>1174</v>
      </c>
      <c r="C82" s="674"/>
      <c r="D82" s="674"/>
      <c r="E82" s="674"/>
      <c r="F82" s="674"/>
      <c r="G82" s="674"/>
      <c r="H82" s="674"/>
      <c r="I82" s="674"/>
      <c r="J82" s="674">
        <f t="shared" si="36"/>
        <v>0</v>
      </c>
      <c r="K82" s="674">
        <f t="shared" si="37"/>
        <v>0</v>
      </c>
      <c r="L82" s="674">
        <f t="shared" si="38"/>
        <v>0</v>
      </c>
      <c r="M82" s="674">
        <v>435</v>
      </c>
      <c r="N82" s="674"/>
      <c r="O82" s="674">
        <f t="shared" si="39"/>
        <v>435</v>
      </c>
    </row>
    <row r="83" spans="1:16" s="448" customFormat="1" ht="47.25" x14ac:dyDescent="0.25">
      <c r="A83" s="451"/>
      <c r="B83" s="444" t="s">
        <v>1179</v>
      </c>
      <c r="C83" s="674"/>
      <c r="D83" s="674"/>
      <c r="E83" s="674"/>
      <c r="F83" s="674"/>
      <c r="G83" s="674"/>
      <c r="H83" s="674"/>
      <c r="I83" s="674"/>
      <c r="J83" s="674">
        <f t="shared" si="36"/>
        <v>0</v>
      </c>
      <c r="K83" s="674">
        <f t="shared" si="37"/>
        <v>0</v>
      </c>
      <c r="L83" s="674">
        <f t="shared" si="38"/>
        <v>0</v>
      </c>
      <c r="M83" s="674">
        <v>639</v>
      </c>
      <c r="N83" s="674"/>
      <c r="O83" s="674">
        <f t="shared" si="39"/>
        <v>639</v>
      </c>
    </row>
    <row r="84" spans="1:16" s="448" customFormat="1" x14ac:dyDescent="0.25">
      <c r="A84" s="451"/>
      <c r="B84" s="442" t="s">
        <v>636</v>
      </c>
      <c r="C84" s="674"/>
      <c r="D84" s="674"/>
      <c r="E84" s="674"/>
      <c r="F84" s="674"/>
      <c r="G84" s="674"/>
      <c r="H84" s="674"/>
      <c r="I84" s="674"/>
      <c r="J84" s="674"/>
      <c r="K84" s="674"/>
      <c r="L84" s="674"/>
      <c r="M84" s="674"/>
      <c r="N84" s="674"/>
      <c r="O84" s="674"/>
    </row>
    <row r="85" spans="1:16" s="448" customFormat="1" ht="16.5" thickBot="1" x14ac:dyDescent="0.3">
      <c r="A85" s="451"/>
      <c r="B85" s="674" t="s">
        <v>1172</v>
      </c>
      <c r="C85" s="674"/>
      <c r="D85" s="674"/>
      <c r="E85" s="674"/>
      <c r="F85" s="674"/>
      <c r="G85" s="674"/>
      <c r="H85" s="674"/>
      <c r="I85" s="674"/>
      <c r="J85" s="674">
        <f t="shared" si="36"/>
        <v>0</v>
      </c>
      <c r="K85" s="674">
        <f t="shared" si="37"/>
        <v>0</v>
      </c>
      <c r="L85" s="674">
        <f t="shared" si="38"/>
        <v>0</v>
      </c>
      <c r="M85" s="674">
        <v>625</v>
      </c>
      <c r="N85" s="674"/>
      <c r="O85" s="674">
        <f t="shared" si="39"/>
        <v>625</v>
      </c>
    </row>
    <row r="86" spans="1:16" ht="17.25" thickTop="1" thickBot="1" x14ac:dyDescent="0.3">
      <c r="A86" s="433"/>
      <c r="B86" s="432" t="s">
        <v>430</v>
      </c>
      <c r="C86" s="432">
        <f>+C77+C81+C85+C82+C83</f>
        <v>3332</v>
      </c>
      <c r="D86" s="432">
        <f t="shared" ref="D86:O86" si="40">+D77+D81+D85+D82+D83</f>
        <v>0</v>
      </c>
      <c r="E86" s="432">
        <f t="shared" si="40"/>
        <v>0</v>
      </c>
      <c r="F86" s="432">
        <f t="shared" si="40"/>
        <v>472</v>
      </c>
      <c r="G86" s="432">
        <f t="shared" si="40"/>
        <v>0</v>
      </c>
      <c r="H86" s="432">
        <f t="shared" si="40"/>
        <v>0</v>
      </c>
      <c r="I86" s="432">
        <f t="shared" si="40"/>
        <v>0</v>
      </c>
      <c r="J86" s="432">
        <f t="shared" si="40"/>
        <v>3804</v>
      </c>
      <c r="K86" s="432">
        <f t="shared" si="40"/>
        <v>0</v>
      </c>
      <c r="L86" s="432">
        <f t="shared" si="40"/>
        <v>3804</v>
      </c>
      <c r="M86" s="432">
        <f t="shared" si="40"/>
        <v>51570</v>
      </c>
      <c r="N86" s="432">
        <f t="shared" si="40"/>
        <v>217</v>
      </c>
      <c r="O86" s="432">
        <f t="shared" si="40"/>
        <v>55591</v>
      </c>
      <c r="P86" s="429">
        <f>O87+O88</f>
        <v>55591</v>
      </c>
    </row>
    <row r="87" spans="1:16" ht="17.25" thickTop="1" thickBot="1" x14ac:dyDescent="0.3">
      <c r="A87" s="433"/>
      <c r="B87" s="432" t="s">
        <v>429</v>
      </c>
      <c r="C87" s="432">
        <f t="shared" ref="C87:O87" si="41">+C78+C81+C82+C83</f>
        <v>3332</v>
      </c>
      <c r="D87" s="432">
        <f t="shared" si="41"/>
        <v>0</v>
      </c>
      <c r="E87" s="432">
        <f t="shared" si="41"/>
        <v>0</v>
      </c>
      <c r="F87" s="432">
        <f t="shared" si="41"/>
        <v>472</v>
      </c>
      <c r="G87" s="432">
        <f t="shared" si="41"/>
        <v>0</v>
      </c>
      <c r="H87" s="432">
        <f t="shared" si="41"/>
        <v>0</v>
      </c>
      <c r="I87" s="432">
        <f t="shared" si="41"/>
        <v>0</v>
      </c>
      <c r="J87" s="432">
        <f t="shared" si="41"/>
        <v>3804</v>
      </c>
      <c r="K87" s="432">
        <f t="shared" si="41"/>
        <v>0</v>
      </c>
      <c r="L87" s="432">
        <f t="shared" si="41"/>
        <v>3804</v>
      </c>
      <c r="M87" s="432">
        <f t="shared" si="41"/>
        <v>50422</v>
      </c>
      <c r="N87" s="432">
        <f t="shared" si="41"/>
        <v>217</v>
      </c>
      <c r="O87" s="432">
        <f t="shared" si="41"/>
        <v>54443</v>
      </c>
    </row>
    <row r="88" spans="1:16" ht="17.25" thickTop="1" thickBot="1" x14ac:dyDescent="0.3">
      <c r="A88" s="433"/>
      <c r="B88" s="432" t="s">
        <v>428</v>
      </c>
      <c r="C88" s="432">
        <f>+C79+C85</f>
        <v>0</v>
      </c>
      <c r="D88" s="432">
        <f t="shared" ref="D88:O88" si="42">+D79+D85</f>
        <v>0</v>
      </c>
      <c r="E88" s="432">
        <f t="shared" si="42"/>
        <v>0</v>
      </c>
      <c r="F88" s="432">
        <f t="shared" si="42"/>
        <v>0</v>
      </c>
      <c r="G88" s="432">
        <f t="shared" si="42"/>
        <v>0</v>
      </c>
      <c r="H88" s="432">
        <f t="shared" si="42"/>
        <v>0</v>
      </c>
      <c r="I88" s="432">
        <f t="shared" si="42"/>
        <v>0</v>
      </c>
      <c r="J88" s="432">
        <f t="shared" si="42"/>
        <v>0</v>
      </c>
      <c r="K88" s="432">
        <f t="shared" si="42"/>
        <v>0</v>
      </c>
      <c r="L88" s="432">
        <f t="shared" si="42"/>
        <v>0</v>
      </c>
      <c r="M88" s="432">
        <f t="shared" si="42"/>
        <v>1148</v>
      </c>
      <c r="N88" s="432">
        <f t="shared" si="42"/>
        <v>0</v>
      </c>
      <c r="O88" s="432">
        <f t="shared" si="42"/>
        <v>1148</v>
      </c>
    </row>
    <row r="89" spans="1:16" ht="16.5" thickTop="1" x14ac:dyDescent="0.25">
      <c r="A89" s="443" t="s">
        <v>160</v>
      </c>
      <c r="B89" s="445" t="s">
        <v>1180</v>
      </c>
      <c r="C89" s="445"/>
      <c r="D89" s="445"/>
      <c r="E89" s="445"/>
      <c r="F89" s="445"/>
      <c r="G89" s="445"/>
      <c r="H89" s="445"/>
      <c r="I89" s="445"/>
      <c r="J89" s="445"/>
      <c r="K89" s="445"/>
      <c r="L89" s="445"/>
      <c r="M89" s="445"/>
      <c r="N89" s="445"/>
      <c r="O89" s="445"/>
    </row>
    <row r="90" spans="1:16" x14ac:dyDescent="0.25">
      <c r="A90" s="443"/>
      <c r="B90" s="441" t="s">
        <v>389</v>
      </c>
      <c r="C90" s="441">
        <v>8631</v>
      </c>
      <c r="D90" s="441"/>
      <c r="E90" s="441"/>
      <c r="F90" s="441">
        <v>1312</v>
      </c>
      <c r="G90" s="441"/>
      <c r="H90" s="441"/>
      <c r="I90" s="441"/>
      <c r="J90" s="441">
        <f>SUM(C90+E90+F90+H90)</f>
        <v>9943</v>
      </c>
      <c r="K90" s="441">
        <f>SUM(D90+G90+I90)</f>
        <v>0</v>
      </c>
      <c r="L90" s="441">
        <f>SUM(J90:K90)</f>
        <v>9943</v>
      </c>
      <c r="M90" s="441">
        <v>113627</v>
      </c>
      <c r="N90" s="441">
        <v>130</v>
      </c>
      <c r="O90" s="441">
        <f>SUM(L90:N90)</f>
        <v>123700</v>
      </c>
    </row>
    <row r="91" spans="1:16" s="448" customFormat="1" x14ac:dyDescent="0.25">
      <c r="A91" s="451"/>
      <c r="B91" s="442" t="s">
        <v>432</v>
      </c>
      <c r="C91" s="442">
        <v>8631</v>
      </c>
      <c r="D91" s="442"/>
      <c r="E91" s="442"/>
      <c r="F91" s="442">
        <v>1312</v>
      </c>
      <c r="G91" s="442"/>
      <c r="H91" s="442"/>
      <c r="I91" s="442"/>
      <c r="J91" s="449">
        <f>SUM(C91+E91+F91+H91)</f>
        <v>9943</v>
      </c>
      <c r="K91" s="449">
        <f>SUM(D91+G91+I91)</f>
        <v>0</v>
      </c>
      <c r="L91" s="449">
        <f>SUM(J91:K91)</f>
        <v>9943</v>
      </c>
      <c r="M91" s="449">
        <v>112574</v>
      </c>
      <c r="N91" s="449">
        <v>130</v>
      </c>
      <c r="O91" s="449">
        <f>SUM(L91:N91)</f>
        <v>122647</v>
      </c>
    </row>
    <row r="92" spans="1:16" s="448" customFormat="1" x14ac:dyDescent="0.25">
      <c r="A92" s="451"/>
      <c r="B92" s="442" t="s">
        <v>431</v>
      </c>
      <c r="C92" s="442"/>
      <c r="D92" s="442"/>
      <c r="E92" s="442"/>
      <c r="F92" s="442"/>
      <c r="G92" s="442"/>
      <c r="H92" s="442"/>
      <c r="I92" s="442"/>
      <c r="J92" s="449">
        <f>SUM(C92+E92+F92+H92)</f>
        <v>0</v>
      </c>
      <c r="K92" s="449">
        <f>SUM(D92+G92+I92)</f>
        <v>0</v>
      </c>
      <c r="L92" s="449">
        <f>SUM(J92:K92)</f>
        <v>0</v>
      </c>
      <c r="M92" s="449">
        <v>1053</v>
      </c>
      <c r="N92" s="449"/>
      <c r="O92" s="449">
        <f>SUM(L92:N92)</f>
        <v>1053</v>
      </c>
    </row>
    <row r="93" spans="1:16" s="448" customFormat="1" x14ac:dyDescent="0.25">
      <c r="A93" s="451"/>
      <c r="B93" s="442" t="s">
        <v>140</v>
      </c>
      <c r="C93" s="674"/>
      <c r="D93" s="674"/>
      <c r="E93" s="674"/>
      <c r="F93" s="674"/>
      <c r="G93" s="674"/>
      <c r="H93" s="674"/>
      <c r="I93" s="674"/>
      <c r="J93" s="674"/>
      <c r="K93" s="674"/>
      <c r="L93" s="674"/>
      <c r="M93" s="674"/>
      <c r="N93" s="674"/>
      <c r="O93" s="674"/>
    </row>
    <row r="94" spans="1:16" s="448" customFormat="1" ht="31.5" x14ac:dyDescent="0.25">
      <c r="A94" s="451"/>
      <c r="B94" s="674" t="s">
        <v>1168</v>
      </c>
      <c r="C94" s="674"/>
      <c r="D94" s="674"/>
      <c r="E94" s="674"/>
      <c r="F94" s="674"/>
      <c r="G94" s="674"/>
      <c r="H94" s="674"/>
      <c r="I94" s="674"/>
      <c r="J94" s="674">
        <f t="shared" ref="J94:J99" si="43">SUM(C94+E94+F94+H94)</f>
        <v>0</v>
      </c>
      <c r="K94" s="674">
        <f t="shared" ref="K94:K99" si="44">SUM(D94+G94+I94)</f>
        <v>0</v>
      </c>
      <c r="L94" s="674">
        <f t="shared" ref="L94:L99" si="45">SUM(J94:K94)</f>
        <v>0</v>
      </c>
      <c r="M94" s="674">
        <v>802</v>
      </c>
      <c r="N94" s="674"/>
      <c r="O94" s="674">
        <f t="shared" ref="O94:O99" si="46">SUM(L94:N94)</f>
        <v>802</v>
      </c>
    </row>
    <row r="95" spans="1:16" s="448" customFormat="1" ht="47.25" x14ac:dyDescent="0.25">
      <c r="A95" s="451"/>
      <c r="B95" s="674" t="s">
        <v>1174</v>
      </c>
      <c r="C95" s="674"/>
      <c r="D95" s="674"/>
      <c r="E95" s="674"/>
      <c r="F95" s="674"/>
      <c r="G95" s="674"/>
      <c r="H95" s="674"/>
      <c r="I95" s="674"/>
      <c r="J95" s="674">
        <f t="shared" si="43"/>
        <v>0</v>
      </c>
      <c r="K95" s="674">
        <f t="shared" si="44"/>
        <v>0</v>
      </c>
      <c r="L95" s="674">
        <f t="shared" si="45"/>
        <v>0</v>
      </c>
      <c r="M95" s="674">
        <v>766</v>
      </c>
      <c r="N95" s="674"/>
      <c r="O95" s="674">
        <f t="shared" si="46"/>
        <v>766</v>
      </c>
    </row>
    <row r="96" spans="1:16" s="448" customFormat="1" ht="31.5" x14ac:dyDescent="0.25">
      <c r="A96" s="451"/>
      <c r="B96" s="674" t="s">
        <v>628</v>
      </c>
      <c r="C96" s="674"/>
      <c r="D96" s="674"/>
      <c r="E96" s="674"/>
      <c r="F96" s="674"/>
      <c r="G96" s="674"/>
      <c r="H96" s="674"/>
      <c r="I96" s="674"/>
      <c r="J96" s="674">
        <f t="shared" si="43"/>
        <v>0</v>
      </c>
      <c r="K96" s="674">
        <f t="shared" si="44"/>
        <v>0</v>
      </c>
      <c r="L96" s="674">
        <f t="shared" si="45"/>
        <v>0</v>
      </c>
      <c r="M96" s="674">
        <v>1852</v>
      </c>
      <c r="N96" s="674"/>
      <c r="O96" s="674">
        <f t="shared" si="46"/>
        <v>1852</v>
      </c>
    </row>
    <row r="97" spans="1:16" s="448" customFormat="1" ht="31.5" x14ac:dyDescent="0.25">
      <c r="A97" s="451"/>
      <c r="B97" s="674" t="s">
        <v>928</v>
      </c>
      <c r="C97" s="674"/>
      <c r="D97" s="674"/>
      <c r="E97" s="674"/>
      <c r="F97" s="674"/>
      <c r="G97" s="674"/>
      <c r="H97" s="674"/>
      <c r="I97" s="674"/>
      <c r="J97" s="674">
        <f t="shared" si="43"/>
        <v>0</v>
      </c>
      <c r="K97" s="674">
        <f t="shared" si="44"/>
        <v>0</v>
      </c>
      <c r="L97" s="674">
        <f t="shared" si="45"/>
        <v>0</v>
      </c>
      <c r="M97" s="674">
        <v>519</v>
      </c>
      <c r="N97" s="674"/>
      <c r="O97" s="674">
        <f t="shared" si="46"/>
        <v>519</v>
      </c>
    </row>
    <row r="98" spans="1:16" s="448" customFormat="1" x14ac:dyDescent="0.25">
      <c r="A98" s="451"/>
      <c r="B98" s="442" t="s">
        <v>141</v>
      </c>
      <c r="C98" s="674"/>
      <c r="D98" s="674"/>
      <c r="E98" s="674"/>
      <c r="F98" s="674"/>
      <c r="G98" s="674"/>
      <c r="H98" s="674"/>
      <c r="I98" s="674"/>
      <c r="J98" s="674"/>
      <c r="K98" s="674"/>
      <c r="L98" s="674"/>
      <c r="M98" s="674"/>
      <c r="N98" s="674"/>
      <c r="O98" s="674"/>
    </row>
    <row r="99" spans="1:16" s="448" customFormat="1" ht="16.5" thickBot="1" x14ac:dyDescent="0.3">
      <c r="A99" s="933"/>
      <c r="B99" s="934" t="s">
        <v>1172</v>
      </c>
      <c r="C99" s="934"/>
      <c r="D99" s="934"/>
      <c r="E99" s="934"/>
      <c r="F99" s="934"/>
      <c r="G99" s="934"/>
      <c r="H99" s="934"/>
      <c r="I99" s="934"/>
      <c r="J99" s="934">
        <f t="shared" si="43"/>
        <v>0</v>
      </c>
      <c r="K99" s="934">
        <f t="shared" si="44"/>
        <v>0</v>
      </c>
      <c r="L99" s="934">
        <f t="shared" si="45"/>
        <v>0</v>
      </c>
      <c r="M99" s="934">
        <v>1308</v>
      </c>
      <c r="N99" s="934"/>
      <c r="O99" s="934">
        <f t="shared" si="46"/>
        <v>1308</v>
      </c>
    </row>
    <row r="100" spans="1:16" ht="17.25" thickTop="1" thickBot="1" x14ac:dyDescent="0.3">
      <c r="A100" s="433"/>
      <c r="B100" s="432" t="s">
        <v>430</v>
      </c>
      <c r="C100" s="432">
        <f>+C90+C94+C99+C95+C96+C97</f>
        <v>8631</v>
      </c>
      <c r="D100" s="432">
        <f t="shared" ref="D100:O100" si="47">+D90+D94+D99+D95+D96+D97</f>
        <v>0</v>
      </c>
      <c r="E100" s="432">
        <f t="shared" si="47"/>
        <v>0</v>
      </c>
      <c r="F100" s="432">
        <f t="shared" si="47"/>
        <v>1312</v>
      </c>
      <c r="G100" s="432">
        <f t="shared" si="47"/>
        <v>0</v>
      </c>
      <c r="H100" s="432">
        <f t="shared" si="47"/>
        <v>0</v>
      </c>
      <c r="I100" s="432">
        <f t="shared" si="47"/>
        <v>0</v>
      </c>
      <c r="J100" s="432">
        <f t="shared" si="47"/>
        <v>9943</v>
      </c>
      <c r="K100" s="432">
        <f t="shared" si="47"/>
        <v>0</v>
      </c>
      <c r="L100" s="432">
        <f t="shared" si="47"/>
        <v>9943</v>
      </c>
      <c r="M100" s="432">
        <f t="shared" si="47"/>
        <v>118874</v>
      </c>
      <c r="N100" s="432">
        <f t="shared" si="47"/>
        <v>130</v>
      </c>
      <c r="O100" s="432">
        <f t="shared" si="47"/>
        <v>128947</v>
      </c>
      <c r="P100" s="429">
        <f>O101+O102</f>
        <v>128947</v>
      </c>
    </row>
    <row r="101" spans="1:16" ht="17.25" thickTop="1" thickBot="1" x14ac:dyDescent="0.3">
      <c r="A101" s="433"/>
      <c r="B101" s="432" t="s">
        <v>429</v>
      </c>
      <c r="C101" s="432">
        <f t="shared" ref="C101:O101" si="48">+C91+C94+C95+C96+C97</f>
        <v>8631</v>
      </c>
      <c r="D101" s="432">
        <f t="shared" si="48"/>
        <v>0</v>
      </c>
      <c r="E101" s="432">
        <f t="shared" si="48"/>
        <v>0</v>
      </c>
      <c r="F101" s="432">
        <f t="shared" si="48"/>
        <v>1312</v>
      </c>
      <c r="G101" s="432">
        <f t="shared" si="48"/>
        <v>0</v>
      </c>
      <c r="H101" s="432">
        <f t="shared" si="48"/>
        <v>0</v>
      </c>
      <c r="I101" s="432">
        <f t="shared" si="48"/>
        <v>0</v>
      </c>
      <c r="J101" s="432">
        <f t="shared" si="48"/>
        <v>9943</v>
      </c>
      <c r="K101" s="432">
        <f t="shared" si="48"/>
        <v>0</v>
      </c>
      <c r="L101" s="432">
        <f t="shared" si="48"/>
        <v>9943</v>
      </c>
      <c r="M101" s="432">
        <f t="shared" si="48"/>
        <v>116513</v>
      </c>
      <c r="N101" s="432">
        <f t="shared" si="48"/>
        <v>130</v>
      </c>
      <c r="O101" s="432">
        <f t="shared" si="48"/>
        <v>126586</v>
      </c>
    </row>
    <row r="102" spans="1:16" ht="17.25" thickTop="1" thickBot="1" x14ac:dyDescent="0.3">
      <c r="A102" s="433"/>
      <c r="B102" s="432" t="s">
        <v>428</v>
      </c>
      <c r="C102" s="432">
        <f>+C92+C99</f>
        <v>0</v>
      </c>
      <c r="D102" s="432">
        <f t="shared" ref="D102:O102" si="49">+D92+D99</f>
        <v>0</v>
      </c>
      <c r="E102" s="432">
        <f t="shared" si="49"/>
        <v>0</v>
      </c>
      <c r="F102" s="432">
        <f t="shared" si="49"/>
        <v>0</v>
      </c>
      <c r="G102" s="432">
        <f t="shared" si="49"/>
        <v>0</v>
      </c>
      <c r="H102" s="432">
        <f t="shared" si="49"/>
        <v>0</v>
      </c>
      <c r="I102" s="432">
        <f t="shared" si="49"/>
        <v>0</v>
      </c>
      <c r="J102" s="432">
        <f t="shared" si="49"/>
        <v>0</v>
      </c>
      <c r="K102" s="432">
        <f t="shared" si="49"/>
        <v>0</v>
      </c>
      <c r="L102" s="432">
        <f t="shared" si="49"/>
        <v>0</v>
      </c>
      <c r="M102" s="432">
        <f t="shared" si="49"/>
        <v>2361</v>
      </c>
      <c r="N102" s="432">
        <f t="shared" si="49"/>
        <v>0</v>
      </c>
      <c r="O102" s="432">
        <f t="shared" si="49"/>
        <v>2361</v>
      </c>
    </row>
    <row r="103" spans="1:16" ht="16.5" thickTop="1" x14ac:dyDescent="0.25">
      <c r="A103" s="443" t="s">
        <v>161</v>
      </c>
      <c r="B103" s="445" t="s">
        <v>1181</v>
      </c>
      <c r="C103" s="445"/>
      <c r="D103" s="445"/>
      <c r="E103" s="445"/>
      <c r="F103" s="445"/>
      <c r="G103" s="445"/>
      <c r="H103" s="445"/>
      <c r="I103" s="445"/>
      <c r="J103" s="445"/>
      <c r="K103" s="445"/>
      <c r="L103" s="445"/>
      <c r="M103" s="445"/>
      <c r="N103" s="445"/>
      <c r="O103" s="445"/>
    </row>
    <row r="104" spans="1:16" x14ac:dyDescent="0.25">
      <c r="A104" s="443"/>
      <c r="B104" s="441" t="s">
        <v>389</v>
      </c>
      <c r="C104" s="441">
        <v>5758</v>
      </c>
      <c r="D104" s="441"/>
      <c r="E104" s="441"/>
      <c r="F104" s="441">
        <v>1863</v>
      </c>
      <c r="G104" s="441"/>
      <c r="H104" s="441"/>
      <c r="I104" s="441"/>
      <c r="J104" s="441">
        <f>SUM(C104+E104+F104+H104)</f>
        <v>7621</v>
      </c>
      <c r="K104" s="441">
        <f>SUM(D104+G104+I104)</f>
        <v>0</v>
      </c>
      <c r="L104" s="441">
        <f>SUM(J104:K104)</f>
        <v>7621</v>
      </c>
      <c r="M104" s="441">
        <v>99595</v>
      </c>
      <c r="N104" s="441">
        <v>1010</v>
      </c>
      <c r="O104" s="441">
        <f>SUM(L104:N104)</f>
        <v>108226</v>
      </c>
    </row>
    <row r="105" spans="1:16" s="448" customFormat="1" x14ac:dyDescent="0.25">
      <c r="A105" s="450"/>
      <c r="B105" s="446" t="s">
        <v>432</v>
      </c>
      <c r="C105" s="446">
        <v>5758</v>
      </c>
      <c r="D105" s="446"/>
      <c r="E105" s="446"/>
      <c r="F105" s="446">
        <v>1863</v>
      </c>
      <c r="G105" s="446"/>
      <c r="H105" s="446"/>
      <c r="I105" s="446"/>
      <c r="J105" s="463">
        <f>SUM(C105+E105+F105+H105)</f>
        <v>7621</v>
      </c>
      <c r="K105" s="463">
        <f>SUM(D105+G105+I105)</f>
        <v>0</v>
      </c>
      <c r="L105" s="463">
        <f>SUM(J105:K105)</f>
        <v>7621</v>
      </c>
      <c r="M105" s="463">
        <v>98517</v>
      </c>
      <c r="N105" s="463">
        <v>1010</v>
      </c>
      <c r="O105" s="463">
        <f>SUM(L105:N105)</f>
        <v>107148</v>
      </c>
    </row>
    <row r="106" spans="1:16" s="448" customFormat="1" x14ac:dyDescent="0.25">
      <c r="A106" s="450"/>
      <c r="B106" s="446" t="s">
        <v>431</v>
      </c>
      <c r="C106" s="446"/>
      <c r="D106" s="446"/>
      <c r="E106" s="446"/>
      <c r="F106" s="446"/>
      <c r="G106" s="446"/>
      <c r="H106" s="446"/>
      <c r="I106" s="446"/>
      <c r="J106" s="463">
        <f>SUM(C106+E106+F106+H106)</f>
        <v>0</v>
      </c>
      <c r="K106" s="463">
        <f>SUM(D106+G106+I106)</f>
        <v>0</v>
      </c>
      <c r="L106" s="463">
        <f>SUM(J106:K106)</f>
        <v>0</v>
      </c>
      <c r="M106" s="463">
        <v>1078</v>
      </c>
      <c r="N106" s="463"/>
      <c r="O106" s="463">
        <f>SUM(L106:N106)</f>
        <v>1078</v>
      </c>
    </row>
    <row r="107" spans="1:16" s="448" customFormat="1" x14ac:dyDescent="0.25">
      <c r="A107" s="450"/>
      <c r="B107" s="446" t="s">
        <v>140</v>
      </c>
      <c r="C107" s="675"/>
      <c r="D107" s="675"/>
      <c r="E107" s="675"/>
      <c r="F107" s="675"/>
      <c r="G107" s="675"/>
      <c r="H107" s="675"/>
      <c r="I107" s="675"/>
      <c r="J107" s="675"/>
      <c r="K107" s="675"/>
      <c r="L107" s="675"/>
      <c r="M107" s="675"/>
      <c r="N107" s="675"/>
      <c r="O107" s="675"/>
    </row>
    <row r="108" spans="1:16" s="448" customFormat="1" ht="31.5" x14ac:dyDescent="0.25">
      <c r="A108" s="450"/>
      <c r="B108" s="674" t="s">
        <v>1168</v>
      </c>
      <c r="C108" s="675"/>
      <c r="D108" s="675"/>
      <c r="E108" s="675"/>
      <c r="F108" s="675"/>
      <c r="G108" s="675"/>
      <c r="H108" s="675"/>
      <c r="I108" s="675"/>
      <c r="J108" s="675">
        <f t="shared" ref="J108:J113" si="50">SUM(C108+E108+F108+H108)</f>
        <v>0</v>
      </c>
      <c r="K108" s="675">
        <f t="shared" ref="K108:K113" si="51">SUM(D108+G108+I108)</f>
        <v>0</v>
      </c>
      <c r="L108" s="675">
        <f t="shared" ref="L108:L113" si="52">SUM(J108:K108)</f>
        <v>0</v>
      </c>
      <c r="M108" s="675">
        <v>281</v>
      </c>
      <c r="N108" s="675"/>
      <c r="O108" s="675">
        <f t="shared" ref="O108:O113" si="53">SUM(L108:N108)</f>
        <v>281</v>
      </c>
    </row>
    <row r="109" spans="1:16" s="448" customFormat="1" ht="47.25" x14ac:dyDescent="0.25">
      <c r="A109" s="450"/>
      <c r="B109" s="674" t="s">
        <v>1174</v>
      </c>
      <c r="C109" s="675"/>
      <c r="D109" s="675"/>
      <c r="E109" s="675"/>
      <c r="F109" s="675"/>
      <c r="G109" s="675"/>
      <c r="H109" s="675"/>
      <c r="I109" s="675"/>
      <c r="J109" s="675">
        <f t="shared" si="50"/>
        <v>0</v>
      </c>
      <c r="K109" s="675">
        <f t="shared" si="51"/>
        <v>0</v>
      </c>
      <c r="L109" s="675">
        <f t="shared" si="52"/>
        <v>0</v>
      </c>
      <c r="M109" s="675">
        <v>969</v>
      </c>
      <c r="N109" s="675"/>
      <c r="O109" s="675">
        <f t="shared" si="53"/>
        <v>969</v>
      </c>
    </row>
    <row r="110" spans="1:16" s="448" customFormat="1" ht="31.5" x14ac:dyDescent="0.25">
      <c r="A110" s="450"/>
      <c r="B110" s="674" t="s">
        <v>628</v>
      </c>
      <c r="C110" s="675"/>
      <c r="D110" s="675"/>
      <c r="E110" s="675"/>
      <c r="F110" s="675"/>
      <c r="G110" s="675"/>
      <c r="H110" s="675"/>
      <c r="I110" s="675"/>
      <c r="J110" s="675">
        <f t="shared" si="50"/>
        <v>0</v>
      </c>
      <c r="K110" s="675">
        <f t="shared" si="51"/>
        <v>0</v>
      </c>
      <c r="L110" s="675">
        <f t="shared" si="52"/>
        <v>0</v>
      </c>
      <c r="M110" s="675">
        <v>1963</v>
      </c>
      <c r="N110" s="675"/>
      <c r="O110" s="675">
        <f t="shared" si="53"/>
        <v>1963</v>
      </c>
    </row>
    <row r="111" spans="1:16" s="448" customFormat="1" ht="31.5" x14ac:dyDescent="0.25">
      <c r="A111" s="450"/>
      <c r="B111" s="674" t="s">
        <v>928</v>
      </c>
      <c r="C111" s="675"/>
      <c r="D111" s="675"/>
      <c r="E111" s="675"/>
      <c r="F111" s="675">
        <v>7886</v>
      </c>
      <c r="G111" s="675"/>
      <c r="H111" s="675"/>
      <c r="I111" s="675"/>
      <c r="J111" s="675">
        <f t="shared" si="50"/>
        <v>7886</v>
      </c>
      <c r="K111" s="675">
        <f t="shared" si="51"/>
        <v>0</v>
      </c>
      <c r="L111" s="675">
        <f t="shared" si="52"/>
        <v>7886</v>
      </c>
      <c r="M111" s="675"/>
      <c r="N111" s="675"/>
      <c r="O111" s="675">
        <f t="shared" si="53"/>
        <v>7886</v>
      </c>
    </row>
    <row r="112" spans="1:16" s="448" customFormat="1" x14ac:dyDescent="0.25">
      <c r="A112" s="450"/>
      <c r="B112" s="446" t="s">
        <v>141</v>
      </c>
      <c r="C112" s="675"/>
      <c r="D112" s="675"/>
      <c r="E112" s="675"/>
      <c r="F112" s="675"/>
      <c r="G112" s="675"/>
      <c r="H112" s="675"/>
      <c r="I112" s="675"/>
      <c r="J112" s="675"/>
      <c r="K112" s="675"/>
      <c r="L112" s="675"/>
      <c r="M112" s="675"/>
      <c r="N112" s="675"/>
      <c r="O112" s="675"/>
    </row>
    <row r="113" spans="1:16" s="448" customFormat="1" ht="16.5" thickBot="1" x14ac:dyDescent="0.3">
      <c r="A113" s="450"/>
      <c r="B113" s="674" t="s">
        <v>1172</v>
      </c>
      <c r="C113" s="675"/>
      <c r="D113" s="675"/>
      <c r="E113" s="675"/>
      <c r="F113" s="675"/>
      <c r="G113" s="675"/>
      <c r="H113" s="675"/>
      <c r="I113" s="675"/>
      <c r="J113" s="675">
        <f t="shared" si="50"/>
        <v>0</v>
      </c>
      <c r="K113" s="675">
        <f t="shared" si="51"/>
        <v>0</v>
      </c>
      <c r="L113" s="675">
        <f t="shared" si="52"/>
        <v>0</v>
      </c>
      <c r="M113" s="675">
        <v>1329</v>
      </c>
      <c r="N113" s="675"/>
      <c r="O113" s="675">
        <f t="shared" si="53"/>
        <v>1329</v>
      </c>
    </row>
    <row r="114" spans="1:16" ht="17.25" thickTop="1" thickBot="1" x14ac:dyDescent="0.3">
      <c r="A114" s="433"/>
      <c r="B114" s="432" t="s">
        <v>430</v>
      </c>
      <c r="C114" s="432">
        <f>+C104+C108+C113+C109+C110+C111</f>
        <v>5758</v>
      </c>
      <c r="D114" s="432">
        <f t="shared" ref="D114:O114" si="54">+D104+D108+D113+D109+D110+D111</f>
        <v>0</v>
      </c>
      <c r="E114" s="432">
        <f t="shared" si="54"/>
        <v>0</v>
      </c>
      <c r="F114" s="432">
        <f t="shared" si="54"/>
        <v>9749</v>
      </c>
      <c r="G114" s="432">
        <f t="shared" si="54"/>
        <v>0</v>
      </c>
      <c r="H114" s="432">
        <f t="shared" si="54"/>
        <v>0</v>
      </c>
      <c r="I114" s="432">
        <f t="shared" si="54"/>
        <v>0</v>
      </c>
      <c r="J114" s="432">
        <f t="shared" si="54"/>
        <v>15507</v>
      </c>
      <c r="K114" s="432">
        <f t="shared" si="54"/>
        <v>0</v>
      </c>
      <c r="L114" s="432">
        <f t="shared" si="54"/>
        <v>15507</v>
      </c>
      <c r="M114" s="432">
        <f t="shared" si="54"/>
        <v>104137</v>
      </c>
      <c r="N114" s="432">
        <f t="shared" si="54"/>
        <v>1010</v>
      </c>
      <c r="O114" s="432">
        <f t="shared" si="54"/>
        <v>120654</v>
      </c>
      <c r="P114" s="429">
        <f>O115+O116</f>
        <v>120654</v>
      </c>
    </row>
    <row r="115" spans="1:16" ht="17.25" thickTop="1" thickBot="1" x14ac:dyDescent="0.3">
      <c r="A115" s="433"/>
      <c r="B115" s="432" t="s">
        <v>429</v>
      </c>
      <c r="C115" s="432">
        <f t="shared" ref="C115:O115" si="55">+C105+C108+C109+C110+C111</f>
        <v>5758</v>
      </c>
      <c r="D115" s="432">
        <f t="shared" si="55"/>
        <v>0</v>
      </c>
      <c r="E115" s="432">
        <f t="shared" si="55"/>
        <v>0</v>
      </c>
      <c r="F115" s="432">
        <f t="shared" si="55"/>
        <v>9749</v>
      </c>
      <c r="G115" s="432">
        <f t="shared" si="55"/>
        <v>0</v>
      </c>
      <c r="H115" s="432">
        <f t="shared" si="55"/>
        <v>0</v>
      </c>
      <c r="I115" s="432">
        <f t="shared" si="55"/>
        <v>0</v>
      </c>
      <c r="J115" s="432">
        <f t="shared" si="55"/>
        <v>15507</v>
      </c>
      <c r="K115" s="432">
        <f t="shared" si="55"/>
        <v>0</v>
      </c>
      <c r="L115" s="432">
        <f t="shared" si="55"/>
        <v>15507</v>
      </c>
      <c r="M115" s="432">
        <f t="shared" si="55"/>
        <v>101730</v>
      </c>
      <c r="N115" s="432">
        <f t="shared" si="55"/>
        <v>1010</v>
      </c>
      <c r="O115" s="432">
        <f t="shared" si="55"/>
        <v>118247</v>
      </c>
    </row>
    <row r="116" spans="1:16" ht="17.25" thickTop="1" thickBot="1" x14ac:dyDescent="0.3">
      <c r="A116" s="433"/>
      <c r="B116" s="432" t="s">
        <v>428</v>
      </c>
      <c r="C116" s="432">
        <f>+C106+C113</f>
        <v>0</v>
      </c>
      <c r="D116" s="432">
        <f t="shared" ref="D116:O116" si="56">+D106+D113</f>
        <v>0</v>
      </c>
      <c r="E116" s="432">
        <f t="shared" si="56"/>
        <v>0</v>
      </c>
      <c r="F116" s="432">
        <f t="shared" si="56"/>
        <v>0</v>
      </c>
      <c r="G116" s="432">
        <f t="shared" si="56"/>
        <v>0</v>
      </c>
      <c r="H116" s="432">
        <f t="shared" si="56"/>
        <v>0</v>
      </c>
      <c r="I116" s="432">
        <f t="shared" si="56"/>
        <v>0</v>
      </c>
      <c r="J116" s="432">
        <f t="shared" si="56"/>
        <v>0</v>
      </c>
      <c r="K116" s="432">
        <f t="shared" si="56"/>
        <v>0</v>
      </c>
      <c r="L116" s="432">
        <f t="shared" si="56"/>
        <v>0</v>
      </c>
      <c r="M116" s="432">
        <f t="shared" si="56"/>
        <v>2407</v>
      </c>
      <c r="N116" s="432">
        <f t="shared" si="56"/>
        <v>0</v>
      </c>
      <c r="O116" s="432">
        <f t="shared" si="56"/>
        <v>2407</v>
      </c>
    </row>
    <row r="117" spans="1:16" ht="17.25" thickTop="1" thickBot="1" x14ac:dyDescent="0.3">
      <c r="A117" s="433"/>
      <c r="B117" s="432" t="s">
        <v>457</v>
      </c>
      <c r="C117" s="432">
        <f t="shared" ref="C117:O117" si="57">SUM(C46+C59+C73+C86+C100+C114)</f>
        <v>35232</v>
      </c>
      <c r="D117" s="432">
        <f t="shared" si="57"/>
        <v>0</v>
      </c>
      <c r="E117" s="432">
        <f t="shared" si="57"/>
        <v>0</v>
      </c>
      <c r="F117" s="432">
        <f t="shared" si="57"/>
        <v>16260</v>
      </c>
      <c r="G117" s="432">
        <f t="shared" si="57"/>
        <v>0</v>
      </c>
      <c r="H117" s="432">
        <f t="shared" si="57"/>
        <v>0</v>
      </c>
      <c r="I117" s="432">
        <f t="shared" si="57"/>
        <v>0</v>
      </c>
      <c r="J117" s="432">
        <f t="shared" si="57"/>
        <v>51492</v>
      </c>
      <c r="K117" s="432">
        <f t="shared" si="57"/>
        <v>0</v>
      </c>
      <c r="L117" s="432">
        <f t="shared" si="57"/>
        <v>51492</v>
      </c>
      <c r="M117" s="432">
        <f t="shared" si="57"/>
        <v>544174</v>
      </c>
      <c r="N117" s="432">
        <f t="shared" si="57"/>
        <v>2072</v>
      </c>
      <c r="O117" s="432">
        <f t="shared" si="57"/>
        <v>597738</v>
      </c>
    </row>
    <row r="118" spans="1:16" ht="16.5" thickTop="1" x14ac:dyDescent="0.25">
      <c r="A118" s="443" t="s">
        <v>162</v>
      </c>
      <c r="B118" s="445" t="s">
        <v>456</v>
      </c>
      <c r="C118" s="445"/>
      <c r="D118" s="445"/>
      <c r="E118" s="445"/>
      <c r="F118" s="445"/>
      <c r="G118" s="445"/>
      <c r="H118" s="445"/>
      <c r="I118" s="445"/>
      <c r="J118" s="445"/>
      <c r="K118" s="445"/>
      <c r="L118" s="445"/>
      <c r="M118" s="445"/>
      <c r="N118" s="445"/>
      <c r="O118" s="445"/>
    </row>
    <row r="119" spans="1:16" x14ac:dyDescent="0.25">
      <c r="A119" s="443"/>
      <c r="B119" s="441" t="s">
        <v>389</v>
      </c>
      <c r="C119" s="441">
        <v>14888</v>
      </c>
      <c r="D119" s="441"/>
      <c r="E119" s="441"/>
      <c r="F119" s="441">
        <v>9273</v>
      </c>
      <c r="G119" s="441"/>
      <c r="H119" s="441"/>
      <c r="I119" s="441"/>
      <c r="J119" s="441">
        <f>SUM(C119+E119+F119+H119)</f>
        <v>24161</v>
      </c>
      <c r="K119" s="441">
        <f>SUM(D119+G119+I119)</f>
        <v>0</v>
      </c>
      <c r="L119" s="441">
        <f>SUM(J119:K119)</f>
        <v>24161</v>
      </c>
      <c r="M119" s="441">
        <v>242390</v>
      </c>
      <c r="N119" s="441">
        <v>221</v>
      </c>
      <c r="O119" s="441">
        <f>SUM(L119:N119)</f>
        <v>266772</v>
      </c>
    </row>
    <row r="120" spans="1:16" s="448" customFormat="1" x14ac:dyDescent="0.25">
      <c r="A120" s="451"/>
      <c r="B120" s="442" t="s">
        <v>432</v>
      </c>
      <c r="C120" s="442">
        <v>14888</v>
      </c>
      <c r="D120" s="442"/>
      <c r="E120" s="442"/>
      <c r="F120" s="442">
        <v>9273</v>
      </c>
      <c r="G120" s="442"/>
      <c r="H120" s="442"/>
      <c r="I120" s="442"/>
      <c r="J120" s="449">
        <f>SUM(C120+E120+F120+H120)</f>
        <v>24161</v>
      </c>
      <c r="K120" s="449">
        <f>SUM(D120+G120+I120)</f>
        <v>0</v>
      </c>
      <c r="L120" s="449">
        <f>SUM(J120:K120)</f>
        <v>24161</v>
      </c>
      <c r="M120" s="449">
        <v>240496</v>
      </c>
      <c r="N120" s="449">
        <v>221</v>
      </c>
      <c r="O120" s="449">
        <f>SUM(L120:N120)</f>
        <v>264878</v>
      </c>
    </row>
    <row r="121" spans="1:16" s="448" customFormat="1" x14ac:dyDescent="0.25">
      <c r="A121" s="450"/>
      <c r="B121" s="442" t="s">
        <v>431</v>
      </c>
      <c r="C121" s="442"/>
      <c r="D121" s="442"/>
      <c r="E121" s="442"/>
      <c r="F121" s="442"/>
      <c r="G121" s="442"/>
      <c r="H121" s="442"/>
      <c r="I121" s="442"/>
      <c r="J121" s="449">
        <f>SUM(C121+E121+F121+H121)</f>
        <v>0</v>
      </c>
      <c r="K121" s="449">
        <f>SUM(D121+G121+I121)</f>
        <v>0</v>
      </c>
      <c r="L121" s="449">
        <f>SUM(J121:K121)</f>
        <v>0</v>
      </c>
      <c r="M121" s="449">
        <v>1894</v>
      </c>
      <c r="N121" s="449"/>
      <c r="O121" s="449">
        <f>SUM(L121:N121)</f>
        <v>1894</v>
      </c>
    </row>
    <row r="122" spans="1:16" s="448" customFormat="1" x14ac:dyDescent="0.25">
      <c r="A122" s="450"/>
      <c r="B122" s="442" t="s">
        <v>140</v>
      </c>
      <c r="C122" s="674"/>
      <c r="D122" s="674"/>
      <c r="E122" s="674"/>
      <c r="F122" s="674"/>
      <c r="G122" s="674"/>
      <c r="H122" s="674"/>
      <c r="I122" s="674"/>
      <c r="J122" s="674"/>
      <c r="K122" s="674"/>
      <c r="L122" s="674"/>
      <c r="M122" s="674"/>
      <c r="N122" s="674"/>
      <c r="O122" s="674"/>
    </row>
    <row r="123" spans="1:16" s="448" customFormat="1" ht="31.5" x14ac:dyDescent="0.25">
      <c r="A123" s="450"/>
      <c r="B123" s="674" t="s">
        <v>1168</v>
      </c>
      <c r="C123" s="674"/>
      <c r="D123" s="674"/>
      <c r="E123" s="674"/>
      <c r="F123" s="674"/>
      <c r="G123" s="674"/>
      <c r="H123" s="674"/>
      <c r="I123" s="674"/>
      <c r="J123" s="674">
        <f t="shared" ref="J123:J129" si="58">SUM(C123+E123+F123+H123)</f>
        <v>0</v>
      </c>
      <c r="K123" s="674">
        <f t="shared" ref="K123:K129" si="59">SUM(D123+G123+I123)</f>
        <v>0</v>
      </c>
      <c r="L123" s="674">
        <f t="shared" ref="L123:L129" si="60">SUM(J123:K123)</f>
        <v>0</v>
      </c>
      <c r="M123" s="674">
        <v>39</v>
      </c>
      <c r="N123" s="674"/>
      <c r="O123" s="674">
        <f t="shared" ref="O123:O129" si="61">SUM(L123:N123)</f>
        <v>39</v>
      </c>
    </row>
    <row r="124" spans="1:16" s="448" customFormat="1" ht="31.5" x14ac:dyDescent="0.25">
      <c r="A124" s="450"/>
      <c r="B124" s="674" t="s">
        <v>628</v>
      </c>
      <c r="C124" s="674"/>
      <c r="D124" s="674"/>
      <c r="E124" s="674"/>
      <c r="F124" s="674"/>
      <c r="G124" s="674"/>
      <c r="H124" s="674"/>
      <c r="I124" s="674"/>
      <c r="J124" s="674">
        <f t="shared" si="58"/>
        <v>0</v>
      </c>
      <c r="K124" s="674">
        <f t="shared" si="59"/>
        <v>0</v>
      </c>
      <c r="L124" s="674">
        <f t="shared" si="60"/>
        <v>0</v>
      </c>
      <c r="M124" s="674">
        <v>3083</v>
      </c>
      <c r="N124" s="674"/>
      <c r="O124" s="674">
        <f t="shared" si="61"/>
        <v>3083</v>
      </c>
    </row>
    <row r="125" spans="1:16" s="448" customFormat="1" ht="31.5" x14ac:dyDescent="0.25">
      <c r="A125" s="450"/>
      <c r="B125" s="674" t="s">
        <v>928</v>
      </c>
      <c r="C125" s="674"/>
      <c r="D125" s="674"/>
      <c r="E125" s="674"/>
      <c r="F125" s="674"/>
      <c r="G125" s="674"/>
      <c r="H125" s="674"/>
      <c r="I125" s="674"/>
      <c r="J125" s="674">
        <f t="shared" si="58"/>
        <v>0</v>
      </c>
      <c r="K125" s="674">
        <f t="shared" si="59"/>
        <v>0</v>
      </c>
      <c r="L125" s="674">
        <f t="shared" si="60"/>
        <v>0</v>
      </c>
      <c r="M125" s="674">
        <v>10047</v>
      </c>
      <c r="N125" s="674"/>
      <c r="O125" s="674">
        <f t="shared" si="61"/>
        <v>10047</v>
      </c>
    </row>
    <row r="126" spans="1:16" s="448" customFormat="1" ht="47.25" x14ac:dyDescent="0.25">
      <c r="A126" s="450"/>
      <c r="B126" s="674" t="s">
        <v>1182</v>
      </c>
      <c r="C126" s="674"/>
      <c r="D126" s="674"/>
      <c r="E126" s="674"/>
      <c r="F126" s="674"/>
      <c r="G126" s="674"/>
      <c r="H126" s="674"/>
      <c r="I126" s="674"/>
      <c r="J126" s="674">
        <f t="shared" si="58"/>
        <v>0</v>
      </c>
      <c r="K126" s="674">
        <f t="shared" si="59"/>
        <v>0</v>
      </c>
      <c r="L126" s="674">
        <f t="shared" si="60"/>
        <v>0</v>
      </c>
      <c r="M126" s="674">
        <v>8890</v>
      </c>
      <c r="N126" s="674"/>
      <c r="O126" s="674">
        <f t="shared" si="61"/>
        <v>8890</v>
      </c>
    </row>
    <row r="127" spans="1:16" s="448" customFormat="1" x14ac:dyDescent="0.25">
      <c r="A127" s="450"/>
      <c r="B127" s="442" t="s">
        <v>141</v>
      </c>
      <c r="C127" s="674"/>
      <c r="D127" s="674"/>
      <c r="E127" s="674"/>
      <c r="F127" s="674"/>
      <c r="G127" s="674"/>
      <c r="H127" s="674"/>
      <c r="I127" s="674"/>
      <c r="J127" s="674"/>
      <c r="K127" s="674"/>
      <c r="L127" s="674"/>
      <c r="M127" s="674"/>
      <c r="N127" s="674"/>
      <c r="O127" s="674"/>
    </row>
    <row r="128" spans="1:16" s="448" customFormat="1" ht="47.25" x14ac:dyDescent="0.25">
      <c r="A128" s="450"/>
      <c r="B128" s="674" t="s">
        <v>1183</v>
      </c>
      <c r="C128" s="674"/>
      <c r="D128" s="674"/>
      <c r="E128" s="674"/>
      <c r="F128" s="674"/>
      <c r="G128" s="674"/>
      <c r="H128" s="674"/>
      <c r="I128" s="674"/>
      <c r="J128" s="674">
        <f t="shared" si="58"/>
        <v>0</v>
      </c>
      <c r="K128" s="674">
        <f t="shared" si="59"/>
        <v>0</v>
      </c>
      <c r="L128" s="674">
        <f t="shared" si="60"/>
        <v>0</v>
      </c>
      <c r="M128" s="674">
        <v>45</v>
      </c>
      <c r="N128" s="674"/>
      <c r="O128" s="674">
        <f t="shared" si="61"/>
        <v>45</v>
      </c>
    </row>
    <row r="129" spans="1:16" s="448" customFormat="1" ht="16.5" thickBot="1" x14ac:dyDescent="0.3">
      <c r="A129" s="450"/>
      <c r="B129" s="674" t="s">
        <v>1172</v>
      </c>
      <c r="C129" s="674"/>
      <c r="D129" s="674"/>
      <c r="E129" s="674"/>
      <c r="F129" s="674"/>
      <c r="G129" s="674"/>
      <c r="H129" s="674"/>
      <c r="I129" s="674"/>
      <c r="J129" s="674">
        <f t="shared" si="58"/>
        <v>0</v>
      </c>
      <c r="K129" s="674">
        <f t="shared" si="59"/>
        <v>0</v>
      </c>
      <c r="L129" s="674">
        <f t="shared" si="60"/>
        <v>0</v>
      </c>
      <c r="M129" s="674">
        <v>2369</v>
      </c>
      <c r="N129" s="674"/>
      <c r="O129" s="674">
        <f t="shared" si="61"/>
        <v>2369</v>
      </c>
    </row>
    <row r="130" spans="1:16" ht="17.25" thickTop="1" thickBot="1" x14ac:dyDescent="0.3">
      <c r="A130" s="433"/>
      <c r="B130" s="432" t="s">
        <v>430</v>
      </c>
      <c r="C130" s="432">
        <f>+C119+C123+C128+C124+C129+C125+C126</f>
        <v>14888</v>
      </c>
      <c r="D130" s="432">
        <f t="shared" ref="D130:O130" si="62">+D119+D123+D128+D124+D129+D125+D126</f>
        <v>0</v>
      </c>
      <c r="E130" s="432">
        <f t="shared" si="62"/>
        <v>0</v>
      </c>
      <c r="F130" s="432">
        <f t="shared" si="62"/>
        <v>9273</v>
      </c>
      <c r="G130" s="432">
        <f t="shared" si="62"/>
        <v>0</v>
      </c>
      <c r="H130" s="432">
        <f t="shared" si="62"/>
        <v>0</v>
      </c>
      <c r="I130" s="432">
        <f t="shared" si="62"/>
        <v>0</v>
      </c>
      <c r="J130" s="432">
        <f t="shared" si="62"/>
        <v>24161</v>
      </c>
      <c r="K130" s="432">
        <f t="shared" si="62"/>
        <v>0</v>
      </c>
      <c r="L130" s="432">
        <f t="shared" si="62"/>
        <v>24161</v>
      </c>
      <c r="M130" s="432">
        <f t="shared" si="62"/>
        <v>266863</v>
      </c>
      <c r="N130" s="432">
        <f t="shared" si="62"/>
        <v>221</v>
      </c>
      <c r="O130" s="432">
        <f t="shared" si="62"/>
        <v>291245</v>
      </c>
      <c r="P130" s="429">
        <f>O131+O132</f>
        <v>291245</v>
      </c>
    </row>
    <row r="131" spans="1:16" ht="17.25" thickTop="1" thickBot="1" x14ac:dyDescent="0.3">
      <c r="A131" s="433"/>
      <c r="B131" s="432" t="s">
        <v>429</v>
      </c>
      <c r="C131" s="432">
        <f t="shared" ref="C131:O131" si="63">+C120+C123+C124+C125+C126</f>
        <v>14888</v>
      </c>
      <c r="D131" s="432">
        <f t="shared" si="63"/>
        <v>0</v>
      </c>
      <c r="E131" s="432">
        <f t="shared" si="63"/>
        <v>0</v>
      </c>
      <c r="F131" s="432">
        <f t="shared" si="63"/>
        <v>9273</v>
      </c>
      <c r="G131" s="432">
        <f t="shared" si="63"/>
        <v>0</v>
      </c>
      <c r="H131" s="432">
        <f t="shared" si="63"/>
        <v>0</v>
      </c>
      <c r="I131" s="432">
        <f t="shared" si="63"/>
        <v>0</v>
      </c>
      <c r="J131" s="432">
        <f t="shared" si="63"/>
        <v>24161</v>
      </c>
      <c r="K131" s="432">
        <f t="shared" si="63"/>
        <v>0</v>
      </c>
      <c r="L131" s="432">
        <f t="shared" si="63"/>
        <v>24161</v>
      </c>
      <c r="M131" s="432">
        <f t="shared" si="63"/>
        <v>262555</v>
      </c>
      <c r="N131" s="432">
        <f t="shared" si="63"/>
        <v>221</v>
      </c>
      <c r="O131" s="432">
        <f t="shared" si="63"/>
        <v>286937</v>
      </c>
    </row>
    <row r="132" spans="1:16" ht="17.25" thickTop="1" thickBot="1" x14ac:dyDescent="0.3">
      <c r="A132" s="443"/>
      <c r="B132" s="432" t="s">
        <v>428</v>
      </c>
      <c r="C132" s="432">
        <f>+C121+C128+C129</f>
        <v>0</v>
      </c>
      <c r="D132" s="432">
        <f t="shared" ref="D132:O132" si="64">+D121+D128+D129</f>
        <v>0</v>
      </c>
      <c r="E132" s="432">
        <f t="shared" si="64"/>
        <v>0</v>
      </c>
      <c r="F132" s="432">
        <f t="shared" si="64"/>
        <v>0</v>
      </c>
      <c r="G132" s="432">
        <f t="shared" si="64"/>
        <v>0</v>
      </c>
      <c r="H132" s="432">
        <f t="shared" si="64"/>
        <v>0</v>
      </c>
      <c r="I132" s="432">
        <f t="shared" si="64"/>
        <v>0</v>
      </c>
      <c r="J132" s="432">
        <f t="shared" si="64"/>
        <v>0</v>
      </c>
      <c r="K132" s="432">
        <f t="shared" si="64"/>
        <v>0</v>
      </c>
      <c r="L132" s="432">
        <f t="shared" si="64"/>
        <v>0</v>
      </c>
      <c r="M132" s="432">
        <f t="shared" si="64"/>
        <v>4308</v>
      </c>
      <c r="N132" s="432">
        <f t="shared" si="64"/>
        <v>0</v>
      </c>
      <c r="O132" s="432">
        <f t="shared" si="64"/>
        <v>4308</v>
      </c>
    </row>
    <row r="133" spans="1:16" ht="16.5" thickTop="1" x14ac:dyDescent="0.25">
      <c r="A133" s="443" t="s">
        <v>0</v>
      </c>
      <c r="B133" s="445" t="s">
        <v>1184</v>
      </c>
      <c r="C133" s="445"/>
      <c r="D133" s="445"/>
      <c r="E133" s="445"/>
      <c r="F133" s="445"/>
      <c r="G133" s="445"/>
      <c r="H133" s="445"/>
      <c r="I133" s="445"/>
      <c r="J133" s="445"/>
      <c r="K133" s="445"/>
      <c r="L133" s="445"/>
      <c r="M133" s="445"/>
      <c r="N133" s="445"/>
      <c r="O133" s="445"/>
    </row>
    <row r="134" spans="1:16" x14ac:dyDescent="0.25">
      <c r="A134" s="447"/>
      <c r="B134" s="445" t="s">
        <v>389</v>
      </c>
      <c r="C134" s="445">
        <v>19810</v>
      </c>
      <c r="D134" s="445"/>
      <c r="E134" s="445"/>
      <c r="F134" s="445">
        <v>6361</v>
      </c>
      <c r="G134" s="445"/>
      <c r="H134" s="445"/>
      <c r="I134" s="445"/>
      <c r="J134" s="445">
        <f>SUM(C134+E134+F134+H134)</f>
        <v>26171</v>
      </c>
      <c r="K134" s="445">
        <f>SUM(D134+G134+I134)</f>
        <v>0</v>
      </c>
      <c r="L134" s="445">
        <f>SUM(J134:K134)</f>
        <v>26171</v>
      </c>
      <c r="M134" s="445">
        <v>244601</v>
      </c>
      <c r="N134" s="445">
        <v>5</v>
      </c>
      <c r="O134" s="445">
        <f>SUM(L134:N134)</f>
        <v>270777</v>
      </c>
    </row>
    <row r="135" spans="1:16" s="448" customFormat="1" x14ac:dyDescent="0.25">
      <c r="A135" s="451"/>
      <c r="B135" s="442" t="s">
        <v>432</v>
      </c>
      <c r="C135" s="442">
        <v>19810</v>
      </c>
      <c r="D135" s="442"/>
      <c r="E135" s="442"/>
      <c r="F135" s="442">
        <v>6361</v>
      </c>
      <c r="G135" s="442"/>
      <c r="H135" s="442"/>
      <c r="I135" s="442"/>
      <c r="J135" s="449">
        <f>SUM(C135+E135+F135+H135)</f>
        <v>26171</v>
      </c>
      <c r="K135" s="449">
        <f>SUM(D135+G135+I135)</f>
        <v>0</v>
      </c>
      <c r="L135" s="449">
        <f>SUM(J135:K135)</f>
        <v>26171</v>
      </c>
      <c r="M135" s="449">
        <v>242816</v>
      </c>
      <c r="N135" s="449">
        <v>5</v>
      </c>
      <c r="O135" s="449">
        <f>SUM(L135:N135)</f>
        <v>268992</v>
      </c>
    </row>
    <row r="136" spans="1:16" s="448" customFormat="1" x14ac:dyDescent="0.25">
      <c r="A136" s="451"/>
      <c r="B136" s="442" t="s">
        <v>431</v>
      </c>
      <c r="C136" s="442"/>
      <c r="D136" s="442"/>
      <c r="E136" s="442"/>
      <c r="F136" s="442"/>
      <c r="G136" s="442"/>
      <c r="H136" s="442"/>
      <c r="I136" s="442"/>
      <c r="J136" s="449">
        <f>SUM(C136+E136+F136+H136)</f>
        <v>0</v>
      </c>
      <c r="K136" s="449">
        <f>SUM(D136+G136+I136)</f>
        <v>0</v>
      </c>
      <c r="L136" s="449">
        <f>SUM(J136:K136)</f>
        <v>0</v>
      </c>
      <c r="M136" s="449">
        <v>1785</v>
      </c>
      <c r="N136" s="449"/>
      <c r="O136" s="449">
        <f>SUM(L136:N136)</f>
        <v>1785</v>
      </c>
    </row>
    <row r="137" spans="1:16" s="448" customFormat="1" x14ac:dyDescent="0.25">
      <c r="A137" s="451"/>
      <c r="B137" s="442" t="s">
        <v>140</v>
      </c>
      <c r="C137" s="674"/>
      <c r="D137" s="674"/>
      <c r="E137" s="674"/>
      <c r="F137" s="674"/>
      <c r="G137" s="674"/>
      <c r="H137" s="674"/>
      <c r="I137" s="674"/>
      <c r="J137" s="674"/>
      <c r="K137" s="674"/>
      <c r="L137" s="674"/>
      <c r="M137" s="674"/>
      <c r="N137" s="674"/>
      <c r="O137" s="674"/>
    </row>
    <row r="138" spans="1:16" s="448" customFormat="1" x14ac:dyDescent="0.25">
      <c r="A138" s="451"/>
      <c r="B138" s="674" t="s">
        <v>1178</v>
      </c>
      <c r="C138" s="674"/>
      <c r="D138" s="674"/>
      <c r="E138" s="674"/>
      <c r="F138" s="674"/>
      <c r="G138" s="674"/>
      <c r="H138" s="674"/>
      <c r="I138" s="674"/>
      <c r="J138" s="674">
        <f t="shared" ref="J138:J142" si="65">SUM(C138+E138+F138+H138)</f>
        <v>0</v>
      </c>
      <c r="K138" s="674">
        <f t="shared" ref="K138:K142" si="66">SUM(D138+G138+I138)</f>
        <v>0</v>
      </c>
      <c r="L138" s="674">
        <f t="shared" ref="L138:L142" si="67">SUM(J138:K138)</f>
        <v>0</v>
      </c>
      <c r="M138" s="674">
        <v>169</v>
      </c>
      <c r="N138" s="674"/>
      <c r="O138" s="674">
        <f t="shared" ref="O138:O142" si="68">SUM(L138:N138)</f>
        <v>169</v>
      </c>
    </row>
    <row r="139" spans="1:16" s="448" customFormat="1" ht="31.5" x14ac:dyDescent="0.25">
      <c r="A139" s="451"/>
      <c r="B139" s="674" t="s">
        <v>628</v>
      </c>
      <c r="C139" s="674"/>
      <c r="D139" s="674"/>
      <c r="E139" s="674"/>
      <c r="F139" s="674"/>
      <c r="G139" s="674"/>
      <c r="H139" s="674"/>
      <c r="I139" s="674"/>
      <c r="J139" s="674">
        <f t="shared" si="65"/>
        <v>0</v>
      </c>
      <c r="K139" s="674">
        <f t="shared" si="66"/>
        <v>0</v>
      </c>
      <c r="L139" s="674">
        <f t="shared" si="67"/>
        <v>0</v>
      </c>
      <c r="M139" s="674">
        <v>2450</v>
      </c>
      <c r="N139" s="674"/>
      <c r="O139" s="674">
        <f t="shared" si="68"/>
        <v>2450</v>
      </c>
    </row>
    <row r="140" spans="1:16" s="448" customFormat="1" ht="31.5" x14ac:dyDescent="0.25">
      <c r="A140" s="451"/>
      <c r="B140" s="674" t="s">
        <v>928</v>
      </c>
      <c r="C140" s="674"/>
      <c r="D140" s="674"/>
      <c r="E140" s="674"/>
      <c r="F140" s="674"/>
      <c r="G140" s="674"/>
      <c r="H140" s="674"/>
      <c r="I140" s="674"/>
      <c r="J140" s="674">
        <f t="shared" si="65"/>
        <v>0</v>
      </c>
      <c r="K140" s="674">
        <f t="shared" si="66"/>
        <v>0</v>
      </c>
      <c r="L140" s="674">
        <f t="shared" si="67"/>
        <v>0</v>
      </c>
      <c r="M140" s="674">
        <v>1530</v>
      </c>
      <c r="N140" s="674"/>
      <c r="O140" s="674">
        <f t="shared" si="68"/>
        <v>1530</v>
      </c>
    </row>
    <row r="141" spans="1:16" s="448" customFormat="1" x14ac:dyDescent="0.25">
      <c r="A141" s="451"/>
      <c r="B141" s="442" t="s">
        <v>141</v>
      </c>
      <c r="C141" s="674"/>
      <c r="D141" s="674"/>
      <c r="E141" s="674"/>
      <c r="F141" s="674"/>
      <c r="G141" s="674"/>
      <c r="H141" s="674"/>
      <c r="I141" s="674"/>
      <c r="J141" s="674"/>
      <c r="K141" s="674"/>
      <c r="L141" s="674"/>
      <c r="M141" s="674"/>
      <c r="N141" s="674"/>
      <c r="O141" s="674"/>
    </row>
    <row r="142" spans="1:16" s="448" customFormat="1" ht="16.5" thickBot="1" x14ac:dyDescent="0.3">
      <c r="A142" s="451"/>
      <c r="B142" s="674" t="s">
        <v>1172</v>
      </c>
      <c r="C142" s="674"/>
      <c r="D142" s="674"/>
      <c r="E142" s="674"/>
      <c r="F142" s="674"/>
      <c r="G142" s="674"/>
      <c r="H142" s="674"/>
      <c r="I142" s="674"/>
      <c r="J142" s="674">
        <f t="shared" si="65"/>
        <v>0</v>
      </c>
      <c r="K142" s="674">
        <f t="shared" si="66"/>
        <v>0</v>
      </c>
      <c r="L142" s="674">
        <f t="shared" si="67"/>
        <v>0</v>
      </c>
      <c r="M142" s="674">
        <v>2320</v>
      </c>
      <c r="N142" s="674"/>
      <c r="O142" s="674">
        <f t="shared" si="68"/>
        <v>2320</v>
      </c>
    </row>
    <row r="143" spans="1:16" ht="17.25" thickTop="1" thickBot="1" x14ac:dyDescent="0.3">
      <c r="A143" s="433"/>
      <c r="B143" s="432" t="s">
        <v>430</v>
      </c>
      <c r="C143" s="432">
        <f>+C134+C138+C142+C139+C140</f>
        <v>19810</v>
      </c>
      <c r="D143" s="432">
        <f t="shared" ref="D143:O143" si="69">+D134+D138+D142+D139+D140</f>
        <v>0</v>
      </c>
      <c r="E143" s="432">
        <f t="shared" si="69"/>
        <v>0</v>
      </c>
      <c r="F143" s="432">
        <f t="shared" si="69"/>
        <v>6361</v>
      </c>
      <c r="G143" s="432">
        <f t="shared" si="69"/>
        <v>0</v>
      </c>
      <c r="H143" s="432">
        <f t="shared" si="69"/>
        <v>0</v>
      </c>
      <c r="I143" s="432">
        <f t="shared" si="69"/>
        <v>0</v>
      </c>
      <c r="J143" s="432">
        <f t="shared" si="69"/>
        <v>26171</v>
      </c>
      <c r="K143" s="432">
        <f t="shared" si="69"/>
        <v>0</v>
      </c>
      <c r="L143" s="432">
        <f t="shared" si="69"/>
        <v>26171</v>
      </c>
      <c r="M143" s="432">
        <f t="shared" si="69"/>
        <v>251070</v>
      </c>
      <c r="N143" s="432">
        <f t="shared" si="69"/>
        <v>5</v>
      </c>
      <c r="O143" s="432">
        <f t="shared" si="69"/>
        <v>277246</v>
      </c>
      <c r="P143" s="429">
        <f>O144+O145</f>
        <v>277246</v>
      </c>
    </row>
    <row r="144" spans="1:16" ht="17.25" thickTop="1" thickBot="1" x14ac:dyDescent="0.3">
      <c r="A144" s="433"/>
      <c r="B144" s="432" t="s">
        <v>429</v>
      </c>
      <c r="C144" s="432">
        <f>+C135+C138+C139+C140</f>
        <v>19810</v>
      </c>
      <c r="D144" s="432">
        <f t="shared" ref="D144:O144" si="70">+D135+D138+D139+D140</f>
        <v>0</v>
      </c>
      <c r="E144" s="432">
        <f t="shared" si="70"/>
        <v>0</v>
      </c>
      <c r="F144" s="432">
        <f t="shared" si="70"/>
        <v>6361</v>
      </c>
      <c r="G144" s="432">
        <f t="shared" si="70"/>
        <v>0</v>
      </c>
      <c r="H144" s="432">
        <f t="shared" si="70"/>
        <v>0</v>
      </c>
      <c r="I144" s="432">
        <f t="shared" si="70"/>
        <v>0</v>
      </c>
      <c r="J144" s="432">
        <f t="shared" si="70"/>
        <v>26171</v>
      </c>
      <c r="K144" s="432">
        <f t="shared" si="70"/>
        <v>0</v>
      </c>
      <c r="L144" s="432">
        <f t="shared" si="70"/>
        <v>26171</v>
      </c>
      <c r="M144" s="432">
        <f t="shared" si="70"/>
        <v>246965</v>
      </c>
      <c r="N144" s="432">
        <f t="shared" si="70"/>
        <v>5</v>
      </c>
      <c r="O144" s="432">
        <f t="shared" si="70"/>
        <v>273141</v>
      </c>
    </row>
    <row r="145" spans="1:16" ht="17.25" thickTop="1" thickBot="1" x14ac:dyDescent="0.3">
      <c r="A145" s="433"/>
      <c r="B145" s="432" t="s">
        <v>428</v>
      </c>
      <c r="C145" s="432">
        <f>+C136+C142</f>
        <v>0</v>
      </c>
      <c r="D145" s="432">
        <f t="shared" ref="D145:O145" si="71">+D136+D142</f>
        <v>0</v>
      </c>
      <c r="E145" s="432">
        <f t="shared" si="71"/>
        <v>0</v>
      </c>
      <c r="F145" s="432">
        <f t="shared" si="71"/>
        <v>0</v>
      </c>
      <c r="G145" s="432">
        <f t="shared" si="71"/>
        <v>0</v>
      </c>
      <c r="H145" s="432">
        <f t="shared" si="71"/>
        <v>0</v>
      </c>
      <c r="I145" s="432">
        <f t="shared" si="71"/>
        <v>0</v>
      </c>
      <c r="J145" s="432">
        <f t="shared" si="71"/>
        <v>0</v>
      </c>
      <c r="K145" s="432">
        <f t="shared" si="71"/>
        <v>0</v>
      </c>
      <c r="L145" s="432">
        <f t="shared" si="71"/>
        <v>0</v>
      </c>
      <c r="M145" s="432">
        <f t="shared" si="71"/>
        <v>4105</v>
      </c>
      <c r="N145" s="432">
        <f t="shared" si="71"/>
        <v>0</v>
      </c>
      <c r="O145" s="432">
        <f t="shared" si="71"/>
        <v>4105</v>
      </c>
    </row>
    <row r="146" spans="1:16" ht="32.25" thickTop="1" x14ac:dyDescent="0.25">
      <c r="A146" s="443" t="s">
        <v>1</v>
      </c>
      <c r="B146" s="445" t="s">
        <v>1185</v>
      </c>
      <c r="C146" s="445"/>
      <c r="D146" s="445"/>
      <c r="E146" s="445"/>
      <c r="F146" s="445"/>
      <c r="G146" s="445"/>
      <c r="H146" s="445"/>
      <c r="I146" s="445"/>
      <c r="J146" s="445"/>
      <c r="K146" s="445"/>
      <c r="L146" s="445"/>
      <c r="M146" s="445"/>
      <c r="N146" s="445"/>
      <c r="O146" s="445"/>
    </row>
    <row r="147" spans="1:16" x14ac:dyDescent="0.25">
      <c r="A147" s="443"/>
      <c r="B147" s="441" t="s">
        <v>389</v>
      </c>
      <c r="C147" s="441">
        <v>11789</v>
      </c>
      <c r="D147" s="441"/>
      <c r="E147" s="441"/>
      <c r="F147" s="441">
        <v>15357</v>
      </c>
      <c r="G147" s="441"/>
      <c r="H147" s="441"/>
      <c r="I147" s="441"/>
      <c r="J147" s="441">
        <f>SUM(C147+E147+F147+H147)</f>
        <v>27146</v>
      </c>
      <c r="K147" s="441">
        <f>SUM(D147+G147+I147)</f>
        <v>0</v>
      </c>
      <c r="L147" s="441">
        <f>SUM(J147:K147)</f>
        <v>27146</v>
      </c>
      <c r="M147" s="441">
        <v>280945</v>
      </c>
      <c r="N147" s="441">
        <v>4520</v>
      </c>
      <c r="O147" s="441">
        <f>SUM(L147:N147)</f>
        <v>312611</v>
      </c>
    </row>
    <row r="148" spans="1:16" s="448" customFormat="1" x14ac:dyDescent="0.25">
      <c r="A148" s="451"/>
      <c r="B148" s="442" t="s">
        <v>432</v>
      </c>
      <c r="C148" s="442">
        <v>11789</v>
      </c>
      <c r="D148" s="442"/>
      <c r="E148" s="442"/>
      <c r="F148" s="442">
        <v>15357</v>
      </c>
      <c r="G148" s="442"/>
      <c r="H148" s="442"/>
      <c r="I148" s="442"/>
      <c r="J148" s="449">
        <f>SUM(C148+E148+F148+H148)</f>
        <v>27146</v>
      </c>
      <c r="K148" s="449">
        <f>SUM(D148+G148+I148)</f>
        <v>0</v>
      </c>
      <c r="L148" s="449">
        <f>SUM(J148:K148)</f>
        <v>27146</v>
      </c>
      <c r="M148" s="449">
        <v>278985</v>
      </c>
      <c r="N148" s="449">
        <v>4520</v>
      </c>
      <c r="O148" s="449">
        <f>SUM(L148:N148)</f>
        <v>310651</v>
      </c>
    </row>
    <row r="149" spans="1:16" s="448" customFormat="1" x14ac:dyDescent="0.25">
      <c r="A149" s="451"/>
      <c r="B149" s="442" t="s">
        <v>431</v>
      </c>
      <c r="C149" s="442"/>
      <c r="D149" s="442"/>
      <c r="E149" s="442"/>
      <c r="F149" s="442"/>
      <c r="G149" s="442"/>
      <c r="H149" s="442"/>
      <c r="I149" s="442"/>
      <c r="J149" s="449">
        <f>SUM(C149+E149+F149+H149)</f>
        <v>0</v>
      </c>
      <c r="K149" s="449">
        <f>SUM(D149+G149+I149)</f>
        <v>0</v>
      </c>
      <c r="L149" s="449">
        <f>SUM(J149:K149)</f>
        <v>0</v>
      </c>
      <c r="M149" s="449">
        <v>1960</v>
      </c>
      <c r="N149" s="449"/>
      <c r="O149" s="449">
        <f>SUM(L149:N149)</f>
        <v>1960</v>
      </c>
    </row>
    <row r="150" spans="1:16" s="448" customFormat="1" x14ac:dyDescent="0.25">
      <c r="A150" s="451"/>
      <c r="B150" s="442" t="s">
        <v>140</v>
      </c>
      <c r="C150" s="674"/>
      <c r="D150" s="674"/>
      <c r="E150" s="674"/>
      <c r="F150" s="674"/>
      <c r="G150" s="674"/>
      <c r="H150" s="674"/>
      <c r="I150" s="674"/>
      <c r="J150" s="674"/>
      <c r="K150" s="674"/>
      <c r="L150" s="674"/>
      <c r="M150" s="674"/>
      <c r="N150" s="674"/>
      <c r="O150" s="674"/>
    </row>
    <row r="151" spans="1:16" s="448" customFormat="1" ht="31.5" x14ac:dyDescent="0.25">
      <c r="A151" s="451"/>
      <c r="B151" s="674" t="s">
        <v>1168</v>
      </c>
      <c r="C151" s="674"/>
      <c r="D151" s="674"/>
      <c r="E151" s="674"/>
      <c r="F151" s="674"/>
      <c r="G151" s="674"/>
      <c r="H151" s="674"/>
      <c r="I151" s="674"/>
      <c r="J151" s="674">
        <f t="shared" ref="J151:J157" si="72">SUM(C151+E151+F151+H151)</f>
        <v>0</v>
      </c>
      <c r="K151" s="674">
        <f t="shared" ref="K151:K157" si="73">SUM(D151+G151+I151)</f>
        <v>0</v>
      </c>
      <c r="L151" s="674">
        <f t="shared" ref="L151:L157" si="74">SUM(J151:K151)</f>
        <v>0</v>
      </c>
      <c r="M151" s="674">
        <v>163</v>
      </c>
      <c r="N151" s="674"/>
      <c r="O151" s="674">
        <f t="shared" ref="O151:O157" si="75">SUM(L151:N151)</f>
        <v>163</v>
      </c>
    </row>
    <row r="152" spans="1:16" s="448" customFormat="1" x14ac:dyDescent="0.25">
      <c r="A152" s="451"/>
      <c r="B152" s="674" t="s">
        <v>1186</v>
      </c>
      <c r="C152" s="674"/>
      <c r="D152" s="674"/>
      <c r="E152" s="674"/>
      <c r="F152" s="674"/>
      <c r="G152" s="674"/>
      <c r="H152" s="674"/>
      <c r="I152" s="674"/>
      <c r="J152" s="674">
        <f t="shared" si="72"/>
        <v>0</v>
      </c>
      <c r="K152" s="674">
        <f t="shared" si="73"/>
        <v>0</v>
      </c>
      <c r="L152" s="674">
        <f t="shared" si="74"/>
        <v>0</v>
      </c>
      <c r="M152" s="674">
        <v>231</v>
      </c>
      <c r="N152" s="674"/>
      <c r="O152" s="674">
        <f t="shared" si="75"/>
        <v>231</v>
      </c>
    </row>
    <row r="153" spans="1:16" s="448" customFormat="1" ht="31.5" x14ac:dyDescent="0.25">
      <c r="A153" s="451"/>
      <c r="B153" s="674" t="s">
        <v>628</v>
      </c>
      <c r="C153" s="674"/>
      <c r="D153" s="674"/>
      <c r="E153" s="674"/>
      <c r="F153" s="674"/>
      <c r="G153" s="674"/>
      <c r="H153" s="674"/>
      <c r="I153" s="674"/>
      <c r="J153" s="674">
        <f t="shared" si="72"/>
        <v>0</v>
      </c>
      <c r="K153" s="674">
        <f t="shared" si="73"/>
        <v>0</v>
      </c>
      <c r="L153" s="674">
        <f t="shared" si="74"/>
        <v>0</v>
      </c>
      <c r="M153" s="674">
        <v>633</v>
      </c>
      <c r="N153" s="674"/>
      <c r="O153" s="674">
        <f t="shared" si="75"/>
        <v>633</v>
      </c>
    </row>
    <row r="154" spans="1:16" s="448" customFormat="1" ht="31.5" x14ac:dyDescent="0.25">
      <c r="A154" s="451"/>
      <c r="B154" s="674" t="s">
        <v>928</v>
      </c>
      <c r="C154" s="674"/>
      <c r="D154" s="674"/>
      <c r="E154" s="674"/>
      <c r="F154" s="674"/>
      <c r="G154" s="674"/>
      <c r="H154" s="674"/>
      <c r="I154" s="674"/>
      <c r="J154" s="674">
        <f t="shared" si="72"/>
        <v>0</v>
      </c>
      <c r="K154" s="674">
        <f t="shared" si="73"/>
        <v>0</v>
      </c>
      <c r="L154" s="674">
        <f t="shared" si="74"/>
        <v>0</v>
      </c>
      <c r="M154" s="674">
        <v>2413</v>
      </c>
      <c r="N154" s="674"/>
      <c r="O154" s="674">
        <f t="shared" si="75"/>
        <v>2413</v>
      </c>
    </row>
    <row r="155" spans="1:16" s="448" customFormat="1" ht="47.25" x14ac:dyDescent="0.25">
      <c r="A155" s="451"/>
      <c r="B155" s="674" t="s">
        <v>1182</v>
      </c>
      <c r="C155" s="674"/>
      <c r="D155" s="674"/>
      <c r="E155" s="674"/>
      <c r="F155" s="674"/>
      <c r="G155" s="674"/>
      <c r="H155" s="674"/>
      <c r="I155" s="674"/>
      <c r="J155" s="674">
        <f t="shared" si="72"/>
        <v>0</v>
      </c>
      <c r="K155" s="674">
        <f t="shared" si="73"/>
        <v>0</v>
      </c>
      <c r="L155" s="674">
        <f t="shared" si="74"/>
        <v>0</v>
      </c>
      <c r="M155" s="674">
        <v>7112</v>
      </c>
      <c r="N155" s="674"/>
      <c r="O155" s="674">
        <f t="shared" si="75"/>
        <v>7112</v>
      </c>
    </row>
    <row r="156" spans="1:16" s="448" customFormat="1" x14ac:dyDescent="0.25">
      <c r="A156" s="451"/>
      <c r="B156" s="442" t="s">
        <v>141</v>
      </c>
      <c r="C156" s="674"/>
      <c r="D156" s="674"/>
      <c r="E156" s="674"/>
      <c r="F156" s="674"/>
      <c r="G156" s="674"/>
      <c r="H156" s="674"/>
      <c r="I156" s="674"/>
      <c r="J156" s="674"/>
      <c r="K156" s="674"/>
      <c r="L156" s="674"/>
      <c r="M156" s="674"/>
      <c r="N156" s="674"/>
      <c r="O156" s="674"/>
    </row>
    <row r="157" spans="1:16" s="448" customFormat="1" ht="16.5" thickBot="1" x14ac:dyDescent="0.3">
      <c r="A157" s="451"/>
      <c r="B157" s="674" t="s">
        <v>1172</v>
      </c>
      <c r="C157" s="674"/>
      <c r="D157" s="674"/>
      <c r="E157" s="674"/>
      <c r="F157" s="674"/>
      <c r="G157" s="674"/>
      <c r="H157" s="674"/>
      <c r="I157" s="674"/>
      <c r="J157" s="674">
        <f t="shared" si="72"/>
        <v>0</v>
      </c>
      <c r="K157" s="674">
        <f t="shared" si="73"/>
        <v>0</v>
      </c>
      <c r="L157" s="674">
        <f t="shared" si="74"/>
        <v>0</v>
      </c>
      <c r="M157" s="674">
        <v>2555</v>
      </c>
      <c r="N157" s="674"/>
      <c r="O157" s="674">
        <f t="shared" si="75"/>
        <v>2555</v>
      </c>
    </row>
    <row r="158" spans="1:16" ht="17.25" thickTop="1" thickBot="1" x14ac:dyDescent="0.3">
      <c r="A158" s="433"/>
      <c r="B158" s="432" t="s">
        <v>430</v>
      </c>
      <c r="C158" s="432">
        <f>+C147+C151+C157+C152+C153+C154+C155</f>
        <v>11789</v>
      </c>
      <c r="D158" s="432">
        <f t="shared" ref="D158:O158" si="76">+D147+D151+D157+D152+D153+D154+D155</f>
        <v>0</v>
      </c>
      <c r="E158" s="432">
        <f t="shared" si="76"/>
        <v>0</v>
      </c>
      <c r="F158" s="432">
        <f t="shared" si="76"/>
        <v>15357</v>
      </c>
      <c r="G158" s="432">
        <f t="shared" si="76"/>
        <v>0</v>
      </c>
      <c r="H158" s="432">
        <f t="shared" si="76"/>
        <v>0</v>
      </c>
      <c r="I158" s="432">
        <f t="shared" si="76"/>
        <v>0</v>
      </c>
      <c r="J158" s="432">
        <f t="shared" si="76"/>
        <v>27146</v>
      </c>
      <c r="K158" s="432">
        <f t="shared" si="76"/>
        <v>0</v>
      </c>
      <c r="L158" s="432">
        <f t="shared" si="76"/>
        <v>27146</v>
      </c>
      <c r="M158" s="432">
        <f t="shared" si="76"/>
        <v>294052</v>
      </c>
      <c r="N158" s="432">
        <f t="shared" si="76"/>
        <v>4520</v>
      </c>
      <c r="O158" s="432">
        <f t="shared" si="76"/>
        <v>325718</v>
      </c>
      <c r="P158" s="429">
        <f>O159+O160</f>
        <v>325718</v>
      </c>
    </row>
    <row r="159" spans="1:16" ht="17.25" thickTop="1" thickBot="1" x14ac:dyDescent="0.3">
      <c r="A159" s="433"/>
      <c r="B159" s="432" t="s">
        <v>429</v>
      </c>
      <c r="C159" s="432">
        <f t="shared" ref="C159:O159" si="77">+C148+C151+C152+C153+C154+C155</f>
        <v>11789</v>
      </c>
      <c r="D159" s="432">
        <f t="shared" si="77"/>
        <v>0</v>
      </c>
      <c r="E159" s="432">
        <f t="shared" si="77"/>
        <v>0</v>
      </c>
      <c r="F159" s="432">
        <f t="shared" si="77"/>
        <v>15357</v>
      </c>
      <c r="G159" s="432">
        <f t="shared" si="77"/>
        <v>0</v>
      </c>
      <c r="H159" s="432">
        <f t="shared" si="77"/>
        <v>0</v>
      </c>
      <c r="I159" s="432">
        <f t="shared" si="77"/>
        <v>0</v>
      </c>
      <c r="J159" s="432">
        <f t="shared" si="77"/>
        <v>27146</v>
      </c>
      <c r="K159" s="432">
        <f t="shared" si="77"/>
        <v>0</v>
      </c>
      <c r="L159" s="432">
        <f t="shared" si="77"/>
        <v>27146</v>
      </c>
      <c r="M159" s="432">
        <f t="shared" si="77"/>
        <v>289537</v>
      </c>
      <c r="N159" s="432">
        <f t="shared" si="77"/>
        <v>4520</v>
      </c>
      <c r="O159" s="432">
        <f t="shared" si="77"/>
        <v>321203</v>
      </c>
    </row>
    <row r="160" spans="1:16" ht="17.25" thickTop="1" thickBot="1" x14ac:dyDescent="0.3">
      <c r="A160" s="433"/>
      <c r="B160" s="432" t="s">
        <v>428</v>
      </c>
      <c r="C160" s="432">
        <f>+C149+C157</f>
        <v>0</v>
      </c>
      <c r="D160" s="432">
        <f t="shared" ref="D160:O160" si="78">+D149+D157</f>
        <v>0</v>
      </c>
      <c r="E160" s="432">
        <f t="shared" si="78"/>
        <v>0</v>
      </c>
      <c r="F160" s="432">
        <f t="shared" si="78"/>
        <v>0</v>
      </c>
      <c r="G160" s="432">
        <f t="shared" si="78"/>
        <v>0</v>
      </c>
      <c r="H160" s="432">
        <f t="shared" si="78"/>
        <v>0</v>
      </c>
      <c r="I160" s="432">
        <f t="shared" si="78"/>
        <v>0</v>
      </c>
      <c r="J160" s="432">
        <f t="shared" si="78"/>
        <v>0</v>
      </c>
      <c r="K160" s="432">
        <f t="shared" si="78"/>
        <v>0</v>
      </c>
      <c r="L160" s="432">
        <f t="shared" si="78"/>
        <v>0</v>
      </c>
      <c r="M160" s="432">
        <f t="shared" si="78"/>
        <v>4515</v>
      </c>
      <c r="N160" s="432">
        <f t="shared" si="78"/>
        <v>0</v>
      </c>
      <c r="O160" s="432">
        <f t="shared" si="78"/>
        <v>4515</v>
      </c>
    </row>
    <row r="161" spans="1:16" ht="16.5" thickTop="1" x14ac:dyDescent="0.25">
      <c r="A161" s="447" t="s">
        <v>2</v>
      </c>
      <c r="B161" s="445" t="s">
        <v>455</v>
      </c>
      <c r="C161" s="445"/>
      <c r="D161" s="445"/>
      <c r="E161" s="445"/>
      <c r="F161" s="445"/>
      <c r="G161" s="445"/>
      <c r="H161" s="445"/>
      <c r="I161" s="445"/>
      <c r="J161" s="445"/>
      <c r="K161" s="445"/>
      <c r="L161" s="445"/>
      <c r="M161" s="445"/>
      <c r="N161" s="445"/>
      <c r="O161" s="445"/>
    </row>
    <row r="162" spans="1:16" x14ac:dyDescent="0.25">
      <c r="A162" s="447"/>
      <c r="B162" s="445" t="s">
        <v>389</v>
      </c>
      <c r="C162" s="445">
        <v>10813</v>
      </c>
      <c r="D162" s="445"/>
      <c r="E162" s="445"/>
      <c r="F162" s="445">
        <v>7457</v>
      </c>
      <c r="G162" s="445"/>
      <c r="H162" s="445"/>
      <c r="I162" s="445"/>
      <c r="J162" s="441">
        <f>SUM(C162+E162+F162+H162)</f>
        <v>18270</v>
      </c>
      <c r="K162" s="441">
        <f>SUM(D162+G162+I162)</f>
        <v>0</v>
      </c>
      <c r="L162" s="441">
        <f>SUM(J162:K162)</f>
        <v>18270</v>
      </c>
      <c r="M162" s="441">
        <v>176690</v>
      </c>
      <c r="N162" s="441">
        <v>649</v>
      </c>
      <c r="O162" s="441">
        <f>SUM(L162:N162)</f>
        <v>195609</v>
      </c>
    </row>
    <row r="163" spans="1:16" s="448" customFormat="1" x14ac:dyDescent="0.25">
      <c r="A163" s="450"/>
      <c r="B163" s="442" t="s">
        <v>432</v>
      </c>
      <c r="C163" s="442">
        <v>10813</v>
      </c>
      <c r="D163" s="442"/>
      <c r="E163" s="442"/>
      <c r="F163" s="442">
        <v>7457</v>
      </c>
      <c r="G163" s="442"/>
      <c r="H163" s="442"/>
      <c r="I163" s="442"/>
      <c r="J163" s="449">
        <f>SUM(C163+E163+F163+H163)</f>
        <v>18270</v>
      </c>
      <c r="K163" s="449">
        <f>SUM(D163+G163+I163)</f>
        <v>0</v>
      </c>
      <c r="L163" s="449">
        <f>SUM(J163:K163)</f>
        <v>18270</v>
      </c>
      <c r="M163" s="449">
        <v>175178</v>
      </c>
      <c r="N163" s="449">
        <v>649</v>
      </c>
      <c r="O163" s="449">
        <f>SUM(L163:N163)</f>
        <v>194097</v>
      </c>
    </row>
    <row r="164" spans="1:16" s="448" customFormat="1" x14ac:dyDescent="0.25">
      <c r="A164" s="450"/>
      <c r="B164" s="442" t="s">
        <v>431</v>
      </c>
      <c r="C164" s="442"/>
      <c r="D164" s="442"/>
      <c r="E164" s="442"/>
      <c r="F164" s="442"/>
      <c r="G164" s="442"/>
      <c r="H164" s="442"/>
      <c r="I164" s="442"/>
      <c r="J164" s="449">
        <f>SUM(C164+E164+F164+H164)</f>
        <v>0</v>
      </c>
      <c r="K164" s="449">
        <f>SUM(D164+G164+I164)</f>
        <v>0</v>
      </c>
      <c r="L164" s="449">
        <f>SUM(J164:K164)</f>
        <v>0</v>
      </c>
      <c r="M164" s="449">
        <v>1512</v>
      </c>
      <c r="N164" s="449"/>
      <c r="O164" s="449">
        <f>SUM(L164:N164)</f>
        <v>1512</v>
      </c>
    </row>
    <row r="165" spans="1:16" x14ac:dyDescent="0.25">
      <c r="A165" s="447"/>
      <c r="B165" s="446" t="s">
        <v>140</v>
      </c>
      <c r="C165" s="446"/>
      <c r="D165" s="446"/>
      <c r="E165" s="446"/>
      <c r="F165" s="446"/>
      <c r="G165" s="446"/>
      <c r="H165" s="446"/>
      <c r="I165" s="446"/>
      <c r="J165" s="445"/>
      <c r="K165" s="445"/>
      <c r="L165" s="445"/>
      <c r="M165" s="445"/>
      <c r="N165" s="445"/>
      <c r="O165" s="445"/>
    </row>
    <row r="166" spans="1:16" ht="31.5" x14ac:dyDescent="0.25">
      <c r="A166" s="447"/>
      <c r="B166" s="674" t="s">
        <v>1168</v>
      </c>
      <c r="C166" s="446"/>
      <c r="D166" s="446"/>
      <c r="E166" s="446"/>
      <c r="F166" s="446"/>
      <c r="G166" s="446"/>
      <c r="H166" s="446"/>
      <c r="I166" s="446"/>
      <c r="J166" s="445">
        <f>SUM(C166+E166+F166+H166)</f>
        <v>0</v>
      </c>
      <c r="K166" s="445">
        <f>SUM(D166+G166+I166)</f>
        <v>0</v>
      </c>
      <c r="L166" s="445">
        <f>SUM(J166:K166)</f>
        <v>0</v>
      </c>
      <c r="M166" s="445">
        <v>258</v>
      </c>
      <c r="N166" s="445"/>
      <c r="O166" s="445">
        <f>SUM(L166:N166)</f>
        <v>258</v>
      </c>
    </row>
    <row r="167" spans="1:16" ht="31.5" x14ac:dyDescent="0.25">
      <c r="A167" s="447"/>
      <c r="B167" s="674" t="s">
        <v>628</v>
      </c>
      <c r="C167" s="446"/>
      <c r="D167" s="446"/>
      <c r="E167" s="446"/>
      <c r="F167" s="446"/>
      <c r="G167" s="446"/>
      <c r="H167" s="446"/>
      <c r="I167" s="446"/>
      <c r="J167" s="445">
        <f t="shared" ref="J167:J172" si="79">SUM(C167+E167+F167+H167)</f>
        <v>0</v>
      </c>
      <c r="K167" s="445">
        <f t="shared" ref="K167:K172" si="80">SUM(D167+G167+I167)</f>
        <v>0</v>
      </c>
      <c r="L167" s="445">
        <f t="shared" ref="L167:L172" si="81">SUM(J167:K167)</f>
        <v>0</v>
      </c>
      <c r="M167" s="445">
        <v>378</v>
      </c>
      <c r="N167" s="445"/>
      <c r="O167" s="445">
        <f t="shared" ref="O167:O171" si="82">SUM(L167:N167)</f>
        <v>378</v>
      </c>
    </row>
    <row r="168" spans="1:16" ht="31.5" x14ac:dyDescent="0.25">
      <c r="A168" s="447"/>
      <c r="B168" s="675" t="s">
        <v>928</v>
      </c>
      <c r="C168" s="675"/>
      <c r="D168" s="446"/>
      <c r="E168" s="446"/>
      <c r="F168" s="446"/>
      <c r="G168" s="446"/>
      <c r="H168" s="446"/>
      <c r="I168" s="446"/>
      <c r="J168" s="445">
        <f t="shared" si="79"/>
        <v>0</v>
      </c>
      <c r="K168" s="445">
        <f t="shared" si="80"/>
        <v>0</v>
      </c>
      <c r="L168" s="445">
        <f t="shared" si="81"/>
        <v>0</v>
      </c>
      <c r="M168" s="445">
        <v>1407</v>
      </c>
      <c r="N168" s="445"/>
      <c r="O168" s="445">
        <f t="shared" si="82"/>
        <v>1407</v>
      </c>
    </row>
    <row r="169" spans="1:16" ht="47.25" x14ac:dyDescent="0.25">
      <c r="A169" s="447"/>
      <c r="B169" s="675" t="s">
        <v>1182</v>
      </c>
      <c r="C169" s="675"/>
      <c r="D169" s="446"/>
      <c r="E169" s="446"/>
      <c r="F169" s="446"/>
      <c r="G169" s="446"/>
      <c r="H169" s="446"/>
      <c r="I169" s="446"/>
      <c r="J169" s="445">
        <f t="shared" si="79"/>
        <v>0</v>
      </c>
      <c r="K169" s="445">
        <f t="shared" si="80"/>
        <v>0</v>
      </c>
      <c r="L169" s="445">
        <f t="shared" si="81"/>
        <v>0</v>
      </c>
      <c r="M169" s="445">
        <v>4280</v>
      </c>
      <c r="N169" s="445"/>
      <c r="O169" s="445">
        <f t="shared" si="82"/>
        <v>4280</v>
      </c>
    </row>
    <row r="170" spans="1:16" x14ac:dyDescent="0.25">
      <c r="A170" s="447"/>
      <c r="B170" s="446" t="s">
        <v>141</v>
      </c>
      <c r="C170" s="446"/>
      <c r="D170" s="446"/>
      <c r="E170" s="446"/>
      <c r="F170" s="446"/>
      <c r="G170" s="446"/>
      <c r="H170" s="446"/>
      <c r="I170" s="446"/>
      <c r="J170" s="445"/>
      <c r="K170" s="445"/>
      <c r="L170" s="445"/>
      <c r="M170" s="445"/>
      <c r="N170" s="445"/>
      <c r="O170" s="445"/>
    </row>
    <row r="171" spans="1:16" x14ac:dyDescent="0.25">
      <c r="A171" s="447"/>
      <c r="B171" s="674" t="s">
        <v>1172</v>
      </c>
      <c r="C171" s="446"/>
      <c r="D171" s="446"/>
      <c r="E171" s="446"/>
      <c r="F171" s="446"/>
      <c r="G171" s="446"/>
      <c r="H171" s="446"/>
      <c r="I171" s="446"/>
      <c r="J171" s="445">
        <f t="shared" si="79"/>
        <v>0</v>
      </c>
      <c r="K171" s="445">
        <f t="shared" si="80"/>
        <v>0</v>
      </c>
      <c r="L171" s="445">
        <f t="shared" si="81"/>
        <v>0</v>
      </c>
      <c r="M171" s="445">
        <v>1579</v>
      </c>
      <c r="N171" s="445"/>
      <c r="O171" s="445">
        <f t="shared" si="82"/>
        <v>1579</v>
      </c>
    </row>
    <row r="172" spans="1:16" s="448" customFormat="1" ht="32.25" thickBot="1" x14ac:dyDescent="0.3">
      <c r="A172" s="450"/>
      <c r="B172" s="445" t="s">
        <v>1187</v>
      </c>
      <c r="C172" s="674"/>
      <c r="D172" s="674"/>
      <c r="E172" s="674"/>
      <c r="F172" s="674"/>
      <c r="G172" s="674"/>
      <c r="H172" s="674"/>
      <c r="I172" s="674"/>
      <c r="J172" s="674">
        <f t="shared" si="79"/>
        <v>0</v>
      </c>
      <c r="K172" s="674">
        <f t="shared" si="80"/>
        <v>0</v>
      </c>
      <c r="L172" s="674">
        <f t="shared" si="81"/>
        <v>0</v>
      </c>
      <c r="M172" s="674">
        <v>250</v>
      </c>
      <c r="N172" s="674"/>
      <c r="O172" s="674">
        <f>SUM(L172:N172)</f>
        <v>250</v>
      </c>
    </row>
    <row r="173" spans="1:16" ht="17.25" thickTop="1" thickBot="1" x14ac:dyDescent="0.3">
      <c r="A173" s="433"/>
      <c r="B173" s="432" t="s">
        <v>430</v>
      </c>
      <c r="C173" s="432">
        <f>+C162+C166+C167+C171+C172+C168+C169</f>
        <v>10813</v>
      </c>
      <c r="D173" s="432">
        <f t="shared" ref="D173:O173" si="83">+D162+D166+D167+D171+D172+D168+D169</f>
        <v>0</v>
      </c>
      <c r="E173" s="432">
        <f t="shared" si="83"/>
        <v>0</v>
      </c>
      <c r="F173" s="432">
        <f t="shared" si="83"/>
        <v>7457</v>
      </c>
      <c r="G173" s="432">
        <f t="shared" si="83"/>
        <v>0</v>
      </c>
      <c r="H173" s="432">
        <f t="shared" si="83"/>
        <v>0</v>
      </c>
      <c r="I173" s="432">
        <f t="shared" si="83"/>
        <v>0</v>
      </c>
      <c r="J173" s="432">
        <f t="shared" si="83"/>
        <v>18270</v>
      </c>
      <c r="K173" s="432">
        <f t="shared" si="83"/>
        <v>0</v>
      </c>
      <c r="L173" s="432">
        <f t="shared" si="83"/>
        <v>18270</v>
      </c>
      <c r="M173" s="432">
        <f t="shared" si="83"/>
        <v>184842</v>
      </c>
      <c r="N173" s="432">
        <f t="shared" si="83"/>
        <v>649</v>
      </c>
      <c r="O173" s="432">
        <f t="shared" si="83"/>
        <v>203761</v>
      </c>
      <c r="P173" s="429">
        <f>O174+O175</f>
        <v>203761</v>
      </c>
    </row>
    <row r="174" spans="1:16" ht="17.25" thickTop="1" thickBot="1" x14ac:dyDescent="0.3">
      <c r="A174" s="433"/>
      <c r="B174" s="432" t="s">
        <v>429</v>
      </c>
      <c r="C174" s="432">
        <f t="shared" ref="C174:O174" si="84">+C163+C166+C167+C168+C169</f>
        <v>10813</v>
      </c>
      <c r="D174" s="432">
        <f t="shared" si="84"/>
        <v>0</v>
      </c>
      <c r="E174" s="432">
        <f t="shared" si="84"/>
        <v>0</v>
      </c>
      <c r="F174" s="432">
        <f t="shared" si="84"/>
        <v>7457</v>
      </c>
      <c r="G174" s="432">
        <f t="shared" si="84"/>
        <v>0</v>
      </c>
      <c r="H174" s="432">
        <f t="shared" si="84"/>
        <v>0</v>
      </c>
      <c r="I174" s="432">
        <f t="shared" si="84"/>
        <v>0</v>
      </c>
      <c r="J174" s="432">
        <f t="shared" si="84"/>
        <v>18270</v>
      </c>
      <c r="K174" s="432">
        <f t="shared" si="84"/>
        <v>0</v>
      </c>
      <c r="L174" s="432">
        <f t="shared" si="84"/>
        <v>18270</v>
      </c>
      <c r="M174" s="432">
        <f t="shared" si="84"/>
        <v>181501</v>
      </c>
      <c r="N174" s="432">
        <f t="shared" si="84"/>
        <v>649</v>
      </c>
      <c r="O174" s="432">
        <f t="shared" si="84"/>
        <v>200420</v>
      </c>
    </row>
    <row r="175" spans="1:16" ht="17.25" thickTop="1" thickBot="1" x14ac:dyDescent="0.3">
      <c r="A175" s="433"/>
      <c r="B175" s="432" t="s">
        <v>428</v>
      </c>
      <c r="C175" s="432">
        <f>+C164+C171+C172</f>
        <v>0</v>
      </c>
      <c r="D175" s="432">
        <f t="shared" ref="D175:O175" si="85">+D164+D171+D172</f>
        <v>0</v>
      </c>
      <c r="E175" s="432">
        <f t="shared" si="85"/>
        <v>0</v>
      </c>
      <c r="F175" s="432">
        <f t="shared" si="85"/>
        <v>0</v>
      </c>
      <c r="G175" s="432">
        <f t="shared" si="85"/>
        <v>0</v>
      </c>
      <c r="H175" s="432">
        <f t="shared" si="85"/>
        <v>0</v>
      </c>
      <c r="I175" s="432">
        <f t="shared" si="85"/>
        <v>0</v>
      </c>
      <c r="J175" s="432">
        <f t="shared" si="85"/>
        <v>0</v>
      </c>
      <c r="K175" s="432">
        <f t="shared" si="85"/>
        <v>0</v>
      </c>
      <c r="L175" s="432">
        <f t="shared" si="85"/>
        <v>0</v>
      </c>
      <c r="M175" s="432">
        <f t="shared" si="85"/>
        <v>3341</v>
      </c>
      <c r="N175" s="432">
        <f t="shared" si="85"/>
        <v>0</v>
      </c>
      <c r="O175" s="432">
        <f t="shared" si="85"/>
        <v>3341</v>
      </c>
    </row>
    <row r="176" spans="1:16" ht="16.5" thickTop="1" x14ac:dyDescent="0.25">
      <c r="A176" s="443" t="s">
        <v>3</v>
      </c>
      <c r="B176" s="445" t="s">
        <v>454</v>
      </c>
      <c r="C176" s="445"/>
      <c r="D176" s="445"/>
      <c r="E176" s="445"/>
      <c r="F176" s="445"/>
      <c r="G176" s="445"/>
      <c r="H176" s="445"/>
      <c r="I176" s="445"/>
      <c r="J176" s="445"/>
      <c r="K176" s="445"/>
      <c r="L176" s="445"/>
      <c r="M176" s="445"/>
      <c r="N176" s="445"/>
      <c r="O176" s="445"/>
    </row>
    <row r="177" spans="1:16" x14ac:dyDescent="0.25">
      <c r="A177" s="443"/>
      <c r="B177" s="441" t="s">
        <v>389</v>
      </c>
      <c r="C177" s="441">
        <v>11118</v>
      </c>
      <c r="D177" s="441"/>
      <c r="E177" s="441"/>
      <c r="F177" s="441">
        <v>6125</v>
      </c>
      <c r="G177" s="441"/>
      <c r="H177" s="441"/>
      <c r="I177" s="441"/>
      <c r="J177" s="441">
        <f>SUM(C177+E177+F177+H177)</f>
        <v>17243</v>
      </c>
      <c r="K177" s="441">
        <f>SUM(D177+G177+I177)</f>
        <v>0</v>
      </c>
      <c r="L177" s="441">
        <f>SUM(J177:K177)</f>
        <v>17243</v>
      </c>
      <c r="M177" s="441">
        <v>226106</v>
      </c>
      <c r="N177" s="441">
        <v>2485</v>
      </c>
      <c r="O177" s="441">
        <f>SUM(L177:N177)</f>
        <v>245834</v>
      </c>
    </row>
    <row r="178" spans="1:16" s="448" customFormat="1" x14ac:dyDescent="0.25">
      <c r="A178" s="451"/>
      <c r="B178" s="442" t="s">
        <v>432</v>
      </c>
      <c r="C178" s="442">
        <v>11118</v>
      </c>
      <c r="D178" s="442"/>
      <c r="E178" s="442"/>
      <c r="F178" s="442">
        <v>6125</v>
      </c>
      <c r="G178" s="442"/>
      <c r="H178" s="442"/>
      <c r="I178" s="442"/>
      <c r="J178" s="449">
        <f>SUM(C178+E178+F178+H178)</f>
        <v>17243</v>
      </c>
      <c r="K178" s="449">
        <f>SUM(D178+G178+I178)</f>
        <v>0</v>
      </c>
      <c r="L178" s="449">
        <f>SUM(J178:K178)</f>
        <v>17243</v>
      </c>
      <c r="M178" s="449">
        <v>224463</v>
      </c>
      <c r="N178" s="449">
        <v>2485</v>
      </c>
      <c r="O178" s="449">
        <f>SUM(L178:N178)</f>
        <v>244191</v>
      </c>
    </row>
    <row r="179" spans="1:16" s="448" customFormat="1" x14ac:dyDescent="0.25">
      <c r="A179" s="451"/>
      <c r="B179" s="442" t="s">
        <v>431</v>
      </c>
      <c r="C179" s="442"/>
      <c r="D179" s="442"/>
      <c r="E179" s="442"/>
      <c r="F179" s="442"/>
      <c r="G179" s="442"/>
      <c r="H179" s="442"/>
      <c r="I179" s="442"/>
      <c r="J179" s="449">
        <f>SUM(C179+E179+F179+H179)</f>
        <v>0</v>
      </c>
      <c r="K179" s="449">
        <f>SUM(D179+G179+I179)</f>
        <v>0</v>
      </c>
      <c r="L179" s="449">
        <f>SUM(J179:K179)</f>
        <v>0</v>
      </c>
      <c r="M179" s="449">
        <v>1643</v>
      </c>
      <c r="N179" s="449"/>
      <c r="O179" s="449">
        <f>SUM(L179:N179)</f>
        <v>1643</v>
      </c>
    </row>
    <row r="180" spans="1:16" s="448" customFormat="1" x14ac:dyDescent="0.25">
      <c r="A180" s="451"/>
      <c r="B180" s="442" t="s">
        <v>140</v>
      </c>
      <c r="C180" s="674"/>
      <c r="D180" s="674"/>
      <c r="E180" s="674"/>
      <c r="F180" s="674"/>
      <c r="G180" s="674"/>
      <c r="H180" s="674"/>
      <c r="I180" s="674"/>
      <c r="J180" s="674"/>
      <c r="K180" s="674"/>
      <c r="L180" s="674"/>
      <c r="M180" s="674"/>
      <c r="N180" s="674"/>
      <c r="O180" s="674"/>
    </row>
    <row r="181" spans="1:16" s="448" customFormat="1" ht="31.5" x14ac:dyDescent="0.25">
      <c r="A181" s="451"/>
      <c r="B181" s="674" t="s">
        <v>1168</v>
      </c>
      <c r="C181" s="674"/>
      <c r="D181" s="674"/>
      <c r="E181" s="674"/>
      <c r="F181" s="674"/>
      <c r="G181" s="674"/>
      <c r="H181" s="674"/>
      <c r="I181" s="674"/>
      <c r="J181" s="674">
        <f t="shared" ref="J181:J186" si="86">SUM(C181+E181+F181+H181)</f>
        <v>0</v>
      </c>
      <c r="K181" s="674">
        <f t="shared" ref="K181:K186" si="87">SUM(D181+G181+I181)</f>
        <v>0</v>
      </c>
      <c r="L181" s="674">
        <f t="shared" ref="L181:L186" si="88">SUM(J181:K181)</f>
        <v>0</v>
      </c>
      <c r="M181" s="674">
        <v>68</v>
      </c>
      <c r="N181" s="674"/>
      <c r="O181" s="674">
        <f t="shared" ref="O181:O186" si="89">SUM(L181:N181)</f>
        <v>68</v>
      </c>
    </row>
    <row r="182" spans="1:16" s="448" customFormat="1" ht="31.5" x14ac:dyDescent="0.25">
      <c r="A182" s="451"/>
      <c r="B182" s="674" t="s">
        <v>628</v>
      </c>
      <c r="C182" s="674"/>
      <c r="D182" s="674"/>
      <c r="E182" s="674"/>
      <c r="F182" s="674"/>
      <c r="G182" s="674"/>
      <c r="H182" s="674"/>
      <c r="I182" s="674"/>
      <c r="J182" s="674">
        <f t="shared" si="86"/>
        <v>0</v>
      </c>
      <c r="K182" s="674">
        <f t="shared" si="87"/>
        <v>0</v>
      </c>
      <c r="L182" s="674">
        <f t="shared" si="88"/>
        <v>0</v>
      </c>
      <c r="M182" s="674">
        <v>5404</v>
      </c>
      <c r="N182" s="674"/>
      <c r="O182" s="674">
        <f t="shared" si="89"/>
        <v>5404</v>
      </c>
    </row>
    <row r="183" spans="1:16" s="448" customFormat="1" ht="31.5" x14ac:dyDescent="0.25">
      <c r="A183" s="451"/>
      <c r="B183" s="674" t="s">
        <v>928</v>
      </c>
      <c r="C183" s="674"/>
      <c r="D183" s="674"/>
      <c r="E183" s="674"/>
      <c r="F183" s="674"/>
      <c r="G183" s="674"/>
      <c r="H183" s="674"/>
      <c r="I183" s="674"/>
      <c r="J183" s="674">
        <f t="shared" si="86"/>
        <v>0</v>
      </c>
      <c r="K183" s="674">
        <f t="shared" si="87"/>
        <v>0</v>
      </c>
      <c r="L183" s="674">
        <f>SUM(J183:K183)</f>
        <v>0</v>
      </c>
      <c r="M183" s="674">
        <v>162</v>
      </c>
      <c r="N183" s="674"/>
      <c r="O183" s="674">
        <f t="shared" si="89"/>
        <v>162</v>
      </c>
    </row>
    <row r="184" spans="1:16" s="448" customFormat="1" ht="47.25" x14ac:dyDescent="0.25">
      <c r="A184" s="451"/>
      <c r="B184" s="674" t="s">
        <v>1182</v>
      </c>
      <c r="C184" s="674"/>
      <c r="D184" s="674"/>
      <c r="E184" s="674"/>
      <c r="F184" s="674"/>
      <c r="G184" s="674"/>
      <c r="H184" s="674"/>
      <c r="I184" s="674"/>
      <c r="J184" s="674">
        <f t="shared" si="86"/>
        <v>0</v>
      </c>
      <c r="K184" s="674">
        <f t="shared" si="87"/>
        <v>0</v>
      </c>
      <c r="L184" s="674">
        <f>SUM(J184:K184)</f>
        <v>0</v>
      </c>
      <c r="M184" s="674">
        <v>1905</v>
      </c>
      <c r="N184" s="674"/>
      <c r="O184" s="674">
        <f t="shared" si="89"/>
        <v>1905</v>
      </c>
    </row>
    <row r="185" spans="1:16" s="448" customFormat="1" x14ac:dyDescent="0.25">
      <c r="A185" s="451"/>
      <c r="B185" s="442" t="s">
        <v>141</v>
      </c>
      <c r="C185" s="674"/>
      <c r="D185" s="674"/>
      <c r="E185" s="674"/>
      <c r="F185" s="674"/>
      <c r="G185" s="674"/>
      <c r="H185" s="674"/>
      <c r="I185" s="674"/>
      <c r="J185" s="674"/>
      <c r="K185" s="674"/>
      <c r="L185" s="674"/>
      <c r="M185" s="674"/>
      <c r="N185" s="674"/>
      <c r="O185" s="674"/>
    </row>
    <row r="186" spans="1:16" s="448" customFormat="1" ht="16.5" thickBot="1" x14ac:dyDescent="0.3">
      <c r="A186" s="451"/>
      <c r="B186" s="674" t="s">
        <v>1172</v>
      </c>
      <c r="C186" s="674"/>
      <c r="D186" s="674"/>
      <c r="E186" s="674"/>
      <c r="F186" s="674"/>
      <c r="G186" s="674"/>
      <c r="H186" s="674"/>
      <c r="I186" s="674"/>
      <c r="J186" s="674">
        <f t="shared" si="86"/>
        <v>0</v>
      </c>
      <c r="K186" s="674">
        <f t="shared" si="87"/>
        <v>0</v>
      </c>
      <c r="L186" s="674">
        <f t="shared" si="88"/>
        <v>0</v>
      </c>
      <c r="M186" s="674">
        <v>2097</v>
      </c>
      <c r="N186" s="674"/>
      <c r="O186" s="674">
        <f t="shared" si="89"/>
        <v>2097</v>
      </c>
    </row>
    <row r="187" spans="1:16" ht="17.25" thickTop="1" thickBot="1" x14ac:dyDescent="0.3">
      <c r="A187" s="433"/>
      <c r="B187" s="432" t="s">
        <v>430</v>
      </c>
      <c r="C187" s="432">
        <f>+C177+C181+C186+C182+C183+C184</f>
        <v>11118</v>
      </c>
      <c r="D187" s="432">
        <f t="shared" ref="D187:O187" si="90">+D177+D181+D186+D182+D183+D184</f>
        <v>0</v>
      </c>
      <c r="E187" s="432">
        <f t="shared" si="90"/>
        <v>0</v>
      </c>
      <c r="F187" s="432">
        <f t="shared" si="90"/>
        <v>6125</v>
      </c>
      <c r="G187" s="432">
        <f t="shared" si="90"/>
        <v>0</v>
      </c>
      <c r="H187" s="432">
        <f t="shared" si="90"/>
        <v>0</v>
      </c>
      <c r="I187" s="432">
        <f t="shared" si="90"/>
        <v>0</v>
      </c>
      <c r="J187" s="432">
        <f t="shared" si="90"/>
        <v>17243</v>
      </c>
      <c r="K187" s="432">
        <f t="shared" si="90"/>
        <v>0</v>
      </c>
      <c r="L187" s="432">
        <f t="shared" si="90"/>
        <v>17243</v>
      </c>
      <c r="M187" s="432">
        <f t="shared" si="90"/>
        <v>235742</v>
      </c>
      <c r="N187" s="432">
        <f t="shared" si="90"/>
        <v>2485</v>
      </c>
      <c r="O187" s="432">
        <f t="shared" si="90"/>
        <v>255470</v>
      </c>
      <c r="P187" s="429">
        <f>O188+O189</f>
        <v>255470</v>
      </c>
    </row>
    <row r="188" spans="1:16" ht="17.25" thickTop="1" thickBot="1" x14ac:dyDescent="0.3">
      <c r="A188" s="433"/>
      <c r="B188" s="432" t="s">
        <v>429</v>
      </c>
      <c r="C188" s="432">
        <f t="shared" ref="C188:O188" si="91">+C178+C181+C182+C183+C184</f>
        <v>11118</v>
      </c>
      <c r="D188" s="432">
        <f t="shared" si="91"/>
        <v>0</v>
      </c>
      <c r="E188" s="432">
        <f t="shared" si="91"/>
        <v>0</v>
      </c>
      <c r="F188" s="432">
        <f t="shared" si="91"/>
        <v>6125</v>
      </c>
      <c r="G188" s="432">
        <f t="shared" si="91"/>
        <v>0</v>
      </c>
      <c r="H188" s="432">
        <f t="shared" si="91"/>
        <v>0</v>
      </c>
      <c r="I188" s="432">
        <f t="shared" si="91"/>
        <v>0</v>
      </c>
      <c r="J188" s="432">
        <f t="shared" si="91"/>
        <v>17243</v>
      </c>
      <c r="K188" s="432">
        <f t="shared" si="91"/>
        <v>0</v>
      </c>
      <c r="L188" s="432">
        <f t="shared" si="91"/>
        <v>17243</v>
      </c>
      <c r="M188" s="432">
        <f t="shared" si="91"/>
        <v>232002</v>
      </c>
      <c r="N188" s="432">
        <f t="shared" si="91"/>
        <v>2485</v>
      </c>
      <c r="O188" s="432">
        <f t="shared" si="91"/>
        <v>251730</v>
      </c>
    </row>
    <row r="189" spans="1:16" ht="17.25" thickTop="1" thickBot="1" x14ac:dyDescent="0.3">
      <c r="A189" s="433"/>
      <c r="B189" s="432" t="s">
        <v>428</v>
      </c>
      <c r="C189" s="432">
        <f>+C179+C186</f>
        <v>0</v>
      </c>
      <c r="D189" s="432">
        <f t="shared" ref="D189:O189" si="92">+D179+D186</f>
        <v>0</v>
      </c>
      <c r="E189" s="432">
        <f t="shared" si="92"/>
        <v>0</v>
      </c>
      <c r="F189" s="432">
        <f t="shared" si="92"/>
        <v>0</v>
      </c>
      <c r="G189" s="432">
        <f t="shared" si="92"/>
        <v>0</v>
      </c>
      <c r="H189" s="432">
        <f t="shared" si="92"/>
        <v>0</v>
      </c>
      <c r="I189" s="432">
        <f t="shared" si="92"/>
        <v>0</v>
      </c>
      <c r="J189" s="432">
        <f t="shared" si="92"/>
        <v>0</v>
      </c>
      <c r="K189" s="432">
        <f t="shared" si="92"/>
        <v>0</v>
      </c>
      <c r="L189" s="432">
        <f t="shared" si="92"/>
        <v>0</v>
      </c>
      <c r="M189" s="432">
        <f t="shared" si="92"/>
        <v>3740</v>
      </c>
      <c r="N189" s="432">
        <f t="shared" si="92"/>
        <v>0</v>
      </c>
      <c r="O189" s="432">
        <f t="shared" si="92"/>
        <v>3740</v>
      </c>
    </row>
    <row r="190" spans="1:16" ht="16.5" thickTop="1" x14ac:dyDescent="0.25">
      <c r="A190" s="447" t="s">
        <v>4</v>
      </c>
      <c r="B190" s="445" t="s">
        <v>453</v>
      </c>
      <c r="C190" s="445"/>
      <c r="D190" s="445"/>
      <c r="E190" s="445"/>
      <c r="F190" s="445"/>
      <c r="G190" s="445"/>
      <c r="H190" s="445"/>
      <c r="I190" s="445"/>
      <c r="J190" s="445"/>
      <c r="K190" s="445"/>
      <c r="L190" s="445"/>
      <c r="M190" s="445"/>
      <c r="N190" s="445"/>
      <c r="O190" s="445"/>
    </row>
    <row r="191" spans="1:16" x14ac:dyDescent="0.25">
      <c r="A191" s="447"/>
      <c r="B191" s="445" t="s">
        <v>389</v>
      </c>
      <c r="C191" s="445">
        <v>11989</v>
      </c>
      <c r="D191" s="445"/>
      <c r="E191" s="445"/>
      <c r="F191" s="445">
        <v>7556</v>
      </c>
      <c r="G191" s="445"/>
      <c r="H191" s="445"/>
      <c r="I191" s="445"/>
      <c r="J191" s="441">
        <f>SUM(C191+E191+F191+H191)</f>
        <v>19545</v>
      </c>
      <c r="K191" s="441">
        <f>SUM(D191+G191+I191)</f>
        <v>0</v>
      </c>
      <c r="L191" s="441">
        <f>SUM(J191:K191)</f>
        <v>19545</v>
      </c>
      <c r="M191" s="441">
        <v>203035</v>
      </c>
      <c r="N191" s="441">
        <v>7</v>
      </c>
      <c r="O191" s="441">
        <f>SUM(L191:N191)</f>
        <v>222587</v>
      </c>
    </row>
    <row r="192" spans="1:16" s="448" customFormat="1" x14ac:dyDescent="0.25">
      <c r="A192" s="450"/>
      <c r="B192" s="442" t="s">
        <v>432</v>
      </c>
      <c r="C192" s="442">
        <v>11989</v>
      </c>
      <c r="D192" s="442"/>
      <c r="E192" s="442"/>
      <c r="F192" s="442">
        <v>7556</v>
      </c>
      <c r="G192" s="442"/>
      <c r="H192" s="442"/>
      <c r="I192" s="442"/>
      <c r="J192" s="449">
        <f>SUM(C192+E192+F192+H192)</f>
        <v>19545</v>
      </c>
      <c r="K192" s="449">
        <f>SUM(D192+G192+I192)</f>
        <v>0</v>
      </c>
      <c r="L192" s="449">
        <f>SUM(J192:K192)</f>
        <v>19545</v>
      </c>
      <c r="M192" s="449">
        <v>201629</v>
      </c>
      <c r="N192" s="449">
        <v>7</v>
      </c>
      <c r="O192" s="449">
        <f>SUM(L192:N192)</f>
        <v>221181</v>
      </c>
    </row>
    <row r="193" spans="1:16" s="448" customFormat="1" x14ac:dyDescent="0.25">
      <c r="A193" s="450"/>
      <c r="B193" s="442" t="s">
        <v>431</v>
      </c>
      <c r="C193" s="442"/>
      <c r="D193" s="442"/>
      <c r="E193" s="442"/>
      <c r="F193" s="442"/>
      <c r="G193" s="442"/>
      <c r="H193" s="442"/>
      <c r="I193" s="442"/>
      <c r="J193" s="449">
        <f>SUM(C193+E193+F193+H193)</f>
        <v>0</v>
      </c>
      <c r="K193" s="449">
        <f>SUM(D193+G193+I193)</f>
        <v>0</v>
      </c>
      <c r="L193" s="449">
        <f>SUM(J193:K193)</f>
        <v>0</v>
      </c>
      <c r="M193" s="449">
        <v>1406</v>
      </c>
      <c r="N193" s="449"/>
      <c r="O193" s="449">
        <f>SUM(L193:N193)</f>
        <v>1406</v>
      </c>
    </row>
    <row r="194" spans="1:16" s="448" customFormat="1" x14ac:dyDescent="0.25">
      <c r="A194" s="450"/>
      <c r="B194" s="442" t="s">
        <v>140</v>
      </c>
      <c r="C194" s="674"/>
      <c r="D194" s="674"/>
      <c r="E194" s="674"/>
      <c r="F194" s="674"/>
      <c r="G194" s="674"/>
      <c r="H194" s="674"/>
      <c r="I194" s="674"/>
      <c r="J194" s="674"/>
      <c r="K194" s="674"/>
      <c r="L194" s="674"/>
      <c r="M194" s="674"/>
      <c r="N194" s="674"/>
      <c r="O194" s="674"/>
    </row>
    <row r="195" spans="1:16" s="448" customFormat="1" ht="31.5" x14ac:dyDescent="0.25">
      <c r="A195" s="450"/>
      <c r="B195" s="674" t="s">
        <v>1168</v>
      </c>
      <c r="C195" s="674"/>
      <c r="D195" s="674"/>
      <c r="E195" s="674"/>
      <c r="F195" s="674"/>
      <c r="G195" s="674"/>
      <c r="H195" s="674"/>
      <c r="I195" s="674"/>
      <c r="J195" s="674">
        <f t="shared" ref="J195:J199" si="93">SUM(C195+E195+F195+H195)</f>
        <v>0</v>
      </c>
      <c r="K195" s="674">
        <f t="shared" ref="K195:K199" si="94">SUM(D195+G195+I195)</f>
        <v>0</v>
      </c>
      <c r="L195" s="674">
        <f t="shared" ref="L195:L199" si="95">SUM(J195:K195)</f>
        <v>0</v>
      </c>
      <c r="M195" s="674">
        <v>19</v>
      </c>
      <c r="N195" s="674"/>
      <c r="O195" s="674">
        <f t="shared" ref="O195:O199" si="96">SUM(L195:N195)</f>
        <v>19</v>
      </c>
    </row>
    <row r="196" spans="1:16" s="448" customFormat="1" ht="31.5" x14ac:dyDescent="0.25">
      <c r="A196" s="450"/>
      <c r="B196" s="674" t="s">
        <v>628</v>
      </c>
      <c r="C196" s="674"/>
      <c r="D196" s="674"/>
      <c r="E196" s="674"/>
      <c r="F196" s="674"/>
      <c r="G196" s="674"/>
      <c r="H196" s="674"/>
      <c r="I196" s="674"/>
      <c r="J196" s="674">
        <f t="shared" si="93"/>
        <v>0</v>
      </c>
      <c r="K196" s="674">
        <f t="shared" si="94"/>
        <v>0</v>
      </c>
      <c r="L196" s="674">
        <f t="shared" si="95"/>
        <v>0</v>
      </c>
      <c r="M196" s="674">
        <v>127</v>
      </c>
      <c r="N196" s="674"/>
      <c r="O196" s="674">
        <f t="shared" si="96"/>
        <v>127</v>
      </c>
    </row>
    <row r="197" spans="1:16" s="448" customFormat="1" ht="31.5" x14ac:dyDescent="0.25">
      <c r="A197" s="450"/>
      <c r="B197" s="674" t="s">
        <v>928</v>
      </c>
      <c r="C197" s="674"/>
      <c r="D197" s="674"/>
      <c r="E197" s="674"/>
      <c r="F197" s="674"/>
      <c r="G197" s="674"/>
      <c r="H197" s="674"/>
      <c r="I197" s="674"/>
      <c r="J197" s="674">
        <f t="shared" si="93"/>
        <v>0</v>
      </c>
      <c r="K197" s="674">
        <f t="shared" si="94"/>
        <v>0</v>
      </c>
      <c r="L197" s="674">
        <f t="shared" si="95"/>
        <v>0</v>
      </c>
      <c r="M197" s="674">
        <v>1048</v>
      </c>
      <c r="N197" s="674"/>
      <c r="O197" s="674">
        <f t="shared" si="96"/>
        <v>1048</v>
      </c>
    </row>
    <row r="198" spans="1:16" s="448" customFormat="1" x14ac:dyDescent="0.25">
      <c r="A198" s="450"/>
      <c r="B198" s="442" t="s">
        <v>141</v>
      </c>
      <c r="C198" s="674"/>
      <c r="D198" s="674"/>
      <c r="E198" s="674"/>
      <c r="F198" s="674"/>
      <c r="G198" s="674"/>
      <c r="H198" s="674"/>
      <c r="I198" s="674"/>
      <c r="J198" s="674"/>
      <c r="K198" s="674"/>
      <c r="L198" s="674"/>
      <c r="M198" s="674"/>
      <c r="N198" s="674"/>
      <c r="O198" s="674"/>
    </row>
    <row r="199" spans="1:16" s="448" customFormat="1" ht="16.5" thickBot="1" x14ac:dyDescent="0.3">
      <c r="A199" s="450"/>
      <c r="B199" s="674" t="s">
        <v>1172</v>
      </c>
      <c r="C199" s="674"/>
      <c r="D199" s="674"/>
      <c r="E199" s="674"/>
      <c r="F199" s="674"/>
      <c r="G199" s="674"/>
      <c r="H199" s="674"/>
      <c r="I199" s="674"/>
      <c r="J199" s="674">
        <f t="shared" si="93"/>
        <v>0</v>
      </c>
      <c r="K199" s="674">
        <f t="shared" si="94"/>
        <v>0</v>
      </c>
      <c r="L199" s="674">
        <f t="shared" si="95"/>
        <v>0</v>
      </c>
      <c r="M199" s="674">
        <v>1812</v>
      </c>
      <c r="N199" s="674"/>
      <c r="O199" s="674">
        <f t="shared" si="96"/>
        <v>1812</v>
      </c>
    </row>
    <row r="200" spans="1:16" ht="17.25" thickTop="1" thickBot="1" x14ac:dyDescent="0.3">
      <c r="A200" s="433"/>
      <c r="B200" s="432" t="s">
        <v>430</v>
      </c>
      <c r="C200" s="432">
        <f>+C191+C195+C199+C196+C197</f>
        <v>11989</v>
      </c>
      <c r="D200" s="432">
        <f t="shared" ref="D200:O200" si="97">+D191+D195+D199+D196+D197</f>
        <v>0</v>
      </c>
      <c r="E200" s="432">
        <f t="shared" si="97"/>
        <v>0</v>
      </c>
      <c r="F200" s="432">
        <f t="shared" si="97"/>
        <v>7556</v>
      </c>
      <c r="G200" s="432">
        <f t="shared" si="97"/>
        <v>0</v>
      </c>
      <c r="H200" s="432">
        <f t="shared" si="97"/>
        <v>0</v>
      </c>
      <c r="I200" s="432">
        <f t="shared" si="97"/>
        <v>0</v>
      </c>
      <c r="J200" s="432">
        <f t="shared" si="97"/>
        <v>19545</v>
      </c>
      <c r="K200" s="432">
        <f t="shared" si="97"/>
        <v>0</v>
      </c>
      <c r="L200" s="432">
        <f t="shared" si="97"/>
        <v>19545</v>
      </c>
      <c r="M200" s="432">
        <f t="shared" si="97"/>
        <v>206041</v>
      </c>
      <c r="N200" s="432">
        <f t="shared" si="97"/>
        <v>7</v>
      </c>
      <c r="O200" s="432">
        <f t="shared" si="97"/>
        <v>225593</v>
      </c>
      <c r="P200" s="429">
        <f>O201+O202</f>
        <v>225593</v>
      </c>
    </row>
    <row r="201" spans="1:16" ht="17.25" thickTop="1" thickBot="1" x14ac:dyDescent="0.3">
      <c r="A201" s="433"/>
      <c r="B201" s="432" t="s">
        <v>429</v>
      </c>
      <c r="C201" s="432">
        <f t="shared" ref="C201:O201" si="98">+C192+C195+C196+C197</f>
        <v>11989</v>
      </c>
      <c r="D201" s="432">
        <f t="shared" si="98"/>
        <v>0</v>
      </c>
      <c r="E201" s="432">
        <f t="shared" si="98"/>
        <v>0</v>
      </c>
      <c r="F201" s="432">
        <f t="shared" si="98"/>
        <v>7556</v>
      </c>
      <c r="G201" s="432">
        <f t="shared" si="98"/>
        <v>0</v>
      </c>
      <c r="H201" s="432">
        <f t="shared" si="98"/>
        <v>0</v>
      </c>
      <c r="I201" s="432">
        <f t="shared" si="98"/>
        <v>0</v>
      </c>
      <c r="J201" s="432">
        <f t="shared" si="98"/>
        <v>19545</v>
      </c>
      <c r="K201" s="432">
        <f t="shared" si="98"/>
        <v>0</v>
      </c>
      <c r="L201" s="432">
        <f t="shared" si="98"/>
        <v>19545</v>
      </c>
      <c r="M201" s="432">
        <f t="shared" si="98"/>
        <v>202823</v>
      </c>
      <c r="N201" s="432">
        <f t="shared" si="98"/>
        <v>7</v>
      </c>
      <c r="O201" s="432">
        <f t="shared" si="98"/>
        <v>222375</v>
      </c>
    </row>
    <row r="202" spans="1:16" ht="17.25" thickTop="1" thickBot="1" x14ac:dyDescent="0.3">
      <c r="A202" s="433"/>
      <c r="B202" s="432" t="s">
        <v>428</v>
      </c>
      <c r="C202" s="432">
        <f>+C193+C199</f>
        <v>0</v>
      </c>
      <c r="D202" s="432">
        <f t="shared" ref="D202:O202" si="99">+D193+D199</f>
        <v>0</v>
      </c>
      <c r="E202" s="432">
        <f t="shared" si="99"/>
        <v>0</v>
      </c>
      <c r="F202" s="432">
        <f t="shared" si="99"/>
        <v>0</v>
      </c>
      <c r="G202" s="432">
        <f t="shared" si="99"/>
        <v>0</v>
      </c>
      <c r="H202" s="432">
        <f t="shared" si="99"/>
        <v>0</v>
      </c>
      <c r="I202" s="432">
        <f t="shared" si="99"/>
        <v>0</v>
      </c>
      <c r="J202" s="432">
        <f t="shared" si="99"/>
        <v>0</v>
      </c>
      <c r="K202" s="432">
        <f t="shared" si="99"/>
        <v>0</v>
      </c>
      <c r="L202" s="432">
        <f t="shared" si="99"/>
        <v>0</v>
      </c>
      <c r="M202" s="432">
        <f t="shared" si="99"/>
        <v>3218</v>
      </c>
      <c r="N202" s="432">
        <f t="shared" si="99"/>
        <v>0</v>
      </c>
      <c r="O202" s="432">
        <f t="shared" si="99"/>
        <v>3218</v>
      </c>
    </row>
    <row r="203" spans="1:16" ht="16.5" thickTop="1" x14ac:dyDescent="0.25">
      <c r="A203" s="440" t="s">
        <v>5</v>
      </c>
      <c r="B203" s="465" t="s">
        <v>452</v>
      </c>
      <c r="C203" s="465"/>
      <c r="D203" s="465"/>
      <c r="E203" s="465"/>
      <c r="F203" s="465"/>
      <c r="G203" s="465"/>
      <c r="H203" s="465"/>
      <c r="I203" s="465"/>
      <c r="J203" s="465"/>
      <c r="K203" s="465"/>
      <c r="L203" s="465"/>
      <c r="M203" s="465"/>
      <c r="N203" s="465"/>
      <c r="O203" s="465"/>
    </row>
    <row r="204" spans="1:16" x14ac:dyDescent="0.25">
      <c r="A204" s="447"/>
      <c r="B204" s="445" t="s">
        <v>389</v>
      </c>
      <c r="C204" s="445">
        <v>11578</v>
      </c>
      <c r="D204" s="445"/>
      <c r="E204" s="445"/>
      <c r="F204" s="445">
        <v>7897</v>
      </c>
      <c r="G204" s="445"/>
      <c r="H204" s="445"/>
      <c r="I204" s="445"/>
      <c r="J204" s="445">
        <f>SUM(C204+E204+F204+H204)</f>
        <v>19475</v>
      </c>
      <c r="K204" s="445">
        <f>SUM(D204+G204+I204)</f>
        <v>0</v>
      </c>
      <c r="L204" s="445">
        <f>SUM(J204:K204)</f>
        <v>19475</v>
      </c>
      <c r="M204" s="445">
        <v>217315</v>
      </c>
      <c r="N204" s="445">
        <v>1699</v>
      </c>
      <c r="O204" s="445">
        <f>SUM(L204:N204)</f>
        <v>238489</v>
      </c>
    </row>
    <row r="205" spans="1:16" s="448" customFormat="1" x14ac:dyDescent="0.25">
      <c r="A205" s="451"/>
      <c r="B205" s="442" t="s">
        <v>432</v>
      </c>
      <c r="C205" s="442">
        <v>11578</v>
      </c>
      <c r="D205" s="442"/>
      <c r="E205" s="442"/>
      <c r="F205" s="442">
        <v>7897</v>
      </c>
      <c r="G205" s="442"/>
      <c r="H205" s="442"/>
      <c r="I205" s="442"/>
      <c r="J205" s="449">
        <f>SUM(C205+E205+F205+H205)</f>
        <v>19475</v>
      </c>
      <c r="K205" s="449">
        <f>SUM(D205+G205+I205)</f>
        <v>0</v>
      </c>
      <c r="L205" s="449">
        <f>SUM(J205:K205)</f>
        <v>19475</v>
      </c>
      <c r="M205" s="449">
        <v>215721</v>
      </c>
      <c r="N205" s="449">
        <v>1699</v>
      </c>
      <c r="O205" s="449">
        <f>SUM(L205:N205)</f>
        <v>236895</v>
      </c>
    </row>
    <row r="206" spans="1:16" s="448" customFormat="1" x14ac:dyDescent="0.25">
      <c r="A206" s="451"/>
      <c r="B206" s="442" t="s">
        <v>431</v>
      </c>
      <c r="C206" s="442"/>
      <c r="D206" s="442"/>
      <c r="E206" s="442"/>
      <c r="F206" s="442"/>
      <c r="G206" s="442"/>
      <c r="H206" s="442"/>
      <c r="I206" s="442"/>
      <c r="J206" s="449">
        <f>SUM(C206+E206+F206+H206)</f>
        <v>0</v>
      </c>
      <c r="K206" s="449">
        <f>SUM(D206+G206+I206)</f>
        <v>0</v>
      </c>
      <c r="L206" s="449">
        <f>SUM(J206:K206)</f>
        <v>0</v>
      </c>
      <c r="M206" s="449">
        <v>1594</v>
      </c>
      <c r="N206" s="449"/>
      <c r="O206" s="449">
        <f>SUM(L206:N206)</f>
        <v>1594</v>
      </c>
    </row>
    <row r="207" spans="1:16" s="448" customFormat="1" x14ac:dyDescent="0.25">
      <c r="A207" s="451"/>
      <c r="B207" s="442" t="s">
        <v>140</v>
      </c>
      <c r="C207" s="674"/>
      <c r="D207" s="674"/>
      <c r="E207" s="674"/>
      <c r="F207" s="674"/>
      <c r="G207" s="674"/>
      <c r="H207" s="674"/>
      <c r="I207" s="674"/>
      <c r="J207" s="674"/>
      <c r="K207" s="674"/>
      <c r="L207" s="674"/>
      <c r="M207" s="674"/>
      <c r="N207" s="674"/>
      <c r="O207" s="674"/>
    </row>
    <row r="208" spans="1:16" s="448" customFormat="1" ht="31.5" x14ac:dyDescent="0.25">
      <c r="A208" s="451"/>
      <c r="B208" s="674" t="s">
        <v>1168</v>
      </c>
      <c r="C208" s="674"/>
      <c r="D208" s="674"/>
      <c r="E208" s="674"/>
      <c r="F208" s="674"/>
      <c r="G208" s="674"/>
      <c r="H208" s="674"/>
      <c r="I208" s="674"/>
      <c r="J208" s="674">
        <f t="shared" ref="J208:J214" si="100">SUM(C208+E208+F208+H208)</f>
        <v>0</v>
      </c>
      <c r="K208" s="674">
        <f t="shared" ref="K208:K214" si="101">SUM(D208+G208+I208)</f>
        <v>0</v>
      </c>
      <c r="L208" s="674">
        <f t="shared" ref="L208:L214" si="102">SUM(J208:K208)</f>
        <v>0</v>
      </c>
      <c r="M208" s="674">
        <v>36</v>
      </c>
      <c r="N208" s="674"/>
      <c r="O208" s="674">
        <f t="shared" ref="O208:O214" si="103">SUM(L208:N208)</f>
        <v>36</v>
      </c>
    </row>
    <row r="209" spans="1:16" s="448" customFormat="1" ht="31.5" x14ac:dyDescent="0.25">
      <c r="A209" s="451"/>
      <c r="B209" s="674" t="s">
        <v>628</v>
      </c>
      <c r="C209" s="674"/>
      <c r="D209" s="674"/>
      <c r="E209" s="674"/>
      <c r="F209" s="674"/>
      <c r="G209" s="674"/>
      <c r="H209" s="674"/>
      <c r="I209" s="674"/>
      <c r="J209" s="674">
        <f t="shared" si="100"/>
        <v>0</v>
      </c>
      <c r="K209" s="674">
        <f t="shared" si="101"/>
        <v>0</v>
      </c>
      <c r="L209" s="674">
        <f t="shared" si="102"/>
        <v>0</v>
      </c>
      <c r="M209" s="674">
        <v>4398</v>
      </c>
      <c r="N209" s="674"/>
      <c r="O209" s="674">
        <f t="shared" si="103"/>
        <v>4398</v>
      </c>
    </row>
    <row r="210" spans="1:16" s="448" customFormat="1" ht="31.5" x14ac:dyDescent="0.25">
      <c r="A210" s="451"/>
      <c r="B210" s="674" t="s">
        <v>928</v>
      </c>
      <c r="C210" s="674"/>
      <c r="D210" s="674"/>
      <c r="E210" s="674"/>
      <c r="F210" s="674"/>
      <c r="G210" s="674"/>
      <c r="H210" s="674"/>
      <c r="I210" s="674"/>
      <c r="J210" s="674">
        <f t="shared" si="100"/>
        <v>0</v>
      </c>
      <c r="K210" s="674">
        <f t="shared" si="101"/>
        <v>0</v>
      </c>
      <c r="L210" s="674">
        <f t="shared" si="102"/>
        <v>0</v>
      </c>
      <c r="M210" s="674">
        <v>1051</v>
      </c>
      <c r="N210" s="674"/>
      <c r="O210" s="674">
        <f t="shared" si="103"/>
        <v>1051</v>
      </c>
    </row>
    <row r="211" spans="1:16" s="448" customFormat="1" ht="47.25" x14ac:dyDescent="0.25">
      <c r="A211" s="451"/>
      <c r="B211" s="674" t="s">
        <v>1182</v>
      </c>
      <c r="C211" s="674"/>
      <c r="D211" s="674"/>
      <c r="E211" s="674"/>
      <c r="F211" s="674"/>
      <c r="G211" s="674"/>
      <c r="H211" s="674"/>
      <c r="I211" s="674"/>
      <c r="J211" s="674">
        <f t="shared" si="100"/>
        <v>0</v>
      </c>
      <c r="K211" s="674">
        <f t="shared" si="101"/>
        <v>0</v>
      </c>
      <c r="L211" s="674">
        <f t="shared" si="102"/>
        <v>0</v>
      </c>
      <c r="M211" s="674">
        <v>7620</v>
      </c>
      <c r="N211" s="674"/>
      <c r="O211" s="674">
        <f t="shared" si="103"/>
        <v>7620</v>
      </c>
    </row>
    <row r="212" spans="1:16" s="448" customFormat="1" x14ac:dyDescent="0.25">
      <c r="A212" s="451"/>
      <c r="B212" s="442" t="s">
        <v>141</v>
      </c>
      <c r="C212" s="674"/>
      <c r="D212" s="674"/>
      <c r="E212" s="674"/>
      <c r="F212" s="674"/>
      <c r="G212" s="674"/>
      <c r="H212" s="674"/>
      <c r="I212" s="674"/>
      <c r="J212" s="674"/>
      <c r="K212" s="674"/>
      <c r="L212" s="674"/>
      <c r="M212" s="674"/>
      <c r="N212" s="674"/>
      <c r="O212" s="674"/>
    </row>
    <row r="213" spans="1:16" s="448" customFormat="1" x14ac:dyDescent="0.25">
      <c r="A213" s="451"/>
      <c r="B213" s="674" t="s">
        <v>1172</v>
      </c>
      <c r="C213" s="674"/>
      <c r="D213" s="674"/>
      <c r="E213" s="674"/>
      <c r="F213" s="674"/>
      <c r="G213" s="674"/>
      <c r="H213" s="674"/>
      <c r="I213" s="674"/>
      <c r="J213" s="674">
        <f t="shared" si="100"/>
        <v>0</v>
      </c>
      <c r="K213" s="674">
        <f t="shared" si="101"/>
        <v>0</v>
      </c>
      <c r="L213" s="674">
        <f t="shared" si="102"/>
        <v>0</v>
      </c>
      <c r="M213" s="674">
        <v>2048</v>
      </c>
      <c r="N213" s="674"/>
      <c r="O213" s="674">
        <f t="shared" si="103"/>
        <v>2048</v>
      </c>
    </row>
    <row r="214" spans="1:16" s="448" customFormat="1" ht="16.5" thickBot="1" x14ac:dyDescent="0.3">
      <c r="A214" s="451"/>
      <c r="B214" s="444" t="s">
        <v>1188</v>
      </c>
      <c r="C214" s="674"/>
      <c r="D214" s="674"/>
      <c r="E214" s="674"/>
      <c r="F214" s="674"/>
      <c r="G214" s="674"/>
      <c r="H214" s="674"/>
      <c r="I214" s="674"/>
      <c r="J214" s="674">
        <f t="shared" si="100"/>
        <v>0</v>
      </c>
      <c r="K214" s="674">
        <f t="shared" si="101"/>
        <v>0</v>
      </c>
      <c r="L214" s="674">
        <f t="shared" si="102"/>
        <v>0</v>
      </c>
      <c r="M214" s="674">
        <v>250</v>
      </c>
      <c r="N214" s="674"/>
      <c r="O214" s="674">
        <f t="shared" si="103"/>
        <v>250</v>
      </c>
    </row>
    <row r="215" spans="1:16" ht="17.25" thickTop="1" thickBot="1" x14ac:dyDescent="0.3">
      <c r="A215" s="433"/>
      <c r="B215" s="432" t="s">
        <v>430</v>
      </c>
      <c r="C215" s="432">
        <f>+C204+C208+C213+C209+C214+C210+C211</f>
        <v>11578</v>
      </c>
      <c r="D215" s="432">
        <f t="shared" ref="D215:O215" si="104">+D204+D208+D213+D209+D214+D210+D211</f>
        <v>0</v>
      </c>
      <c r="E215" s="432">
        <f t="shared" si="104"/>
        <v>0</v>
      </c>
      <c r="F215" s="432">
        <f t="shared" si="104"/>
        <v>7897</v>
      </c>
      <c r="G215" s="432">
        <f t="shared" si="104"/>
        <v>0</v>
      </c>
      <c r="H215" s="432">
        <f t="shared" si="104"/>
        <v>0</v>
      </c>
      <c r="I215" s="432">
        <f t="shared" si="104"/>
        <v>0</v>
      </c>
      <c r="J215" s="432">
        <f t="shared" si="104"/>
        <v>19475</v>
      </c>
      <c r="K215" s="432">
        <f t="shared" si="104"/>
        <v>0</v>
      </c>
      <c r="L215" s="432">
        <f t="shared" si="104"/>
        <v>19475</v>
      </c>
      <c r="M215" s="432">
        <f t="shared" si="104"/>
        <v>232718</v>
      </c>
      <c r="N215" s="432">
        <f t="shared" si="104"/>
        <v>1699</v>
      </c>
      <c r="O215" s="432">
        <f t="shared" si="104"/>
        <v>253892</v>
      </c>
      <c r="P215" s="429">
        <f>O216+O217</f>
        <v>253892</v>
      </c>
    </row>
    <row r="216" spans="1:16" ht="17.25" thickTop="1" thickBot="1" x14ac:dyDescent="0.3">
      <c r="A216" s="433"/>
      <c r="B216" s="432" t="s">
        <v>429</v>
      </c>
      <c r="C216" s="432">
        <f>+C205+C208+C209+C210+C211</f>
        <v>11578</v>
      </c>
      <c r="D216" s="432">
        <f t="shared" ref="D216:O216" si="105">+D205+D208+D209+D210+D211</f>
        <v>0</v>
      </c>
      <c r="E216" s="432">
        <f t="shared" si="105"/>
        <v>0</v>
      </c>
      <c r="F216" s="432">
        <f t="shared" si="105"/>
        <v>7897</v>
      </c>
      <c r="G216" s="432">
        <f t="shared" si="105"/>
        <v>0</v>
      </c>
      <c r="H216" s="432">
        <f t="shared" si="105"/>
        <v>0</v>
      </c>
      <c r="I216" s="432">
        <f t="shared" si="105"/>
        <v>0</v>
      </c>
      <c r="J216" s="432">
        <f t="shared" si="105"/>
        <v>19475</v>
      </c>
      <c r="K216" s="432">
        <f t="shared" si="105"/>
        <v>0</v>
      </c>
      <c r="L216" s="432">
        <f t="shared" si="105"/>
        <v>19475</v>
      </c>
      <c r="M216" s="432">
        <f t="shared" si="105"/>
        <v>228826</v>
      </c>
      <c r="N216" s="432">
        <f t="shared" si="105"/>
        <v>1699</v>
      </c>
      <c r="O216" s="432">
        <f t="shared" si="105"/>
        <v>250000</v>
      </c>
    </row>
    <row r="217" spans="1:16" ht="17.25" thickTop="1" thickBot="1" x14ac:dyDescent="0.3">
      <c r="A217" s="433"/>
      <c r="B217" s="432" t="s">
        <v>428</v>
      </c>
      <c r="C217" s="432">
        <f>+C206+C213+C214</f>
        <v>0</v>
      </c>
      <c r="D217" s="432">
        <f t="shared" ref="D217:O217" si="106">+D206+D213+D214</f>
        <v>0</v>
      </c>
      <c r="E217" s="432">
        <f t="shared" si="106"/>
        <v>0</v>
      </c>
      <c r="F217" s="432">
        <f t="shared" si="106"/>
        <v>0</v>
      </c>
      <c r="G217" s="432">
        <f t="shared" si="106"/>
        <v>0</v>
      </c>
      <c r="H217" s="432">
        <f t="shared" si="106"/>
        <v>0</v>
      </c>
      <c r="I217" s="432">
        <f t="shared" si="106"/>
        <v>0</v>
      </c>
      <c r="J217" s="432">
        <f t="shared" si="106"/>
        <v>0</v>
      </c>
      <c r="K217" s="432">
        <f t="shared" si="106"/>
        <v>0</v>
      </c>
      <c r="L217" s="432">
        <f t="shared" si="106"/>
        <v>0</v>
      </c>
      <c r="M217" s="432">
        <f t="shared" si="106"/>
        <v>3892</v>
      </c>
      <c r="N217" s="432">
        <f t="shared" si="106"/>
        <v>0</v>
      </c>
      <c r="O217" s="432">
        <f t="shared" si="106"/>
        <v>3892</v>
      </c>
    </row>
    <row r="218" spans="1:16" ht="16.5" thickTop="1" x14ac:dyDescent="0.25">
      <c r="A218" s="447" t="s">
        <v>6</v>
      </c>
      <c r="B218" s="445" t="s">
        <v>497</v>
      </c>
      <c r="C218" s="445"/>
      <c r="D218" s="445"/>
      <c r="E218" s="445"/>
      <c r="F218" s="445"/>
      <c r="G218" s="445"/>
      <c r="H218" s="445"/>
      <c r="I218" s="445"/>
      <c r="J218" s="466"/>
      <c r="K218" s="445"/>
      <c r="L218" s="445"/>
      <c r="M218" s="445"/>
      <c r="N218" s="445"/>
      <c r="O218" s="445"/>
    </row>
    <row r="219" spans="1:16" x14ac:dyDescent="0.25">
      <c r="A219" s="447"/>
      <c r="B219" s="445" t="s">
        <v>389</v>
      </c>
      <c r="C219" s="445">
        <v>10948</v>
      </c>
      <c r="D219" s="445"/>
      <c r="E219" s="445"/>
      <c r="F219" s="445">
        <v>5956</v>
      </c>
      <c r="G219" s="445"/>
      <c r="H219" s="445"/>
      <c r="I219" s="445"/>
      <c r="J219" s="459">
        <f>SUM(C219+E219+F219+H219)</f>
        <v>16904</v>
      </c>
      <c r="K219" s="441">
        <f>SUM(D219+G219+I219)</f>
        <v>0</v>
      </c>
      <c r="L219" s="441">
        <f>SUM(J219:K219)</f>
        <v>16904</v>
      </c>
      <c r="M219" s="441">
        <v>238824</v>
      </c>
      <c r="N219" s="441">
        <v>1443</v>
      </c>
      <c r="O219" s="441">
        <f>SUM(L219:N219)</f>
        <v>257171</v>
      </c>
    </row>
    <row r="220" spans="1:16" s="448" customFormat="1" x14ac:dyDescent="0.25">
      <c r="A220" s="450"/>
      <c r="B220" s="442" t="s">
        <v>432</v>
      </c>
      <c r="C220" s="442">
        <v>10948</v>
      </c>
      <c r="D220" s="442"/>
      <c r="E220" s="442"/>
      <c r="F220" s="442">
        <v>5956</v>
      </c>
      <c r="G220" s="442"/>
      <c r="H220" s="442"/>
      <c r="I220" s="442"/>
      <c r="J220" s="461">
        <f>SUM(C220+E220+F220+H220)</f>
        <v>16904</v>
      </c>
      <c r="K220" s="449">
        <f>SUM(D220+G220+I220)</f>
        <v>0</v>
      </c>
      <c r="L220" s="449">
        <f>SUM(J220:K220)</f>
        <v>16904</v>
      </c>
      <c r="M220" s="449">
        <v>237422</v>
      </c>
      <c r="N220" s="449">
        <v>1443</v>
      </c>
      <c r="O220" s="449">
        <f>SUM(L220:N220)</f>
        <v>255769</v>
      </c>
    </row>
    <row r="221" spans="1:16" s="448" customFormat="1" x14ac:dyDescent="0.25">
      <c r="A221" s="450"/>
      <c r="B221" s="442" t="s">
        <v>431</v>
      </c>
      <c r="C221" s="442"/>
      <c r="D221" s="442"/>
      <c r="E221" s="442"/>
      <c r="F221" s="442"/>
      <c r="G221" s="442"/>
      <c r="H221" s="442"/>
      <c r="I221" s="442"/>
      <c r="J221" s="461">
        <f>SUM(C221+E221+F221+H221)</f>
        <v>0</v>
      </c>
      <c r="K221" s="449">
        <f>SUM(D221+G221+I221)</f>
        <v>0</v>
      </c>
      <c r="L221" s="449">
        <f>SUM(J221:K221)</f>
        <v>0</v>
      </c>
      <c r="M221" s="449">
        <v>1402</v>
      </c>
      <c r="N221" s="449"/>
      <c r="O221" s="449">
        <f>SUM(L221:N221)</f>
        <v>1402</v>
      </c>
    </row>
    <row r="222" spans="1:16" s="448" customFormat="1" x14ac:dyDescent="0.25">
      <c r="A222" s="450"/>
      <c r="B222" s="442" t="s">
        <v>140</v>
      </c>
      <c r="C222" s="674"/>
      <c r="D222" s="674"/>
      <c r="E222" s="674"/>
      <c r="F222" s="674"/>
      <c r="G222" s="674"/>
      <c r="H222" s="674"/>
      <c r="I222" s="674"/>
      <c r="J222" s="676"/>
      <c r="K222" s="674"/>
      <c r="L222" s="674"/>
      <c r="M222" s="674"/>
      <c r="N222" s="674"/>
      <c r="O222" s="674"/>
    </row>
    <row r="223" spans="1:16" s="448" customFormat="1" ht="31.5" x14ac:dyDescent="0.25">
      <c r="A223" s="450"/>
      <c r="B223" s="674" t="s">
        <v>1168</v>
      </c>
      <c r="C223" s="674"/>
      <c r="D223" s="674"/>
      <c r="E223" s="674"/>
      <c r="F223" s="674"/>
      <c r="G223" s="674"/>
      <c r="H223" s="674"/>
      <c r="I223" s="674"/>
      <c r="J223" s="676">
        <f t="shared" ref="J223:J229" si="107">SUM(C223+E223+F223+H223)</f>
        <v>0</v>
      </c>
      <c r="K223" s="674">
        <f t="shared" ref="K223:K229" si="108">SUM(D223+G223+I223)</f>
        <v>0</v>
      </c>
      <c r="L223" s="674">
        <f t="shared" ref="L223:L229" si="109">SUM(J223:K223)</f>
        <v>0</v>
      </c>
      <c r="M223" s="674">
        <v>82</v>
      </c>
      <c r="N223" s="674"/>
      <c r="O223" s="674">
        <f t="shared" ref="O223:O229" si="110">SUM(L223:N223)</f>
        <v>82</v>
      </c>
    </row>
    <row r="224" spans="1:16" s="448" customFormat="1" ht="31.5" x14ac:dyDescent="0.25">
      <c r="A224" s="450"/>
      <c r="B224" s="674" t="s">
        <v>628</v>
      </c>
      <c r="C224" s="674"/>
      <c r="D224" s="674"/>
      <c r="E224" s="674"/>
      <c r="F224" s="674"/>
      <c r="G224" s="674"/>
      <c r="H224" s="674"/>
      <c r="I224" s="674"/>
      <c r="J224" s="676">
        <f t="shared" si="107"/>
        <v>0</v>
      </c>
      <c r="K224" s="674">
        <f t="shared" si="108"/>
        <v>0</v>
      </c>
      <c r="L224" s="674">
        <f t="shared" si="109"/>
        <v>0</v>
      </c>
      <c r="M224" s="674">
        <v>4605</v>
      </c>
      <c r="N224" s="674"/>
      <c r="O224" s="674">
        <f t="shared" si="110"/>
        <v>4605</v>
      </c>
    </row>
    <row r="225" spans="1:16" s="448" customFormat="1" ht="31.5" x14ac:dyDescent="0.25">
      <c r="A225" s="450"/>
      <c r="B225" s="674" t="s">
        <v>928</v>
      </c>
      <c r="C225" s="674"/>
      <c r="D225" s="674"/>
      <c r="E225" s="674"/>
      <c r="F225" s="674"/>
      <c r="G225" s="674"/>
      <c r="H225" s="674"/>
      <c r="I225" s="674"/>
      <c r="J225" s="676">
        <f>SUM(C225+E225+F225+H225)</f>
        <v>0</v>
      </c>
      <c r="K225" s="674">
        <f t="shared" si="108"/>
        <v>0</v>
      </c>
      <c r="L225" s="674">
        <f t="shared" si="109"/>
        <v>0</v>
      </c>
      <c r="M225" s="674">
        <v>1006</v>
      </c>
      <c r="N225" s="674"/>
      <c r="O225" s="674">
        <f t="shared" si="110"/>
        <v>1006</v>
      </c>
    </row>
    <row r="226" spans="1:16" s="448" customFormat="1" ht="47.25" x14ac:dyDescent="0.25">
      <c r="A226" s="450"/>
      <c r="B226" s="444" t="s">
        <v>1189</v>
      </c>
      <c r="C226" s="674"/>
      <c r="D226" s="674"/>
      <c r="E226" s="674"/>
      <c r="F226" s="674"/>
      <c r="G226" s="674"/>
      <c r="H226" s="674"/>
      <c r="I226" s="674"/>
      <c r="J226" s="676">
        <f t="shared" si="107"/>
        <v>0</v>
      </c>
      <c r="K226" s="674">
        <f t="shared" si="108"/>
        <v>0</v>
      </c>
      <c r="L226" s="674">
        <f t="shared" si="109"/>
        <v>0</v>
      </c>
      <c r="M226" s="674">
        <v>2513</v>
      </c>
      <c r="N226" s="674"/>
      <c r="O226" s="674">
        <f t="shared" si="110"/>
        <v>2513</v>
      </c>
    </row>
    <row r="227" spans="1:16" s="448" customFormat="1" ht="31.5" x14ac:dyDescent="0.25">
      <c r="A227" s="450"/>
      <c r="B227" s="444" t="s">
        <v>1175</v>
      </c>
      <c r="C227" s="674"/>
      <c r="D227" s="674"/>
      <c r="E227" s="674"/>
      <c r="F227" s="674"/>
      <c r="G227" s="674"/>
      <c r="H227" s="674"/>
      <c r="I227" s="674"/>
      <c r="J227" s="676">
        <f t="shared" si="107"/>
        <v>0</v>
      </c>
      <c r="K227" s="674">
        <f t="shared" si="108"/>
        <v>0</v>
      </c>
      <c r="L227" s="674">
        <f t="shared" si="109"/>
        <v>0</v>
      </c>
      <c r="M227" s="674">
        <v>-25078</v>
      </c>
      <c r="N227" s="674"/>
      <c r="O227" s="674">
        <f t="shared" si="110"/>
        <v>-25078</v>
      </c>
    </row>
    <row r="228" spans="1:16" s="448" customFormat="1" x14ac:dyDescent="0.25">
      <c r="A228" s="450"/>
      <c r="B228" s="442" t="s">
        <v>141</v>
      </c>
      <c r="C228" s="674"/>
      <c r="D228" s="674"/>
      <c r="E228" s="674"/>
      <c r="F228" s="674"/>
      <c r="G228" s="674"/>
      <c r="H228" s="674"/>
      <c r="I228" s="674"/>
      <c r="J228" s="676"/>
      <c r="K228" s="674"/>
      <c r="L228" s="674"/>
      <c r="M228" s="674"/>
      <c r="N228" s="674"/>
      <c r="O228" s="674"/>
    </row>
    <row r="229" spans="1:16" s="448" customFormat="1" ht="16.5" thickBot="1" x14ac:dyDescent="0.3">
      <c r="A229" s="450"/>
      <c r="B229" s="674" t="s">
        <v>1172</v>
      </c>
      <c r="C229" s="674"/>
      <c r="D229" s="674"/>
      <c r="E229" s="674"/>
      <c r="F229" s="674"/>
      <c r="G229" s="674"/>
      <c r="H229" s="674"/>
      <c r="I229" s="674"/>
      <c r="J229" s="676">
        <f t="shared" si="107"/>
        <v>0</v>
      </c>
      <c r="K229" s="674">
        <f t="shared" si="108"/>
        <v>0</v>
      </c>
      <c r="L229" s="674">
        <f t="shared" si="109"/>
        <v>0</v>
      </c>
      <c r="M229" s="674">
        <v>1594</v>
      </c>
      <c r="N229" s="674"/>
      <c r="O229" s="674">
        <f t="shared" si="110"/>
        <v>1594</v>
      </c>
    </row>
    <row r="230" spans="1:16" ht="17.25" thickTop="1" thickBot="1" x14ac:dyDescent="0.3">
      <c r="A230" s="433"/>
      <c r="B230" s="432" t="s">
        <v>430</v>
      </c>
      <c r="C230" s="432">
        <f>+C219+C223+C229+C224+C225+C226+C227</f>
        <v>10948</v>
      </c>
      <c r="D230" s="432">
        <f t="shared" ref="D230:O230" si="111">+D219+D223+D229+D224+D225+D226+D227</f>
        <v>0</v>
      </c>
      <c r="E230" s="432">
        <f t="shared" si="111"/>
        <v>0</v>
      </c>
      <c r="F230" s="432">
        <f t="shared" si="111"/>
        <v>5956</v>
      </c>
      <c r="G230" s="432">
        <f t="shared" si="111"/>
        <v>0</v>
      </c>
      <c r="H230" s="432">
        <f t="shared" si="111"/>
        <v>0</v>
      </c>
      <c r="I230" s="432">
        <f t="shared" si="111"/>
        <v>0</v>
      </c>
      <c r="J230" s="432">
        <f t="shared" si="111"/>
        <v>16904</v>
      </c>
      <c r="K230" s="432">
        <f t="shared" si="111"/>
        <v>0</v>
      </c>
      <c r="L230" s="432">
        <f t="shared" si="111"/>
        <v>16904</v>
      </c>
      <c r="M230" s="432">
        <f t="shared" si="111"/>
        <v>223546</v>
      </c>
      <c r="N230" s="432">
        <f t="shared" si="111"/>
        <v>1443</v>
      </c>
      <c r="O230" s="432">
        <f t="shared" si="111"/>
        <v>241893</v>
      </c>
      <c r="P230" s="429">
        <f>O231+O232</f>
        <v>241893</v>
      </c>
    </row>
    <row r="231" spans="1:16" ht="17.25" thickTop="1" thickBot="1" x14ac:dyDescent="0.3">
      <c r="A231" s="433"/>
      <c r="B231" s="432" t="s">
        <v>429</v>
      </c>
      <c r="C231" s="432">
        <f t="shared" ref="C231:O231" si="112">+C220+C223+C224+C225+C226+C227</f>
        <v>10948</v>
      </c>
      <c r="D231" s="432">
        <f t="shared" si="112"/>
        <v>0</v>
      </c>
      <c r="E231" s="432">
        <f t="shared" si="112"/>
        <v>0</v>
      </c>
      <c r="F231" s="432">
        <f t="shared" si="112"/>
        <v>5956</v>
      </c>
      <c r="G231" s="432">
        <f t="shared" si="112"/>
        <v>0</v>
      </c>
      <c r="H231" s="432">
        <f t="shared" si="112"/>
        <v>0</v>
      </c>
      <c r="I231" s="432">
        <f t="shared" si="112"/>
        <v>0</v>
      </c>
      <c r="J231" s="432">
        <f t="shared" si="112"/>
        <v>16904</v>
      </c>
      <c r="K231" s="432">
        <f t="shared" si="112"/>
        <v>0</v>
      </c>
      <c r="L231" s="432">
        <f t="shared" si="112"/>
        <v>16904</v>
      </c>
      <c r="M231" s="432">
        <f t="shared" si="112"/>
        <v>220550</v>
      </c>
      <c r="N231" s="432">
        <f t="shared" si="112"/>
        <v>1443</v>
      </c>
      <c r="O231" s="432">
        <f t="shared" si="112"/>
        <v>238897</v>
      </c>
    </row>
    <row r="232" spans="1:16" ht="17.25" thickTop="1" thickBot="1" x14ac:dyDescent="0.3">
      <c r="A232" s="433"/>
      <c r="B232" s="432" t="s">
        <v>428</v>
      </c>
      <c r="C232" s="432">
        <f>+C221+C229</f>
        <v>0</v>
      </c>
      <c r="D232" s="432">
        <f t="shared" ref="D232:O232" si="113">+D221+D229</f>
        <v>0</v>
      </c>
      <c r="E232" s="432">
        <f t="shared" si="113"/>
        <v>0</v>
      </c>
      <c r="F232" s="432">
        <f t="shared" si="113"/>
        <v>0</v>
      </c>
      <c r="G232" s="432">
        <f t="shared" si="113"/>
        <v>0</v>
      </c>
      <c r="H232" s="432">
        <f t="shared" si="113"/>
        <v>0</v>
      </c>
      <c r="I232" s="432">
        <f t="shared" si="113"/>
        <v>0</v>
      </c>
      <c r="J232" s="432">
        <f t="shared" si="113"/>
        <v>0</v>
      </c>
      <c r="K232" s="432">
        <f t="shared" si="113"/>
        <v>0</v>
      </c>
      <c r="L232" s="432">
        <f t="shared" si="113"/>
        <v>0</v>
      </c>
      <c r="M232" s="432">
        <f t="shared" si="113"/>
        <v>2996</v>
      </c>
      <c r="N232" s="432">
        <f t="shared" si="113"/>
        <v>0</v>
      </c>
      <c r="O232" s="432">
        <f t="shared" si="113"/>
        <v>2996</v>
      </c>
    </row>
    <row r="233" spans="1:16" ht="16.5" thickTop="1" x14ac:dyDescent="0.25">
      <c r="A233" s="443" t="s">
        <v>7</v>
      </c>
      <c r="B233" s="445" t="s">
        <v>451</v>
      </c>
      <c r="C233" s="445"/>
      <c r="D233" s="445"/>
      <c r="E233" s="445"/>
      <c r="F233" s="445"/>
      <c r="G233" s="445"/>
      <c r="H233" s="445"/>
      <c r="I233" s="445"/>
      <c r="J233" s="445"/>
      <c r="K233" s="445"/>
      <c r="L233" s="445"/>
      <c r="M233" s="445"/>
      <c r="N233" s="445"/>
      <c r="O233" s="445"/>
    </row>
    <row r="234" spans="1:16" x14ac:dyDescent="0.25">
      <c r="A234" s="443"/>
      <c r="B234" s="441" t="s">
        <v>389</v>
      </c>
      <c r="C234" s="441">
        <v>4776</v>
      </c>
      <c r="D234" s="441"/>
      <c r="E234" s="441"/>
      <c r="F234" s="441">
        <v>1416</v>
      </c>
      <c r="G234" s="441"/>
      <c r="H234" s="441"/>
      <c r="I234" s="441"/>
      <c r="J234" s="441">
        <f>SUM(C234+E234+F234+H234)</f>
        <v>6192</v>
      </c>
      <c r="K234" s="441">
        <f>SUM(D234+G234+I234)</f>
        <v>0</v>
      </c>
      <c r="L234" s="441">
        <f>SUM(J234:K234)</f>
        <v>6192</v>
      </c>
      <c r="M234" s="441">
        <v>76408</v>
      </c>
      <c r="N234" s="441">
        <v>328</v>
      </c>
      <c r="O234" s="441">
        <f>SUM(L234:N234)</f>
        <v>82928</v>
      </c>
    </row>
    <row r="235" spans="1:16" s="448" customFormat="1" x14ac:dyDescent="0.25">
      <c r="A235" s="451"/>
      <c r="B235" s="442" t="s">
        <v>432</v>
      </c>
      <c r="C235" s="442">
        <v>4776</v>
      </c>
      <c r="D235" s="442"/>
      <c r="E235" s="442"/>
      <c r="F235" s="442">
        <v>1416</v>
      </c>
      <c r="G235" s="442"/>
      <c r="H235" s="442"/>
      <c r="I235" s="442"/>
      <c r="J235" s="449">
        <f>SUM(C235+E235+F235+H235)</f>
        <v>6192</v>
      </c>
      <c r="K235" s="449">
        <f>SUM(D235+G235+I235)</f>
        <v>0</v>
      </c>
      <c r="L235" s="449">
        <f>SUM(J235:K235)</f>
        <v>6192</v>
      </c>
      <c r="M235" s="449">
        <v>75807</v>
      </c>
      <c r="N235" s="449">
        <v>328</v>
      </c>
      <c r="O235" s="449">
        <f>SUM(L235:N235)</f>
        <v>82327</v>
      </c>
    </row>
    <row r="236" spans="1:16" s="448" customFormat="1" x14ac:dyDescent="0.25">
      <c r="A236" s="451"/>
      <c r="B236" s="442" t="s">
        <v>431</v>
      </c>
      <c r="C236" s="442"/>
      <c r="D236" s="442"/>
      <c r="E236" s="442"/>
      <c r="F236" s="442"/>
      <c r="G236" s="442"/>
      <c r="H236" s="442"/>
      <c r="I236" s="442"/>
      <c r="J236" s="449">
        <f>SUM(C236+E236+F236+H236)</f>
        <v>0</v>
      </c>
      <c r="K236" s="449">
        <f>SUM(D236+G236+I236)</f>
        <v>0</v>
      </c>
      <c r="L236" s="449">
        <f>SUM(J236:K236)</f>
        <v>0</v>
      </c>
      <c r="M236" s="449">
        <v>601</v>
      </c>
      <c r="N236" s="449"/>
      <c r="O236" s="449">
        <f>SUM(L236:N236)</f>
        <v>601</v>
      </c>
    </row>
    <row r="237" spans="1:16" s="448" customFormat="1" x14ac:dyDescent="0.25">
      <c r="A237" s="451"/>
      <c r="B237" s="442" t="s">
        <v>140</v>
      </c>
      <c r="C237" s="674"/>
      <c r="D237" s="674"/>
      <c r="E237" s="674"/>
      <c r="F237" s="674"/>
      <c r="G237" s="674"/>
      <c r="H237" s="674"/>
      <c r="I237" s="674"/>
      <c r="J237" s="674"/>
      <c r="K237" s="674"/>
      <c r="L237" s="674"/>
      <c r="M237" s="674"/>
      <c r="N237" s="674"/>
      <c r="O237" s="674"/>
    </row>
    <row r="238" spans="1:16" s="448" customFormat="1" ht="31.5" x14ac:dyDescent="0.25">
      <c r="A238" s="450"/>
      <c r="B238" s="675" t="s">
        <v>1168</v>
      </c>
      <c r="C238" s="675"/>
      <c r="D238" s="675"/>
      <c r="E238" s="675"/>
      <c r="F238" s="675"/>
      <c r="G238" s="675"/>
      <c r="H238" s="675"/>
      <c r="I238" s="675"/>
      <c r="J238" s="675">
        <f t="shared" ref="J238:J245" si="114">SUM(C238+E238+F238+H238)</f>
        <v>0</v>
      </c>
      <c r="K238" s="675">
        <f t="shared" ref="K238:K245" si="115">SUM(D238+G238+I238)</f>
        <v>0</v>
      </c>
      <c r="L238" s="675">
        <f t="shared" ref="L238:L245" si="116">SUM(J238:K238)</f>
        <v>0</v>
      </c>
      <c r="M238" s="675">
        <v>28</v>
      </c>
      <c r="N238" s="675"/>
      <c r="O238" s="675">
        <f t="shared" ref="O238:O245" si="117">SUM(L238:N238)</f>
        <v>28</v>
      </c>
    </row>
    <row r="239" spans="1:16" s="448" customFormat="1" ht="31.5" x14ac:dyDescent="0.25">
      <c r="A239" s="450"/>
      <c r="B239" s="675" t="s">
        <v>628</v>
      </c>
      <c r="C239" s="675"/>
      <c r="D239" s="675"/>
      <c r="E239" s="675"/>
      <c r="F239" s="675"/>
      <c r="G239" s="675"/>
      <c r="H239" s="675"/>
      <c r="I239" s="675"/>
      <c r="J239" s="675">
        <f t="shared" si="114"/>
        <v>0</v>
      </c>
      <c r="K239" s="675">
        <f t="shared" si="115"/>
        <v>0</v>
      </c>
      <c r="L239" s="675">
        <f t="shared" si="116"/>
        <v>0</v>
      </c>
      <c r="M239" s="675">
        <v>183</v>
      </c>
      <c r="N239" s="675"/>
      <c r="O239" s="675">
        <f t="shared" si="117"/>
        <v>183</v>
      </c>
    </row>
    <row r="240" spans="1:16" s="448" customFormat="1" ht="31.5" x14ac:dyDescent="0.25">
      <c r="A240" s="451"/>
      <c r="B240" s="674" t="s">
        <v>928</v>
      </c>
      <c r="C240" s="674"/>
      <c r="D240" s="674"/>
      <c r="E240" s="674"/>
      <c r="F240" s="674">
        <v>279</v>
      </c>
      <c r="G240" s="674"/>
      <c r="H240" s="674"/>
      <c r="I240" s="674"/>
      <c r="J240" s="674">
        <f t="shared" si="114"/>
        <v>279</v>
      </c>
      <c r="K240" s="674">
        <f t="shared" si="115"/>
        <v>0</v>
      </c>
      <c r="L240" s="674">
        <f t="shared" si="116"/>
        <v>279</v>
      </c>
      <c r="M240" s="674">
        <v>2356</v>
      </c>
      <c r="N240" s="674"/>
      <c r="O240" s="674">
        <f t="shared" si="117"/>
        <v>2635</v>
      </c>
    </row>
    <row r="241" spans="1:16" s="448" customFormat="1" ht="47.25" x14ac:dyDescent="0.25">
      <c r="A241" s="451"/>
      <c r="B241" s="674" t="s">
        <v>1182</v>
      </c>
      <c r="C241" s="674"/>
      <c r="D241" s="674"/>
      <c r="E241" s="674"/>
      <c r="F241" s="674"/>
      <c r="G241" s="674"/>
      <c r="H241" s="674"/>
      <c r="I241" s="674"/>
      <c r="J241" s="674">
        <f t="shared" si="114"/>
        <v>0</v>
      </c>
      <c r="K241" s="674">
        <f t="shared" si="115"/>
        <v>0</v>
      </c>
      <c r="L241" s="674">
        <f t="shared" si="116"/>
        <v>0</v>
      </c>
      <c r="M241" s="674">
        <v>1270</v>
      </c>
      <c r="N241" s="674"/>
      <c r="O241" s="674">
        <f t="shared" si="117"/>
        <v>1270</v>
      </c>
    </row>
    <row r="242" spans="1:16" s="448" customFormat="1" x14ac:dyDescent="0.25">
      <c r="A242" s="451"/>
      <c r="B242" s="442" t="s">
        <v>141</v>
      </c>
      <c r="C242" s="674"/>
      <c r="D242" s="674"/>
      <c r="E242" s="674"/>
      <c r="F242" s="674"/>
      <c r="G242" s="674"/>
      <c r="H242" s="674"/>
      <c r="I242" s="674"/>
      <c r="J242" s="674"/>
      <c r="K242" s="674"/>
      <c r="L242" s="674"/>
      <c r="M242" s="674"/>
      <c r="N242" s="674"/>
      <c r="O242" s="674"/>
    </row>
    <row r="243" spans="1:16" s="448" customFormat="1" x14ac:dyDescent="0.25">
      <c r="A243" s="451"/>
      <c r="B243" s="674" t="s">
        <v>1172</v>
      </c>
      <c r="C243" s="674"/>
      <c r="D243" s="674"/>
      <c r="E243" s="674"/>
      <c r="F243" s="674"/>
      <c r="G243" s="674"/>
      <c r="H243" s="674"/>
      <c r="I243" s="674"/>
      <c r="J243" s="674">
        <f t="shared" si="114"/>
        <v>0</v>
      </c>
      <c r="K243" s="674">
        <f t="shared" si="115"/>
        <v>0</v>
      </c>
      <c r="L243" s="674">
        <f t="shared" si="116"/>
        <v>0</v>
      </c>
      <c r="M243" s="674">
        <v>686</v>
      </c>
      <c r="N243" s="674"/>
      <c r="O243" s="674">
        <f t="shared" si="117"/>
        <v>686</v>
      </c>
    </row>
    <row r="244" spans="1:16" s="448" customFormat="1" x14ac:dyDescent="0.25">
      <c r="A244" s="451"/>
      <c r="B244" s="444" t="s">
        <v>1188</v>
      </c>
      <c r="C244" s="674"/>
      <c r="D244" s="674"/>
      <c r="E244" s="674"/>
      <c r="F244" s="674"/>
      <c r="G244" s="674"/>
      <c r="H244" s="674"/>
      <c r="I244" s="674"/>
      <c r="J244" s="674">
        <f t="shared" si="114"/>
        <v>0</v>
      </c>
      <c r="K244" s="674">
        <f t="shared" si="115"/>
        <v>0</v>
      </c>
      <c r="L244" s="674">
        <f t="shared" si="116"/>
        <v>0</v>
      </c>
      <c r="M244" s="674">
        <v>250</v>
      </c>
      <c r="N244" s="674"/>
      <c r="O244" s="674">
        <f t="shared" si="117"/>
        <v>250</v>
      </c>
    </row>
    <row r="245" spans="1:16" s="448" customFormat="1" ht="32.25" thickBot="1" x14ac:dyDescent="0.3">
      <c r="A245" s="451"/>
      <c r="B245" s="444" t="s">
        <v>1190</v>
      </c>
      <c r="C245" s="674"/>
      <c r="D245" s="674"/>
      <c r="E245" s="674"/>
      <c r="F245" s="674"/>
      <c r="G245" s="674"/>
      <c r="H245" s="674"/>
      <c r="I245" s="674"/>
      <c r="J245" s="674">
        <f t="shared" si="114"/>
        <v>0</v>
      </c>
      <c r="K245" s="674">
        <f t="shared" si="115"/>
        <v>0</v>
      </c>
      <c r="L245" s="674">
        <f t="shared" si="116"/>
        <v>0</v>
      </c>
      <c r="M245" s="674">
        <v>150</v>
      </c>
      <c r="N245" s="674"/>
      <c r="O245" s="674">
        <f t="shared" si="117"/>
        <v>150</v>
      </c>
    </row>
    <row r="246" spans="1:16" ht="17.25" thickTop="1" thickBot="1" x14ac:dyDescent="0.3">
      <c r="A246" s="433"/>
      <c r="B246" s="432" t="s">
        <v>430</v>
      </c>
      <c r="C246" s="432">
        <f>+C234+C238+C243+C239+C244+C240+C241+C245</f>
        <v>4776</v>
      </c>
      <c r="D246" s="432">
        <f t="shared" ref="D246:O246" si="118">+D234+D238+D243+D239+D244+D240+D241+D245</f>
        <v>0</v>
      </c>
      <c r="E246" s="432">
        <f t="shared" si="118"/>
        <v>0</v>
      </c>
      <c r="F246" s="432">
        <f t="shared" si="118"/>
        <v>1695</v>
      </c>
      <c r="G246" s="432">
        <f t="shared" si="118"/>
        <v>0</v>
      </c>
      <c r="H246" s="432">
        <f t="shared" si="118"/>
        <v>0</v>
      </c>
      <c r="I246" s="432">
        <f t="shared" si="118"/>
        <v>0</v>
      </c>
      <c r="J246" s="432">
        <f t="shared" si="118"/>
        <v>6471</v>
      </c>
      <c r="K246" s="432">
        <f t="shared" si="118"/>
        <v>0</v>
      </c>
      <c r="L246" s="432">
        <f t="shared" si="118"/>
        <v>6471</v>
      </c>
      <c r="M246" s="432">
        <f t="shared" si="118"/>
        <v>81331</v>
      </c>
      <c r="N246" s="432">
        <f t="shared" si="118"/>
        <v>328</v>
      </c>
      <c r="O246" s="432">
        <f t="shared" si="118"/>
        <v>88130</v>
      </c>
      <c r="P246" s="429">
        <f>O247+O248</f>
        <v>88130</v>
      </c>
    </row>
    <row r="247" spans="1:16" ht="17.25" thickTop="1" thickBot="1" x14ac:dyDescent="0.3">
      <c r="A247" s="433"/>
      <c r="B247" s="432" t="s">
        <v>429</v>
      </c>
      <c r="C247" s="432">
        <f>+C235+C238+C239+C240+C241</f>
        <v>4776</v>
      </c>
      <c r="D247" s="432">
        <f t="shared" ref="D247:O247" si="119">+D235+D238+D239+D240+D241</f>
        <v>0</v>
      </c>
      <c r="E247" s="432">
        <f t="shared" si="119"/>
        <v>0</v>
      </c>
      <c r="F247" s="432">
        <f t="shared" si="119"/>
        <v>1695</v>
      </c>
      <c r="G247" s="432">
        <f t="shared" si="119"/>
        <v>0</v>
      </c>
      <c r="H247" s="432">
        <f t="shared" si="119"/>
        <v>0</v>
      </c>
      <c r="I247" s="432">
        <f t="shared" si="119"/>
        <v>0</v>
      </c>
      <c r="J247" s="432">
        <f t="shared" si="119"/>
        <v>6471</v>
      </c>
      <c r="K247" s="432">
        <f t="shared" si="119"/>
        <v>0</v>
      </c>
      <c r="L247" s="432">
        <f t="shared" si="119"/>
        <v>6471</v>
      </c>
      <c r="M247" s="432">
        <f t="shared" si="119"/>
        <v>79644</v>
      </c>
      <c r="N247" s="432">
        <f t="shared" si="119"/>
        <v>328</v>
      </c>
      <c r="O247" s="432">
        <f t="shared" si="119"/>
        <v>86443</v>
      </c>
    </row>
    <row r="248" spans="1:16" ht="17.25" thickTop="1" thickBot="1" x14ac:dyDescent="0.3">
      <c r="A248" s="433"/>
      <c r="B248" s="432" t="s">
        <v>428</v>
      </c>
      <c r="C248" s="432">
        <f>+C236+C243+C244+C245</f>
        <v>0</v>
      </c>
      <c r="D248" s="432">
        <f t="shared" ref="D248:O248" si="120">+D236+D243+D244+D245</f>
        <v>0</v>
      </c>
      <c r="E248" s="432">
        <f t="shared" si="120"/>
        <v>0</v>
      </c>
      <c r="F248" s="432">
        <f t="shared" si="120"/>
        <v>0</v>
      </c>
      <c r="G248" s="432">
        <f t="shared" si="120"/>
        <v>0</v>
      </c>
      <c r="H248" s="432">
        <f t="shared" si="120"/>
        <v>0</v>
      </c>
      <c r="I248" s="432">
        <f t="shared" si="120"/>
        <v>0</v>
      </c>
      <c r="J248" s="432">
        <f t="shared" si="120"/>
        <v>0</v>
      </c>
      <c r="K248" s="432">
        <f t="shared" si="120"/>
        <v>0</v>
      </c>
      <c r="L248" s="432">
        <f t="shared" si="120"/>
        <v>0</v>
      </c>
      <c r="M248" s="432">
        <f t="shared" si="120"/>
        <v>1687</v>
      </c>
      <c r="N248" s="432">
        <f t="shared" si="120"/>
        <v>0</v>
      </c>
      <c r="O248" s="432">
        <f t="shared" si="120"/>
        <v>1687</v>
      </c>
    </row>
    <row r="249" spans="1:16" ht="16.5" thickTop="1" x14ac:dyDescent="0.25">
      <c r="A249" s="447" t="s">
        <v>8</v>
      </c>
      <c r="B249" s="445" t="s">
        <v>498</v>
      </c>
      <c r="C249" s="445"/>
      <c r="D249" s="445"/>
      <c r="E249" s="445"/>
      <c r="F249" s="445"/>
      <c r="G249" s="445"/>
      <c r="H249" s="445"/>
      <c r="I249" s="445"/>
      <c r="J249" s="445"/>
      <c r="K249" s="445"/>
      <c r="L249" s="445"/>
      <c r="M249" s="445"/>
      <c r="N249" s="445"/>
      <c r="O249" s="445"/>
    </row>
    <row r="250" spans="1:16" x14ac:dyDescent="0.25">
      <c r="A250" s="447"/>
      <c r="B250" s="445" t="s">
        <v>389</v>
      </c>
      <c r="C250" s="445">
        <v>16097</v>
      </c>
      <c r="D250" s="445"/>
      <c r="E250" s="445"/>
      <c r="F250" s="445">
        <v>7056</v>
      </c>
      <c r="G250" s="445"/>
      <c r="H250" s="445"/>
      <c r="I250" s="445"/>
      <c r="J250" s="441">
        <f>SUM(C250+E250+F250+H250)</f>
        <v>23153</v>
      </c>
      <c r="K250" s="441">
        <f>SUM(D250+G250+I250)</f>
        <v>0</v>
      </c>
      <c r="L250" s="441">
        <f>SUM(J250:K250)</f>
        <v>23153</v>
      </c>
      <c r="M250" s="441">
        <v>276194</v>
      </c>
      <c r="N250" s="441">
        <v>718</v>
      </c>
      <c r="O250" s="441">
        <f>SUM(L250:N250)</f>
        <v>300065</v>
      </c>
    </row>
    <row r="251" spans="1:16" s="448" customFormat="1" x14ac:dyDescent="0.25">
      <c r="A251" s="450"/>
      <c r="B251" s="446" t="s">
        <v>432</v>
      </c>
      <c r="C251" s="446">
        <v>16097</v>
      </c>
      <c r="D251" s="446"/>
      <c r="E251" s="446"/>
      <c r="F251" s="446">
        <v>7056</v>
      </c>
      <c r="G251" s="446"/>
      <c r="H251" s="446"/>
      <c r="I251" s="446"/>
      <c r="J251" s="463">
        <f>SUM(C251+E251+F251+H251)</f>
        <v>23153</v>
      </c>
      <c r="K251" s="463">
        <f>SUM(D251+G251+I251)</f>
        <v>0</v>
      </c>
      <c r="L251" s="463">
        <f>SUM(J251:K251)</f>
        <v>23153</v>
      </c>
      <c r="M251" s="463">
        <v>274185</v>
      </c>
      <c r="N251" s="463">
        <v>718</v>
      </c>
      <c r="O251" s="463">
        <f>SUM(L251:N251)</f>
        <v>298056</v>
      </c>
    </row>
    <row r="252" spans="1:16" s="448" customFormat="1" x14ac:dyDescent="0.25">
      <c r="A252" s="451"/>
      <c r="B252" s="442" t="s">
        <v>431</v>
      </c>
      <c r="C252" s="442"/>
      <c r="D252" s="442"/>
      <c r="E252" s="442"/>
      <c r="F252" s="442"/>
      <c r="G252" s="442"/>
      <c r="H252" s="442"/>
      <c r="I252" s="442"/>
      <c r="J252" s="449">
        <f>SUM(C252+E252+F252+H252)</f>
        <v>0</v>
      </c>
      <c r="K252" s="449">
        <f>SUM(D252+G252+I252)</f>
        <v>0</v>
      </c>
      <c r="L252" s="449">
        <f>SUM(J252:K252)</f>
        <v>0</v>
      </c>
      <c r="M252" s="449">
        <v>2009</v>
      </c>
      <c r="N252" s="449"/>
      <c r="O252" s="449">
        <f>SUM(L252:N252)</f>
        <v>2009</v>
      </c>
    </row>
    <row r="253" spans="1:16" s="448" customFormat="1" x14ac:dyDescent="0.25">
      <c r="A253" s="451"/>
      <c r="B253" s="442" t="s">
        <v>140</v>
      </c>
      <c r="C253" s="674"/>
      <c r="D253" s="674"/>
      <c r="E253" s="674"/>
      <c r="F253" s="674"/>
      <c r="G253" s="674"/>
      <c r="H253" s="674"/>
      <c r="I253" s="674"/>
      <c r="J253" s="674"/>
      <c r="K253" s="674"/>
      <c r="L253" s="674"/>
      <c r="M253" s="674"/>
      <c r="N253" s="674"/>
      <c r="O253" s="674"/>
    </row>
    <row r="254" spans="1:16" s="448" customFormat="1" ht="31.5" x14ac:dyDescent="0.25">
      <c r="A254" s="451"/>
      <c r="B254" s="674" t="s">
        <v>628</v>
      </c>
      <c r="C254" s="674"/>
      <c r="D254" s="674"/>
      <c r="E254" s="674"/>
      <c r="F254" s="674"/>
      <c r="G254" s="674"/>
      <c r="H254" s="674"/>
      <c r="I254" s="674"/>
      <c r="J254" s="674">
        <f t="shared" ref="J254:J258" si="121">SUM(C254+E254+F254+H254)</f>
        <v>0</v>
      </c>
      <c r="K254" s="674">
        <f t="shared" ref="K254:K258" si="122">SUM(D254+G254+I254)</f>
        <v>0</v>
      </c>
      <c r="L254" s="674">
        <f t="shared" ref="L254:L258" si="123">SUM(J254:K254)</f>
        <v>0</v>
      </c>
      <c r="M254" s="674">
        <v>5666</v>
      </c>
      <c r="N254" s="674"/>
      <c r="O254" s="674">
        <f t="shared" ref="O254:O258" si="124">SUM(L254:N254)</f>
        <v>5666</v>
      </c>
    </row>
    <row r="255" spans="1:16" s="448" customFormat="1" ht="31.5" x14ac:dyDescent="0.25">
      <c r="A255" s="451"/>
      <c r="B255" s="674" t="s">
        <v>928</v>
      </c>
      <c r="C255" s="674"/>
      <c r="D255" s="674"/>
      <c r="E255" s="674"/>
      <c r="F255" s="674"/>
      <c r="G255" s="674"/>
      <c r="H255" s="674"/>
      <c r="I255" s="674"/>
      <c r="J255" s="674">
        <f t="shared" si="121"/>
        <v>0</v>
      </c>
      <c r="K255" s="674">
        <f t="shared" si="122"/>
        <v>0</v>
      </c>
      <c r="L255" s="674">
        <f t="shared" si="123"/>
        <v>0</v>
      </c>
      <c r="M255" s="674">
        <v>5975</v>
      </c>
      <c r="N255" s="674"/>
      <c r="O255" s="674">
        <f t="shared" si="124"/>
        <v>5975</v>
      </c>
    </row>
    <row r="256" spans="1:16" s="448" customFormat="1" ht="47.25" x14ac:dyDescent="0.25">
      <c r="A256" s="451"/>
      <c r="B256" s="674" t="s">
        <v>1182</v>
      </c>
      <c r="C256" s="674"/>
      <c r="D256" s="674"/>
      <c r="E256" s="674"/>
      <c r="F256" s="674"/>
      <c r="G256" s="674"/>
      <c r="H256" s="674"/>
      <c r="I256" s="674"/>
      <c r="J256" s="674">
        <f t="shared" si="121"/>
        <v>0</v>
      </c>
      <c r="K256" s="674">
        <f t="shared" si="122"/>
        <v>0</v>
      </c>
      <c r="L256" s="674">
        <f t="shared" si="123"/>
        <v>0</v>
      </c>
      <c r="M256" s="674">
        <v>5969</v>
      </c>
      <c r="N256" s="674"/>
      <c r="O256" s="674">
        <f t="shared" si="124"/>
        <v>5969</v>
      </c>
    </row>
    <row r="257" spans="1:16" s="448" customFormat="1" x14ac:dyDescent="0.25">
      <c r="A257" s="451"/>
      <c r="B257" s="442" t="s">
        <v>141</v>
      </c>
      <c r="C257" s="674"/>
      <c r="D257" s="674"/>
      <c r="E257" s="674"/>
      <c r="F257" s="674"/>
      <c r="G257" s="674"/>
      <c r="H257" s="674"/>
      <c r="I257" s="674"/>
      <c r="J257" s="674"/>
      <c r="K257" s="674"/>
      <c r="L257" s="674"/>
      <c r="M257" s="674"/>
      <c r="N257" s="674"/>
      <c r="O257" s="674"/>
    </row>
    <row r="258" spans="1:16" s="448" customFormat="1" ht="16.5" thickBot="1" x14ac:dyDescent="0.3">
      <c r="A258" s="451"/>
      <c r="B258" s="674" t="s">
        <v>1172</v>
      </c>
      <c r="C258" s="674"/>
      <c r="D258" s="674"/>
      <c r="E258" s="674"/>
      <c r="F258" s="674"/>
      <c r="G258" s="674"/>
      <c r="H258" s="674"/>
      <c r="I258" s="674"/>
      <c r="J258" s="674">
        <f t="shared" si="121"/>
        <v>0</v>
      </c>
      <c r="K258" s="674">
        <f t="shared" si="122"/>
        <v>0</v>
      </c>
      <c r="L258" s="674">
        <f t="shared" si="123"/>
        <v>0</v>
      </c>
      <c r="M258" s="674">
        <v>2640</v>
      </c>
      <c r="N258" s="674"/>
      <c r="O258" s="674">
        <f t="shared" si="124"/>
        <v>2640</v>
      </c>
    </row>
    <row r="259" spans="1:16" ht="17.25" thickTop="1" thickBot="1" x14ac:dyDescent="0.3">
      <c r="A259" s="433"/>
      <c r="B259" s="432" t="s">
        <v>430</v>
      </c>
      <c r="C259" s="432">
        <f>+C250+C254+C258+C255+C256</f>
        <v>16097</v>
      </c>
      <c r="D259" s="432">
        <f t="shared" ref="D259:O259" si="125">+D250+D254+D258+D255+D256</f>
        <v>0</v>
      </c>
      <c r="E259" s="432">
        <f t="shared" si="125"/>
        <v>0</v>
      </c>
      <c r="F259" s="432">
        <f t="shared" si="125"/>
        <v>7056</v>
      </c>
      <c r="G259" s="432">
        <f t="shared" si="125"/>
        <v>0</v>
      </c>
      <c r="H259" s="432">
        <f t="shared" si="125"/>
        <v>0</v>
      </c>
      <c r="I259" s="432">
        <f t="shared" si="125"/>
        <v>0</v>
      </c>
      <c r="J259" s="432">
        <f t="shared" si="125"/>
        <v>23153</v>
      </c>
      <c r="K259" s="432">
        <f t="shared" si="125"/>
        <v>0</v>
      </c>
      <c r="L259" s="432">
        <f t="shared" si="125"/>
        <v>23153</v>
      </c>
      <c r="M259" s="432">
        <f t="shared" si="125"/>
        <v>296444</v>
      </c>
      <c r="N259" s="432">
        <f t="shared" si="125"/>
        <v>718</v>
      </c>
      <c r="O259" s="432">
        <f t="shared" si="125"/>
        <v>320315</v>
      </c>
      <c r="P259" s="429">
        <f>O260+O261</f>
        <v>320315</v>
      </c>
    </row>
    <row r="260" spans="1:16" ht="17.25" thickTop="1" thickBot="1" x14ac:dyDescent="0.3">
      <c r="A260" s="433"/>
      <c r="B260" s="432" t="s">
        <v>429</v>
      </c>
      <c r="C260" s="432">
        <f>+C251+C254+C255+C256</f>
        <v>16097</v>
      </c>
      <c r="D260" s="432">
        <f t="shared" ref="D260:O260" si="126">+D251+D254+D255+D256</f>
        <v>0</v>
      </c>
      <c r="E260" s="432">
        <f t="shared" si="126"/>
        <v>0</v>
      </c>
      <c r="F260" s="432">
        <f t="shared" si="126"/>
        <v>7056</v>
      </c>
      <c r="G260" s="432">
        <f t="shared" si="126"/>
        <v>0</v>
      </c>
      <c r="H260" s="432">
        <f t="shared" si="126"/>
        <v>0</v>
      </c>
      <c r="I260" s="432">
        <f t="shared" si="126"/>
        <v>0</v>
      </c>
      <c r="J260" s="432">
        <f t="shared" si="126"/>
        <v>23153</v>
      </c>
      <c r="K260" s="432">
        <f t="shared" si="126"/>
        <v>0</v>
      </c>
      <c r="L260" s="432">
        <f t="shared" si="126"/>
        <v>23153</v>
      </c>
      <c r="M260" s="432">
        <f t="shared" si="126"/>
        <v>291795</v>
      </c>
      <c r="N260" s="432">
        <f t="shared" si="126"/>
        <v>718</v>
      </c>
      <c r="O260" s="432">
        <f t="shared" si="126"/>
        <v>315666</v>
      </c>
    </row>
    <row r="261" spans="1:16" ht="17.25" thickTop="1" thickBot="1" x14ac:dyDescent="0.3">
      <c r="A261" s="433"/>
      <c r="B261" s="432" t="s">
        <v>428</v>
      </c>
      <c r="C261" s="432">
        <f>+C252+C258</f>
        <v>0</v>
      </c>
      <c r="D261" s="432">
        <f t="shared" ref="D261:O261" si="127">+D252+D258</f>
        <v>0</v>
      </c>
      <c r="E261" s="432">
        <f t="shared" si="127"/>
        <v>0</v>
      </c>
      <c r="F261" s="432">
        <f t="shared" si="127"/>
        <v>0</v>
      </c>
      <c r="G261" s="432">
        <f t="shared" si="127"/>
        <v>0</v>
      </c>
      <c r="H261" s="432">
        <f t="shared" si="127"/>
        <v>0</v>
      </c>
      <c r="I261" s="432">
        <f t="shared" si="127"/>
        <v>0</v>
      </c>
      <c r="J261" s="432">
        <f t="shared" si="127"/>
        <v>0</v>
      </c>
      <c r="K261" s="432">
        <f t="shared" si="127"/>
        <v>0</v>
      </c>
      <c r="L261" s="432">
        <f t="shared" si="127"/>
        <v>0</v>
      </c>
      <c r="M261" s="432">
        <f t="shared" si="127"/>
        <v>4649</v>
      </c>
      <c r="N261" s="432">
        <f t="shared" si="127"/>
        <v>0</v>
      </c>
      <c r="O261" s="432">
        <f t="shared" si="127"/>
        <v>4649</v>
      </c>
    </row>
    <row r="262" spans="1:16" ht="16.5" thickTop="1" x14ac:dyDescent="0.25">
      <c r="A262" s="443" t="s">
        <v>9</v>
      </c>
      <c r="B262" s="445" t="s">
        <v>449</v>
      </c>
      <c r="C262" s="445"/>
      <c r="D262" s="445"/>
      <c r="E262" s="445"/>
      <c r="F262" s="445"/>
      <c r="G262" s="445"/>
      <c r="H262" s="445"/>
      <c r="I262" s="445"/>
      <c r="J262" s="445"/>
      <c r="K262" s="445"/>
      <c r="L262" s="445"/>
      <c r="M262" s="445"/>
      <c r="N262" s="445"/>
      <c r="O262" s="445"/>
    </row>
    <row r="263" spans="1:16" x14ac:dyDescent="0.25">
      <c r="A263" s="443"/>
      <c r="B263" s="441" t="s">
        <v>389</v>
      </c>
      <c r="C263" s="441">
        <v>10961</v>
      </c>
      <c r="D263" s="441"/>
      <c r="E263" s="441"/>
      <c r="F263" s="441">
        <v>9844</v>
      </c>
      <c r="G263" s="441"/>
      <c r="H263" s="441"/>
      <c r="I263" s="441"/>
      <c r="J263" s="441">
        <f>SUM(C263+E263+F263+H263)</f>
        <v>20805</v>
      </c>
      <c r="K263" s="441">
        <f>SUM(D263+G263+I263)</f>
        <v>0</v>
      </c>
      <c r="L263" s="441">
        <f>SUM(J263:K263)</f>
        <v>20805</v>
      </c>
      <c r="M263" s="441">
        <v>191721</v>
      </c>
      <c r="N263" s="441">
        <v>1186</v>
      </c>
      <c r="O263" s="441">
        <f>SUM(L263:N263)</f>
        <v>213712</v>
      </c>
    </row>
    <row r="264" spans="1:16" s="448" customFormat="1" x14ac:dyDescent="0.25">
      <c r="A264" s="451"/>
      <c r="B264" s="442" t="s">
        <v>432</v>
      </c>
      <c r="C264" s="442">
        <v>10961</v>
      </c>
      <c r="D264" s="442"/>
      <c r="E264" s="442"/>
      <c r="F264" s="442">
        <v>9844</v>
      </c>
      <c r="G264" s="442"/>
      <c r="H264" s="442"/>
      <c r="I264" s="460"/>
      <c r="J264" s="461">
        <f>SUM(C264+E264+F264+H264)</f>
        <v>20805</v>
      </c>
      <c r="K264" s="461">
        <f>SUM(D264+G264+I264)</f>
        <v>0</v>
      </c>
      <c r="L264" s="449">
        <f>SUM(J264:K264)</f>
        <v>20805</v>
      </c>
      <c r="M264" s="449">
        <v>190397</v>
      </c>
      <c r="N264" s="449">
        <v>1186</v>
      </c>
      <c r="O264" s="449">
        <f>SUM(L264:N264)</f>
        <v>212388</v>
      </c>
    </row>
    <row r="265" spans="1:16" s="448" customFormat="1" x14ac:dyDescent="0.25">
      <c r="A265" s="451"/>
      <c r="B265" s="442" t="s">
        <v>431</v>
      </c>
      <c r="C265" s="442"/>
      <c r="D265" s="442"/>
      <c r="E265" s="442"/>
      <c r="F265" s="442"/>
      <c r="G265" s="442"/>
      <c r="H265" s="442"/>
      <c r="I265" s="460"/>
      <c r="J265" s="460">
        <f>SUM(C265+E265+F265+H265)</f>
        <v>0</v>
      </c>
      <c r="K265" s="460">
        <f>SUM(D265+G265+I265)</f>
        <v>0</v>
      </c>
      <c r="L265" s="442">
        <f>SUM(J265:K265)</f>
        <v>0</v>
      </c>
      <c r="M265" s="442">
        <v>1324</v>
      </c>
      <c r="N265" s="442"/>
      <c r="O265" s="442">
        <f>SUM(L265:N265)</f>
        <v>1324</v>
      </c>
    </row>
    <row r="266" spans="1:16" s="448" customFormat="1" x14ac:dyDescent="0.25">
      <c r="A266" s="451"/>
      <c r="B266" s="442" t="s">
        <v>140</v>
      </c>
      <c r="C266" s="674"/>
      <c r="D266" s="674"/>
      <c r="E266" s="674"/>
      <c r="F266" s="674"/>
      <c r="G266" s="674"/>
      <c r="H266" s="674"/>
      <c r="I266" s="676"/>
      <c r="J266" s="676"/>
      <c r="K266" s="676"/>
      <c r="L266" s="674"/>
      <c r="M266" s="674"/>
      <c r="N266" s="674"/>
      <c r="O266" s="674"/>
    </row>
    <row r="267" spans="1:16" s="448" customFormat="1" ht="31.5" x14ac:dyDescent="0.25">
      <c r="A267" s="451"/>
      <c r="B267" s="674" t="s">
        <v>1168</v>
      </c>
      <c r="C267" s="674"/>
      <c r="D267" s="674"/>
      <c r="E267" s="674"/>
      <c r="F267" s="674"/>
      <c r="G267" s="674"/>
      <c r="H267" s="674"/>
      <c r="I267" s="676"/>
      <c r="J267" s="676">
        <f t="shared" ref="J267:J273" si="128">SUM(C267+E267+F267+H267)</f>
        <v>0</v>
      </c>
      <c r="K267" s="676">
        <f t="shared" ref="K267:K273" si="129">SUM(D267+G267+I267)</f>
        <v>0</v>
      </c>
      <c r="L267" s="674">
        <f t="shared" ref="L267:L273" si="130">SUM(J267:K267)</f>
        <v>0</v>
      </c>
      <c r="M267" s="674">
        <v>68</v>
      </c>
      <c r="N267" s="674"/>
      <c r="O267" s="674">
        <f t="shared" ref="O267:O273" si="131">SUM(L267:N267)</f>
        <v>68</v>
      </c>
    </row>
    <row r="268" spans="1:16" s="448" customFormat="1" ht="31.5" x14ac:dyDescent="0.25">
      <c r="A268" s="451"/>
      <c r="B268" s="674" t="s">
        <v>628</v>
      </c>
      <c r="C268" s="674"/>
      <c r="D268" s="674"/>
      <c r="E268" s="674"/>
      <c r="F268" s="674"/>
      <c r="G268" s="674"/>
      <c r="H268" s="674"/>
      <c r="I268" s="676"/>
      <c r="J268" s="676">
        <f t="shared" si="128"/>
        <v>0</v>
      </c>
      <c r="K268" s="676">
        <f t="shared" si="129"/>
        <v>0</v>
      </c>
      <c r="L268" s="674">
        <f t="shared" si="130"/>
        <v>0</v>
      </c>
      <c r="M268" s="674">
        <v>577</v>
      </c>
      <c r="N268" s="674"/>
      <c r="O268" s="674">
        <f t="shared" si="131"/>
        <v>577</v>
      </c>
    </row>
    <row r="269" spans="1:16" s="448" customFormat="1" ht="31.5" x14ac:dyDescent="0.25">
      <c r="A269" s="451"/>
      <c r="B269" s="674" t="s">
        <v>928</v>
      </c>
      <c r="C269" s="674"/>
      <c r="D269" s="674"/>
      <c r="E269" s="674"/>
      <c r="F269" s="674"/>
      <c r="G269" s="674"/>
      <c r="H269" s="674"/>
      <c r="I269" s="676"/>
      <c r="J269" s="676">
        <f t="shared" si="128"/>
        <v>0</v>
      </c>
      <c r="K269" s="676">
        <f t="shared" si="129"/>
        <v>0</v>
      </c>
      <c r="L269" s="674">
        <f t="shared" si="130"/>
        <v>0</v>
      </c>
      <c r="M269" s="674">
        <v>2436</v>
      </c>
      <c r="N269" s="674"/>
      <c r="O269" s="674">
        <f t="shared" si="131"/>
        <v>2436</v>
      </c>
    </row>
    <row r="270" spans="1:16" s="448" customFormat="1" ht="47.25" x14ac:dyDescent="0.25">
      <c r="A270" s="451"/>
      <c r="B270" s="674" t="s">
        <v>1182</v>
      </c>
      <c r="C270" s="674"/>
      <c r="D270" s="674"/>
      <c r="E270" s="674"/>
      <c r="F270" s="674"/>
      <c r="G270" s="674"/>
      <c r="H270" s="674"/>
      <c r="I270" s="676"/>
      <c r="J270" s="676">
        <f t="shared" si="128"/>
        <v>0</v>
      </c>
      <c r="K270" s="676">
        <f t="shared" si="129"/>
        <v>0</v>
      </c>
      <c r="L270" s="674">
        <f t="shared" si="130"/>
        <v>0</v>
      </c>
      <c r="M270" s="674">
        <v>5461</v>
      </c>
      <c r="N270" s="674"/>
      <c r="O270" s="674">
        <f t="shared" si="131"/>
        <v>5461</v>
      </c>
    </row>
    <row r="271" spans="1:16" s="448" customFormat="1" x14ac:dyDescent="0.25">
      <c r="A271" s="450"/>
      <c r="B271" s="446" t="s">
        <v>141</v>
      </c>
      <c r="C271" s="675"/>
      <c r="D271" s="675"/>
      <c r="E271" s="675"/>
      <c r="F271" s="675"/>
      <c r="G271" s="675"/>
      <c r="H271" s="675"/>
      <c r="I271" s="677"/>
      <c r="J271" s="677"/>
      <c r="K271" s="677"/>
      <c r="L271" s="675"/>
      <c r="M271" s="675"/>
      <c r="N271" s="675"/>
      <c r="O271" s="675"/>
    </row>
    <row r="272" spans="1:16" s="448" customFormat="1" ht="47.25" x14ac:dyDescent="0.25">
      <c r="A272" s="450"/>
      <c r="B272" s="675" t="s">
        <v>1191</v>
      </c>
      <c r="C272" s="675"/>
      <c r="D272" s="675"/>
      <c r="E272" s="675"/>
      <c r="F272" s="675"/>
      <c r="G272" s="675"/>
      <c r="H272" s="675"/>
      <c r="I272" s="677"/>
      <c r="J272" s="677">
        <f t="shared" si="128"/>
        <v>0</v>
      </c>
      <c r="K272" s="677">
        <f t="shared" si="129"/>
        <v>0</v>
      </c>
      <c r="L272" s="675">
        <f t="shared" si="130"/>
        <v>0</v>
      </c>
      <c r="M272" s="675">
        <v>50</v>
      </c>
      <c r="N272" s="675"/>
      <c r="O272" s="675">
        <f t="shared" si="131"/>
        <v>50</v>
      </c>
    </row>
    <row r="273" spans="1:16" s="448" customFormat="1" ht="16.5" thickBot="1" x14ac:dyDescent="0.3">
      <c r="A273" s="451"/>
      <c r="B273" s="674" t="s">
        <v>1172</v>
      </c>
      <c r="C273" s="674"/>
      <c r="D273" s="674"/>
      <c r="E273" s="674"/>
      <c r="F273" s="674"/>
      <c r="G273" s="674"/>
      <c r="H273" s="674"/>
      <c r="I273" s="676"/>
      <c r="J273" s="676">
        <f t="shared" si="128"/>
        <v>0</v>
      </c>
      <c r="K273" s="676">
        <f t="shared" si="129"/>
        <v>0</v>
      </c>
      <c r="L273" s="674">
        <f t="shared" si="130"/>
        <v>0</v>
      </c>
      <c r="M273" s="674">
        <v>1705</v>
      </c>
      <c r="N273" s="674"/>
      <c r="O273" s="674">
        <f t="shared" si="131"/>
        <v>1705</v>
      </c>
    </row>
    <row r="274" spans="1:16" ht="17.25" thickTop="1" thickBot="1" x14ac:dyDescent="0.3">
      <c r="A274" s="433"/>
      <c r="B274" s="432" t="s">
        <v>430</v>
      </c>
      <c r="C274" s="432">
        <f>+C263+C267+C272+C268+C273+C269+C270</f>
        <v>10961</v>
      </c>
      <c r="D274" s="432">
        <f t="shared" ref="D274:O274" si="132">+D263+D267+D272+D268+D273+D269+D270</f>
        <v>0</v>
      </c>
      <c r="E274" s="432">
        <f t="shared" si="132"/>
        <v>0</v>
      </c>
      <c r="F274" s="432">
        <f t="shared" si="132"/>
        <v>9844</v>
      </c>
      <c r="G274" s="432">
        <f t="shared" si="132"/>
        <v>0</v>
      </c>
      <c r="H274" s="432">
        <f t="shared" si="132"/>
        <v>0</v>
      </c>
      <c r="I274" s="432">
        <f t="shared" si="132"/>
        <v>0</v>
      </c>
      <c r="J274" s="432">
        <f t="shared" si="132"/>
        <v>20805</v>
      </c>
      <c r="K274" s="432">
        <f t="shared" si="132"/>
        <v>0</v>
      </c>
      <c r="L274" s="432">
        <f t="shared" si="132"/>
        <v>20805</v>
      </c>
      <c r="M274" s="432">
        <f t="shared" si="132"/>
        <v>202018</v>
      </c>
      <c r="N274" s="432">
        <f t="shared" si="132"/>
        <v>1186</v>
      </c>
      <c r="O274" s="432">
        <f t="shared" si="132"/>
        <v>224009</v>
      </c>
      <c r="P274" s="429">
        <f>O275+O276</f>
        <v>224009</v>
      </c>
    </row>
    <row r="275" spans="1:16" ht="17.25" thickTop="1" thickBot="1" x14ac:dyDescent="0.3">
      <c r="A275" s="433"/>
      <c r="B275" s="432" t="s">
        <v>429</v>
      </c>
      <c r="C275" s="432">
        <f>+C264+C267+C268+C269+C270</f>
        <v>10961</v>
      </c>
      <c r="D275" s="432">
        <f t="shared" ref="D275:O275" si="133">+D264+D267+D268+D269+D270</f>
        <v>0</v>
      </c>
      <c r="E275" s="432">
        <f t="shared" si="133"/>
        <v>0</v>
      </c>
      <c r="F275" s="432">
        <f t="shared" si="133"/>
        <v>9844</v>
      </c>
      <c r="G275" s="432">
        <f t="shared" si="133"/>
        <v>0</v>
      </c>
      <c r="H275" s="432">
        <f t="shared" si="133"/>
        <v>0</v>
      </c>
      <c r="I275" s="432">
        <f t="shared" si="133"/>
        <v>0</v>
      </c>
      <c r="J275" s="432">
        <f t="shared" si="133"/>
        <v>20805</v>
      </c>
      <c r="K275" s="432">
        <f t="shared" si="133"/>
        <v>0</v>
      </c>
      <c r="L275" s="432">
        <f t="shared" si="133"/>
        <v>20805</v>
      </c>
      <c r="M275" s="432">
        <f t="shared" si="133"/>
        <v>198939</v>
      </c>
      <c r="N275" s="432">
        <f t="shared" si="133"/>
        <v>1186</v>
      </c>
      <c r="O275" s="432">
        <f t="shared" si="133"/>
        <v>220930</v>
      </c>
    </row>
    <row r="276" spans="1:16" ht="17.25" thickTop="1" thickBot="1" x14ac:dyDescent="0.3">
      <c r="A276" s="433"/>
      <c r="B276" s="432" t="s">
        <v>428</v>
      </c>
      <c r="C276" s="432">
        <f>+C265+C272+C273</f>
        <v>0</v>
      </c>
      <c r="D276" s="432">
        <f t="shared" ref="D276:O276" si="134">+D265+D272+D273</f>
        <v>0</v>
      </c>
      <c r="E276" s="432">
        <f t="shared" si="134"/>
        <v>0</v>
      </c>
      <c r="F276" s="432">
        <f t="shared" si="134"/>
        <v>0</v>
      </c>
      <c r="G276" s="432">
        <f t="shared" si="134"/>
        <v>0</v>
      </c>
      <c r="H276" s="432">
        <f t="shared" si="134"/>
        <v>0</v>
      </c>
      <c r="I276" s="432">
        <f t="shared" si="134"/>
        <v>0</v>
      </c>
      <c r="J276" s="432">
        <f t="shared" si="134"/>
        <v>0</v>
      </c>
      <c r="K276" s="432">
        <f t="shared" si="134"/>
        <v>0</v>
      </c>
      <c r="L276" s="432">
        <f t="shared" si="134"/>
        <v>0</v>
      </c>
      <c r="M276" s="432">
        <f t="shared" si="134"/>
        <v>3079</v>
      </c>
      <c r="N276" s="432">
        <f t="shared" si="134"/>
        <v>0</v>
      </c>
      <c r="O276" s="432">
        <f t="shared" si="134"/>
        <v>3079</v>
      </c>
    </row>
    <row r="277" spans="1:16" ht="16.5" thickTop="1" x14ac:dyDescent="0.25">
      <c r="A277" s="447" t="s">
        <v>10</v>
      </c>
      <c r="B277" s="465" t="s">
        <v>448</v>
      </c>
      <c r="C277" s="465"/>
      <c r="D277" s="465"/>
      <c r="E277" s="465"/>
      <c r="F277" s="465"/>
      <c r="G277" s="465"/>
      <c r="H277" s="465"/>
      <c r="I277" s="465"/>
      <c r="J277" s="465"/>
      <c r="K277" s="465"/>
      <c r="L277" s="465"/>
      <c r="M277" s="465"/>
      <c r="N277" s="465"/>
      <c r="O277" s="465"/>
    </row>
    <row r="278" spans="1:16" x14ac:dyDescent="0.25">
      <c r="A278" s="443"/>
      <c r="B278" s="445" t="s">
        <v>389</v>
      </c>
      <c r="C278" s="445">
        <v>15624</v>
      </c>
      <c r="D278" s="445"/>
      <c r="E278" s="445"/>
      <c r="F278" s="445">
        <v>5466</v>
      </c>
      <c r="G278" s="445"/>
      <c r="H278" s="445"/>
      <c r="I278" s="445"/>
      <c r="J278" s="459">
        <f>SUM(C278+E278+F278+H278)</f>
        <v>21090</v>
      </c>
      <c r="K278" s="459">
        <f>SUM(D278+G278+I278)</f>
        <v>0</v>
      </c>
      <c r="L278" s="441">
        <f>SUM(J278:K278)</f>
        <v>21090</v>
      </c>
      <c r="M278" s="441">
        <v>220701</v>
      </c>
      <c r="N278" s="459">
        <v>1595</v>
      </c>
      <c r="O278" s="441">
        <f>SUM(L278:N278)</f>
        <v>243386</v>
      </c>
    </row>
    <row r="279" spans="1:16" s="448" customFormat="1" x14ac:dyDescent="0.25">
      <c r="A279" s="450"/>
      <c r="B279" s="446" t="s">
        <v>432</v>
      </c>
      <c r="C279" s="446">
        <v>15624</v>
      </c>
      <c r="D279" s="446"/>
      <c r="E279" s="446"/>
      <c r="F279" s="446">
        <v>5466</v>
      </c>
      <c r="G279" s="446"/>
      <c r="H279" s="446"/>
      <c r="I279" s="462"/>
      <c r="J279" s="464">
        <f>SUM(C279+E279+F279+H279)</f>
        <v>21090</v>
      </c>
      <c r="K279" s="464">
        <f>SUM(D279+G279+I279)</f>
        <v>0</v>
      </c>
      <c r="L279" s="463">
        <f>SUM(J279:K279)</f>
        <v>21090</v>
      </c>
      <c r="M279" s="463">
        <v>219045</v>
      </c>
      <c r="N279" s="464">
        <v>1595</v>
      </c>
      <c r="O279" s="463">
        <f>SUM(L279:N279)</f>
        <v>241730</v>
      </c>
    </row>
    <row r="280" spans="1:16" s="448" customFormat="1" x14ac:dyDescent="0.25">
      <c r="A280" s="450"/>
      <c r="B280" s="446" t="s">
        <v>431</v>
      </c>
      <c r="C280" s="446"/>
      <c r="D280" s="446"/>
      <c r="E280" s="446"/>
      <c r="F280" s="446"/>
      <c r="G280" s="446"/>
      <c r="H280" s="446"/>
      <c r="I280" s="462"/>
      <c r="J280" s="462">
        <f>SUM(C280+E280+F280+H280)</f>
        <v>0</v>
      </c>
      <c r="K280" s="462">
        <f>SUM(D280+G280+I280)</f>
        <v>0</v>
      </c>
      <c r="L280" s="446">
        <f>SUM(J280:K280)</f>
        <v>0</v>
      </c>
      <c r="M280" s="446">
        <v>1656</v>
      </c>
      <c r="N280" s="462"/>
      <c r="O280" s="446">
        <f>SUM(L280:N280)</f>
        <v>1656</v>
      </c>
    </row>
    <row r="281" spans="1:16" s="448" customFormat="1" x14ac:dyDescent="0.25">
      <c r="A281" s="450"/>
      <c r="B281" s="446" t="s">
        <v>140</v>
      </c>
      <c r="C281" s="675"/>
      <c r="D281" s="675"/>
      <c r="E281" s="675"/>
      <c r="F281" s="675"/>
      <c r="G281" s="675"/>
      <c r="H281" s="675"/>
      <c r="I281" s="677"/>
      <c r="J281" s="677"/>
      <c r="K281" s="677"/>
      <c r="L281" s="675"/>
      <c r="M281" s="675"/>
      <c r="N281" s="677"/>
      <c r="O281" s="675"/>
    </row>
    <row r="282" spans="1:16" s="448" customFormat="1" x14ac:dyDescent="0.25">
      <c r="A282" s="450"/>
      <c r="B282" s="674" t="s">
        <v>1178</v>
      </c>
      <c r="C282" s="675"/>
      <c r="D282" s="675"/>
      <c r="E282" s="675"/>
      <c r="F282" s="675"/>
      <c r="G282" s="675"/>
      <c r="H282" s="675"/>
      <c r="I282" s="677"/>
      <c r="J282" s="677">
        <f t="shared" ref="J282:J288" si="135">SUM(C282+E282+F282+H282)</f>
        <v>0</v>
      </c>
      <c r="K282" s="677">
        <f t="shared" ref="K282:K288" si="136">SUM(D282+G282+I282)</f>
        <v>0</v>
      </c>
      <c r="L282" s="675">
        <f t="shared" ref="L282:L288" si="137">SUM(J282:K282)</f>
        <v>0</v>
      </c>
      <c r="M282" s="675">
        <v>101</v>
      </c>
      <c r="N282" s="677"/>
      <c r="O282" s="675">
        <f t="shared" ref="O282:O288" si="138">SUM(L282:N282)</f>
        <v>101</v>
      </c>
    </row>
    <row r="283" spans="1:16" s="448" customFormat="1" ht="31.5" x14ac:dyDescent="0.25">
      <c r="A283" s="450"/>
      <c r="B283" s="674" t="s">
        <v>628</v>
      </c>
      <c r="C283" s="675"/>
      <c r="D283" s="675"/>
      <c r="E283" s="675"/>
      <c r="F283" s="675"/>
      <c r="G283" s="675"/>
      <c r="H283" s="675"/>
      <c r="I283" s="677"/>
      <c r="J283" s="677">
        <f t="shared" si="135"/>
        <v>0</v>
      </c>
      <c r="K283" s="677">
        <f t="shared" si="136"/>
        <v>0</v>
      </c>
      <c r="L283" s="675">
        <f t="shared" si="137"/>
        <v>0</v>
      </c>
      <c r="M283" s="675">
        <v>4168</v>
      </c>
      <c r="N283" s="677"/>
      <c r="O283" s="675">
        <f t="shared" si="138"/>
        <v>4168</v>
      </c>
    </row>
    <row r="284" spans="1:16" s="448" customFormat="1" ht="31.5" x14ac:dyDescent="0.25">
      <c r="A284" s="450"/>
      <c r="B284" s="674" t="s">
        <v>928</v>
      </c>
      <c r="C284" s="675"/>
      <c r="D284" s="675"/>
      <c r="E284" s="675"/>
      <c r="F284" s="675"/>
      <c r="G284" s="675"/>
      <c r="H284" s="675"/>
      <c r="I284" s="677"/>
      <c r="J284" s="677">
        <f t="shared" si="135"/>
        <v>0</v>
      </c>
      <c r="K284" s="677">
        <f t="shared" si="136"/>
        <v>0</v>
      </c>
      <c r="L284" s="675">
        <f t="shared" si="137"/>
        <v>0</v>
      </c>
      <c r="M284" s="675">
        <v>667</v>
      </c>
      <c r="N284" s="677"/>
      <c r="O284" s="675">
        <f t="shared" si="138"/>
        <v>667</v>
      </c>
    </row>
    <row r="285" spans="1:16" s="448" customFormat="1" ht="47.25" x14ac:dyDescent="0.25">
      <c r="A285" s="450"/>
      <c r="B285" s="674" t="s">
        <v>1182</v>
      </c>
      <c r="C285" s="675"/>
      <c r="D285" s="675"/>
      <c r="E285" s="675"/>
      <c r="F285" s="675"/>
      <c r="G285" s="675"/>
      <c r="H285" s="675"/>
      <c r="I285" s="677"/>
      <c r="J285" s="677">
        <f t="shared" si="135"/>
        <v>0</v>
      </c>
      <c r="K285" s="677">
        <f t="shared" si="136"/>
        <v>0</v>
      </c>
      <c r="L285" s="675">
        <f t="shared" si="137"/>
        <v>0</v>
      </c>
      <c r="M285" s="675">
        <v>7493</v>
      </c>
      <c r="N285" s="677"/>
      <c r="O285" s="675">
        <f t="shared" si="138"/>
        <v>7493</v>
      </c>
    </row>
    <row r="286" spans="1:16" s="448" customFormat="1" x14ac:dyDescent="0.25">
      <c r="A286" s="450"/>
      <c r="B286" s="446" t="s">
        <v>141</v>
      </c>
      <c r="C286" s="675"/>
      <c r="D286" s="675"/>
      <c r="E286" s="675"/>
      <c r="F286" s="675"/>
      <c r="G286" s="675"/>
      <c r="H286" s="675"/>
      <c r="I286" s="677"/>
      <c r="J286" s="677"/>
      <c r="K286" s="677"/>
      <c r="L286" s="675"/>
      <c r="M286" s="675"/>
      <c r="N286" s="677"/>
      <c r="O286" s="675"/>
    </row>
    <row r="287" spans="1:16" s="448" customFormat="1" x14ac:dyDescent="0.25">
      <c r="A287" s="450"/>
      <c r="B287" s="674" t="s">
        <v>1172</v>
      </c>
      <c r="C287" s="675"/>
      <c r="D287" s="675"/>
      <c r="E287" s="675"/>
      <c r="F287" s="675"/>
      <c r="G287" s="675"/>
      <c r="H287" s="675"/>
      <c r="I287" s="677"/>
      <c r="J287" s="677">
        <f t="shared" si="135"/>
        <v>0</v>
      </c>
      <c r="K287" s="677">
        <f t="shared" si="136"/>
        <v>0</v>
      </c>
      <c r="L287" s="675">
        <f t="shared" si="137"/>
        <v>0</v>
      </c>
      <c r="M287" s="675">
        <v>2169</v>
      </c>
      <c r="N287" s="677"/>
      <c r="O287" s="675">
        <f t="shared" si="138"/>
        <v>2169</v>
      </c>
    </row>
    <row r="288" spans="1:16" s="448" customFormat="1" ht="32.25" thickBot="1" x14ac:dyDescent="0.3">
      <c r="A288" s="450"/>
      <c r="B288" s="444" t="s">
        <v>1192</v>
      </c>
      <c r="C288" s="675"/>
      <c r="D288" s="675"/>
      <c r="E288" s="675"/>
      <c r="F288" s="675"/>
      <c r="G288" s="675"/>
      <c r="H288" s="675"/>
      <c r="I288" s="677"/>
      <c r="J288" s="677">
        <f t="shared" si="135"/>
        <v>0</v>
      </c>
      <c r="K288" s="677">
        <f t="shared" si="136"/>
        <v>0</v>
      </c>
      <c r="L288" s="675">
        <f t="shared" si="137"/>
        <v>0</v>
      </c>
      <c r="M288" s="675">
        <v>250</v>
      </c>
      <c r="N288" s="677"/>
      <c r="O288" s="675">
        <f t="shared" si="138"/>
        <v>250</v>
      </c>
    </row>
    <row r="289" spans="1:16" ht="17.25" thickTop="1" thickBot="1" x14ac:dyDescent="0.3">
      <c r="A289" s="433"/>
      <c r="B289" s="432" t="s">
        <v>430</v>
      </c>
      <c r="C289" s="432">
        <f>+C278+C282+C287+C283+C288+C284+C285</f>
        <v>15624</v>
      </c>
      <c r="D289" s="432">
        <f t="shared" ref="D289:O289" si="139">+D278+D282+D287+D283+D288+D284+D285</f>
        <v>0</v>
      </c>
      <c r="E289" s="432">
        <f t="shared" si="139"/>
        <v>0</v>
      </c>
      <c r="F289" s="432">
        <f t="shared" si="139"/>
        <v>5466</v>
      </c>
      <c r="G289" s="432">
        <f t="shared" si="139"/>
        <v>0</v>
      </c>
      <c r="H289" s="432">
        <f t="shared" si="139"/>
        <v>0</v>
      </c>
      <c r="I289" s="432">
        <f t="shared" si="139"/>
        <v>0</v>
      </c>
      <c r="J289" s="432">
        <f t="shared" si="139"/>
        <v>21090</v>
      </c>
      <c r="K289" s="432">
        <f t="shared" si="139"/>
        <v>0</v>
      </c>
      <c r="L289" s="432">
        <f t="shared" si="139"/>
        <v>21090</v>
      </c>
      <c r="M289" s="432">
        <f t="shared" si="139"/>
        <v>235549</v>
      </c>
      <c r="N289" s="432">
        <f t="shared" si="139"/>
        <v>1595</v>
      </c>
      <c r="O289" s="432">
        <f t="shared" si="139"/>
        <v>258234</v>
      </c>
      <c r="P289" s="429">
        <f>O290+O291</f>
        <v>258234</v>
      </c>
    </row>
    <row r="290" spans="1:16" ht="17.25" thickTop="1" thickBot="1" x14ac:dyDescent="0.3">
      <c r="A290" s="433"/>
      <c r="B290" s="432" t="s">
        <v>429</v>
      </c>
      <c r="C290" s="432">
        <f>+C279+C282+C283+C284+C285</f>
        <v>15624</v>
      </c>
      <c r="D290" s="432">
        <f t="shared" ref="D290:O290" si="140">+D279+D282+D283+D284+D285</f>
        <v>0</v>
      </c>
      <c r="E290" s="432">
        <f t="shared" si="140"/>
        <v>0</v>
      </c>
      <c r="F290" s="432">
        <f t="shared" si="140"/>
        <v>5466</v>
      </c>
      <c r="G290" s="432">
        <f t="shared" si="140"/>
        <v>0</v>
      </c>
      <c r="H290" s="432">
        <f t="shared" si="140"/>
        <v>0</v>
      </c>
      <c r="I290" s="432">
        <f t="shared" si="140"/>
        <v>0</v>
      </c>
      <c r="J290" s="432">
        <f t="shared" si="140"/>
        <v>21090</v>
      </c>
      <c r="K290" s="432">
        <f t="shared" si="140"/>
        <v>0</v>
      </c>
      <c r="L290" s="432">
        <f t="shared" si="140"/>
        <v>21090</v>
      </c>
      <c r="M290" s="432">
        <f t="shared" si="140"/>
        <v>231474</v>
      </c>
      <c r="N290" s="432">
        <f t="shared" si="140"/>
        <v>1595</v>
      </c>
      <c r="O290" s="432">
        <f t="shared" si="140"/>
        <v>254159</v>
      </c>
    </row>
    <row r="291" spans="1:16" ht="17.25" thickTop="1" thickBot="1" x14ac:dyDescent="0.3">
      <c r="A291" s="433"/>
      <c r="B291" s="432" t="s">
        <v>428</v>
      </c>
      <c r="C291" s="432">
        <f>+C280+C287+C288</f>
        <v>0</v>
      </c>
      <c r="D291" s="432">
        <f t="shared" ref="D291:O291" si="141">+D280+D287+D288</f>
        <v>0</v>
      </c>
      <c r="E291" s="432">
        <f t="shared" si="141"/>
        <v>0</v>
      </c>
      <c r="F291" s="432">
        <f t="shared" si="141"/>
        <v>0</v>
      </c>
      <c r="G291" s="432">
        <f t="shared" si="141"/>
        <v>0</v>
      </c>
      <c r="H291" s="432">
        <f t="shared" si="141"/>
        <v>0</v>
      </c>
      <c r="I291" s="432">
        <f t="shared" si="141"/>
        <v>0</v>
      </c>
      <c r="J291" s="432">
        <f t="shared" si="141"/>
        <v>0</v>
      </c>
      <c r="K291" s="432">
        <f t="shared" si="141"/>
        <v>0</v>
      </c>
      <c r="L291" s="432">
        <f t="shared" si="141"/>
        <v>0</v>
      </c>
      <c r="M291" s="432">
        <f t="shared" si="141"/>
        <v>4075</v>
      </c>
      <c r="N291" s="432">
        <f t="shared" si="141"/>
        <v>0</v>
      </c>
      <c r="O291" s="432">
        <f t="shared" si="141"/>
        <v>4075</v>
      </c>
    </row>
    <row r="292" spans="1:16" ht="17.25" thickTop="1" thickBot="1" x14ac:dyDescent="0.3">
      <c r="A292" s="433"/>
      <c r="B292" s="432" t="s">
        <v>447</v>
      </c>
      <c r="C292" s="432">
        <f t="shared" ref="C292:O292" si="142">SUM(C130+C143+C158+C173+C187+C200+C215+C230+C246+C259+C274+C289)</f>
        <v>150391</v>
      </c>
      <c r="D292" s="432">
        <f t="shared" si="142"/>
        <v>0</v>
      </c>
      <c r="E292" s="432">
        <f t="shared" si="142"/>
        <v>0</v>
      </c>
      <c r="F292" s="432">
        <f t="shared" si="142"/>
        <v>90043</v>
      </c>
      <c r="G292" s="432">
        <f t="shared" si="142"/>
        <v>0</v>
      </c>
      <c r="H292" s="432">
        <f t="shared" si="142"/>
        <v>0</v>
      </c>
      <c r="I292" s="432">
        <f t="shared" si="142"/>
        <v>0</v>
      </c>
      <c r="J292" s="432">
        <f t="shared" si="142"/>
        <v>240434</v>
      </c>
      <c r="K292" s="432">
        <f t="shared" si="142"/>
        <v>0</v>
      </c>
      <c r="L292" s="432">
        <f t="shared" si="142"/>
        <v>240434</v>
      </c>
      <c r="M292" s="432">
        <f t="shared" si="142"/>
        <v>2710216</v>
      </c>
      <c r="N292" s="432">
        <f t="shared" si="142"/>
        <v>14856</v>
      </c>
      <c r="O292" s="432">
        <f t="shared" si="142"/>
        <v>2965506</v>
      </c>
    </row>
    <row r="293" spans="1:16" ht="17.25" thickTop="1" thickBot="1" x14ac:dyDescent="0.3">
      <c r="A293" s="433"/>
      <c r="B293" s="432" t="s">
        <v>446</v>
      </c>
      <c r="C293" s="432">
        <f t="shared" ref="C293:O293" si="143">SUM(C35+C117+C292)</f>
        <v>596870</v>
      </c>
      <c r="D293" s="432">
        <f t="shared" si="143"/>
        <v>0</v>
      </c>
      <c r="E293" s="432">
        <f t="shared" si="143"/>
        <v>0</v>
      </c>
      <c r="F293" s="432">
        <f t="shared" si="143"/>
        <v>139491</v>
      </c>
      <c r="G293" s="432">
        <f t="shared" si="143"/>
        <v>0</v>
      </c>
      <c r="H293" s="432">
        <f t="shared" si="143"/>
        <v>0</v>
      </c>
      <c r="I293" s="432">
        <f t="shared" si="143"/>
        <v>0</v>
      </c>
      <c r="J293" s="432">
        <f t="shared" si="143"/>
        <v>736361</v>
      </c>
      <c r="K293" s="432">
        <f t="shared" si="143"/>
        <v>0</v>
      </c>
      <c r="L293" s="432">
        <f t="shared" si="143"/>
        <v>736361</v>
      </c>
      <c r="M293" s="432">
        <f t="shared" si="143"/>
        <v>3644787</v>
      </c>
      <c r="N293" s="432">
        <f t="shared" si="143"/>
        <v>107982</v>
      </c>
      <c r="O293" s="432">
        <f t="shared" si="143"/>
        <v>4489130</v>
      </c>
    </row>
    <row r="294" spans="1:16" ht="16.5" thickTop="1" x14ac:dyDescent="0.25">
      <c r="A294" s="443" t="s">
        <v>11</v>
      </c>
      <c r="B294" s="445" t="s">
        <v>414</v>
      </c>
      <c r="C294" s="445"/>
      <c r="D294" s="445"/>
      <c r="E294" s="445"/>
      <c r="F294" s="445"/>
      <c r="G294" s="445"/>
      <c r="H294" s="445"/>
      <c r="I294" s="445"/>
      <c r="J294" s="445"/>
      <c r="K294" s="445"/>
      <c r="L294" s="445"/>
      <c r="M294" s="445"/>
      <c r="N294" s="445"/>
      <c r="O294" s="445"/>
    </row>
    <row r="295" spans="1:16" x14ac:dyDescent="0.25">
      <c r="A295" s="443"/>
      <c r="B295" s="441" t="s">
        <v>389</v>
      </c>
      <c r="C295" s="441">
        <v>89670</v>
      </c>
      <c r="D295" s="441"/>
      <c r="E295" s="441"/>
      <c r="F295" s="441">
        <v>321387</v>
      </c>
      <c r="G295" s="441"/>
      <c r="H295" s="441"/>
      <c r="I295" s="441"/>
      <c r="J295" s="459">
        <f>SUM(C295+E295+F295+H295)</f>
        <v>411057</v>
      </c>
      <c r="K295" s="459">
        <f>SUM(D295+G295+I295)</f>
        <v>0</v>
      </c>
      <c r="L295" s="441">
        <f>SUM(J295:K295)</f>
        <v>411057</v>
      </c>
      <c r="M295" s="441">
        <v>816889</v>
      </c>
      <c r="N295" s="459">
        <v>8324</v>
      </c>
      <c r="O295" s="441">
        <f>SUM(L295:N295)</f>
        <v>1236270</v>
      </c>
    </row>
    <row r="296" spans="1:16" s="448" customFormat="1" x14ac:dyDescent="0.25">
      <c r="A296" s="451"/>
      <c r="B296" s="442" t="s">
        <v>432</v>
      </c>
      <c r="C296" s="442">
        <v>89670</v>
      </c>
      <c r="D296" s="442"/>
      <c r="E296" s="442"/>
      <c r="F296" s="442">
        <v>321387</v>
      </c>
      <c r="G296" s="442"/>
      <c r="H296" s="442"/>
      <c r="I296" s="460"/>
      <c r="J296" s="461">
        <f>SUM(C296+E296+F296+H296)</f>
        <v>411057</v>
      </c>
      <c r="K296" s="461">
        <f>SUM(D296+G296+I296)</f>
        <v>0</v>
      </c>
      <c r="L296" s="449">
        <f>SUM(J296:K296)</f>
        <v>411057</v>
      </c>
      <c r="M296" s="449">
        <v>811678</v>
      </c>
      <c r="N296" s="461">
        <v>8324</v>
      </c>
      <c r="O296" s="449">
        <f>SUM(L296:N296)</f>
        <v>1231059</v>
      </c>
    </row>
    <row r="297" spans="1:16" s="448" customFormat="1" x14ac:dyDescent="0.25">
      <c r="A297" s="451"/>
      <c r="B297" s="442" t="s">
        <v>431</v>
      </c>
      <c r="C297" s="442"/>
      <c r="D297" s="442"/>
      <c r="E297" s="442"/>
      <c r="F297" s="442"/>
      <c r="G297" s="442"/>
      <c r="H297" s="442"/>
      <c r="I297" s="460"/>
      <c r="J297" s="460">
        <f>SUM(C297+E297+F297+H297)</f>
        <v>0</v>
      </c>
      <c r="K297" s="460">
        <f>SUM(D297+G297+I297)</f>
        <v>0</v>
      </c>
      <c r="L297" s="442">
        <f>SUM(J297:K297)</f>
        <v>0</v>
      </c>
      <c r="M297" s="442">
        <v>5211</v>
      </c>
      <c r="N297" s="460"/>
      <c r="O297" s="442">
        <f>SUM(L297:N297)</f>
        <v>5211</v>
      </c>
    </row>
    <row r="298" spans="1:16" s="448" customFormat="1" x14ac:dyDescent="0.25">
      <c r="A298" s="451"/>
      <c r="B298" s="442" t="s">
        <v>140</v>
      </c>
      <c r="C298" s="674"/>
      <c r="D298" s="674"/>
      <c r="E298" s="674"/>
      <c r="F298" s="674"/>
      <c r="G298" s="674"/>
      <c r="H298" s="674"/>
      <c r="I298" s="676"/>
      <c r="J298" s="676"/>
      <c r="K298" s="676"/>
      <c r="L298" s="674"/>
      <c r="M298" s="674"/>
      <c r="N298" s="676"/>
      <c r="O298" s="674"/>
    </row>
    <row r="299" spans="1:16" s="448" customFormat="1" ht="31.5" x14ac:dyDescent="0.25">
      <c r="A299" s="451"/>
      <c r="B299" s="674" t="s">
        <v>1168</v>
      </c>
      <c r="C299" s="674"/>
      <c r="D299" s="674"/>
      <c r="E299" s="674"/>
      <c r="F299" s="674"/>
      <c r="G299" s="674"/>
      <c r="H299" s="674"/>
      <c r="I299" s="676"/>
      <c r="J299" s="676">
        <f t="shared" ref="J299:J303" si="144">SUM(C299+E299+F299+H299)</f>
        <v>0</v>
      </c>
      <c r="K299" s="676">
        <f t="shared" ref="K299:K303" si="145">SUM(D299+G299+I299)</f>
        <v>0</v>
      </c>
      <c r="L299" s="674">
        <f t="shared" ref="L299:L303" si="146">SUM(J299:K299)</f>
        <v>0</v>
      </c>
      <c r="M299" s="674">
        <v>1265</v>
      </c>
      <c r="N299" s="676"/>
      <c r="O299" s="674">
        <f t="shared" ref="O299:O303" si="147">SUM(L299:N299)</f>
        <v>1265</v>
      </c>
    </row>
    <row r="300" spans="1:16" s="448" customFormat="1" ht="47.25" x14ac:dyDescent="0.25">
      <c r="A300" s="451"/>
      <c r="B300" s="674" t="s">
        <v>1174</v>
      </c>
      <c r="C300" s="674"/>
      <c r="D300" s="674"/>
      <c r="E300" s="674"/>
      <c r="F300" s="674"/>
      <c r="G300" s="674"/>
      <c r="H300" s="674"/>
      <c r="I300" s="676"/>
      <c r="J300" s="676">
        <f t="shared" si="144"/>
        <v>0</v>
      </c>
      <c r="K300" s="676">
        <f t="shared" si="145"/>
        <v>0</v>
      </c>
      <c r="L300" s="674">
        <f t="shared" si="146"/>
        <v>0</v>
      </c>
      <c r="M300" s="674">
        <v>24206</v>
      </c>
      <c r="N300" s="676"/>
      <c r="O300" s="674">
        <f t="shared" si="147"/>
        <v>24206</v>
      </c>
    </row>
    <row r="301" spans="1:16" s="448" customFormat="1" ht="47.25" x14ac:dyDescent="0.25">
      <c r="A301" s="451"/>
      <c r="B301" s="674" t="s">
        <v>1193</v>
      </c>
      <c r="C301" s="674"/>
      <c r="D301" s="674"/>
      <c r="E301" s="674"/>
      <c r="F301" s="674"/>
      <c r="G301" s="674"/>
      <c r="H301" s="674"/>
      <c r="I301" s="676"/>
      <c r="J301" s="676">
        <f t="shared" si="144"/>
        <v>0</v>
      </c>
      <c r="K301" s="676">
        <f t="shared" si="145"/>
        <v>0</v>
      </c>
      <c r="L301" s="674">
        <f t="shared" si="146"/>
        <v>0</v>
      </c>
      <c r="M301" s="674">
        <v>2631</v>
      </c>
      <c r="N301" s="676"/>
      <c r="O301" s="674">
        <f t="shared" si="147"/>
        <v>2631</v>
      </c>
    </row>
    <row r="302" spans="1:16" s="448" customFormat="1" x14ac:dyDescent="0.25">
      <c r="A302" s="451"/>
      <c r="B302" s="442" t="s">
        <v>141</v>
      </c>
      <c r="C302" s="674"/>
      <c r="D302" s="674"/>
      <c r="E302" s="674"/>
      <c r="F302" s="674"/>
      <c r="G302" s="674"/>
      <c r="H302" s="674"/>
      <c r="I302" s="676"/>
      <c r="J302" s="676"/>
      <c r="K302" s="676"/>
      <c r="L302" s="674"/>
      <c r="M302" s="674"/>
      <c r="N302" s="676"/>
      <c r="O302" s="674"/>
    </row>
    <row r="303" spans="1:16" s="448" customFormat="1" ht="16.5" thickBot="1" x14ac:dyDescent="0.3">
      <c r="A303" s="451"/>
      <c r="B303" s="674" t="s">
        <v>1172</v>
      </c>
      <c r="C303" s="674"/>
      <c r="D303" s="674"/>
      <c r="E303" s="674"/>
      <c r="F303" s="674"/>
      <c r="G303" s="674"/>
      <c r="H303" s="674"/>
      <c r="I303" s="676"/>
      <c r="J303" s="676">
        <f t="shared" si="144"/>
        <v>0</v>
      </c>
      <c r="K303" s="676">
        <f t="shared" si="145"/>
        <v>0</v>
      </c>
      <c r="L303" s="674">
        <f t="shared" si="146"/>
        <v>0</v>
      </c>
      <c r="M303" s="674">
        <v>13777</v>
      </c>
      <c r="N303" s="676"/>
      <c r="O303" s="674">
        <f t="shared" si="147"/>
        <v>13777</v>
      </c>
    </row>
    <row r="304" spans="1:16" ht="17.25" thickTop="1" thickBot="1" x14ac:dyDescent="0.3">
      <c r="A304" s="433"/>
      <c r="B304" s="432" t="s">
        <v>430</v>
      </c>
      <c r="C304" s="432">
        <f>+C295+C299+C303+C300+C301</f>
        <v>89670</v>
      </c>
      <c r="D304" s="432">
        <f t="shared" ref="D304:O304" si="148">+D295+D299+D303+D300+D301</f>
        <v>0</v>
      </c>
      <c r="E304" s="432">
        <f t="shared" si="148"/>
        <v>0</v>
      </c>
      <c r="F304" s="432">
        <f t="shared" si="148"/>
        <v>321387</v>
      </c>
      <c r="G304" s="432">
        <f t="shared" si="148"/>
        <v>0</v>
      </c>
      <c r="H304" s="432">
        <f t="shared" si="148"/>
        <v>0</v>
      </c>
      <c r="I304" s="432">
        <f t="shared" si="148"/>
        <v>0</v>
      </c>
      <c r="J304" s="432">
        <f t="shared" si="148"/>
        <v>411057</v>
      </c>
      <c r="K304" s="432">
        <f t="shared" si="148"/>
        <v>0</v>
      </c>
      <c r="L304" s="432">
        <f t="shared" si="148"/>
        <v>411057</v>
      </c>
      <c r="M304" s="432">
        <f t="shared" si="148"/>
        <v>858768</v>
      </c>
      <c r="N304" s="432">
        <f t="shared" si="148"/>
        <v>8324</v>
      </c>
      <c r="O304" s="432">
        <f t="shared" si="148"/>
        <v>1278149</v>
      </c>
      <c r="P304" s="429">
        <f>O305+O306</f>
        <v>1278149</v>
      </c>
    </row>
    <row r="305" spans="1:16" ht="17.25" thickTop="1" thickBot="1" x14ac:dyDescent="0.3">
      <c r="A305" s="433"/>
      <c r="B305" s="432" t="s">
        <v>429</v>
      </c>
      <c r="C305" s="432">
        <f>+C296+C299+C300+C301</f>
        <v>89670</v>
      </c>
      <c r="D305" s="432">
        <f t="shared" ref="D305:O305" si="149">+D296+D299+D300+D301</f>
        <v>0</v>
      </c>
      <c r="E305" s="432">
        <f t="shared" si="149"/>
        <v>0</v>
      </c>
      <c r="F305" s="432">
        <f t="shared" si="149"/>
        <v>321387</v>
      </c>
      <c r="G305" s="432">
        <f t="shared" si="149"/>
        <v>0</v>
      </c>
      <c r="H305" s="432">
        <f t="shared" si="149"/>
        <v>0</v>
      </c>
      <c r="I305" s="432">
        <f t="shared" si="149"/>
        <v>0</v>
      </c>
      <c r="J305" s="432">
        <f t="shared" si="149"/>
        <v>411057</v>
      </c>
      <c r="K305" s="432">
        <f t="shared" si="149"/>
        <v>0</v>
      </c>
      <c r="L305" s="432">
        <f t="shared" si="149"/>
        <v>411057</v>
      </c>
      <c r="M305" s="432">
        <f t="shared" si="149"/>
        <v>839780</v>
      </c>
      <c r="N305" s="432">
        <f t="shared" si="149"/>
        <v>8324</v>
      </c>
      <c r="O305" s="432">
        <f t="shared" si="149"/>
        <v>1259161</v>
      </c>
    </row>
    <row r="306" spans="1:16" ht="17.25" thickTop="1" thickBot="1" x14ac:dyDescent="0.3">
      <c r="A306" s="433"/>
      <c r="B306" s="432" t="s">
        <v>428</v>
      </c>
      <c r="C306" s="432">
        <f>+C297+C303</f>
        <v>0</v>
      </c>
      <c r="D306" s="432">
        <f t="shared" ref="D306:O306" si="150">+D297+D303</f>
        <v>0</v>
      </c>
      <c r="E306" s="432">
        <f t="shared" si="150"/>
        <v>0</v>
      </c>
      <c r="F306" s="432">
        <f t="shared" si="150"/>
        <v>0</v>
      </c>
      <c r="G306" s="432">
        <f t="shared" si="150"/>
        <v>0</v>
      </c>
      <c r="H306" s="432">
        <f t="shared" si="150"/>
        <v>0</v>
      </c>
      <c r="I306" s="432">
        <f t="shared" si="150"/>
        <v>0</v>
      </c>
      <c r="J306" s="432">
        <f t="shared" si="150"/>
        <v>0</v>
      </c>
      <c r="K306" s="432">
        <f t="shared" si="150"/>
        <v>0</v>
      </c>
      <c r="L306" s="432">
        <f t="shared" si="150"/>
        <v>0</v>
      </c>
      <c r="M306" s="432">
        <f t="shared" si="150"/>
        <v>18988</v>
      </c>
      <c r="N306" s="432">
        <f t="shared" si="150"/>
        <v>0</v>
      </c>
      <c r="O306" s="432">
        <f t="shared" si="150"/>
        <v>18988</v>
      </c>
    </row>
    <row r="307" spans="1:16" ht="32.25" thickTop="1" x14ac:dyDescent="0.25">
      <c r="A307" s="443" t="s">
        <v>12</v>
      </c>
      <c r="B307" s="445" t="s">
        <v>499</v>
      </c>
      <c r="C307" s="445"/>
      <c r="D307" s="445"/>
      <c r="E307" s="445"/>
      <c r="F307" s="445"/>
      <c r="G307" s="445"/>
      <c r="H307" s="445"/>
      <c r="I307" s="445"/>
      <c r="J307" s="445"/>
      <c r="K307" s="445"/>
      <c r="L307" s="445"/>
      <c r="M307" s="445"/>
      <c r="N307" s="445"/>
      <c r="O307" s="445"/>
    </row>
    <row r="308" spans="1:16" x14ac:dyDescent="0.25">
      <c r="A308" s="443"/>
      <c r="B308" s="441" t="s">
        <v>389</v>
      </c>
      <c r="C308" s="441">
        <v>14693</v>
      </c>
      <c r="D308" s="441"/>
      <c r="E308" s="441"/>
      <c r="F308" s="441"/>
      <c r="G308" s="441"/>
      <c r="H308" s="441"/>
      <c r="I308" s="441"/>
      <c r="J308" s="459">
        <f>SUM(C308+E308+F308+H308)</f>
        <v>14693</v>
      </c>
      <c r="K308" s="459">
        <f>SUM(D308+G308+I308)</f>
        <v>0</v>
      </c>
      <c r="L308" s="441">
        <f>SUM(J308:K308)</f>
        <v>14693</v>
      </c>
      <c r="M308" s="441">
        <v>232066</v>
      </c>
      <c r="N308" s="459">
        <v>191192</v>
      </c>
      <c r="O308" s="441">
        <f>SUM(L308:N308)</f>
        <v>437951</v>
      </c>
    </row>
    <row r="309" spans="1:16" s="448" customFormat="1" x14ac:dyDescent="0.25">
      <c r="A309" s="451"/>
      <c r="B309" s="442" t="s">
        <v>432</v>
      </c>
      <c r="C309" s="442">
        <v>14693</v>
      </c>
      <c r="D309" s="442"/>
      <c r="E309" s="442"/>
      <c r="F309" s="442"/>
      <c r="G309" s="442"/>
      <c r="H309" s="442"/>
      <c r="I309" s="460"/>
      <c r="J309" s="461">
        <f>SUM(C309+E309+F309+H309)</f>
        <v>14693</v>
      </c>
      <c r="K309" s="461">
        <f>SUM(D309+G309+I309)</f>
        <v>0</v>
      </c>
      <c r="L309" s="449">
        <f>SUM(J309:K309)</f>
        <v>14693</v>
      </c>
      <c r="M309" s="449">
        <v>230009</v>
      </c>
      <c r="N309" s="461">
        <v>191192</v>
      </c>
      <c r="O309" s="449">
        <f>SUM(L309:N309)</f>
        <v>435894</v>
      </c>
    </row>
    <row r="310" spans="1:16" s="448" customFormat="1" x14ac:dyDescent="0.25">
      <c r="A310" s="451"/>
      <c r="B310" s="442" t="s">
        <v>431</v>
      </c>
      <c r="C310" s="442"/>
      <c r="D310" s="442"/>
      <c r="E310" s="442"/>
      <c r="F310" s="442"/>
      <c r="G310" s="442"/>
      <c r="H310" s="442"/>
      <c r="I310" s="460"/>
      <c r="J310" s="460">
        <f>SUM(C310+E310+F310+H310)</f>
        <v>0</v>
      </c>
      <c r="K310" s="460">
        <f>SUM(D310+G310+I310)</f>
        <v>0</v>
      </c>
      <c r="L310" s="442">
        <f>SUM(J310:K310)</f>
        <v>0</v>
      </c>
      <c r="M310" s="442">
        <v>2057</v>
      </c>
      <c r="N310" s="460"/>
      <c r="O310" s="442">
        <f>SUM(L310:N310)</f>
        <v>2057</v>
      </c>
    </row>
    <row r="311" spans="1:16" s="448" customFormat="1" x14ac:dyDescent="0.25">
      <c r="A311" s="451"/>
      <c r="B311" s="442" t="s">
        <v>140</v>
      </c>
      <c r="C311" s="674"/>
      <c r="D311" s="674"/>
      <c r="E311" s="674"/>
      <c r="F311" s="674"/>
      <c r="G311" s="674"/>
      <c r="H311" s="674"/>
      <c r="I311" s="676"/>
      <c r="J311" s="676"/>
      <c r="K311" s="676"/>
      <c r="L311" s="674"/>
      <c r="M311" s="674"/>
      <c r="N311" s="676"/>
      <c r="O311" s="674"/>
    </row>
    <row r="312" spans="1:16" s="448" customFormat="1" ht="31.5" x14ac:dyDescent="0.25">
      <c r="A312" s="451"/>
      <c r="B312" s="674" t="s">
        <v>1168</v>
      </c>
      <c r="C312" s="674"/>
      <c r="D312" s="674"/>
      <c r="E312" s="674"/>
      <c r="F312" s="674"/>
      <c r="G312" s="674"/>
      <c r="H312" s="674"/>
      <c r="I312" s="676"/>
      <c r="J312" s="676">
        <f t="shared" ref="J312:J317" si="151">SUM(C312+E312+F312+H312)</f>
        <v>0</v>
      </c>
      <c r="K312" s="676">
        <f t="shared" ref="K312:K317" si="152">SUM(D312+G312+I312)</f>
        <v>0</v>
      </c>
      <c r="L312" s="674">
        <f t="shared" ref="L312:L317" si="153">SUM(J312:K312)</f>
        <v>0</v>
      </c>
      <c r="M312" s="674">
        <v>681</v>
      </c>
      <c r="N312" s="676"/>
      <c r="O312" s="674">
        <f t="shared" ref="O312:O317" si="154">SUM(L312:N312)</f>
        <v>681</v>
      </c>
    </row>
    <row r="313" spans="1:16" s="448" customFormat="1" ht="47.25" x14ac:dyDescent="0.25">
      <c r="A313" s="451"/>
      <c r="B313" s="674" t="s">
        <v>1174</v>
      </c>
      <c r="C313" s="674"/>
      <c r="D313" s="674"/>
      <c r="E313" s="674"/>
      <c r="F313" s="674"/>
      <c r="G313" s="674"/>
      <c r="H313" s="674"/>
      <c r="I313" s="676"/>
      <c r="J313" s="676">
        <f t="shared" si="151"/>
        <v>0</v>
      </c>
      <c r="K313" s="676">
        <f t="shared" si="152"/>
        <v>0</v>
      </c>
      <c r="L313" s="674">
        <f t="shared" si="153"/>
        <v>0</v>
      </c>
      <c r="M313" s="674">
        <v>16730</v>
      </c>
      <c r="N313" s="676"/>
      <c r="O313" s="674">
        <f t="shared" si="154"/>
        <v>16730</v>
      </c>
    </row>
    <row r="314" spans="1:16" s="448" customFormat="1" ht="47.25" x14ac:dyDescent="0.25">
      <c r="A314" s="451"/>
      <c r="B314" s="444" t="s">
        <v>1194</v>
      </c>
      <c r="C314" s="674"/>
      <c r="D314" s="674"/>
      <c r="E314" s="674"/>
      <c r="F314" s="674"/>
      <c r="G314" s="674"/>
      <c r="H314" s="674"/>
      <c r="I314" s="676"/>
      <c r="J314" s="676">
        <f t="shared" si="151"/>
        <v>0</v>
      </c>
      <c r="K314" s="676">
        <f t="shared" si="152"/>
        <v>0</v>
      </c>
      <c r="L314" s="674">
        <f t="shared" si="153"/>
        <v>0</v>
      </c>
      <c r="M314" s="674">
        <v>10000</v>
      </c>
      <c r="N314" s="676"/>
      <c r="O314" s="674">
        <f t="shared" si="154"/>
        <v>10000</v>
      </c>
    </row>
    <row r="315" spans="1:16" s="448" customFormat="1" ht="31.5" x14ac:dyDescent="0.25">
      <c r="A315" s="451"/>
      <c r="B315" s="444" t="s">
        <v>1175</v>
      </c>
      <c r="C315" s="674"/>
      <c r="D315" s="674"/>
      <c r="E315" s="674"/>
      <c r="F315" s="674"/>
      <c r="G315" s="674"/>
      <c r="H315" s="674"/>
      <c r="I315" s="676"/>
      <c r="J315" s="676">
        <f t="shared" si="151"/>
        <v>0</v>
      </c>
      <c r="K315" s="676">
        <f t="shared" si="152"/>
        <v>0</v>
      </c>
      <c r="L315" s="674">
        <f t="shared" si="153"/>
        <v>0</v>
      </c>
      <c r="M315" s="674">
        <v>-9175</v>
      </c>
      <c r="N315" s="676"/>
      <c r="O315" s="674">
        <f t="shared" si="154"/>
        <v>-9175</v>
      </c>
    </row>
    <row r="316" spans="1:16" s="448" customFormat="1" x14ac:dyDescent="0.25">
      <c r="A316" s="451"/>
      <c r="B316" s="442" t="s">
        <v>141</v>
      </c>
      <c r="C316" s="674"/>
      <c r="D316" s="674"/>
      <c r="E316" s="674"/>
      <c r="F316" s="674"/>
      <c r="G316" s="674"/>
      <c r="H316" s="674"/>
      <c r="I316" s="676"/>
      <c r="J316" s="676"/>
      <c r="K316" s="676"/>
      <c r="L316" s="674"/>
      <c r="M316" s="674"/>
      <c r="N316" s="676"/>
      <c r="O316" s="674"/>
    </row>
    <row r="317" spans="1:16" s="448" customFormat="1" ht="16.5" thickBot="1" x14ac:dyDescent="0.3">
      <c r="A317" s="451"/>
      <c r="B317" s="674" t="s">
        <v>1172</v>
      </c>
      <c r="C317" s="674"/>
      <c r="D317" s="674"/>
      <c r="E317" s="674"/>
      <c r="F317" s="674"/>
      <c r="G317" s="674"/>
      <c r="H317" s="674"/>
      <c r="I317" s="676"/>
      <c r="J317" s="676">
        <f t="shared" si="151"/>
        <v>0</v>
      </c>
      <c r="K317" s="676">
        <f t="shared" si="152"/>
        <v>0</v>
      </c>
      <c r="L317" s="674">
        <f t="shared" si="153"/>
        <v>0</v>
      </c>
      <c r="M317" s="674">
        <v>2767</v>
      </c>
      <c r="N317" s="676"/>
      <c r="O317" s="674">
        <f t="shared" si="154"/>
        <v>2767</v>
      </c>
    </row>
    <row r="318" spans="1:16" ht="17.25" thickTop="1" thickBot="1" x14ac:dyDescent="0.3">
      <c r="A318" s="433"/>
      <c r="B318" s="432" t="s">
        <v>430</v>
      </c>
      <c r="C318" s="432">
        <f>+C308+C312+C317+C313+C314+C315</f>
        <v>14693</v>
      </c>
      <c r="D318" s="432">
        <f t="shared" ref="D318:O318" si="155">+D308+D312+D317+D313+D314+D315</f>
        <v>0</v>
      </c>
      <c r="E318" s="432">
        <f t="shared" si="155"/>
        <v>0</v>
      </c>
      <c r="F318" s="432">
        <f t="shared" si="155"/>
        <v>0</v>
      </c>
      <c r="G318" s="432">
        <f t="shared" si="155"/>
        <v>0</v>
      </c>
      <c r="H318" s="432">
        <f t="shared" si="155"/>
        <v>0</v>
      </c>
      <c r="I318" s="432">
        <f t="shared" si="155"/>
        <v>0</v>
      </c>
      <c r="J318" s="432">
        <f t="shared" si="155"/>
        <v>14693</v>
      </c>
      <c r="K318" s="432">
        <f t="shared" si="155"/>
        <v>0</v>
      </c>
      <c r="L318" s="432">
        <f t="shared" si="155"/>
        <v>14693</v>
      </c>
      <c r="M318" s="432">
        <f t="shared" si="155"/>
        <v>253069</v>
      </c>
      <c r="N318" s="432">
        <f t="shared" si="155"/>
        <v>191192</v>
      </c>
      <c r="O318" s="432">
        <f t="shared" si="155"/>
        <v>458954</v>
      </c>
      <c r="P318" s="429">
        <f>O319+O320</f>
        <v>458954</v>
      </c>
    </row>
    <row r="319" spans="1:16" ht="17.25" thickTop="1" thickBot="1" x14ac:dyDescent="0.3">
      <c r="A319" s="433"/>
      <c r="B319" s="432" t="s">
        <v>429</v>
      </c>
      <c r="C319" s="432">
        <f t="shared" ref="C319:O319" si="156">+C309+C312+C313+C314+C315</f>
        <v>14693</v>
      </c>
      <c r="D319" s="432">
        <f t="shared" si="156"/>
        <v>0</v>
      </c>
      <c r="E319" s="432">
        <f t="shared" si="156"/>
        <v>0</v>
      </c>
      <c r="F319" s="432">
        <f t="shared" si="156"/>
        <v>0</v>
      </c>
      <c r="G319" s="432">
        <f t="shared" si="156"/>
        <v>0</v>
      </c>
      <c r="H319" s="432">
        <f t="shared" si="156"/>
        <v>0</v>
      </c>
      <c r="I319" s="432">
        <f t="shared" si="156"/>
        <v>0</v>
      </c>
      <c r="J319" s="432">
        <f t="shared" si="156"/>
        <v>14693</v>
      </c>
      <c r="K319" s="432">
        <f t="shared" si="156"/>
        <v>0</v>
      </c>
      <c r="L319" s="432">
        <f t="shared" si="156"/>
        <v>14693</v>
      </c>
      <c r="M319" s="432">
        <f t="shared" si="156"/>
        <v>248245</v>
      </c>
      <c r="N319" s="432">
        <f t="shared" si="156"/>
        <v>191192</v>
      </c>
      <c r="O319" s="432">
        <f t="shared" si="156"/>
        <v>454130</v>
      </c>
    </row>
    <row r="320" spans="1:16" ht="17.25" thickTop="1" thickBot="1" x14ac:dyDescent="0.3">
      <c r="A320" s="433"/>
      <c r="B320" s="432" t="s">
        <v>428</v>
      </c>
      <c r="C320" s="432">
        <f>+C310+C317</f>
        <v>0</v>
      </c>
      <c r="D320" s="432">
        <f t="shared" ref="D320:O320" si="157">+D310+D317</f>
        <v>0</v>
      </c>
      <c r="E320" s="432">
        <f t="shared" si="157"/>
        <v>0</v>
      </c>
      <c r="F320" s="432">
        <f t="shared" si="157"/>
        <v>0</v>
      </c>
      <c r="G320" s="432">
        <f t="shared" si="157"/>
        <v>0</v>
      </c>
      <c r="H320" s="432">
        <f t="shared" si="157"/>
        <v>0</v>
      </c>
      <c r="I320" s="432">
        <f t="shared" si="157"/>
        <v>0</v>
      </c>
      <c r="J320" s="432">
        <f t="shared" si="157"/>
        <v>0</v>
      </c>
      <c r="K320" s="432">
        <f t="shared" si="157"/>
        <v>0</v>
      </c>
      <c r="L320" s="432">
        <f t="shared" si="157"/>
        <v>0</v>
      </c>
      <c r="M320" s="432">
        <f t="shared" si="157"/>
        <v>4824</v>
      </c>
      <c r="N320" s="432">
        <f t="shared" si="157"/>
        <v>0</v>
      </c>
      <c r="O320" s="432">
        <f t="shared" si="157"/>
        <v>4824</v>
      </c>
    </row>
    <row r="321" spans="1:16" ht="16.5" thickTop="1" x14ac:dyDescent="0.25">
      <c r="A321" s="443" t="s">
        <v>13</v>
      </c>
      <c r="B321" s="445" t="s">
        <v>427</v>
      </c>
      <c r="C321" s="445"/>
      <c r="D321" s="445"/>
      <c r="E321" s="445"/>
      <c r="F321" s="445"/>
      <c r="G321" s="445"/>
      <c r="H321" s="445"/>
      <c r="I321" s="445"/>
      <c r="J321" s="445"/>
      <c r="K321" s="445"/>
      <c r="L321" s="445"/>
      <c r="M321" s="445"/>
      <c r="N321" s="445"/>
      <c r="O321" s="445"/>
    </row>
    <row r="322" spans="1:16" x14ac:dyDescent="0.25">
      <c r="A322" s="443"/>
      <c r="B322" s="441" t="s">
        <v>389</v>
      </c>
      <c r="C322" s="441">
        <v>10483</v>
      </c>
      <c r="D322" s="441"/>
      <c r="E322" s="441"/>
      <c r="F322" s="441">
        <v>9200</v>
      </c>
      <c r="G322" s="441"/>
      <c r="H322" s="441"/>
      <c r="I322" s="441"/>
      <c r="J322" s="441">
        <f>SUM(C322+E322+F322+H322)</f>
        <v>19683</v>
      </c>
      <c r="K322" s="441">
        <f>SUM(D322+G322+I322)</f>
        <v>0</v>
      </c>
      <c r="L322" s="441">
        <f>SUM(J322:K322)</f>
        <v>19683</v>
      </c>
      <c r="M322" s="441">
        <v>252141</v>
      </c>
      <c r="N322" s="441">
        <v>32823</v>
      </c>
      <c r="O322" s="441">
        <f>SUM(L322:N322)</f>
        <v>304647</v>
      </c>
    </row>
    <row r="323" spans="1:16" s="448" customFormat="1" x14ac:dyDescent="0.25">
      <c r="A323" s="451"/>
      <c r="B323" s="442" t="s">
        <v>432</v>
      </c>
      <c r="C323" s="442">
        <v>10483</v>
      </c>
      <c r="D323" s="442"/>
      <c r="E323" s="442"/>
      <c r="F323" s="442">
        <v>9200</v>
      </c>
      <c r="G323" s="442"/>
      <c r="H323" s="442"/>
      <c r="I323" s="442"/>
      <c r="J323" s="449">
        <f>SUM(C323+E323+F323+H323)</f>
        <v>19683</v>
      </c>
      <c r="K323" s="449">
        <f>SUM(D323+G323+I323)</f>
        <v>0</v>
      </c>
      <c r="L323" s="449">
        <f>SUM(J323:K323)</f>
        <v>19683</v>
      </c>
      <c r="M323" s="449">
        <v>250437</v>
      </c>
      <c r="N323" s="449">
        <v>32823</v>
      </c>
      <c r="O323" s="449">
        <f>SUM(L323:N323)</f>
        <v>302943</v>
      </c>
    </row>
    <row r="324" spans="1:16" s="448" customFormat="1" x14ac:dyDescent="0.25">
      <c r="A324" s="451"/>
      <c r="B324" s="442" t="s">
        <v>431</v>
      </c>
      <c r="C324" s="442"/>
      <c r="D324" s="442"/>
      <c r="E324" s="442"/>
      <c r="F324" s="442"/>
      <c r="G324" s="442"/>
      <c r="H324" s="442"/>
      <c r="I324" s="442"/>
      <c r="J324" s="442">
        <f>SUM(C324+E324+F324+H324)</f>
        <v>0</v>
      </c>
      <c r="K324" s="442">
        <f>SUM(D324+G324+I324)</f>
        <v>0</v>
      </c>
      <c r="L324" s="442">
        <f>SUM(J324:K324)</f>
        <v>0</v>
      </c>
      <c r="M324" s="442">
        <v>1704</v>
      </c>
      <c r="N324" s="442"/>
      <c r="O324" s="442">
        <f>SUM(L324:N324)</f>
        <v>1704</v>
      </c>
    </row>
    <row r="325" spans="1:16" s="448" customFormat="1" x14ac:dyDescent="0.25">
      <c r="A325" s="451"/>
      <c r="B325" s="442" t="s">
        <v>140</v>
      </c>
      <c r="C325" s="674"/>
      <c r="D325" s="674"/>
      <c r="E325" s="674"/>
      <c r="F325" s="674"/>
      <c r="G325" s="674"/>
      <c r="H325" s="674"/>
      <c r="I325" s="674"/>
      <c r="J325" s="674"/>
      <c r="K325" s="674"/>
      <c r="L325" s="674"/>
      <c r="M325" s="674"/>
      <c r="N325" s="674"/>
      <c r="O325" s="674"/>
    </row>
    <row r="326" spans="1:16" s="448" customFormat="1" ht="31.5" x14ac:dyDescent="0.25">
      <c r="A326" s="451"/>
      <c r="B326" s="674" t="s">
        <v>1168</v>
      </c>
      <c r="C326" s="674"/>
      <c r="D326" s="674"/>
      <c r="E326" s="674"/>
      <c r="F326" s="674"/>
      <c r="G326" s="674"/>
      <c r="H326" s="674"/>
      <c r="I326" s="674"/>
      <c r="J326" s="674">
        <f t="shared" ref="J326:J332" si="158">SUM(C326+E326+F326+H326)</f>
        <v>0</v>
      </c>
      <c r="K326" s="674">
        <f t="shared" ref="K326:K332" si="159">SUM(D326+G326+I326)</f>
        <v>0</v>
      </c>
      <c r="L326" s="674">
        <f t="shared" ref="L326:L332" si="160">SUM(J326:K326)</f>
        <v>0</v>
      </c>
      <c r="M326" s="674">
        <v>492</v>
      </c>
      <c r="N326" s="674"/>
      <c r="O326" s="674">
        <f t="shared" ref="O326:O332" si="161">SUM(L326:N326)</f>
        <v>492</v>
      </c>
    </row>
    <row r="327" spans="1:16" s="448" customFormat="1" ht="47.25" x14ac:dyDescent="0.25">
      <c r="A327" s="451"/>
      <c r="B327" s="674" t="s">
        <v>1174</v>
      </c>
      <c r="C327" s="674"/>
      <c r="D327" s="674"/>
      <c r="E327" s="674"/>
      <c r="F327" s="674"/>
      <c r="G327" s="674"/>
      <c r="H327" s="674"/>
      <c r="I327" s="674"/>
      <c r="J327" s="674">
        <f t="shared" si="158"/>
        <v>0</v>
      </c>
      <c r="K327" s="674">
        <f t="shared" si="159"/>
        <v>0</v>
      </c>
      <c r="L327" s="674">
        <f t="shared" si="160"/>
        <v>0</v>
      </c>
      <c r="M327" s="674">
        <v>10517</v>
      </c>
      <c r="N327" s="674"/>
      <c r="O327" s="674">
        <f t="shared" si="161"/>
        <v>10517</v>
      </c>
    </row>
    <row r="328" spans="1:16" s="448" customFormat="1" ht="47.25" x14ac:dyDescent="0.25">
      <c r="A328" s="451"/>
      <c r="B328" s="674" t="s">
        <v>1195</v>
      </c>
      <c r="C328" s="674"/>
      <c r="D328" s="674"/>
      <c r="E328" s="674"/>
      <c r="F328" s="674"/>
      <c r="G328" s="674"/>
      <c r="H328" s="674"/>
      <c r="I328" s="674"/>
      <c r="J328" s="674">
        <f t="shared" si="158"/>
        <v>0</v>
      </c>
      <c r="K328" s="674">
        <f t="shared" si="159"/>
        <v>0</v>
      </c>
      <c r="L328" s="674">
        <f t="shared" si="160"/>
        <v>0</v>
      </c>
      <c r="M328" s="674">
        <v>381</v>
      </c>
      <c r="N328" s="674"/>
      <c r="O328" s="674">
        <f t="shared" si="161"/>
        <v>381</v>
      </c>
    </row>
    <row r="329" spans="1:16" s="448" customFormat="1" ht="31.5" x14ac:dyDescent="0.25">
      <c r="A329" s="451"/>
      <c r="B329" s="674" t="s">
        <v>928</v>
      </c>
      <c r="C329" s="674">
        <v>210562</v>
      </c>
      <c r="D329" s="674"/>
      <c r="E329" s="674"/>
      <c r="F329" s="674"/>
      <c r="G329" s="674"/>
      <c r="H329" s="674">
        <v>200</v>
      </c>
      <c r="I329" s="674"/>
      <c r="J329" s="674">
        <f t="shared" si="158"/>
        <v>210762</v>
      </c>
      <c r="K329" s="674">
        <f t="shared" si="159"/>
        <v>0</v>
      </c>
      <c r="L329" s="674">
        <f t="shared" si="160"/>
        <v>210762</v>
      </c>
      <c r="M329" s="674"/>
      <c r="N329" s="674"/>
      <c r="O329" s="674">
        <f t="shared" si="161"/>
        <v>210762</v>
      </c>
    </row>
    <row r="330" spans="1:16" s="448" customFormat="1" x14ac:dyDescent="0.25">
      <c r="A330" s="451"/>
      <c r="B330" s="442" t="s">
        <v>141</v>
      </c>
      <c r="C330" s="674"/>
      <c r="D330" s="674"/>
      <c r="E330" s="674"/>
      <c r="F330" s="674"/>
      <c r="G330" s="674"/>
      <c r="H330" s="674"/>
      <c r="I330" s="674"/>
      <c r="J330" s="674"/>
      <c r="K330" s="674"/>
      <c r="L330" s="674"/>
      <c r="M330" s="674"/>
      <c r="N330" s="674"/>
      <c r="O330" s="674"/>
    </row>
    <row r="331" spans="1:16" s="448" customFormat="1" ht="63" x14ac:dyDescent="0.25">
      <c r="A331" s="451"/>
      <c r="B331" s="674" t="s">
        <v>1196</v>
      </c>
      <c r="C331" s="674"/>
      <c r="D331" s="674"/>
      <c r="E331" s="674"/>
      <c r="F331" s="674"/>
      <c r="G331" s="674"/>
      <c r="H331" s="674"/>
      <c r="I331" s="674"/>
      <c r="J331" s="674">
        <f t="shared" si="158"/>
        <v>0</v>
      </c>
      <c r="K331" s="674">
        <f t="shared" si="159"/>
        <v>0</v>
      </c>
      <c r="L331" s="674">
        <f t="shared" si="160"/>
        <v>0</v>
      </c>
      <c r="M331" s="674">
        <v>50</v>
      </c>
      <c r="N331" s="674"/>
      <c r="O331" s="674">
        <f t="shared" si="161"/>
        <v>50</v>
      </c>
    </row>
    <row r="332" spans="1:16" s="448" customFormat="1" ht="16.5" thickBot="1" x14ac:dyDescent="0.3">
      <c r="A332" s="451"/>
      <c r="B332" s="674" t="s">
        <v>1172</v>
      </c>
      <c r="C332" s="674"/>
      <c r="D332" s="674"/>
      <c r="E332" s="674"/>
      <c r="F332" s="674"/>
      <c r="G332" s="674"/>
      <c r="H332" s="674"/>
      <c r="I332" s="674"/>
      <c r="J332" s="674">
        <f t="shared" si="158"/>
        <v>0</v>
      </c>
      <c r="K332" s="674">
        <f t="shared" si="159"/>
        <v>0</v>
      </c>
      <c r="L332" s="674">
        <f t="shared" si="160"/>
        <v>0</v>
      </c>
      <c r="M332" s="674">
        <v>2372</v>
      </c>
      <c r="N332" s="674"/>
      <c r="O332" s="674">
        <f t="shared" si="161"/>
        <v>2372</v>
      </c>
    </row>
    <row r="333" spans="1:16" ht="17.25" thickTop="1" thickBot="1" x14ac:dyDescent="0.3">
      <c r="A333" s="433"/>
      <c r="B333" s="432" t="s">
        <v>430</v>
      </c>
      <c r="C333" s="432">
        <f>+C322+C326+C331+C327+C332+C328+C329</f>
        <v>221045</v>
      </c>
      <c r="D333" s="432">
        <f t="shared" ref="D333:O333" si="162">+D322+D326+D331+D327+D332+D328+D329</f>
        <v>0</v>
      </c>
      <c r="E333" s="432">
        <f t="shared" si="162"/>
        <v>0</v>
      </c>
      <c r="F333" s="432">
        <f t="shared" si="162"/>
        <v>9200</v>
      </c>
      <c r="G333" s="432">
        <f t="shared" si="162"/>
        <v>0</v>
      </c>
      <c r="H333" s="432">
        <f t="shared" si="162"/>
        <v>200</v>
      </c>
      <c r="I333" s="432">
        <f t="shared" si="162"/>
        <v>0</v>
      </c>
      <c r="J333" s="432">
        <f t="shared" si="162"/>
        <v>230445</v>
      </c>
      <c r="K333" s="432">
        <f t="shared" si="162"/>
        <v>0</v>
      </c>
      <c r="L333" s="432">
        <f t="shared" si="162"/>
        <v>230445</v>
      </c>
      <c r="M333" s="432">
        <f t="shared" si="162"/>
        <v>265953</v>
      </c>
      <c r="N333" s="432">
        <f t="shared" si="162"/>
        <v>32823</v>
      </c>
      <c r="O333" s="432">
        <f t="shared" si="162"/>
        <v>529221</v>
      </c>
      <c r="P333" s="429">
        <f>O334+O335</f>
        <v>529221</v>
      </c>
    </row>
    <row r="334" spans="1:16" ht="17.25" thickTop="1" thickBot="1" x14ac:dyDescent="0.3">
      <c r="A334" s="433"/>
      <c r="B334" s="432" t="s">
        <v>429</v>
      </c>
      <c r="C334" s="432">
        <f>+C323+C326+C327+C328+C329</f>
        <v>221045</v>
      </c>
      <c r="D334" s="432">
        <f t="shared" ref="D334:O334" si="163">+D323+D326+D327+D328+D329</f>
        <v>0</v>
      </c>
      <c r="E334" s="432">
        <f t="shared" si="163"/>
        <v>0</v>
      </c>
      <c r="F334" s="432">
        <f t="shared" si="163"/>
        <v>9200</v>
      </c>
      <c r="G334" s="432">
        <f t="shared" si="163"/>
        <v>0</v>
      </c>
      <c r="H334" s="432">
        <f t="shared" si="163"/>
        <v>200</v>
      </c>
      <c r="I334" s="432">
        <f t="shared" si="163"/>
        <v>0</v>
      </c>
      <c r="J334" s="432">
        <f t="shared" si="163"/>
        <v>230445</v>
      </c>
      <c r="K334" s="432">
        <f t="shared" si="163"/>
        <v>0</v>
      </c>
      <c r="L334" s="432">
        <f t="shared" si="163"/>
        <v>230445</v>
      </c>
      <c r="M334" s="432">
        <f t="shared" si="163"/>
        <v>261827</v>
      </c>
      <c r="N334" s="432">
        <f t="shared" si="163"/>
        <v>32823</v>
      </c>
      <c r="O334" s="432">
        <f t="shared" si="163"/>
        <v>525095</v>
      </c>
    </row>
    <row r="335" spans="1:16" ht="17.25" thickTop="1" thickBot="1" x14ac:dyDescent="0.3">
      <c r="A335" s="433"/>
      <c r="B335" s="432" t="s">
        <v>428</v>
      </c>
      <c r="C335" s="432">
        <f>+C324+C331+C332</f>
        <v>0</v>
      </c>
      <c r="D335" s="432">
        <f t="shared" ref="D335:O335" si="164">+D324+D331+D332</f>
        <v>0</v>
      </c>
      <c r="E335" s="432">
        <f t="shared" si="164"/>
        <v>0</v>
      </c>
      <c r="F335" s="432">
        <f t="shared" si="164"/>
        <v>0</v>
      </c>
      <c r="G335" s="432">
        <f t="shared" si="164"/>
        <v>0</v>
      </c>
      <c r="H335" s="432">
        <f t="shared" si="164"/>
        <v>0</v>
      </c>
      <c r="I335" s="432">
        <f t="shared" si="164"/>
        <v>0</v>
      </c>
      <c r="J335" s="432">
        <f t="shared" si="164"/>
        <v>0</v>
      </c>
      <c r="K335" s="432">
        <f t="shared" si="164"/>
        <v>0</v>
      </c>
      <c r="L335" s="432">
        <f t="shared" si="164"/>
        <v>0</v>
      </c>
      <c r="M335" s="432">
        <f t="shared" si="164"/>
        <v>4126</v>
      </c>
      <c r="N335" s="432">
        <f t="shared" si="164"/>
        <v>0</v>
      </c>
      <c r="O335" s="432">
        <f t="shared" si="164"/>
        <v>4126</v>
      </c>
    </row>
    <row r="336" spans="1:16" ht="17.25" thickTop="1" thickBot="1" x14ac:dyDescent="0.3">
      <c r="A336" s="433"/>
      <c r="B336" s="432" t="s">
        <v>445</v>
      </c>
      <c r="C336" s="432">
        <f t="shared" ref="C336:O336" si="165">SUM(C304+C318+C333)</f>
        <v>325408</v>
      </c>
      <c r="D336" s="432">
        <f t="shared" si="165"/>
        <v>0</v>
      </c>
      <c r="E336" s="432">
        <f t="shared" si="165"/>
        <v>0</v>
      </c>
      <c r="F336" s="432">
        <f t="shared" si="165"/>
        <v>330587</v>
      </c>
      <c r="G336" s="432">
        <f t="shared" si="165"/>
        <v>0</v>
      </c>
      <c r="H336" s="432">
        <f t="shared" si="165"/>
        <v>200</v>
      </c>
      <c r="I336" s="432">
        <f t="shared" si="165"/>
        <v>0</v>
      </c>
      <c r="J336" s="432">
        <f t="shared" si="165"/>
        <v>656195</v>
      </c>
      <c r="K336" s="432">
        <f t="shared" si="165"/>
        <v>0</v>
      </c>
      <c r="L336" s="432">
        <f t="shared" si="165"/>
        <v>656195</v>
      </c>
      <c r="M336" s="432">
        <f t="shared" si="165"/>
        <v>1377790</v>
      </c>
      <c r="N336" s="432">
        <f t="shared" si="165"/>
        <v>232339</v>
      </c>
      <c r="O336" s="432">
        <f t="shared" si="165"/>
        <v>2266324</v>
      </c>
    </row>
    <row r="337" spans="1:16" ht="16.5" thickTop="1" x14ac:dyDescent="0.25">
      <c r="A337" s="440" t="s">
        <v>14</v>
      </c>
      <c r="B337" s="458" t="s">
        <v>444</v>
      </c>
      <c r="C337" s="458"/>
      <c r="D337" s="458"/>
      <c r="E337" s="458"/>
      <c r="F337" s="458"/>
      <c r="G337" s="458"/>
      <c r="H337" s="458"/>
      <c r="I337" s="458"/>
      <c r="J337" s="458"/>
      <c r="K337" s="458"/>
      <c r="L337" s="458"/>
      <c r="M337" s="458"/>
      <c r="N337" s="458"/>
      <c r="O337" s="458"/>
    </row>
    <row r="338" spans="1:16" x14ac:dyDescent="0.25">
      <c r="A338" s="443"/>
      <c r="B338" s="457" t="s">
        <v>389</v>
      </c>
      <c r="C338" s="457">
        <v>10927</v>
      </c>
      <c r="D338" s="457"/>
      <c r="E338" s="457"/>
      <c r="F338" s="457">
        <v>494244</v>
      </c>
      <c r="G338" s="457"/>
      <c r="H338" s="457"/>
      <c r="I338" s="457"/>
      <c r="J338" s="441">
        <f>SUM(C338+E338+F338+H338)</f>
        <v>505171</v>
      </c>
      <c r="K338" s="441">
        <f>SUM(D338+G338+I338)</f>
        <v>0</v>
      </c>
      <c r="L338" s="441">
        <f>SUM(J338:K338)</f>
        <v>505171</v>
      </c>
      <c r="M338" s="441">
        <v>792083</v>
      </c>
      <c r="N338" s="441">
        <v>3880</v>
      </c>
      <c r="O338" s="441">
        <f>SUM(L338:N338)</f>
        <v>1301134</v>
      </c>
    </row>
    <row r="339" spans="1:16" s="448" customFormat="1" x14ac:dyDescent="0.25">
      <c r="A339" s="451"/>
      <c r="B339" s="442" t="s">
        <v>432</v>
      </c>
      <c r="C339" s="442">
        <v>10927</v>
      </c>
      <c r="D339" s="442"/>
      <c r="E339" s="442"/>
      <c r="F339" s="442">
        <v>494244</v>
      </c>
      <c r="G339" s="442"/>
      <c r="H339" s="442"/>
      <c r="I339" s="442"/>
      <c r="J339" s="449">
        <f>SUM(C339+E339+F339+H339)</f>
        <v>505171</v>
      </c>
      <c r="K339" s="449">
        <f>SUM(D339+G339+I339)</f>
        <v>0</v>
      </c>
      <c r="L339" s="449">
        <f>SUM(J339:K339)</f>
        <v>505171</v>
      </c>
      <c r="M339" s="449">
        <v>789906</v>
      </c>
      <c r="N339" s="449">
        <v>3880</v>
      </c>
      <c r="O339" s="449">
        <f>SUM(L339:N339)</f>
        <v>1298957</v>
      </c>
    </row>
    <row r="340" spans="1:16" s="448" customFormat="1" x14ac:dyDescent="0.25">
      <c r="A340" s="451"/>
      <c r="B340" s="442" t="s">
        <v>431</v>
      </c>
      <c r="C340" s="442"/>
      <c r="D340" s="442"/>
      <c r="E340" s="442"/>
      <c r="F340" s="442"/>
      <c r="G340" s="442"/>
      <c r="H340" s="442"/>
      <c r="I340" s="442"/>
      <c r="J340" s="442">
        <f>SUM(C340+E340+F340+H340)</f>
        <v>0</v>
      </c>
      <c r="K340" s="442">
        <f>SUM(D340+G340+I340)</f>
        <v>0</v>
      </c>
      <c r="L340" s="442">
        <f>SUM(J340:K340)</f>
        <v>0</v>
      </c>
      <c r="M340" s="442">
        <v>2177</v>
      </c>
      <c r="N340" s="442"/>
      <c r="O340" s="442">
        <f>SUM(L340:N340)</f>
        <v>2177</v>
      </c>
    </row>
    <row r="341" spans="1:16" x14ac:dyDescent="0.25">
      <c r="A341" s="443"/>
      <c r="B341" s="442" t="s">
        <v>140</v>
      </c>
      <c r="C341" s="442"/>
      <c r="D341" s="442"/>
      <c r="E341" s="442"/>
      <c r="F341" s="442"/>
      <c r="G341" s="442"/>
      <c r="H341" s="442"/>
      <c r="I341" s="442"/>
      <c r="J341" s="441"/>
      <c r="K341" s="441"/>
      <c r="L341" s="441"/>
      <c r="M341" s="441"/>
      <c r="N341" s="441"/>
      <c r="O341" s="441"/>
    </row>
    <row r="342" spans="1:16" ht="31.5" x14ac:dyDescent="0.25">
      <c r="A342" s="443"/>
      <c r="B342" s="674" t="s">
        <v>1168</v>
      </c>
      <c r="C342" s="441"/>
      <c r="D342" s="441"/>
      <c r="E342" s="441"/>
      <c r="F342" s="441"/>
      <c r="G342" s="441"/>
      <c r="H342" s="441"/>
      <c r="I342" s="441"/>
      <c r="J342" s="441">
        <f t="shared" ref="J342:J350" si="166">SUM(C342+E342+F342+H342)</f>
        <v>0</v>
      </c>
      <c r="K342" s="441">
        <f t="shared" ref="K342:K350" si="167">SUM(D342+G342+I342)</f>
        <v>0</v>
      </c>
      <c r="L342" s="441">
        <f t="shared" ref="L342:L350" si="168">SUM(J342:K342)</f>
        <v>0</v>
      </c>
      <c r="M342" s="441">
        <v>414</v>
      </c>
      <c r="N342" s="441"/>
      <c r="O342" s="441">
        <f t="shared" ref="O342:O350" si="169">SUM(L342:N342)</f>
        <v>414</v>
      </c>
    </row>
    <row r="343" spans="1:16" x14ac:dyDescent="0.25">
      <c r="A343" s="443"/>
      <c r="B343" s="441" t="s">
        <v>629</v>
      </c>
      <c r="C343" s="441"/>
      <c r="D343" s="441"/>
      <c r="E343" s="441"/>
      <c r="F343" s="441"/>
      <c r="G343" s="441"/>
      <c r="H343" s="441"/>
      <c r="I343" s="441"/>
      <c r="J343" s="441">
        <f t="shared" si="166"/>
        <v>0</v>
      </c>
      <c r="K343" s="441">
        <f t="shared" si="167"/>
        <v>0</v>
      </c>
      <c r="L343" s="441">
        <f t="shared" si="168"/>
        <v>0</v>
      </c>
      <c r="M343" s="441">
        <v>11167</v>
      </c>
      <c r="N343" s="441"/>
      <c r="O343" s="441">
        <f t="shared" si="169"/>
        <v>11167</v>
      </c>
    </row>
    <row r="344" spans="1:16" x14ac:dyDescent="0.25">
      <c r="A344" s="443"/>
      <c r="B344" s="674" t="s">
        <v>1186</v>
      </c>
      <c r="C344" s="441"/>
      <c r="D344" s="441"/>
      <c r="E344" s="441"/>
      <c r="F344" s="441"/>
      <c r="G344" s="441"/>
      <c r="H344" s="441"/>
      <c r="I344" s="441"/>
      <c r="J344" s="441">
        <f t="shared" si="166"/>
        <v>0</v>
      </c>
      <c r="K344" s="441">
        <f t="shared" si="167"/>
        <v>0</v>
      </c>
      <c r="L344" s="441">
        <f t="shared" si="168"/>
        <v>0</v>
      </c>
      <c r="M344" s="441">
        <v>-161</v>
      </c>
      <c r="N344" s="441"/>
      <c r="O344" s="441">
        <f t="shared" si="169"/>
        <v>-161</v>
      </c>
    </row>
    <row r="345" spans="1:16" ht="31.5" x14ac:dyDescent="0.25">
      <c r="A345" s="443"/>
      <c r="B345" s="674" t="s">
        <v>628</v>
      </c>
      <c r="C345" s="441"/>
      <c r="D345" s="441"/>
      <c r="E345" s="441"/>
      <c r="F345" s="441"/>
      <c r="G345" s="441"/>
      <c r="H345" s="441"/>
      <c r="I345" s="441"/>
      <c r="J345" s="441">
        <f t="shared" si="166"/>
        <v>0</v>
      </c>
      <c r="K345" s="441">
        <f t="shared" si="167"/>
        <v>0</v>
      </c>
      <c r="L345" s="441">
        <f t="shared" si="168"/>
        <v>0</v>
      </c>
      <c r="M345" s="441">
        <v>2040</v>
      </c>
      <c r="N345" s="441"/>
      <c r="O345" s="441">
        <f t="shared" si="169"/>
        <v>2040</v>
      </c>
    </row>
    <row r="346" spans="1:16" ht="47.25" x14ac:dyDescent="0.25">
      <c r="A346" s="443"/>
      <c r="B346" s="674" t="s">
        <v>1169</v>
      </c>
      <c r="C346" s="441"/>
      <c r="D346" s="441"/>
      <c r="E346" s="441"/>
      <c r="F346" s="441"/>
      <c r="G346" s="441"/>
      <c r="H346" s="441"/>
      <c r="I346" s="441"/>
      <c r="J346" s="441">
        <f t="shared" si="166"/>
        <v>0</v>
      </c>
      <c r="K346" s="441">
        <f t="shared" si="167"/>
        <v>0</v>
      </c>
      <c r="L346" s="441">
        <f t="shared" si="168"/>
        <v>0</v>
      </c>
      <c r="M346" s="441">
        <v>3705</v>
      </c>
      <c r="N346" s="441"/>
      <c r="O346" s="441">
        <f t="shared" si="169"/>
        <v>3705</v>
      </c>
    </row>
    <row r="347" spans="1:16" ht="47.25" x14ac:dyDescent="0.25">
      <c r="A347" s="443"/>
      <c r="B347" s="674" t="s">
        <v>1195</v>
      </c>
      <c r="C347" s="441"/>
      <c r="D347" s="441"/>
      <c r="E347" s="441"/>
      <c r="F347" s="441"/>
      <c r="G347" s="441"/>
      <c r="H347" s="441"/>
      <c r="I347" s="441"/>
      <c r="J347" s="441">
        <f t="shared" si="166"/>
        <v>0</v>
      </c>
      <c r="K347" s="441">
        <f t="shared" si="167"/>
        <v>0</v>
      </c>
      <c r="L347" s="441">
        <f t="shared" si="168"/>
        <v>0</v>
      </c>
      <c r="M347" s="441">
        <v>2891</v>
      </c>
      <c r="N347" s="441"/>
      <c r="O347" s="441">
        <f t="shared" si="169"/>
        <v>2891</v>
      </c>
    </row>
    <row r="348" spans="1:16" ht="47.25" x14ac:dyDescent="0.25">
      <c r="A348" s="443"/>
      <c r="B348" s="674" t="s">
        <v>1182</v>
      </c>
      <c r="C348" s="441"/>
      <c r="D348" s="441"/>
      <c r="E348" s="441"/>
      <c r="F348" s="441"/>
      <c r="G348" s="441"/>
      <c r="H348" s="441"/>
      <c r="I348" s="441"/>
      <c r="J348" s="441">
        <f t="shared" si="166"/>
        <v>0</v>
      </c>
      <c r="K348" s="441">
        <f t="shared" si="167"/>
        <v>0</v>
      </c>
      <c r="L348" s="441">
        <f t="shared" si="168"/>
        <v>0</v>
      </c>
      <c r="M348" s="441">
        <v>90000</v>
      </c>
      <c r="N348" s="441"/>
      <c r="O348" s="441">
        <f t="shared" si="169"/>
        <v>90000</v>
      </c>
    </row>
    <row r="349" spans="1:16" x14ac:dyDescent="0.25">
      <c r="A349" s="443"/>
      <c r="B349" s="442" t="s">
        <v>141</v>
      </c>
      <c r="C349" s="441"/>
      <c r="D349" s="441"/>
      <c r="E349" s="441"/>
      <c r="F349" s="441"/>
      <c r="G349" s="441"/>
      <c r="H349" s="441"/>
      <c r="I349" s="441"/>
      <c r="J349" s="441"/>
      <c r="K349" s="441"/>
      <c r="L349" s="441"/>
      <c r="M349" s="441"/>
      <c r="N349" s="441"/>
      <c r="O349" s="441"/>
    </row>
    <row r="350" spans="1:16" ht="16.5" thickBot="1" x14ac:dyDescent="0.3">
      <c r="A350" s="443"/>
      <c r="B350" s="674" t="s">
        <v>1172</v>
      </c>
      <c r="C350" s="441"/>
      <c r="D350" s="441"/>
      <c r="E350" s="441"/>
      <c r="F350" s="441"/>
      <c r="G350" s="441"/>
      <c r="H350" s="441"/>
      <c r="I350" s="441"/>
      <c r="J350" s="441">
        <f t="shared" si="166"/>
        <v>0</v>
      </c>
      <c r="K350" s="441">
        <f t="shared" si="167"/>
        <v>0</v>
      </c>
      <c r="L350" s="441">
        <f t="shared" si="168"/>
        <v>0</v>
      </c>
      <c r="M350" s="441">
        <v>2724</v>
      </c>
      <c r="N350" s="441"/>
      <c r="O350" s="441">
        <f t="shared" si="169"/>
        <v>2724</v>
      </c>
    </row>
    <row r="351" spans="1:16" ht="17.25" thickTop="1" thickBot="1" x14ac:dyDescent="0.3">
      <c r="A351" s="433"/>
      <c r="B351" s="432" t="s">
        <v>430</v>
      </c>
      <c r="C351" s="432">
        <f>+C338+C342+C343+C344+C350+C345+C346+C347+C348</f>
        <v>10927</v>
      </c>
      <c r="D351" s="432">
        <f t="shared" ref="D351:O351" si="170">+D338+D342+D343+D344+D350+D345+D346+D347+D348</f>
        <v>0</v>
      </c>
      <c r="E351" s="432">
        <f t="shared" si="170"/>
        <v>0</v>
      </c>
      <c r="F351" s="432">
        <f t="shared" si="170"/>
        <v>494244</v>
      </c>
      <c r="G351" s="432">
        <f t="shared" si="170"/>
        <v>0</v>
      </c>
      <c r="H351" s="432">
        <f t="shared" si="170"/>
        <v>0</v>
      </c>
      <c r="I351" s="432">
        <f t="shared" si="170"/>
        <v>0</v>
      </c>
      <c r="J351" s="432">
        <f t="shared" si="170"/>
        <v>505171</v>
      </c>
      <c r="K351" s="432">
        <f t="shared" si="170"/>
        <v>0</v>
      </c>
      <c r="L351" s="432">
        <f t="shared" si="170"/>
        <v>505171</v>
      </c>
      <c r="M351" s="432">
        <f t="shared" si="170"/>
        <v>904863</v>
      </c>
      <c r="N351" s="432">
        <f t="shared" si="170"/>
        <v>3880</v>
      </c>
      <c r="O351" s="432">
        <f t="shared" si="170"/>
        <v>1413914</v>
      </c>
      <c r="P351" s="429">
        <f>O352+O353</f>
        <v>1413914</v>
      </c>
    </row>
    <row r="352" spans="1:16" ht="17.25" thickTop="1" thickBot="1" x14ac:dyDescent="0.3">
      <c r="A352" s="433"/>
      <c r="B352" s="432" t="s">
        <v>429</v>
      </c>
      <c r="C352" s="432">
        <f t="shared" ref="C352:O352" si="171">+C339+C342+C343+C344+C345+C346+C347+C348</f>
        <v>10927</v>
      </c>
      <c r="D352" s="432">
        <f t="shared" si="171"/>
        <v>0</v>
      </c>
      <c r="E352" s="432">
        <f t="shared" si="171"/>
        <v>0</v>
      </c>
      <c r="F352" s="432">
        <f t="shared" si="171"/>
        <v>494244</v>
      </c>
      <c r="G352" s="432">
        <f t="shared" si="171"/>
        <v>0</v>
      </c>
      <c r="H352" s="432">
        <f t="shared" si="171"/>
        <v>0</v>
      </c>
      <c r="I352" s="432">
        <f t="shared" si="171"/>
        <v>0</v>
      </c>
      <c r="J352" s="432">
        <f t="shared" si="171"/>
        <v>505171</v>
      </c>
      <c r="K352" s="432">
        <f t="shared" si="171"/>
        <v>0</v>
      </c>
      <c r="L352" s="432">
        <f t="shared" si="171"/>
        <v>505171</v>
      </c>
      <c r="M352" s="432">
        <f t="shared" si="171"/>
        <v>899962</v>
      </c>
      <c r="N352" s="432">
        <f t="shared" si="171"/>
        <v>3880</v>
      </c>
      <c r="O352" s="432">
        <f t="shared" si="171"/>
        <v>1409013</v>
      </c>
    </row>
    <row r="353" spans="1:15" ht="17.25" thickTop="1" thickBot="1" x14ac:dyDescent="0.3">
      <c r="A353" s="433"/>
      <c r="B353" s="432" t="s">
        <v>428</v>
      </c>
      <c r="C353" s="432">
        <f>+C340+C350</f>
        <v>0</v>
      </c>
      <c r="D353" s="432">
        <f t="shared" ref="D353:O353" si="172">+D340+D350</f>
        <v>0</v>
      </c>
      <c r="E353" s="432">
        <f t="shared" si="172"/>
        <v>0</v>
      </c>
      <c r="F353" s="432">
        <f t="shared" si="172"/>
        <v>0</v>
      </c>
      <c r="G353" s="432">
        <f t="shared" si="172"/>
        <v>0</v>
      </c>
      <c r="H353" s="432">
        <f t="shared" si="172"/>
        <v>0</v>
      </c>
      <c r="I353" s="432">
        <f t="shared" si="172"/>
        <v>0</v>
      </c>
      <c r="J353" s="432">
        <f t="shared" si="172"/>
        <v>0</v>
      </c>
      <c r="K353" s="432">
        <f t="shared" si="172"/>
        <v>0</v>
      </c>
      <c r="L353" s="432">
        <f t="shared" si="172"/>
        <v>0</v>
      </c>
      <c r="M353" s="432">
        <f t="shared" si="172"/>
        <v>4901</v>
      </c>
      <c r="N353" s="432">
        <f t="shared" si="172"/>
        <v>0</v>
      </c>
      <c r="O353" s="432">
        <f t="shared" si="172"/>
        <v>4901</v>
      </c>
    </row>
    <row r="354" spans="1:15" ht="16.5" thickTop="1" x14ac:dyDescent="0.25">
      <c r="A354" s="443" t="s">
        <v>15</v>
      </c>
      <c r="B354" s="452" t="s">
        <v>443</v>
      </c>
      <c r="C354" s="452"/>
      <c r="D354" s="452"/>
      <c r="E354" s="452"/>
      <c r="F354" s="452"/>
      <c r="G354" s="452"/>
      <c r="H354" s="452"/>
      <c r="I354" s="452"/>
      <c r="J354" s="452"/>
      <c r="K354" s="452"/>
      <c r="L354" s="452"/>
      <c r="M354" s="452"/>
      <c r="N354" s="452"/>
      <c r="O354" s="452"/>
    </row>
    <row r="355" spans="1:15" x14ac:dyDescent="0.25">
      <c r="A355" s="443"/>
      <c r="B355" s="441" t="s">
        <v>389</v>
      </c>
      <c r="C355" s="441">
        <v>9871</v>
      </c>
      <c r="D355" s="441"/>
      <c r="E355" s="441"/>
      <c r="F355" s="441">
        <v>350</v>
      </c>
      <c r="G355" s="441"/>
      <c r="H355" s="441"/>
      <c r="I355" s="441"/>
      <c r="J355" s="441">
        <f>SUM(C355+E355+F355+H355)</f>
        <v>10221</v>
      </c>
      <c r="K355" s="441">
        <f>SUM(D355+G355+I355)</f>
        <v>0</v>
      </c>
      <c r="L355" s="441">
        <f>SUM(J355:K355)</f>
        <v>10221</v>
      </c>
      <c r="M355" s="441">
        <v>84324</v>
      </c>
      <c r="N355" s="441">
        <v>935</v>
      </c>
      <c r="O355" s="441">
        <f>SUM(L355:N355)</f>
        <v>95480</v>
      </c>
    </row>
    <row r="356" spans="1:15" s="448" customFormat="1" x14ac:dyDescent="0.25">
      <c r="A356" s="451"/>
      <c r="B356" s="442" t="s">
        <v>438</v>
      </c>
      <c r="C356" s="442">
        <v>9871</v>
      </c>
      <c r="D356" s="442"/>
      <c r="E356" s="442"/>
      <c r="F356" s="442">
        <v>350</v>
      </c>
      <c r="G356" s="442"/>
      <c r="H356" s="442"/>
      <c r="I356" s="442"/>
      <c r="J356" s="449">
        <f>SUM(C356+E356+F356+H356)</f>
        <v>10221</v>
      </c>
      <c r="K356" s="449">
        <f>SUM(D356+G356+I356)</f>
        <v>0</v>
      </c>
      <c r="L356" s="449">
        <f>SUM(J356:K356)</f>
        <v>10221</v>
      </c>
      <c r="M356" s="449">
        <v>84324</v>
      </c>
      <c r="N356" s="449">
        <v>935</v>
      </c>
      <c r="O356" s="449">
        <f>SUM(L356:N356)</f>
        <v>95480</v>
      </c>
    </row>
    <row r="357" spans="1:15" s="448" customFormat="1" x14ac:dyDescent="0.25">
      <c r="A357" s="451"/>
      <c r="B357" s="442" t="s">
        <v>141</v>
      </c>
      <c r="C357" s="442"/>
      <c r="D357" s="442"/>
      <c r="E357" s="442"/>
      <c r="F357" s="442"/>
      <c r="G357" s="442"/>
      <c r="H357" s="442"/>
      <c r="I357" s="442"/>
      <c r="J357" s="449"/>
      <c r="K357" s="449"/>
      <c r="L357" s="449"/>
      <c r="M357" s="449"/>
      <c r="N357" s="449"/>
      <c r="O357" s="449"/>
    </row>
    <row r="358" spans="1:15" s="448" customFormat="1" x14ac:dyDescent="0.25">
      <c r="A358" s="451"/>
      <c r="B358" s="674" t="s">
        <v>1178</v>
      </c>
      <c r="C358" s="674"/>
      <c r="D358" s="674"/>
      <c r="E358" s="674"/>
      <c r="F358" s="674"/>
      <c r="G358" s="674"/>
      <c r="H358" s="674"/>
      <c r="I358" s="674"/>
      <c r="J358" s="674">
        <f t="shared" ref="J358:J362" si="173">SUM(C358+E358+F358+H358)</f>
        <v>0</v>
      </c>
      <c r="K358" s="674">
        <f t="shared" ref="K358:K362" si="174">SUM(D358+G358+I358)</f>
        <v>0</v>
      </c>
      <c r="L358" s="674">
        <f t="shared" ref="L358:L362" si="175">SUM(J358:K358)</f>
        <v>0</v>
      </c>
      <c r="M358" s="674">
        <v>18</v>
      </c>
      <c r="N358" s="674"/>
      <c r="O358" s="674">
        <f t="shared" ref="O358:O362" si="176">SUM(L358:N358)</f>
        <v>18</v>
      </c>
    </row>
    <row r="359" spans="1:15" s="776" customFormat="1" ht="31.5" x14ac:dyDescent="0.25">
      <c r="A359" s="443"/>
      <c r="B359" s="674" t="s">
        <v>1197</v>
      </c>
      <c r="C359" s="674"/>
      <c r="D359" s="674"/>
      <c r="E359" s="674"/>
      <c r="F359" s="674"/>
      <c r="G359" s="674"/>
      <c r="H359" s="674"/>
      <c r="I359" s="674"/>
      <c r="J359" s="441">
        <f t="shared" si="173"/>
        <v>0</v>
      </c>
      <c r="K359" s="441">
        <f t="shared" si="174"/>
        <v>0</v>
      </c>
      <c r="L359" s="441">
        <f t="shared" si="175"/>
        <v>0</v>
      </c>
      <c r="M359" s="441">
        <v>1256</v>
      </c>
      <c r="N359" s="441"/>
      <c r="O359" s="441">
        <f t="shared" si="176"/>
        <v>1256</v>
      </c>
    </row>
    <row r="360" spans="1:15" s="776" customFormat="1" ht="94.5" x14ac:dyDescent="0.25">
      <c r="A360" s="443"/>
      <c r="B360" s="674" t="s">
        <v>1198</v>
      </c>
      <c r="C360" s="674"/>
      <c r="D360" s="674"/>
      <c r="E360" s="674"/>
      <c r="F360" s="674"/>
      <c r="G360" s="674"/>
      <c r="H360" s="674"/>
      <c r="I360" s="674"/>
      <c r="J360" s="441">
        <f t="shared" si="173"/>
        <v>0</v>
      </c>
      <c r="K360" s="441">
        <f t="shared" si="174"/>
        <v>0</v>
      </c>
      <c r="L360" s="441">
        <f t="shared" si="175"/>
        <v>0</v>
      </c>
      <c r="M360" s="441">
        <v>1248</v>
      </c>
      <c r="N360" s="441"/>
      <c r="O360" s="441">
        <f t="shared" si="176"/>
        <v>1248</v>
      </c>
    </row>
    <row r="361" spans="1:15" s="776" customFormat="1" x14ac:dyDescent="0.25">
      <c r="A361" s="443"/>
      <c r="B361" s="674" t="s">
        <v>1172</v>
      </c>
      <c r="C361" s="674"/>
      <c r="D361" s="674"/>
      <c r="E361" s="674"/>
      <c r="F361" s="674"/>
      <c r="G361" s="674"/>
      <c r="H361" s="674"/>
      <c r="I361" s="674"/>
      <c r="J361" s="441">
        <f t="shared" si="173"/>
        <v>0</v>
      </c>
      <c r="K361" s="441">
        <f t="shared" si="174"/>
        <v>0</v>
      </c>
      <c r="L361" s="441">
        <f t="shared" si="175"/>
        <v>0</v>
      </c>
      <c r="M361" s="441">
        <v>516</v>
      </c>
      <c r="N361" s="441"/>
      <c r="O361" s="441">
        <f t="shared" si="176"/>
        <v>516</v>
      </c>
    </row>
    <row r="362" spans="1:15" s="776" customFormat="1" ht="48" thickBot="1" x14ac:dyDescent="0.3">
      <c r="A362" s="443"/>
      <c r="B362" s="674" t="s">
        <v>1195</v>
      </c>
      <c r="C362" s="674"/>
      <c r="D362" s="674"/>
      <c r="E362" s="674"/>
      <c r="F362" s="674"/>
      <c r="G362" s="674"/>
      <c r="H362" s="674"/>
      <c r="I362" s="674"/>
      <c r="J362" s="441">
        <f t="shared" si="173"/>
        <v>0</v>
      </c>
      <c r="K362" s="441">
        <f t="shared" si="174"/>
        <v>0</v>
      </c>
      <c r="L362" s="441">
        <f t="shared" si="175"/>
        <v>0</v>
      </c>
      <c r="M362" s="441">
        <v>1321</v>
      </c>
      <c r="N362" s="441"/>
      <c r="O362" s="441">
        <f t="shared" si="176"/>
        <v>1321</v>
      </c>
    </row>
    <row r="363" spans="1:15" ht="17.25" thickTop="1" thickBot="1" x14ac:dyDescent="0.3">
      <c r="A363" s="433"/>
      <c r="B363" s="432" t="s">
        <v>430</v>
      </c>
      <c r="C363" s="432">
        <f>+C355+C358+C359+C360+C361+C362</f>
        <v>9871</v>
      </c>
      <c r="D363" s="432">
        <f t="shared" ref="D363:O363" si="177">+D355+D358+D359+D360+D361+D362</f>
        <v>0</v>
      </c>
      <c r="E363" s="432">
        <f t="shared" si="177"/>
        <v>0</v>
      </c>
      <c r="F363" s="432">
        <f t="shared" si="177"/>
        <v>350</v>
      </c>
      <c r="G363" s="432">
        <f t="shared" si="177"/>
        <v>0</v>
      </c>
      <c r="H363" s="432">
        <f t="shared" si="177"/>
        <v>0</v>
      </c>
      <c r="I363" s="432">
        <f t="shared" si="177"/>
        <v>0</v>
      </c>
      <c r="J363" s="432">
        <f t="shared" si="177"/>
        <v>10221</v>
      </c>
      <c r="K363" s="432">
        <f t="shared" si="177"/>
        <v>0</v>
      </c>
      <c r="L363" s="432">
        <f t="shared" si="177"/>
        <v>10221</v>
      </c>
      <c r="M363" s="432">
        <f>+M355+M358+M359+M360+M361+M362</f>
        <v>88683</v>
      </c>
      <c r="N363" s="432">
        <f t="shared" si="177"/>
        <v>935</v>
      </c>
      <c r="O363" s="432">
        <f t="shared" si="177"/>
        <v>99839</v>
      </c>
    </row>
    <row r="364" spans="1:15" ht="17.25" thickTop="1" thickBot="1" x14ac:dyDescent="0.3">
      <c r="A364" s="433"/>
      <c r="B364" s="432" t="s">
        <v>437</v>
      </c>
      <c r="C364" s="432">
        <f>+C356+C358+C359+C360+C361+C362</f>
        <v>9871</v>
      </c>
      <c r="D364" s="432">
        <f t="shared" ref="D364:O364" si="178">+D356+D358+D359+D360+D361+D362</f>
        <v>0</v>
      </c>
      <c r="E364" s="432">
        <f t="shared" si="178"/>
        <v>0</v>
      </c>
      <c r="F364" s="432">
        <f t="shared" si="178"/>
        <v>350</v>
      </c>
      <c r="G364" s="432">
        <f t="shared" si="178"/>
        <v>0</v>
      </c>
      <c r="H364" s="432">
        <f t="shared" si="178"/>
        <v>0</v>
      </c>
      <c r="I364" s="432">
        <f t="shared" si="178"/>
        <v>0</v>
      </c>
      <c r="J364" s="432">
        <f t="shared" si="178"/>
        <v>10221</v>
      </c>
      <c r="K364" s="432">
        <f t="shared" si="178"/>
        <v>0</v>
      </c>
      <c r="L364" s="432">
        <f t="shared" si="178"/>
        <v>10221</v>
      </c>
      <c r="M364" s="432">
        <f t="shared" si="178"/>
        <v>88683</v>
      </c>
      <c r="N364" s="432">
        <f t="shared" si="178"/>
        <v>935</v>
      </c>
      <c r="O364" s="432">
        <f t="shared" si="178"/>
        <v>99839</v>
      </c>
    </row>
    <row r="365" spans="1:15" ht="16.5" thickTop="1" x14ac:dyDescent="0.25">
      <c r="A365" s="443" t="s">
        <v>16</v>
      </c>
      <c r="B365" s="452" t="s">
        <v>442</v>
      </c>
      <c r="C365" s="452"/>
      <c r="D365" s="452"/>
      <c r="E365" s="452"/>
      <c r="F365" s="452"/>
      <c r="G365" s="452"/>
      <c r="H365" s="452"/>
      <c r="I365" s="452"/>
      <c r="J365" s="452"/>
      <c r="K365" s="452"/>
      <c r="L365" s="452"/>
      <c r="M365" s="452"/>
      <c r="N365" s="452"/>
      <c r="O365" s="452"/>
    </row>
    <row r="366" spans="1:15" x14ac:dyDescent="0.25">
      <c r="A366" s="447"/>
      <c r="B366" s="445" t="s">
        <v>389</v>
      </c>
      <c r="C366" s="445">
        <v>20103</v>
      </c>
      <c r="D366" s="445"/>
      <c r="E366" s="445"/>
      <c r="F366" s="445">
        <v>8970</v>
      </c>
      <c r="G366" s="445"/>
      <c r="H366" s="445"/>
      <c r="I366" s="445"/>
      <c r="J366" s="445">
        <f>SUM(C366+E366+F366+H366)</f>
        <v>29073</v>
      </c>
      <c r="K366" s="445">
        <f>SUM(D366+G366+I366)</f>
        <v>0</v>
      </c>
      <c r="L366" s="445">
        <f>SUM(J366:K366)</f>
        <v>29073</v>
      </c>
      <c r="M366" s="445">
        <v>358700</v>
      </c>
      <c r="N366" s="445">
        <v>1712</v>
      </c>
      <c r="O366" s="445">
        <f>SUM(L366:N366)</f>
        <v>389485</v>
      </c>
    </row>
    <row r="367" spans="1:15" s="448" customFormat="1" x14ac:dyDescent="0.25">
      <c r="A367" s="450"/>
      <c r="B367" s="446" t="s">
        <v>432</v>
      </c>
      <c r="C367" s="446">
        <v>20103</v>
      </c>
      <c r="D367" s="446"/>
      <c r="E367" s="446"/>
      <c r="F367" s="446">
        <v>8970</v>
      </c>
      <c r="G367" s="446"/>
      <c r="H367" s="446"/>
      <c r="I367" s="446"/>
      <c r="J367" s="463">
        <f>SUM(C367+E367+F367+H367)</f>
        <v>29073</v>
      </c>
      <c r="K367" s="463">
        <f>SUM(D367+G367+I367)</f>
        <v>0</v>
      </c>
      <c r="L367" s="463">
        <f>SUM(J367:K367)</f>
        <v>29073</v>
      </c>
      <c r="M367" s="463">
        <v>354125</v>
      </c>
      <c r="N367" s="463">
        <v>1712</v>
      </c>
      <c r="O367" s="463">
        <f>SUM(L367:N367)</f>
        <v>384910</v>
      </c>
    </row>
    <row r="368" spans="1:15" s="448" customFormat="1" x14ac:dyDescent="0.25">
      <c r="A368" s="451"/>
      <c r="B368" s="442" t="s">
        <v>431</v>
      </c>
      <c r="C368" s="442"/>
      <c r="D368" s="442"/>
      <c r="E368" s="442"/>
      <c r="F368" s="442"/>
      <c r="G368" s="442"/>
      <c r="H368" s="442"/>
      <c r="I368" s="442"/>
      <c r="J368" s="442">
        <f>SUM(C368+E368+F368+H368)</f>
        <v>0</v>
      </c>
      <c r="K368" s="442">
        <f>SUM(D368+G368+I368)</f>
        <v>0</v>
      </c>
      <c r="L368" s="442">
        <f>SUM(J368:K368)</f>
        <v>0</v>
      </c>
      <c r="M368" s="442">
        <v>4575</v>
      </c>
      <c r="N368" s="442"/>
      <c r="O368" s="442">
        <f>SUM(L368:N368)</f>
        <v>4575</v>
      </c>
    </row>
    <row r="369" spans="1:16" s="448" customFormat="1" x14ac:dyDescent="0.25">
      <c r="A369" s="451"/>
      <c r="B369" s="442" t="s">
        <v>140</v>
      </c>
      <c r="C369" s="442"/>
      <c r="D369" s="442"/>
      <c r="E369" s="442"/>
      <c r="F369" s="442"/>
      <c r="G369" s="442"/>
      <c r="H369" s="442"/>
      <c r="I369" s="442"/>
      <c r="J369" s="442"/>
      <c r="K369" s="442"/>
      <c r="L369" s="442"/>
      <c r="M369" s="442"/>
      <c r="N369" s="442"/>
      <c r="O369" s="442"/>
    </row>
    <row r="370" spans="1:16" s="448" customFormat="1" ht="31.5" x14ac:dyDescent="0.25">
      <c r="A370" s="451"/>
      <c r="B370" s="674" t="s">
        <v>1168</v>
      </c>
      <c r="C370" s="442"/>
      <c r="D370" s="442"/>
      <c r="E370" s="442"/>
      <c r="F370" s="442"/>
      <c r="G370" s="442"/>
      <c r="H370" s="442"/>
      <c r="I370" s="442"/>
      <c r="J370" s="674">
        <f t="shared" ref="J370:J379" si="179">SUM(C370+E370+F370+H370)</f>
        <v>0</v>
      </c>
      <c r="K370" s="674">
        <f t="shared" ref="K370:K379" si="180">SUM(D370+G370+I370)</f>
        <v>0</v>
      </c>
      <c r="L370" s="674">
        <f t="shared" ref="L370:L379" si="181">SUM(J370:K370)</f>
        <v>0</v>
      </c>
      <c r="M370" s="674">
        <v>287</v>
      </c>
      <c r="N370" s="674"/>
      <c r="O370" s="674">
        <f t="shared" ref="O370:O379" si="182">SUM(L370:N370)</f>
        <v>287</v>
      </c>
    </row>
    <row r="371" spans="1:16" s="448" customFormat="1" ht="31.5" x14ac:dyDescent="0.25">
      <c r="A371" s="451"/>
      <c r="B371" s="674" t="s">
        <v>1197</v>
      </c>
      <c r="C371" s="442"/>
      <c r="D371" s="442"/>
      <c r="E371" s="442"/>
      <c r="F371" s="442"/>
      <c r="G371" s="442"/>
      <c r="H371" s="442"/>
      <c r="I371" s="442"/>
      <c r="J371" s="674">
        <f t="shared" si="179"/>
        <v>0</v>
      </c>
      <c r="K371" s="674">
        <f t="shared" si="180"/>
        <v>0</v>
      </c>
      <c r="L371" s="674">
        <f t="shared" si="181"/>
        <v>0</v>
      </c>
      <c r="M371" s="674">
        <v>8069</v>
      </c>
      <c r="N371" s="674"/>
      <c r="O371" s="674">
        <f t="shared" si="182"/>
        <v>8069</v>
      </c>
    </row>
    <row r="372" spans="1:16" s="448" customFormat="1" ht="31.5" x14ac:dyDescent="0.25">
      <c r="A372" s="451"/>
      <c r="B372" s="674" t="s">
        <v>630</v>
      </c>
      <c r="C372" s="442"/>
      <c r="D372" s="442"/>
      <c r="E372" s="442"/>
      <c r="F372" s="442"/>
      <c r="G372" s="442"/>
      <c r="H372" s="442"/>
      <c r="I372" s="442"/>
      <c r="J372" s="674">
        <f t="shared" si="179"/>
        <v>0</v>
      </c>
      <c r="K372" s="674">
        <f t="shared" si="180"/>
        <v>0</v>
      </c>
      <c r="L372" s="674">
        <f t="shared" si="181"/>
        <v>0</v>
      </c>
      <c r="M372" s="674">
        <f>17601+25000</f>
        <v>42601</v>
      </c>
      <c r="N372" s="674"/>
      <c r="O372" s="674">
        <f t="shared" si="182"/>
        <v>42601</v>
      </c>
    </row>
    <row r="373" spans="1:16" s="448" customFormat="1" ht="31.5" x14ac:dyDescent="0.25">
      <c r="A373" s="451"/>
      <c r="B373" s="674" t="s">
        <v>628</v>
      </c>
      <c r="C373" s="674"/>
      <c r="D373" s="442"/>
      <c r="E373" s="442"/>
      <c r="F373" s="442"/>
      <c r="G373" s="442"/>
      <c r="H373" s="442"/>
      <c r="I373" s="442"/>
      <c r="J373" s="674">
        <f t="shared" si="179"/>
        <v>0</v>
      </c>
      <c r="K373" s="674">
        <f t="shared" si="180"/>
        <v>0</v>
      </c>
      <c r="L373" s="674">
        <f t="shared" si="181"/>
        <v>0</v>
      </c>
      <c r="M373" s="674">
        <v>648</v>
      </c>
      <c r="N373" s="674"/>
      <c r="O373" s="674">
        <f t="shared" si="182"/>
        <v>648</v>
      </c>
    </row>
    <row r="374" spans="1:16" s="448" customFormat="1" ht="47.25" x14ac:dyDescent="0.25">
      <c r="A374" s="451"/>
      <c r="B374" s="674" t="s">
        <v>1195</v>
      </c>
      <c r="C374" s="674"/>
      <c r="D374" s="442"/>
      <c r="E374" s="442"/>
      <c r="F374" s="442"/>
      <c r="G374" s="442"/>
      <c r="H374" s="442"/>
      <c r="I374" s="442"/>
      <c r="J374" s="674">
        <f t="shared" si="179"/>
        <v>0</v>
      </c>
      <c r="K374" s="674">
        <f t="shared" si="180"/>
        <v>0</v>
      </c>
      <c r="L374" s="674">
        <f t="shared" si="181"/>
        <v>0</v>
      </c>
      <c r="M374" s="674">
        <v>1270</v>
      </c>
      <c r="N374" s="674"/>
      <c r="O374" s="674">
        <f t="shared" si="182"/>
        <v>1270</v>
      </c>
    </row>
    <row r="375" spans="1:16" s="448" customFormat="1" x14ac:dyDescent="0.25">
      <c r="A375" s="451"/>
      <c r="B375" s="442" t="s">
        <v>141</v>
      </c>
      <c r="C375" s="442"/>
      <c r="D375" s="442"/>
      <c r="E375" s="442"/>
      <c r="F375" s="442"/>
      <c r="G375" s="442"/>
      <c r="H375" s="442"/>
      <c r="I375" s="442"/>
      <c r="J375" s="442"/>
      <c r="K375" s="442"/>
      <c r="L375" s="442"/>
      <c r="M375" s="442"/>
      <c r="N375" s="442"/>
      <c r="O375" s="442"/>
    </row>
    <row r="376" spans="1:16" s="448" customFormat="1" ht="47.25" x14ac:dyDescent="0.25">
      <c r="A376" s="451"/>
      <c r="B376" s="674" t="s">
        <v>1199</v>
      </c>
      <c r="C376" s="442"/>
      <c r="D376" s="442"/>
      <c r="E376" s="442"/>
      <c r="F376" s="442"/>
      <c r="G376" s="442"/>
      <c r="H376" s="442"/>
      <c r="I376" s="442"/>
      <c r="J376" s="674">
        <f t="shared" si="179"/>
        <v>0</v>
      </c>
      <c r="K376" s="674">
        <f t="shared" si="180"/>
        <v>0</v>
      </c>
      <c r="L376" s="674">
        <f t="shared" si="181"/>
        <v>0</v>
      </c>
      <c r="M376" s="674">
        <v>50</v>
      </c>
      <c r="N376" s="674"/>
      <c r="O376" s="674">
        <f t="shared" si="182"/>
        <v>50</v>
      </c>
    </row>
    <row r="377" spans="1:16" s="448" customFormat="1" ht="47.25" x14ac:dyDescent="0.25">
      <c r="A377" s="451"/>
      <c r="B377" s="674" t="s">
        <v>1200</v>
      </c>
      <c r="C377" s="442"/>
      <c r="D377" s="442"/>
      <c r="E377" s="442"/>
      <c r="F377" s="442"/>
      <c r="G377" s="442"/>
      <c r="H377" s="442"/>
      <c r="I377" s="442"/>
      <c r="J377" s="674">
        <f t="shared" si="179"/>
        <v>0</v>
      </c>
      <c r="K377" s="674">
        <f t="shared" si="180"/>
        <v>0</v>
      </c>
      <c r="L377" s="674">
        <f t="shared" si="181"/>
        <v>0</v>
      </c>
      <c r="M377" s="674">
        <v>50</v>
      </c>
      <c r="N377" s="674"/>
      <c r="O377" s="674">
        <f t="shared" si="182"/>
        <v>50</v>
      </c>
    </row>
    <row r="378" spans="1:16" s="448" customFormat="1" x14ac:dyDescent="0.25">
      <c r="A378" s="451"/>
      <c r="B378" s="674" t="s">
        <v>1172</v>
      </c>
      <c r="C378" s="442"/>
      <c r="D378" s="442"/>
      <c r="E378" s="442"/>
      <c r="F378" s="442"/>
      <c r="G378" s="442"/>
      <c r="H378" s="442"/>
      <c r="I378" s="442"/>
      <c r="J378" s="674">
        <f t="shared" si="179"/>
        <v>0</v>
      </c>
      <c r="K378" s="674">
        <f t="shared" si="180"/>
        <v>0</v>
      </c>
      <c r="L378" s="674">
        <f t="shared" si="181"/>
        <v>0</v>
      </c>
      <c r="M378" s="674">
        <v>4054</v>
      </c>
      <c r="N378" s="674"/>
      <c r="O378" s="674">
        <f t="shared" si="182"/>
        <v>4054</v>
      </c>
    </row>
    <row r="379" spans="1:16" s="448" customFormat="1" ht="32.25" thickBot="1" x14ac:dyDescent="0.3">
      <c r="A379" s="451"/>
      <c r="B379" s="674" t="s">
        <v>928</v>
      </c>
      <c r="C379" s="674">
        <v>38187</v>
      </c>
      <c r="D379" s="442"/>
      <c r="E379" s="442"/>
      <c r="F379" s="442"/>
      <c r="G379" s="442"/>
      <c r="H379" s="674">
        <v>181</v>
      </c>
      <c r="I379" s="442"/>
      <c r="J379" s="674">
        <f t="shared" si="179"/>
        <v>38368</v>
      </c>
      <c r="K379" s="674">
        <f t="shared" si="180"/>
        <v>0</v>
      </c>
      <c r="L379" s="674">
        <f t="shared" si="181"/>
        <v>38368</v>
      </c>
      <c r="M379" s="674"/>
      <c r="N379" s="674"/>
      <c r="O379" s="674">
        <f t="shared" si="182"/>
        <v>38368</v>
      </c>
    </row>
    <row r="380" spans="1:16" ht="17.25" thickTop="1" thickBot="1" x14ac:dyDescent="0.3">
      <c r="A380" s="433"/>
      <c r="B380" s="432" t="s">
        <v>430</v>
      </c>
      <c r="C380" s="432">
        <f>+C366+C370+C376+C371+C372+C373+C377+C378+C374+C379</f>
        <v>58290</v>
      </c>
      <c r="D380" s="432">
        <f t="shared" ref="D380:O380" si="183">+D366+D370+D376+D371+D372+D373+D377+D378+D374+D379</f>
        <v>0</v>
      </c>
      <c r="E380" s="432">
        <f t="shared" si="183"/>
        <v>0</v>
      </c>
      <c r="F380" s="432">
        <f t="shared" si="183"/>
        <v>8970</v>
      </c>
      <c r="G380" s="432">
        <f t="shared" si="183"/>
        <v>0</v>
      </c>
      <c r="H380" s="432">
        <f t="shared" si="183"/>
        <v>181</v>
      </c>
      <c r="I380" s="432">
        <f t="shared" si="183"/>
        <v>0</v>
      </c>
      <c r="J380" s="432">
        <f t="shared" si="183"/>
        <v>67441</v>
      </c>
      <c r="K380" s="432">
        <f t="shared" si="183"/>
        <v>0</v>
      </c>
      <c r="L380" s="432">
        <f t="shared" si="183"/>
        <v>67441</v>
      </c>
      <c r="M380" s="432">
        <f t="shared" si="183"/>
        <v>415729</v>
      </c>
      <c r="N380" s="432">
        <f t="shared" si="183"/>
        <v>1712</v>
      </c>
      <c r="O380" s="432">
        <f t="shared" si="183"/>
        <v>484882</v>
      </c>
      <c r="P380" s="429">
        <f>O381+O382</f>
        <v>484882</v>
      </c>
    </row>
    <row r="381" spans="1:16" ht="17.25" thickTop="1" thickBot="1" x14ac:dyDescent="0.3">
      <c r="A381" s="433"/>
      <c r="B381" s="432" t="s">
        <v>429</v>
      </c>
      <c r="C381" s="432">
        <f>+C367+C370+C371+C372+C373+C374</f>
        <v>20103</v>
      </c>
      <c r="D381" s="432">
        <f t="shared" ref="D381:O381" si="184">+D367+D370+D371+D372+D373+D374</f>
        <v>0</v>
      </c>
      <c r="E381" s="432">
        <f t="shared" si="184"/>
        <v>0</v>
      </c>
      <c r="F381" s="432">
        <f t="shared" si="184"/>
        <v>8970</v>
      </c>
      <c r="G381" s="432">
        <f t="shared" si="184"/>
        <v>0</v>
      </c>
      <c r="H381" s="432">
        <f t="shared" si="184"/>
        <v>0</v>
      </c>
      <c r="I381" s="432">
        <f t="shared" si="184"/>
        <v>0</v>
      </c>
      <c r="J381" s="432">
        <f t="shared" si="184"/>
        <v>29073</v>
      </c>
      <c r="K381" s="432">
        <f t="shared" si="184"/>
        <v>0</v>
      </c>
      <c r="L381" s="432">
        <f t="shared" si="184"/>
        <v>29073</v>
      </c>
      <c r="M381" s="432">
        <f t="shared" si="184"/>
        <v>407000</v>
      </c>
      <c r="N381" s="432">
        <f t="shared" si="184"/>
        <v>1712</v>
      </c>
      <c r="O381" s="432">
        <f t="shared" si="184"/>
        <v>437785</v>
      </c>
    </row>
    <row r="382" spans="1:16" ht="17.25" thickTop="1" thickBot="1" x14ac:dyDescent="0.3">
      <c r="A382" s="433"/>
      <c r="B382" s="432" t="s">
        <v>428</v>
      </c>
      <c r="C382" s="432">
        <f t="shared" ref="C382:O382" si="185">+C368+C376+C377+C378+C379</f>
        <v>38187</v>
      </c>
      <c r="D382" s="432">
        <f t="shared" si="185"/>
        <v>0</v>
      </c>
      <c r="E382" s="432">
        <f t="shared" si="185"/>
        <v>0</v>
      </c>
      <c r="F382" s="432">
        <f t="shared" si="185"/>
        <v>0</v>
      </c>
      <c r="G382" s="432">
        <f t="shared" si="185"/>
        <v>0</v>
      </c>
      <c r="H382" s="432">
        <f t="shared" si="185"/>
        <v>181</v>
      </c>
      <c r="I382" s="432">
        <f t="shared" si="185"/>
        <v>0</v>
      </c>
      <c r="J382" s="432">
        <f t="shared" si="185"/>
        <v>38368</v>
      </c>
      <c r="K382" s="432">
        <f t="shared" si="185"/>
        <v>0</v>
      </c>
      <c r="L382" s="432">
        <f t="shared" si="185"/>
        <v>38368</v>
      </c>
      <c r="M382" s="432">
        <f t="shared" si="185"/>
        <v>8729</v>
      </c>
      <c r="N382" s="432">
        <f t="shared" si="185"/>
        <v>0</v>
      </c>
      <c r="O382" s="432">
        <f t="shared" si="185"/>
        <v>47097</v>
      </c>
    </row>
    <row r="383" spans="1:16" ht="16.5" thickTop="1" x14ac:dyDescent="0.25">
      <c r="A383" s="443" t="s">
        <v>17</v>
      </c>
      <c r="B383" s="452" t="s">
        <v>441</v>
      </c>
      <c r="C383" s="452"/>
      <c r="D383" s="452"/>
      <c r="E383" s="452"/>
      <c r="F383" s="452"/>
      <c r="G383" s="452"/>
      <c r="H383" s="452"/>
      <c r="I383" s="452"/>
      <c r="J383" s="452"/>
      <c r="K383" s="452"/>
      <c r="L383" s="452"/>
      <c r="M383" s="452"/>
      <c r="N383" s="452"/>
      <c r="O383" s="452"/>
    </row>
    <row r="384" spans="1:16" x14ac:dyDescent="0.25">
      <c r="A384" s="443"/>
      <c r="B384" s="441" t="s">
        <v>389</v>
      </c>
      <c r="C384" s="441">
        <v>41197</v>
      </c>
      <c r="D384" s="441"/>
      <c r="E384" s="441"/>
      <c r="F384" s="441">
        <v>81580</v>
      </c>
      <c r="G384" s="441"/>
      <c r="H384" s="441"/>
      <c r="I384" s="441"/>
      <c r="J384" s="441">
        <f>SUM(C384+E384+F384+H384)</f>
        <v>122777</v>
      </c>
      <c r="K384" s="441">
        <f>SUM(D384+G384+I384)</f>
        <v>0</v>
      </c>
      <c r="L384" s="441">
        <f>SUM(J384:K384)</f>
        <v>122777</v>
      </c>
      <c r="M384" s="441">
        <v>833489</v>
      </c>
      <c r="N384" s="441">
        <v>94369</v>
      </c>
      <c r="O384" s="441">
        <f>SUM(L384:N384)</f>
        <v>1050635</v>
      </c>
    </row>
    <row r="385" spans="1:16" s="448" customFormat="1" x14ac:dyDescent="0.25">
      <c r="A385" s="451"/>
      <c r="B385" s="442" t="s">
        <v>432</v>
      </c>
      <c r="C385" s="442">
        <v>41197</v>
      </c>
      <c r="D385" s="442"/>
      <c r="E385" s="442"/>
      <c r="F385" s="442">
        <v>81580</v>
      </c>
      <c r="G385" s="442"/>
      <c r="H385" s="442"/>
      <c r="I385" s="442"/>
      <c r="J385" s="449">
        <f>SUM(C385+E385+F385+H385)</f>
        <v>122777</v>
      </c>
      <c r="K385" s="449">
        <f>SUM(D385+G385+I385)</f>
        <v>0</v>
      </c>
      <c r="L385" s="449">
        <f>SUM(J385:K385)</f>
        <v>122777</v>
      </c>
      <c r="M385" s="449">
        <v>827980</v>
      </c>
      <c r="N385" s="449">
        <v>94369</v>
      </c>
      <c r="O385" s="449">
        <f>SUM(L385:N385)</f>
        <v>1045126</v>
      </c>
    </row>
    <row r="386" spans="1:16" s="448" customFormat="1" x14ac:dyDescent="0.25">
      <c r="A386" s="451"/>
      <c r="B386" s="442" t="s">
        <v>431</v>
      </c>
      <c r="C386" s="442"/>
      <c r="D386" s="442"/>
      <c r="E386" s="442"/>
      <c r="F386" s="442"/>
      <c r="G386" s="442"/>
      <c r="H386" s="442"/>
      <c r="I386" s="442"/>
      <c r="J386" s="442">
        <f>SUM(C386+E386+F386+H386)</f>
        <v>0</v>
      </c>
      <c r="K386" s="442">
        <f>SUM(D386+G386+I386)</f>
        <v>0</v>
      </c>
      <c r="L386" s="442">
        <f>SUM(J386:K386)</f>
        <v>0</v>
      </c>
      <c r="M386" s="442">
        <v>5509</v>
      </c>
      <c r="N386" s="442"/>
      <c r="O386" s="442">
        <f>SUM(L386:N386)</f>
        <v>5509</v>
      </c>
    </row>
    <row r="387" spans="1:16" x14ac:dyDescent="0.25">
      <c r="A387" s="443"/>
      <c r="B387" s="442" t="s">
        <v>140</v>
      </c>
      <c r="C387" s="442"/>
      <c r="D387" s="442"/>
      <c r="E387" s="442"/>
      <c r="F387" s="442"/>
      <c r="G387" s="442"/>
      <c r="H387" s="442"/>
      <c r="I387" s="442"/>
      <c r="J387" s="441"/>
      <c r="K387" s="441"/>
      <c r="L387" s="441"/>
      <c r="M387" s="441"/>
      <c r="N387" s="441"/>
      <c r="O387" s="441"/>
    </row>
    <row r="388" spans="1:16" ht="31.5" x14ac:dyDescent="0.25">
      <c r="A388" s="443"/>
      <c r="B388" s="674" t="s">
        <v>1168</v>
      </c>
      <c r="C388" s="441"/>
      <c r="D388" s="441"/>
      <c r="E388" s="441"/>
      <c r="F388" s="441"/>
      <c r="G388" s="441"/>
      <c r="H388" s="441"/>
      <c r="I388" s="441"/>
      <c r="J388" s="441">
        <f t="shared" ref="J388:J393" si="186">SUM(C388+E388+F388+H388)</f>
        <v>0</v>
      </c>
      <c r="K388" s="441">
        <f t="shared" ref="K388:K393" si="187">SUM(D388+G388+I388)</f>
        <v>0</v>
      </c>
      <c r="L388" s="441">
        <f t="shared" ref="L388:L393" si="188">SUM(J388:K388)</f>
        <v>0</v>
      </c>
      <c r="M388" s="441">
        <v>677</v>
      </c>
      <c r="N388" s="441"/>
      <c r="O388" s="441">
        <f t="shared" ref="O388:O393" si="189">SUM(L388:N388)</f>
        <v>677</v>
      </c>
    </row>
    <row r="389" spans="1:16" ht="31.5" x14ac:dyDescent="0.25">
      <c r="A389" s="443"/>
      <c r="B389" s="674" t="s">
        <v>1197</v>
      </c>
      <c r="C389" s="441"/>
      <c r="D389" s="441"/>
      <c r="E389" s="441"/>
      <c r="F389" s="441"/>
      <c r="G389" s="441"/>
      <c r="H389" s="441"/>
      <c r="I389" s="441"/>
      <c r="J389" s="441">
        <f t="shared" si="186"/>
        <v>0</v>
      </c>
      <c r="K389" s="441">
        <f t="shared" si="187"/>
        <v>0</v>
      </c>
      <c r="L389" s="441">
        <f t="shared" si="188"/>
        <v>0</v>
      </c>
      <c r="M389" s="441">
        <v>8148</v>
      </c>
      <c r="N389" s="441"/>
      <c r="O389" s="441">
        <f t="shared" si="189"/>
        <v>8148</v>
      </c>
    </row>
    <row r="390" spans="1:16" ht="31.5" x14ac:dyDescent="0.25">
      <c r="A390" s="443"/>
      <c r="B390" s="674" t="s">
        <v>628</v>
      </c>
      <c r="C390" s="441"/>
      <c r="D390" s="441"/>
      <c r="E390" s="441"/>
      <c r="F390" s="441"/>
      <c r="G390" s="441"/>
      <c r="H390" s="441"/>
      <c r="I390" s="441"/>
      <c r="J390" s="441">
        <f t="shared" si="186"/>
        <v>0</v>
      </c>
      <c r="K390" s="441">
        <f t="shared" si="187"/>
        <v>0</v>
      </c>
      <c r="L390" s="441">
        <f t="shared" si="188"/>
        <v>0</v>
      </c>
      <c r="M390" s="441">
        <v>431</v>
      </c>
      <c r="N390" s="441"/>
      <c r="O390" s="441">
        <f t="shared" si="189"/>
        <v>431</v>
      </c>
    </row>
    <row r="391" spans="1:16" ht="47.25" x14ac:dyDescent="0.25">
      <c r="A391" s="443"/>
      <c r="B391" s="674" t="s">
        <v>1195</v>
      </c>
      <c r="C391" s="441"/>
      <c r="D391" s="441"/>
      <c r="E391" s="441"/>
      <c r="F391" s="441"/>
      <c r="G391" s="441"/>
      <c r="H391" s="441"/>
      <c r="I391" s="441"/>
      <c r="J391" s="441">
        <f t="shared" si="186"/>
        <v>0</v>
      </c>
      <c r="K391" s="441">
        <f t="shared" si="187"/>
        <v>0</v>
      </c>
      <c r="L391" s="441">
        <f t="shared" si="188"/>
        <v>0</v>
      </c>
      <c r="M391" s="441">
        <v>2489</v>
      </c>
      <c r="N391" s="441"/>
      <c r="O391" s="441">
        <f t="shared" si="189"/>
        <v>2489</v>
      </c>
    </row>
    <row r="392" spans="1:16" ht="31.5" x14ac:dyDescent="0.25">
      <c r="A392" s="443"/>
      <c r="B392" s="674" t="s">
        <v>928</v>
      </c>
      <c r="C392" s="441"/>
      <c r="D392" s="441"/>
      <c r="E392" s="441"/>
      <c r="F392" s="441"/>
      <c r="G392" s="441"/>
      <c r="H392" s="441">
        <v>1033</v>
      </c>
      <c r="I392" s="441"/>
      <c r="J392" s="441">
        <f t="shared" si="186"/>
        <v>1033</v>
      </c>
      <c r="K392" s="441">
        <f t="shared" si="187"/>
        <v>0</v>
      </c>
      <c r="L392" s="441">
        <f t="shared" si="188"/>
        <v>1033</v>
      </c>
      <c r="M392" s="441"/>
      <c r="N392" s="441"/>
      <c r="O392" s="441">
        <f t="shared" si="189"/>
        <v>1033</v>
      </c>
    </row>
    <row r="393" spans="1:16" ht="31.5" x14ac:dyDescent="0.25">
      <c r="A393" s="443"/>
      <c r="B393" s="674" t="s">
        <v>1175</v>
      </c>
      <c r="C393" s="441"/>
      <c r="D393" s="441"/>
      <c r="E393" s="441"/>
      <c r="F393" s="441"/>
      <c r="G393" s="441"/>
      <c r="H393" s="441"/>
      <c r="I393" s="441"/>
      <c r="J393" s="441">
        <f t="shared" si="186"/>
        <v>0</v>
      </c>
      <c r="K393" s="441">
        <f t="shared" si="187"/>
        <v>0</v>
      </c>
      <c r="L393" s="441">
        <f t="shared" si="188"/>
        <v>0</v>
      </c>
      <c r="M393" s="441">
        <v>-16410</v>
      </c>
      <c r="N393" s="441"/>
      <c r="O393" s="441">
        <f t="shared" si="189"/>
        <v>-16410</v>
      </c>
    </row>
    <row r="394" spans="1:16" x14ac:dyDescent="0.25">
      <c r="A394" s="447"/>
      <c r="B394" s="446" t="s">
        <v>141</v>
      </c>
      <c r="C394" s="446"/>
      <c r="D394" s="446"/>
      <c r="E394" s="446"/>
      <c r="F394" s="446"/>
      <c r="G394" s="446"/>
      <c r="H394" s="446"/>
      <c r="I394" s="446"/>
      <c r="J394" s="445"/>
      <c r="K394" s="445"/>
      <c r="L394" s="445"/>
      <c r="M394" s="445"/>
      <c r="N394" s="445"/>
      <c r="O394" s="445"/>
    </row>
    <row r="395" spans="1:16" x14ac:dyDescent="0.25">
      <c r="A395" s="447"/>
      <c r="B395" s="675" t="s">
        <v>1172</v>
      </c>
      <c r="C395" s="445"/>
      <c r="D395" s="445"/>
      <c r="E395" s="445"/>
      <c r="F395" s="445"/>
      <c r="G395" s="445"/>
      <c r="H395" s="445"/>
      <c r="I395" s="445"/>
      <c r="J395" s="445">
        <f>SUM(C395+E395+F395+H395)</f>
        <v>0</v>
      </c>
      <c r="K395" s="445">
        <f>SUM(D395+G395+I395)</f>
        <v>0</v>
      </c>
      <c r="L395" s="445">
        <f>SUM(J395:K395)</f>
        <v>0</v>
      </c>
      <c r="M395" s="445">
        <v>5073</v>
      </c>
      <c r="N395" s="445"/>
      <c r="O395" s="445">
        <f>SUM(L395:N395)</f>
        <v>5073</v>
      </c>
    </row>
    <row r="396" spans="1:16" ht="31.5" x14ac:dyDescent="0.25">
      <c r="A396" s="443"/>
      <c r="B396" s="674" t="s">
        <v>928</v>
      </c>
      <c r="C396" s="441">
        <v>16579</v>
      </c>
      <c r="D396" s="441"/>
      <c r="E396" s="441"/>
      <c r="F396" s="441"/>
      <c r="G396" s="441"/>
      <c r="H396" s="441"/>
      <c r="I396" s="441"/>
      <c r="J396" s="441">
        <f t="shared" ref="J396:J397" si="190">SUM(C396+E396+F396+H396)</f>
        <v>16579</v>
      </c>
      <c r="K396" s="441">
        <f t="shared" ref="K396:K397" si="191">SUM(D396+G396+I396)</f>
        <v>0</v>
      </c>
      <c r="L396" s="441">
        <f t="shared" ref="L396:L397" si="192">SUM(J396:K396)</f>
        <v>16579</v>
      </c>
      <c r="M396" s="441"/>
      <c r="N396" s="441"/>
      <c r="O396" s="441">
        <f t="shared" ref="O396:O397" si="193">SUM(L396:N396)</f>
        <v>16579</v>
      </c>
    </row>
    <row r="397" spans="1:16" ht="63.75" thickBot="1" x14ac:dyDescent="0.3">
      <c r="A397" s="443"/>
      <c r="B397" s="444" t="s">
        <v>1201</v>
      </c>
      <c r="C397" s="441"/>
      <c r="D397" s="441"/>
      <c r="E397" s="441"/>
      <c r="F397" s="441"/>
      <c r="G397" s="441"/>
      <c r="H397" s="441"/>
      <c r="I397" s="441"/>
      <c r="J397" s="441">
        <f t="shared" si="190"/>
        <v>0</v>
      </c>
      <c r="K397" s="441">
        <f t="shared" si="191"/>
        <v>0</v>
      </c>
      <c r="L397" s="441">
        <f t="shared" si="192"/>
        <v>0</v>
      </c>
      <c r="M397" s="441">
        <v>10000</v>
      </c>
      <c r="N397" s="441"/>
      <c r="O397" s="441">
        <f t="shared" si="193"/>
        <v>10000</v>
      </c>
    </row>
    <row r="398" spans="1:16" ht="17.25" thickTop="1" thickBot="1" x14ac:dyDescent="0.3">
      <c r="A398" s="433"/>
      <c r="B398" s="432" t="s">
        <v>430</v>
      </c>
      <c r="C398" s="432">
        <f>+C384+C388+C389+C395+C390+C396+C397+C391+C392+C393</f>
        <v>57776</v>
      </c>
      <c r="D398" s="432">
        <f t="shared" ref="D398:O398" si="194">+D384+D388+D389+D395+D390+D396+D397+D391+D392+D393</f>
        <v>0</v>
      </c>
      <c r="E398" s="432">
        <f t="shared" si="194"/>
        <v>0</v>
      </c>
      <c r="F398" s="432">
        <f t="shared" si="194"/>
        <v>81580</v>
      </c>
      <c r="G398" s="432">
        <f t="shared" si="194"/>
        <v>0</v>
      </c>
      <c r="H398" s="432">
        <f t="shared" si="194"/>
        <v>1033</v>
      </c>
      <c r="I398" s="432">
        <f t="shared" si="194"/>
        <v>0</v>
      </c>
      <c r="J398" s="432">
        <f t="shared" si="194"/>
        <v>140389</v>
      </c>
      <c r="K398" s="432">
        <f t="shared" si="194"/>
        <v>0</v>
      </c>
      <c r="L398" s="432">
        <f t="shared" si="194"/>
        <v>140389</v>
      </c>
      <c r="M398" s="432">
        <f t="shared" si="194"/>
        <v>843897</v>
      </c>
      <c r="N398" s="432">
        <f t="shared" si="194"/>
        <v>94369</v>
      </c>
      <c r="O398" s="432">
        <f t="shared" si="194"/>
        <v>1078655</v>
      </c>
      <c r="P398" s="429">
        <f>O399+O400</f>
        <v>1078655</v>
      </c>
    </row>
    <row r="399" spans="1:16" ht="17.25" thickTop="1" thickBot="1" x14ac:dyDescent="0.3">
      <c r="A399" s="433"/>
      <c r="B399" s="432" t="s">
        <v>429</v>
      </c>
      <c r="C399" s="432">
        <f t="shared" ref="C399:O399" si="195">+C385+C388+C389+C390+C391+C392+C393</f>
        <v>41197</v>
      </c>
      <c r="D399" s="432">
        <f t="shared" si="195"/>
        <v>0</v>
      </c>
      <c r="E399" s="432">
        <f t="shared" si="195"/>
        <v>0</v>
      </c>
      <c r="F399" s="432">
        <f t="shared" si="195"/>
        <v>81580</v>
      </c>
      <c r="G399" s="432">
        <f t="shared" si="195"/>
        <v>0</v>
      </c>
      <c r="H399" s="432">
        <f t="shared" si="195"/>
        <v>1033</v>
      </c>
      <c r="I399" s="432">
        <f t="shared" si="195"/>
        <v>0</v>
      </c>
      <c r="J399" s="432">
        <f t="shared" si="195"/>
        <v>123810</v>
      </c>
      <c r="K399" s="432">
        <f t="shared" si="195"/>
        <v>0</v>
      </c>
      <c r="L399" s="432">
        <f t="shared" si="195"/>
        <v>123810</v>
      </c>
      <c r="M399" s="432">
        <f t="shared" si="195"/>
        <v>823315</v>
      </c>
      <c r="N399" s="432">
        <f t="shared" si="195"/>
        <v>94369</v>
      </c>
      <c r="O399" s="432">
        <f t="shared" si="195"/>
        <v>1041494</v>
      </c>
    </row>
    <row r="400" spans="1:16" ht="17.25" thickTop="1" thickBot="1" x14ac:dyDescent="0.3">
      <c r="A400" s="443"/>
      <c r="B400" s="432" t="s">
        <v>428</v>
      </c>
      <c r="C400" s="432">
        <f>+C386+C395+C396+C397</f>
        <v>16579</v>
      </c>
      <c r="D400" s="432">
        <f t="shared" ref="D400:O400" si="196">+D386+D395+D396+D397</f>
        <v>0</v>
      </c>
      <c r="E400" s="432">
        <f t="shared" si="196"/>
        <v>0</v>
      </c>
      <c r="F400" s="432">
        <f t="shared" si="196"/>
        <v>0</v>
      </c>
      <c r="G400" s="432">
        <f t="shared" si="196"/>
        <v>0</v>
      </c>
      <c r="H400" s="432">
        <f t="shared" si="196"/>
        <v>0</v>
      </c>
      <c r="I400" s="432">
        <f t="shared" si="196"/>
        <v>0</v>
      </c>
      <c r="J400" s="432">
        <f t="shared" si="196"/>
        <v>16579</v>
      </c>
      <c r="K400" s="432">
        <f t="shared" si="196"/>
        <v>0</v>
      </c>
      <c r="L400" s="432">
        <f t="shared" si="196"/>
        <v>16579</v>
      </c>
      <c r="M400" s="432">
        <f t="shared" si="196"/>
        <v>20582</v>
      </c>
      <c r="N400" s="432">
        <f t="shared" si="196"/>
        <v>0</v>
      </c>
      <c r="O400" s="432">
        <f t="shared" si="196"/>
        <v>37161</v>
      </c>
    </row>
    <row r="401" spans="1:15" ht="16.5" thickTop="1" x14ac:dyDescent="0.25">
      <c r="A401" s="447" t="s">
        <v>18</v>
      </c>
      <c r="B401" s="452" t="s">
        <v>1202</v>
      </c>
      <c r="C401" s="452"/>
      <c r="D401" s="452"/>
      <c r="E401" s="452"/>
      <c r="F401" s="452"/>
      <c r="G401" s="452"/>
      <c r="H401" s="452"/>
      <c r="I401" s="452"/>
      <c r="J401" s="452"/>
      <c r="K401" s="452"/>
      <c r="L401" s="452"/>
      <c r="M401" s="452"/>
      <c r="N401" s="452"/>
      <c r="O401" s="452"/>
    </row>
    <row r="402" spans="1:15" x14ac:dyDescent="0.25">
      <c r="A402" s="447"/>
      <c r="B402" s="445" t="s">
        <v>24</v>
      </c>
      <c r="C402" s="445">
        <v>0</v>
      </c>
      <c r="D402" s="445"/>
      <c r="E402" s="445"/>
      <c r="F402" s="445">
        <v>0</v>
      </c>
      <c r="G402" s="445"/>
      <c r="H402" s="445"/>
      <c r="I402" s="445"/>
      <c r="J402" s="441">
        <f>SUM(C402+E402+F402+H402)</f>
        <v>0</v>
      </c>
      <c r="K402" s="441">
        <f>SUM(D402+G402+I402)</f>
        <v>0</v>
      </c>
      <c r="L402" s="441">
        <f>SUM(J402:K402)</f>
        <v>0</v>
      </c>
      <c r="M402" s="441">
        <v>0</v>
      </c>
      <c r="N402" s="441">
        <v>0</v>
      </c>
      <c r="O402" s="441">
        <f>SUM(L402:N402)</f>
        <v>0</v>
      </c>
    </row>
    <row r="403" spans="1:15" s="448" customFormat="1" x14ac:dyDescent="0.25">
      <c r="A403" s="450"/>
      <c r="B403" s="442" t="s">
        <v>438</v>
      </c>
      <c r="C403" s="442">
        <v>0</v>
      </c>
      <c r="D403" s="442"/>
      <c r="E403" s="442"/>
      <c r="F403" s="442">
        <v>0</v>
      </c>
      <c r="G403" s="442"/>
      <c r="H403" s="442"/>
      <c r="I403" s="442"/>
      <c r="J403" s="449">
        <f>SUM(C403+E403+F403+H403)</f>
        <v>0</v>
      </c>
      <c r="K403" s="449">
        <f>SUM(D403+G403+I403)</f>
        <v>0</v>
      </c>
      <c r="L403" s="449">
        <f>SUM(J403:K403)</f>
        <v>0</v>
      </c>
      <c r="M403" s="449">
        <v>0</v>
      </c>
      <c r="N403" s="449">
        <v>0</v>
      </c>
      <c r="O403" s="449">
        <f>SUM(L403:N403)</f>
        <v>0</v>
      </c>
    </row>
    <row r="404" spans="1:15" s="448" customFormat="1" x14ac:dyDescent="0.25">
      <c r="A404" s="450"/>
      <c r="B404" s="442" t="s">
        <v>141</v>
      </c>
      <c r="C404" s="442"/>
      <c r="D404" s="442"/>
      <c r="E404" s="442"/>
      <c r="F404" s="442"/>
      <c r="G404" s="442"/>
      <c r="H404" s="442"/>
      <c r="I404" s="442"/>
      <c r="J404" s="449"/>
      <c r="K404" s="449"/>
      <c r="L404" s="449"/>
      <c r="M404" s="449"/>
      <c r="N404" s="449"/>
      <c r="O404" s="449"/>
    </row>
    <row r="405" spans="1:15" s="448" customFormat="1" ht="48" thickBot="1" x14ac:dyDescent="0.3">
      <c r="A405" s="450"/>
      <c r="B405" s="674" t="s">
        <v>1203</v>
      </c>
      <c r="C405" s="674"/>
      <c r="D405" s="674"/>
      <c r="E405" s="674"/>
      <c r="F405" s="674"/>
      <c r="G405" s="674"/>
      <c r="H405" s="674"/>
      <c r="I405" s="674"/>
      <c r="J405" s="674">
        <f t="shared" ref="J405" si="197">SUM(C405+E405+F405+H405)</f>
        <v>0</v>
      </c>
      <c r="K405" s="674">
        <f t="shared" ref="K405" si="198">SUM(D405+G405+I405)</f>
        <v>0</v>
      </c>
      <c r="L405" s="674">
        <f t="shared" ref="L405" si="199">SUM(J405:K405)</f>
        <v>0</v>
      </c>
      <c r="M405" s="674">
        <v>9842</v>
      </c>
      <c r="N405" s="674"/>
      <c r="O405" s="674">
        <f t="shared" ref="O405" si="200">SUM(L405:N405)</f>
        <v>9842</v>
      </c>
    </row>
    <row r="406" spans="1:15" ht="17.25" thickTop="1" thickBot="1" x14ac:dyDescent="0.3">
      <c r="A406" s="433"/>
      <c r="B406" s="432" t="s">
        <v>430</v>
      </c>
      <c r="C406" s="432">
        <f>+C402+C405</f>
        <v>0</v>
      </c>
      <c r="D406" s="432">
        <f t="shared" ref="D406:O406" si="201">+D402+D405</f>
        <v>0</v>
      </c>
      <c r="E406" s="432">
        <f t="shared" si="201"/>
        <v>0</v>
      </c>
      <c r="F406" s="432">
        <f t="shared" si="201"/>
        <v>0</v>
      </c>
      <c r="G406" s="432">
        <f t="shared" si="201"/>
        <v>0</v>
      </c>
      <c r="H406" s="432">
        <f t="shared" si="201"/>
        <v>0</v>
      </c>
      <c r="I406" s="432">
        <f t="shared" si="201"/>
        <v>0</v>
      </c>
      <c r="J406" s="432">
        <f t="shared" si="201"/>
        <v>0</v>
      </c>
      <c r="K406" s="432">
        <f t="shared" si="201"/>
        <v>0</v>
      </c>
      <c r="L406" s="432">
        <f t="shared" si="201"/>
        <v>0</v>
      </c>
      <c r="M406" s="432">
        <f t="shared" si="201"/>
        <v>9842</v>
      </c>
      <c r="N406" s="432">
        <f t="shared" si="201"/>
        <v>0</v>
      </c>
      <c r="O406" s="432">
        <f t="shared" si="201"/>
        <v>9842</v>
      </c>
    </row>
    <row r="407" spans="1:15" ht="17.25" thickTop="1" thickBot="1" x14ac:dyDescent="0.3">
      <c r="A407" s="433"/>
      <c r="B407" s="432" t="s">
        <v>437</v>
      </c>
      <c r="C407" s="432">
        <f>+C403+C405</f>
        <v>0</v>
      </c>
      <c r="D407" s="432">
        <f t="shared" ref="D407:O407" si="202">+D403+D405</f>
        <v>0</v>
      </c>
      <c r="E407" s="432">
        <f t="shared" si="202"/>
        <v>0</v>
      </c>
      <c r="F407" s="432">
        <f t="shared" si="202"/>
        <v>0</v>
      </c>
      <c r="G407" s="432">
        <f t="shared" si="202"/>
        <v>0</v>
      </c>
      <c r="H407" s="432">
        <f t="shared" si="202"/>
        <v>0</v>
      </c>
      <c r="I407" s="432">
        <f t="shared" si="202"/>
        <v>0</v>
      </c>
      <c r="J407" s="432">
        <f t="shared" si="202"/>
        <v>0</v>
      </c>
      <c r="K407" s="432">
        <f t="shared" si="202"/>
        <v>0</v>
      </c>
      <c r="L407" s="432">
        <f t="shared" si="202"/>
        <v>0</v>
      </c>
      <c r="M407" s="432">
        <f t="shared" si="202"/>
        <v>9842</v>
      </c>
      <c r="N407" s="432">
        <f t="shared" si="202"/>
        <v>0</v>
      </c>
      <c r="O407" s="432">
        <f t="shared" si="202"/>
        <v>9842</v>
      </c>
    </row>
    <row r="408" spans="1:15" ht="16.5" thickTop="1" x14ac:dyDescent="0.25">
      <c r="A408" s="447" t="s">
        <v>19</v>
      </c>
      <c r="B408" s="452" t="s">
        <v>440</v>
      </c>
      <c r="C408" s="452"/>
      <c r="D408" s="452"/>
      <c r="E408" s="452"/>
      <c r="F408" s="452"/>
      <c r="G408" s="452"/>
      <c r="H408" s="452"/>
      <c r="I408" s="452"/>
      <c r="J408" s="452"/>
      <c r="K408" s="452"/>
      <c r="L408" s="452"/>
      <c r="M408" s="452"/>
      <c r="N408" s="452"/>
      <c r="O408" s="452"/>
    </row>
    <row r="409" spans="1:15" x14ac:dyDescent="0.25">
      <c r="A409" s="447"/>
      <c r="B409" s="445" t="s">
        <v>389</v>
      </c>
      <c r="C409" s="445">
        <v>22001</v>
      </c>
      <c r="D409" s="445"/>
      <c r="E409" s="445"/>
      <c r="F409" s="445">
        <v>39179</v>
      </c>
      <c r="G409" s="445"/>
      <c r="H409" s="445"/>
      <c r="I409" s="445"/>
      <c r="J409" s="441">
        <f>SUM(C409+E409+F409+H409)</f>
        <v>61180</v>
      </c>
      <c r="K409" s="441">
        <f>SUM(D409+G409+I409)</f>
        <v>0</v>
      </c>
      <c r="L409" s="441">
        <f>SUM(J409:K409)</f>
        <v>61180</v>
      </c>
      <c r="M409" s="441">
        <v>238009</v>
      </c>
      <c r="N409" s="441">
        <v>8251</v>
      </c>
      <c r="O409" s="441">
        <f>SUM(L409:N409)</f>
        <v>307440</v>
      </c>
    </row>
    <row r="410" spans="1:15" s="448" customFormat="1" x14ac:dyDescent="0.25">
      <c r="A410" s="450"/>
      <c r="B410" s="442" t="s">
        <v>438</v>
      </c>
      <c r="C410" s="442">
        <v>22001</v>
      </c>
      <c r="D410" s="442"/>
      <c r="E410" s="442"/>
      <c r="F410" s="442">
        <v>39179</v>
      </c>
      <c r="G410" s="442"/>
      <c r="H410" s="442"/>
      <c r="I410" s="442"/>
      <c r="J410" s="449">
        <f>SUM(C410+E410+F410+H410)</f>
        <v>61180</v>
      </c>
      <c r="K410" s="449">
        <f>SUM(D410+G410+I410)</f>
        <v>0</v>
      </c>
      <c r="L410" s="449">
        <f>SUM(J410:K410)</f>
        <v>61180</v>
      </c>
      <c r="M410" s="449">
        <v>238009</v>
      </c>
      <c r="N410" s="449">
        <v>8251</v>
      </c>
      <c r="O410" s="449">
        <f>SUM(L410:N410)</f>
        <v>307440</v>
      </c>
    </row>
    <row r="411" spans="1:15" s="448" customFormat="1" x14ac:dyDescent="0.25">
      <c r="A411" s="450"/>
      <c r="B411" s="442" t="s">
        <v>141</v>
      </c>
      <c r="C411" s="442"/>
      <c r="D411" s="442"/>
      <c r="E411" s="442"/>
      <c r="F411" s="442"/>
      <c r="G411" s="442"/>
      <c r="H411" s="442"/>
      <c r="I411" s="442"/>
      <c r="J411" s="449"/>
      <c r="K411" s="449"/>
      <c r="L411" s="449"/>
      <c r="M411" s="449"/>
      <c r="N411" s="449"/>
      <c r="O411" s="449"/>
    </row>
    <row r="412" spans="1:15" s="448" customFormat="1" ht="31.5" x14ac:dyDescent="0.25">
      <c r="A412" s="450"/>
      <c r="B412" s="674" t="s">
        <v>1197</v>
      </c>
      <c r="C412" s="674"/>
      <c r="D412" s="674"/>
      <c r="E412" s="674"/>
      <c r="F412" s="674"/>
      <c r="G412" s="674"/>
      <c r="H412" s="674"/>
      <c r="I412" s="674"/>
      <c r="J412" s="674">
        <f t="shared" ref="J412:J415" si="203">SUM(C412+E412+F412+H412)</f>
        <v>0</v>
      </c>
      <c r="K412" s="674">
        <f t="shared" ref="K412:K415" si="204">SUM(D412+G412+I412)</f>
        <v>0</v>
      </c>
      <c r="L412" s="674">
        <f t="shared" ref="L412:L415" si="205">SUM(J412:K412)</f>
        <v>0</v>
      </c>
      <c r="M412" s="674">
        <v>2292</v>
      </c>
      <c r="N412" s="674"/>
      <c r="O412" s="674">
        <f t="shared" ref="O412:O413" si="206">SUM(L412:N412)</f>
        <v>2292</v>
      </c>
    </row>
    <row r="413" spans="1:15" s="448" customFormat="1" x14ac:dyDescent="0.25">
      <c r="A413" s="450"/>
      <c r="B413" s="674" t="s">
        <v>1172</v>
      </c>
      <c r="C413" s="674"/>
      <c r="D413" s="674"/>
      <c r="E413" s="674"/>
      <c r="F413" s="674"/>
      <c r="G413" s="674"/>
      <c r="H413" s="674"/>
      <c r="I413" s="674"/>
      <c r="J413" s="674">
        <f t="shared" si="203"/>
        <v>0</v>
      </c>
      <c r="K413" s="674">
        <f t="shared" si="204"/>
        <v>0</v>
      </c>
      <c r="L413" s="674">
        <f t="shared" si="205"/>
        <v>0</v>
      </c>
      <c r="M413" s="674">
        <v>1267</v>
      </c>
      <c r="N413" s="674"/>
      <c r="O413" s="674">
        <f t="shared" si="206"/>
        <v>1267</v>
      </c>
    </row>
    <row r="414" spans="1:15" s="448" customFormat="1" ht="47.25" x14ac:dyDescent="0.25">
      <c r="A414" s="450"/>
      <c r="B414" s="674" t="s">
        <v>1195</v>
      </c>
      <c r="C414" s="674"/>
      <c r="D414" s="674"/>
      <c r="E414" s="674"/>
      <c r="F414" s="674"/>
      <c r="G414" s="674"/>
      <c r="H414" s="674"/>
      <c r="I414" s="674"/>
      <c r="J414" s="674">
        <f t="shared" si="203"/>
        <v>0</v>
      </c>
      <c r="K414" s="674">
        <f t="shared" si="204"/>
        <v>0</v>
      </c>
      <c r="L414" s="674">
        <f t="shared" si="205"/>
        <v>0</v>
      </c>
      <c r="M414" s="674">
        <v>914</v>
      </c>
      <c r="N414" s="674"/>
      <c r="O414" s="674">
        <f>SUM(L414:N414)</f>
        <v>914</v>
      </c>
    </row>
    <row r="415" spans="1:15" s="448" customFormat="1" ht="32.25" thickBot="1" x14ac:dyDescent="0.3">
      <c r="A415" s="450"/>
      <c r="B415" s="674" t="s">
        <v>928</v>
      </c>
      <c r="C415" s="674">
        <v>10799</v>
      </c>
      <c r="D415" s="674"/>
      <c r="E415" s="674"/>
      <c r="F415" s="674"/>
      <c r="G415" s="674"/>
      <c r="H415" s="674">
        <v>13586</v>
      </c>
      <c r="I415" s="674"/>
      <c r="J415" s="674">
        <f t="shared" si="203"/>
        <v>24385</v>
      </c>
      <c r="K415" s="674">
        <f t="shared" si="204"/>
        <v>0</v>
      </c>
      <c r="L415" s="674">
        <f t="shared" si="205"/>
        <v>24385</v>
      </c>
      <c r="M415" s="674"/>
      <c r="N415" s="674"/>
      <c r="O415" s="674">
        <f>SUM(L415:N415)</f>
        <v>24385</v>
      </c>
    </row>
    <row r="416" spans="1:15" ht="17.25" thickTop="1" thickBot="1" x14ac:dyDescent="0.3">
      <c r="A416" s="433"/>
      <c r="B416" s="432" t="s">
        <v>430</v>
      </c>
      <c r="C416" s="432">
        <f>+C409+C412+C413+C414+C415</f>
        <v>32800</v>
      </c>
      <c r="D416" s="432">
        <f t="shared" ref="D416:O416" si="207">+D409+D412+D413+D414+D415</f>
        <v>0</v>
      </c>
      <c r="E416" s="432">
        <f t="shared" si="207"/>
        <v>0</v>
      </c>
      <c r="F416" s="432">
        <f t="shared" si="207"/>
        <v>39179</v>
      </c>
      <c r="G416" s="432">
        <f t="shared" si="207"/>
        <v>0</v>
      </c>
      <c r="H416" s="432">
        <f t="shared" si="207"/>
        <v>13586</v>
      </c>
      <c r="I416" s="432">
        <f t="shared" si="207"/>
        <v>0</v>
      </c>
      <c r="J416" s="432">
        <f t="shared" si="207"/>
        <v>85565</v>
      </c>
      <c r="K416" s="432">
        <f t="shared" si="207"/>
        <v>0</v>
      </c>
      <c r="L416" s="432">
        <f t="shared" si="207"/>
        <v>85565</v>
      </c>
      <c r="M416" s="432">
        <f t="shared" si="207"/>
        <v>242482</v>
      </c>
      <c r="N416" s="432">
        <f t="shared" si="207"/>
        <v>8251</v>
      </c>
      <c r="O416" s="432">
        <f t="shared" si="207"/>
        <v>336298</v>
      </c>
    </row>
    <row r="417" spans="1:15" ht="17.25" thickTop="1" thickBot="1" x14ac:dyDescent="0.3">
      <c r="A417" s="433"/>
      <c r="B417" s="432" t="s">
        <v>437</v>
      </c>
      <c r="C417" s="432">
        <f>+C410+C412+C413+C414+C415</f>
        <v>32800</v>
      </c>
      <c r="D417" s="432">
        <f t="shared" ref="D417:O417" si="208">+D410+D412+D413+D414+D415</f>
        <v>0</v>
      </c>
      <c r="E417" s="432">
        <f t="shared" si="208"/>
        <v>0</v>
      </c>
      <c r="F417" s="432">
        <f t="shared" si="208"/>
        <v>39179</v>
      </c>
      <c r="G417" s="432">
        <f t="shared" si="208"/>
        <v>0</v>
      </c>
      <c r="H417" s="432">
        <f t="shared" si="208"/>
        <v>13586</v>
      </c>
      <c r="I417" s="432">
        <f t="shared" si="208"/>
        <v>0</v>
      </c>
      <c r="J417" s="432">
        <f t="shared" si="208"/>
        <v>85565</v>
      </c>
      <c r="K417" s="432">
        <f t="shared" si="208"/>
        <v>0</v>
      </c>
      <c r="L417" s="432">
        <f t="shared" si="208"/>
        <v>85565</v>
      </c>
      <c r="M417" s="432">
        <f t="shared" si="208"/>
        <v>242482</v>
      </c>
      <c r="N417" s="432">
        <f t="shared" si="208"/>
        <v>8251</v>
      </c>
      <c r="O417" s="432">
        <f t="shared" si="208"/>
        <v>336298</v>
      </c>
    </row>
    <row r="418" spans="1:15" ht="16.5" thickTop="1" x14ac:dyDescent="0.25">
      <c r="A418" s="443" t="s">
        <v>20</v>
      </c>
      <c r="B418" s="452" t="s">
        <v>439</v>
      </c>
      <c r="C418" s="452"/>
      <c r="D418" s="452"/>
      <c r="E418" s="452"/>
      <c r="F418" s="452"/>
      <c r="G418" s="452"/>
      <c r="H418" s="452"/>
      <c r="I418" s="452"/>
      <c r="J418" s="452"/>
      <c r="K418" s="452"/>
      <c r="L418" s="452"/>
      <c r="M418" s="452"/>
      <c r="N418" s="452"/>
      <c r="O418" s="452"/>
    </row>
    <row r="419" spans="1:15" x14ac:dyDescent="0.25">
      <c r="A419" s="456"/>
      <c r="B419" s="441" t="s">
        <v>389</v>
      </c>
      <c r="C419" s="441">
        <v>53717</v>
      </c>
      <c r="D419" s="441"/>
      <c r="E419" s="441"/>
      <c r="F419" s="441">
        <v>259831</v>
      </c>
      <c r="G419" s="441"/>
      <c r="H419" s="441">
        <v>102000</v>
      </c>
      <c r="I419" s="441"/>
      <c r="J419" s="441">
        <f>SUM(C419+E419+F419+H419)</f>
        <v>415548</v>
      </c>
      <c r="K419" s="441">
        <f>SUM(D419+G419+I419)</f>
        <v>0</v>
      </c>
      <c r="L419" s="441">
        <f>SUM(J419:K419)</f>
        <v>415548</v>
      </c>
      <c r="M419" s="441">
        <v>662669</v>
      </c>
      <c r="N419" s="441">
        <v>29461</v>
      </c>
      <c r="O419" s="441">
        <f>SUM(L419:N419)</f>
        <v>1107678</v>
      </c>
    </row>
    <row r="420" spans="1:15" s="448" customFormat="1" x14ac:dyDescent="0.25">
      <c r="A420" s="455"/>
      <c r="B420" s="442" t="s">
        <v>438</v>
      </c>
      <c r="C420" s="442">
        <v>53717</v>
      </c>
      <c r="D420" s="442"/>
      <c r="E420" s="442"/>
      <c r="F420" s="442">
        <v>259831</v>
      </c>
      <c r="G420" s="442"/>
      <c r="H420" s="442">
        <v>102000</v>
      </c>
      <c r="I420" s="442"/>
      <c r="J420" s="449">
        <f>SUM(C420+E420+F420+H420)</f>
        <v>415548</v>
      </c>
      <c r="K420" s="449">
        <f>SUM(D420+G420+I420)</f>
        <v>0</v>
      </c>
      <c r="L420" s="449">
        <f>SUM(J420:K420)</f>
        <v>415548</v>
      </c>
      <c r="M420" s="449">
        <v>662669</v>
      </c>
      <c r="N420" s="449">
        <v>29461</v>
      </c>
      <c r="O420" s="449">
        <f>SUM(L420:N420)</f>
        <v>1107678</v>
      </c>
    </row>
    <row r="421" spans="1:15" s="448" customFormat="1" x14ac:dyDescent="0.25">
      <c r="A421" s="455"/>
      <c r="B421" s="442" t="s">
        <v>141</v>
      </c>
      <c r="C421" s="442"/>
      <c r="D421" s="442"/>
      <c r="E421" s="442"/>
      <c r="F421" s="442"/>
      <c r="G421" s="442"/>
      <c r="H421" s="442"/>
      <c r="I421" s="442"/>
      <c r="J421" s="449"/>
      <c r="K421" s="449"/>
      <c r="L421" s="449"/>
      <c r="M421" s="449"/>
      <c r="N421" s="449"/>
      <c r="O421" s="449"/>
    </row>
    <row r="422" spans="1:15" s="448" customFormat="1" ht="31.5" x14ac:dyDescent="0.25">
      <c r="A422" s="455"/>
      <c r="B422" s="674" t="s">
        <v>1168</v>
      </c>
      <c r="C422" s="674"/>
      <c r="D422" s="674"/>
      <c r="E422" s="674"/>
      <c r="F422" s="674"/>
      <c r="G422" s="674"/>
      <c r="H422" s="674"/>
      <c r="I422" s="674"/>
      <c r="J422" s="674">
        <f t="shared" ref="J422:J429" si="209">SUM(C422+E422+F422+H422)</f>
        <v>0</v>
      </c>
      <c r="K422" s="674">
        <f t="shared" ref="K422:K429" si="210">SUM(D422+G422+I422)</f>
        <v>0</v>
      </c>
      <c r="L422" s="674">
        <f t="shared" ref="L422:L429" si="211">SUM(J422:K422)</f>
        <v>0</v>
      </c>
      <c r="M422" s="674">
        <v>1392</v>
      </c>
      <c r="N422" s="674"/>
      <c r="O422" s="674">
        <f t="shared" ref="O422:O429" si="212">SUM(L422:N422)</f>
        <v>1392</v>
      </c>
    </row>
    <row r="423" spans="1:15" s="448" customFormat="1" ht="31.5" x14ac:dyDescent="0.25">
      <c r="A423" s="451"/>
      <c r="B423" s="675" t="s">
        <v>1197</v>
      </c>
      <c r="C423" s="675"/>
      <c r="D423" s="675"/>
      <c r="E423" s="675"/>
      <c r="F423" s="675"/>
      <c r="G423" s="675"/>
      <c r="H423" s="675"/>
      <c r="I423" s="675"/>
      <c r="J423" s="675">
        <f t="shared" si="209"/>
        <v>0</v>
      </c>
      <c r="K423" s="675">
        <f t="shared" si="210"/>
        <v>0</v>
      </c>
      <c r="L423" s="675">
        <f t="shared" si="211"/>
        <v>0</v>
      </c>
      <c r="M423" s="675">
        <v>8198</v>
      </c>
      <c r="N423" s="675"/>
      <c r="O423" s="675">
        <f t="shared" si="212"/>
        <v>8198</v>
      </c>
    </row>
    <row r="424" spans="1:15" s="448" customFormat="1" ht="63" x14ac:dyDescent="0.25">
      <c r="A424" s="932"/>
      <c r="B424" s="674" t="s">
        <v>1204</v>
      </c>
      <c r="C424" s="674"/>
      <c r="D424" s="674"/>
      <c r="E424" s="674"/>
      <c r="F424" s="674"/>
      <c r="G424" s="674"/>
      <c r="H424" s="674"/>
      <c r="I424" s="674"/>
      <c r="J424" s="674">
        <f t="shared" si="209"/>
        <v>0</v>
      </c>
      <c r="K424" s="674">
        <f t="shared" si="210"/>
        <v>0</v>
      </c>
      <c r="L424" s="674">
        <f t="shared" si="211"/>
        <v>0</v>
      </c>
      <c r="M424" s="674">
        <v>1098</v>
      </c>
      <c r="N424" s="674"/>
      <c r="O424" s="674">
        <f t="shared" si="212"/>
        <v>1098</v>
      </c>
    </row>
    <row r="425" spans="1:15" s="448" customFormat="1" x14ac:dyDescent="0.25">
      <c r="A425" s="455"/>
      <c r="B425" s="674" t="s">
        <v>1172</v>
      </c>
      <c r="C425" s="674"/>
      <c r="D425" s="674"/>
      <c r="E425" s="674"/>
      <c r="F425" s="674"/>
      <c r="G425" s="674"/>
      <c r="H425" s="674"/>
      <c r="I425" s="674"/>
      <c r="J425" s="674">
        <f t="shared" si="209"/>
        <v>0</v>
      </c>
      <c r="K425" s="674">
        <f t="shared" si="210"/>
        <v>0</v>
      </c>
      <c r="L425" s="674">
        <f t="shared" si="211"/>
        <v>0</v>
      </c>
      <c r="M425" s="674">
        <v>5258</v>
      </c>
      <c r="N425" s="674"/>
      <c r="O425" s="674">
        <f t="shared" si="212"/>
        <v>5258</v>
      </c>
    </row>
    <row r="426" spans="1:15" s="448" customFormat="1" x14ac:dyDescent="0.25">
      <c r="A426" s="455"/>
      <c r="B426" s="674" t="s">
        <v>1186</v>
      </c>
      <c r="C426" s="674"/>
      <c r="D426" s="674"/>
      <c r="E426" s="674"/>
      <c r="F426" s="674"/>
      <c r="G426" s="674"/>
      <c r="H426" s="674"/>
      <c r="I426" s="674"/>
      <c r="J426" s="674">
        <f t="shared" si="209"/>
        <v>0</v>
      </c>
      <c r="K426" s="674">
        <f t="shared" si="210"/>
        <v>0</v>
      </c>
      <c r="L426" s="674">
        <f t="shared" si="211"/>
        <v>0</v>
      </c>
      <c r="M426" s="674">
        <v>161</v>
      </c>
      <c r="N426" s="674"/>
      <c r="O426" s="674">
        <f t="shared" si="212"/>
        <v>161</v>
      </c>
    </row>
    <row r="427" spans="1:15" s="448" customFormat="1" ht="47.25" x14ac:dyDescent="0.25">
      <c r="A427" s="455"/>
      <c r="B427" s="674" t="s">
        <v>1195</v>
      </c>
      <c r="C427" s="674"/>
      <c r="D427" s="674"/>
      <c r="E427" s="674"/>
      <c r="F427" s="674"/>
      <c r="G427" s="674"/>
      <c r="H427" s="674"/>
      <c r="I427" s="674"/>
      <c r="J427" s="674">
        <f t="shared" si="209"/>
        <v>0</v>
      </c>
      <c r="K427" s="674">
        <f t="shared" si="210"/>
        <v>0</v>
      </c>
      <c r="L427" s="674">
        <f t="shared" si="211"/>
        <v>0</v>
      </c>
      <c r="M427" s="674">
        <v>1600</v>
      </c>
      <c r="N427" s="674"/>
      <c r="O427" s="674">
        <f t="shared" si="212"/>
        <v>1600</v>
      </c>
    </row>
    <row r="428" spans="1:15" s="448" customFormat="1" ht="31.5" x14ac:dyDescent="0.25">
      <c r="A428" s="455"/>
      <c r="B428" s="674" t="s">
        <v>928</v>
      </c>
      <c r="C428" s="674"/>
      <c r="D428" s="674"/>
      <c r="E428" s="674"/>
      <c r="F428" s="674"/>
      <c r="G428" s="674"/>
      <c r="H428" s="674">
        <v>21451</v>
      </c>
      <c r="I428" s="674"/>
      <c r="J428" s="674">
        <f t="shared" si="209"/>
        <v>21451</v>
      </c>
      <c r="K428" s="674">
        <f t="shared" si="210"/>
        <v>0</v>
      </c>
      <c r="L428" s="674">
        <f t="shared" si="211"/>
        <v>21451</v>
      </c>
      <c r="M428" s="674"/>
      <c r="N428" s="674"/>
      <c r="O428" s="674">
        <f t="shared" si="212"/>
        <v>21451</v>
      </c>
    </row>
    <row r="429" spans="1:15" s="448" customFormat="1" ht="32.25" thickBot="1" x14ac:dyDescent="0.3">
      <c r="A429" s="455"/>
      <c r="B429" s="674" t="s">
        <v>1175</v>
      </c>
      <c r="C429" s="674"/>
      <c r="D429" s="674"/>
      <c r="E429" s="674"/>
      <c r="F429" s="674"/>
      <c r="G429" s="674"/>
      <c r="H429" s="674"/>
      <c r="I429" s="674"/>
      <c r="J429" s="674">
        <f t="shared" si="209"/>
        <v>0</v>
      </c>
      <c r="K429" s="674">
        <f t="shared" si="210"/>
        <v>0</v>
      </c>
      <c r="L429" s="674">
        <f t="shared" si="211"/>
        <v>0</v>
      </c>
      <c r="M429" s="674">
        <v>-2640</v>
      </c>
      <c r="N429" s="674"/>
      <c r="O429" s="674">
        <f t="shared" si="212"/>
        <v>-2640</v>
      </c>
    </row>
    <row r="430" spans="1:15" ht="17.25" thickTop="1" thickBot="1" x14ac:dyDescent="0.3">
      <c r="A430" s="433"/>
      <c r="B430" s="432" t="s">
        <v>430</v>
      </c>
      <c r="C430" s="432">
        <f>+C419+C422+C423+C424+C425+C426+C427+C428+C429</f>
        <v>53717</v>
      </c>
      <c r="D430" s="432">
        <f t="shared" ref="D430:O430" si="213">+D419+D422+D423+D424+D425+D426+D427+D428+D429</f>
        <v>0</v>
      </c>
      <c r="E430" s="432">
        <f t="shared" si="213"/>
        <v>0</v>
      </c>
      <c r="F430" s="432">
        <f t="shared" si="213"/>
        <v>259831</v>
      </c>
      <c r="G430" s="432">
        <f t="shared" si="213"/>
        <v>0</v>
      </c>
      <c r="H430" s="432">
        <f t="shared" si="213"/>
        <v>123451</v>
      </c>
      <c r="I430" s="432">
        <f t="shared" si="213"/>
        <v>0</v>
      </c>
      <c r="J430" s="432">
        <f t="shared" si="213"/>
        <v>436999</v>
      </c>
      <c r="K430" s="432">
        <f t="shared" si="213"/>
        <v>0</v>
      </c>
      <c r="L430" s="432">
        <f t="shared" si="213"/>
        <v>436999</v>
      </c>
      <c r="M430" s="432">
        <f t="shared" si="213"/>
        <v>677736</v>
      </c>
      <c r="N430" s="432">
        <f t="shared" si="213"/>
        <v>29461</v>
      </c>
      <c r="O430" s="432">
        <f t="shared" si="213"/>
        <v>1144196</v>
      </c>
    </row>
    <row r="431" spans="1:15" ht="17.25" thickTop="1" thickBot="1" x14ac:dyDescent="0.3">
      <c r="A431" s="433"/>
      <c r="B431" s="432" t="s">
        <v>437</v>
      </c>
      <c r="C431" s="432">
        <f>+C420+C422+C423+C424+C425+C426+C427+C428+C429</f>
        <v>53717</v>
      </c>
      <c r="D431" s="432">
        <f t="shared" ref="D431:O431" si="214">+D420+D422+D423+D424+D425+D426+D427+D428+D429</f>
        <v>0</v>
      </c>
      <c r="E431" s="432">
        <f t="shared" si="214"/>
        <v>0</v>
      </c>
      <c r="F431" s="432">
        <f t="shared" si="214"/>
        <v>259831</v>
      </c>
      <c r="G431" s="432">
        <f t="shared" si="214"/>
        <v>0</v>
      </c>
      <c r="H431" s="432">
        <f t="shared" si="214"/>
        <v>123451</v>
      </c>
      <c r="I431" s="432">
        <f t="shared" si="214"/>
        <v>0</v>
      </c>
      <c r="J431" s="432">
        <f t="shared" si="214"/>
        <v>436999</v>
      </c>
      <c r="K431" s="432">
        <f t="shared" si="214"/>
        <v>0</v>
      </c>
      <c r="L431" s="432">
        <f t="shared" si="214"/>
        <v>436999</v>
      </c>
      <c r="M431" s="432">
        <f t="shared" si="214"/>
        <v>677736</v>
      </c>
      <c r="N431" s="432">
        <f t="shared" si="214"/>
        <v>29461</v>
      </c>
      <c r="O431" s="432">
        <f t="shared" si="214"/>
        <v>1144196</v>
      </c>
    </row>
    <row r="432" spans="1:15" ht="16.5" thickTop="1" x14ac:dyDescent="0.25">
      <c r="A432" s="443" t="s">
        <v>21</v>
      </c>
      <c r="B432" s="452" t="s">
        <v>926</v>
      </c>
      <c r="C432" s="452"/>
      <c r="D432" s="452"/>
      <c r="E432" s="452"/>
      <c r="F432" s="452"/>
      <c r="G432" s="452"/>
      <c r="H432" s="452"/>
      <c r="I432" s="452"/>
      <c r="J432" s="452"/>
      <c r="K432" s="452"/>
      <c r="L432" s="452"/>
      <c r="M432" s="452"/>
      <c r="N432" s="452"/>
      <c r="O432" s="452"/>
    </row>
    <row r="433" spans="1:15" s="448" customFormat="1" x14ac:dyDescent="0.25">
      <c r="A433" s="455"/>
      <c r="B433" s="674" t="s">
        <v>389</v>
      </c>
      <c r="C433" s="442"/>
      <c r="D433" s="442"/>
      <c r="E433" s="442"/>
      <c r="F433" s="442">
        <v>15466</v>
      </c>
      <c r="G433" s="442"/>
      <c r="H433" s="442"/>
      <c r="I433" s="442"/>
      <c r="J433" s="674">
        <f t="shared" ref="J433:J436" si="215">SUM(C433+E433+F433+H433)</f>
        <v>15466</v>
      </c>
      <c r="K433" s="674">
        <f t="shared" ref="K433:K436" si="216">SUM(D433+G433+I433)</f>
        <v>0</v>
      </c>
      <c r="L433" s="674">
        <f t="shared" ref="L433:L436" si="217">SUM(J433:K433)</f>
        <v>15466</v>
      </c>
      <c r="M433" s="449">
        <v>59335</v>
      </c>
      <c r="N433" s="449"/>
      <c r="O433" s="674">
        <f t="shared" ref="O433:O436" si="218">SUM(L433:N433)</f>
        <v>74801</v>
      </c>
    </row>
    <row r="434" spans="1:15" s="448" customFormat="1" x14ac:dyDescent="0.25">
      <c r="A434" s="455"/>
      <c r="B434" s="442" t="s">
        <v>1205</v>
      </c>
      <c r="C434" s="674"/>
      <c r="D434" s="674"/>
      <c r="E434" s="674"/>
      <c r="F434" s="674">
        <v>15466</v>
      </c>
      <c r="G434" s="674"/>
      <c r="H434" s="674"/>
      <c r="I434" s="674"/>
      <c r="J434" s="674">
        <f t="shared" si="215"/>
        <v>15466</v>
      </c>
      <c r="K434" s="674">
        <f t="shared" si="216"/>
        <v>0</v>
      </c>
      <c r="L434" s="674">
        <f t="shared" si="217"/>
        <v>15466</v>
      </c>
      <c r="M434" s="674">
        <v>59335</v>
      </c>
      <c r="N434" s="674"/>
      <c r="O434" s="674">
        <f t="shared" si="218"/>
        <v>74801</v>
      </c>
    </row>
    <row r="435" spans="1:15" s="448" customFormat="1" x14ac:dyDescent="0.25">
      <c r="A435" s="455"/>
      <c r="B435" s="442" t="s">
        <v>141</v>
      </c>
      <c r="C435" s="442"/>
      <c r="D435" s="442"/>
      <c r="E435" s="442"/>
      <c r="F435" s="442"/>
      <c r="G435" s="442"/>
      <c r="H435" s="442"/>
      <c r="I435" s="442"/>
      <c r="J435" s="674"/>
      <c r="K435" s="674"/>
      <c r="L435" s="674"/>
      <c r="M435" s="449"/>
      <c r="N435" s="449"/>
      <c r="O435" s="674"/>
    </row>
    <row r="436" spans="1:15" s="448" customFormat="1" ht="48" thickBot="1" x14ac:dyDescent="0.3">
      <c r="A436" s="455"/>
      <c r="B436" s="674" t="s">
        <v>1206</v>
      </c>
      <c r="C436" s="442"/>
      <c r="D436" s="442"/>
      <c r="E436" s="442"/>
      <c r="F436" s="442"/>
      <c r="G436" s="442"/>
      <c r="H436" s="442"/>
      <c r="I436" s="442"/>
      <c r="J436" s="674">
        <f t="shared" si="215"/>
        <v>0</v>
      </c>
      <c r="K436" s="674">
        <f t="shared" si="216"/>
        <v>0</v>
      </c>
      <c r="L436" s="674">
        <f t="shared" si="217"/>
        <v>0</v>
      </c>
      <c r="M436" s="674">
        <v>2477</v>
      </c>
      <c r="N436" s="449"/>
      <c r="O436" s="674">
        <f t="shared" si="218"/>
        <v>2477</v>
      </c>
    </row>
    <row r="437" spans="1:15" ht="17.25" thickTop="1" thickBot="1" x14ac:dyDescent="0.3">
      <c r="A437" s="433"/>
      <c r="B437" s="432" t="s">
        <v>430</v>
      </c>
      <c r="C437" s="432">
        <f>+C433+C436</f>
        <v>0</v>
      </c>
      <c r="D437" s="432">
        <f t="shared" ref="D437:O437" si="219">+D433+D436</f>
        <v>0</v>
      </c>
      <c r="E437" s="432">
        <f t="shared" si="219"/>
        <v>0</v>
      </c>
      <c r="F437" s="432">
        <f t="shared" si="219"/>
        <v>15466</v>
      </c>
      <c r="G437" s="432">
        <f t="shared" si="219"/>
        <v>0</v>
      </c>
      <c r="H437" s="432">
        <f t="shared" si="219"/>
        <v>0</v>
      </c>
      <c r="I437" s="432">
        <f t="shared" si="219"/>
        <v>0</v>
      </c>
      <c r="J437" s="432">
        <f t="shared" si="219"/>
        <v>15466</v>
      </c>
      <c r="K437" s="432">
        <f t="shared" si="219"/>
        <v>0</v>
      </c>
      <c r="L437" s="432">
        <f t="shared" si="219"/>
        <v>15466</v>
      </c>
      <c r="M437" s="432">
        <f t="shared" si="219"/>
        <v>61812</v>
      </c>
      <c r="N437" s="432">
        <f t="shared" si="219"/>
        <v>0</v>
      </c>
      <c r="O437" s="432">
        <f t="shared" si="219"/>
        <v>77278</v>
      </c>
    </row>
    <row r="438" spans="1:15" ht="17.25" thickTop="1" thickBot="1" x14ac:dyDescent="0.3">
      <c r="A438" s="433"/>
      <c r="B438" s="432" t="s">
        <v>437</v>
      </c>
      <c r="C438" s="432">
        <f>+C434+C436</f>
        <v>0</v>
      </c>
      <c r="D438" s="432">
        <f t="shared" ref="D438:O438" si="220">+D434+D436</f>
        <v>0</v>
      </c>
      <c r="E438" s="432">
        <f t="shared" si="220"/>
        <v>0</v>
      </c>
      <c r="F438" s="432">
        <f t="shared" si="220"/>
        <v>15466</v>
      </c>
      <c r="G438" s="432">
        <f t="shared" si="220"/>
        <v>0</v>
      </c>
      <c r="H438" s="432">
        <f t="shared" si="220"/>
        <v>0</v>
      </c>
      <c r="I438" s="432">
        <f t="shared" si="220"/>
        <v>0</v>
      </c>
      <c r="J438" s="432">
        <f t="shared" si="220"/>
        <v>15466</v>
      </c>
      <c r="K438" s="432">
        <f t="shared" si="220"/>
        <v>0</v>
      </c>
      <c r="L438" s="432">
        <f t="shared" si="220"/>
        <v>15466</v>
      </c>
      <c r="M438" s="432">
        <f t="shared" si="220"/>
        <v>61812</v>
      </c>
      <c r="N438" s="432">
        <f t="shared" si="220"/>
        <v>0</v>
      </c>
      <c r="O438" s="432">
        <f t="shared" si="220"/>
        <v>77278</v>
      </c>
    </row>
    <row r="439" spans="1:15" ht="16.5" thickTop="1" x14ac:dyDescent="0.25">
      <c r="A439" s="443" t="s">
        <v>885</v>
      </c>
      <c r="B439" s="452" t="s">
        <v>436</v>
      </c>
      <c r="C439" s="452"/>
      <c r="D439" s="452"/>
      <c r="E439" s="452"/>
      <c r="F439" s="452"/>
      <c r="G439" s="452"/>
      <c r="H439" s="452"/>
      <c r="I439" s="452"/>
      <c r="J439" s="452"/>
      <c r="K439" s="452"/>
      <c r="L439" s="452"/>
      <c r="M439" s="452"/>
      <c r="N439" s="452"/>
      <c r="O439" s="452"/>
    </row>
    <row r="440" spans="1:15" x14ac:dyDescent="0.25">
      <c r="A440" s="443"/>
      <c r="B440" s="441" t="s">
        <v>389</v>
      </c>
      <c r="C440" s="441">
        <v>8175</v>
      </c>
      <c r="D440" s="441"/>
      <c r="E440" s="441"/>
      <c r="F440" s="441">
        <v>16800</v>
      </c>
      <c r="G440" s="441"/>
      <c r="H440" s="441"/>
      <c r="I440" s="441"/>
      <c r="J440" s="441">
        <f t="shared" ref="J440:J458" si="221">SUM(C440+E440+F440+H440)</f>
        <v>24975</v>
      </c>
      <c r="K440" s="441">
        <f t="shared" ref="K440:K458" si="222">SUM(D440+G440+I440)</f>
        <v>0</v>
      </c>
      <c r="L440" s="441">
        <f t="shared" ref="L440:L458" si="223">SUM(J440:K440)</f>
        <v>24975</v>
      </c>
      <c r="M440" s="441">
        <v>184931</v>
      </c>
      <c r="N440" s="441">
        <v>1498</v>
      </c>
      <c r="O440" s="441">
        <f t="shared" ref="O440:O458" si="224">SUM(L440:N440)</f>
        <v>211404</v>
      </c>
    </row>
    <row r="441" spans="1:15" s="448" customFormat="1" x14ac:dyDescent="0.25">
      <c r="A441" s="451"/>
      <c r="B441" s="442" t="s">
        <v>432</v>
      </c>
      <c r="C441" s="442">
        <v>8175</v>
      </c>
      <c r="D441" s="442"/>
      <c r="E441" s="442"/>
      <c r="F441" s="442">
        <v>16800</v>
      </c>
      <c r="G441" s="442"/>
      <c r="H441" s="442"/>
      <c r="I441" s="442"/>
      <c r="J441" s="449">
        <f t="shared" si="221"/>
        <v>24975</v>
      </c>
      <c r="K441" s="449">
        <f t="shared" si="222"/>
        <v>0</v>
      </c>
      <c r="L441" s="449">
        <f t="shared" si="223"/>
        <v>24975</v>
      </c>
      <c r="M441" s="449">
        <v>162693</v>
      </c>
      <c r="N441" s="449">
        <v>1498</v>
      </c>
      <c r="O441" s="449">
        <f t="shared" si="224"/>
        <v>189166</v>
      </c>
    </row>
    <row r="442" spans="1:15" s="448" customFormat="1" x14ac:dyDescent="0.25">
      <c r="A442" s="451"/>
      <c r="B442" s="442" t="s">
        <v>431</v>
      </c>
      <c r="C442" s="442"/>
      <c r="D442" s="442"/>
      <c r="E442" s="442"/>
      <c r="F442" s="442"/>
      <c r="G442" s="442"/>
      <c r="H442" s="442"/>
      <c r="I442" s="442"/>
      <c r="J442" s="442">
        <f t="shared" si="221"/>
        <v>0</v>
      </c>
      <c r="K442" s="442">
        <f t="shared" si="222"/>
        <v>0</v>
      </c>
      <c r="L442" s="442">
        <f t="shared" si="223"/>
        <v>0</v>
      </c>
      <c r="M442" s="442">
        <v>22238</v>
      </c>
      <c r="N442" s="442"/>
      <c r="O442" s="442">
        <f t="shared" si="224"/>
        <v>22238</v>
      </c>
    </row>
    <row r="443" spans="1:15" s="448" customFormat="1" x14ac:dyDescent="0.25">
      <c r="A443" s="451"/>
      <c r="B443" s="442" t="s">
        <v>140</v>
      </c>
      <c r="C443" s="674"/>
      <c r="D443" s="674"/>
      <c r="E443" s="674"/>
      <c r="F443" s="674"/>
      <c r="G443" s="674"/>
      <c r="H443" s="674"/>
      <c r="I443" s="674"/>
      <c r="J443" s="674"/>
      <c r="K443" s="674"/>
      <c r="L443" s="674"/>
      <c r="M443" s="674"/>
      <c r="N443" s="674"/>
      <c r="O443" s="674"/>
    </row>
    <row r="444" spans="1:15" s="448" customFormat="1" ht="31.5" x14ac:dyDescent="0.25">
      <c r="A444" s="451"/>
      <c r="B444" s="674" t="s">
        <v>1197</v>
      </c>
      <c r="C444" s="674"/>
      <c r="D444" s="674"/>
      <c r="E444" s="674"/>
      <c r="F444" s="674"/>
      <c r="G444" s="674"/>
      <c r="H444" s="674"/>
      <c r="I444" s="674"/>
      <c r="J444" s="674">
        <f t="shared" si="221"/>
        <v>0</v>
      </c>
      <c r="K444" s="674">
        <f t="shared" si="222"/>
        <v>0</v>
      </c>
      <c r="L444" s="674">
        <f t="shared" si="223"/>
        <v>0</v>
      </c>
      <c r="M444" s="674">
        <v>2020</v>
      </c>
      <c r="N444" s="674"/>
      <c r="O444" s="674">
        <f t="shared" si="224"/>
        <v>2020</v>
      </c>
    </row>
    <row r="445" spans="1:15" s="448" customFormat="1" ht="47.25" x14ac:dyDescent="0.25">
      <c r="A445" s="451"/>
      <c r="B445" s="674" t="s">
        <v>1195</v>
      </c>
      <c r="C445" s="674"/>
      <c r="D445" s="674"/>
      <c r="E445" s="674"/>
      <c r="F445" s="674"/>
      <c r="G445" s="674"/>
      <c r="H445" s="674"/>
      <c r="I445" s="674"/>
      <c r="J445" s="674">
        <f t="shared" si="221"/>
        <v>0</v>
      </c>
      <c r="K445" s="674">
        <f t="shared" si="222"/>
        <v>0</v>
      </c>
      <c r="L445" s="674">
        <f t="shared" si="223"/>
        <v>0</v>
      </c>
      <c r="M445" s="674">
        <v>2448</v>
      </c>
      <c r="N445" s="674"/>
      <c r="O445" s="674">
        <f t="shared" si="224"/>
        <v>2448</v>
      </c>
    </row>
    <row r="446" spans="1:15" s="448" customFormat="1" ht="47.25" x14ac:dyDescent="0.25">
      <c r="A446" s="451"/>
      <c r="B446" s="674" t="s">
        <v>1207</v>
      </c>
      <c r="C446" s="674"/>
      <c r="D446" s="674"/>
      <c r="E446" s="674"/>
      <c r="F446" s="674"/>
      <c r="G446" s="674"/>
      <c r="H446" s="674"/>
      <c r="I446" s="674"/>
      <c r="J446" s="674">
        <f t="shared" si="221"/>
        <v>0</v>
      </c>
      <c r="K446" s="674">
        <f t="shared" si="222"/>
        <v>0</v>
      </c>
      <c r="L446" s="674">
        <f t="shared" si="223"/>
        <v>0</v>
      </c>
      <c r="M446" s="674">
        <v>829</v>
      </c>
      <c r="N446" s="674"/>
      <c r="O446" s="674">
        <f t="shared" si="224"/>
        <v>829</v>
      </c>
    </row>
    <row r="447" spans="1:15" s="448" customFormat="1" x14ac:dyDescent="0.25">
      <c r="A447" s="451"/>
      <c r="B447" s="442" t="s">
        <v>141</v>
      </c>
      <c r="C447" s="674"/>
      <c r="D447" s="674"/>
      <c r="E447" s="674"/>
      <c r="F447" s="674"/>
      <c r="G447" s="674"/>
      <c r="H447" s="674"/>
      <c r="I447" s="674"/>
      <c r="J447" s="674"/>
      <c r="K447" s="674"/>
      <c r="L447" s="674"/>
      <c r="M447" s="674"/>
      <c r="N447" s="674"/>
      <c r="O447" s="674"/>
    </row>
    <row r="448" spans="1:15" s="448" customFormat="1" ht="47.25" x14ac:dyDescent="0.25">
      <c r="A448" s="451"/>
      <c r="B448" s="674" t="s">
        <v>1208</v>
      </c>
      <c r="C448" s="674"/>
      <c r="D448" s="674"/>
      <c r="E448" s="674"/>
      <c r="F448" s="674"/>
      <c r="G448" s="674"/>
      <c r="H448" s="674"/>
      <c r="I448" s="674"/>
      <c r="J448" s="674">
        <f t="shared" si="221"/>
        <v>0</v>
      </c>
      <c r="K448" s="674">
        <f t="shared" si="222"/>
        <v>0</v>
      </c>
      <c r="L448" s="674">
        <f t="shared" si="223"/>
        <v>0</v>
      </c>
      <c r="M448" s="674">
        <v>100</v>
      </c>
      <c r="N448" s="674"/>
      <c r="O448" s="674">
        <f t="shared" si="224"/>
        <v>100</v>
      </c>
    </row>
    <row r="449" spans="1:16" ht="47.25" x14ac:dyDescent="0.25">
      <c r="A449" s="443"/>
      <c r="B449" s="674" t="s">
        <v>1209</v>
      </c>
      <c r="C449" s="441"/>
      <c r="D449" s="441"/>
      <c r="E449" s="441"/>
      <c r="F449" s="441"/>
      <c r="G449" s="441"/>
      <c r="H449" s="441"/>
      <c r="I449" s="441"/>
      <c r="J449" s="441">
        <f t="shared" si="221"/>
        <v>0</v>
      </c>
      <c r="K449" s="441">
        <f t="shared" si="222"/>
        <v>0</v>
      </c>
      <c r="L449" s="441">
        <f t="shared" si="223"/>
        <v>0</v>
      </c>
      <c r="M449" s="441">
        <v>100</v>
      </c>
      <c r="N449" s="441"/>
      <c r="O449" s="441">
        <f t="shared" si="224"/>
        <v>100</v>
      </c>
    </row>
    <row r="450" spans="1:16" ht="47.25" x14ac:dyDescent="0.25">
      <c r="A450" s="447"/>
      <c r="B450" s="675" t="s">
        <v>1210</v>
      </c>
      <c r="C450" s="445"/>
      <c r="D450" s="445"/>
      <c r="E450" s="445"/>
      <c r="F450" s="445"/>
      <c r="G450" s="445"/>
      <c r="H450" s="445"/>
      <c r="I450" s="445"/>
      <c r="J450" s="445">
        <f t="shared" si="221"/>
        <v>0</v>
      </c>
      <c r="K450" s="445">
        <f t="shared" si="222"/>
        <v>0</v>
      </c>
      <c r="L450" s="445">
        <f t="shared" si="223"/>
        <v>0</v>
      </c>
      <c r="M450" s="445">
        <v>200</v>
      </c>
      <c r="N450" s="445"/>
      <c r="O450" s="445">
        <f t="shared" si="224"/>
        <v>200</v>
      </c>
    </row>
    <row r="451" spans="1:16" ht="47.25" x14ac:dyDescent="0.25">
      <c r="A451" s="447"/>
      <c r="B451" s="675" t="s">
        <v>1211</v>
      </c>
      <c r="C451" s="445"/>
      <c r="D451" s="445"/>
      <c r="E451" s="445"/>
      <c r="F451" s="445"/>
      <c r="G451" s="445"/>
      <c r="H451" s="445"/>
      <c r="I451" s="445"/>
      <c r="J451" s="445">
        <f t="shared" si="221"/>
        <v>0</v>
      </c>
      <c r="K451" s="445">
        <f t="shared" si="222"/>
        <v>0</v>
      </c>
      <c r="L451" s="445">
        <f t="shared" si="223"/>
        <v>0</v>
      </c>
      <c r="M451" s="445">
        <v>100</v>
      </c>
      <c r="N451" s="445"/>
      <c r="O451" s="445">
        <f t="shared" si="224"/>
        <v>100</v>
      </c>
    </row>
    <row r="452" spans="1:16" ht="78.75" x14ac:dyDescent="0.25">
      <c r="A452" s="443"/>
      <c r="B452" s="674" t="s">
        <v>1212</v>
      </c>
      <c r="C452" s="441"/>
      <c r="D452" s="441"/>
      <c r="E452" s="441"/>
      <c r="F452" s="441"/>
      <c r="G452" s="441"/>
      <c r="H452" s="441"/>
      <c r="I452" s="441"/>
      <c r="J452" s="441">
        <f t="shared" si="221"/>
        <v>0</v>
      </c>
      <c r="K452" s="441">
        <f t="shared" si="222"/>
        <v>0</v>
      </c>
      <c r="L452" s="441">
        <f t="shared" si="223"/>
        <v>0</v>
      </c>
      <c r="M452" s="441">
        <v>300</v>
      </c>
      <c r="N452" s="441"/>
      <c r="O452" s="441">
        <f t="shared" si="224"/>
        <v>300</v>
      </c>
    </row>
    <row r="453" spans="1:16" ht="78.75" x14ac:dyDescent="0.25">
      <c r="A453" s="443"/>
      <c r="B453" s="674" t="s">
        <v>1213</v>
      </c>
      <c r="C453" s="441"/>
      <c r="D453" s="441"/>
      <c r="E453" s="441"/>
      <c r="F453" s="441"/>
      <c r="G453" s="441"/>
      <c r="H453" s="441"/>
      <c r="I453" s="441"/>
      <c r="J453" s="441">
        <f t="shared" si="221"/>
        <v>0</v>
      </c>
      <c r="K453" s="441">
        <f t="shared" si="222"/>
        <v>0</v>
      </c>
      <c r="L453" s="441">
        <f t="shared" si="223"/>
        <v>0</v>
      </c>
      <c r="M453" s="441">
        <v>50</v>
      </c>
      <c r="N453" s="441"/>
      <c r="O453" s="441">
        <f t="shared" si="224"/>
        <v>50</v>
      </c>
    </row>
    <row r="454" spans="1:16" ht="78.75" x14ac:dyDescent="0.25">
      <c r="A454" s="443"/>
      <c r="B454" s="674" t="s">
        <v>1213</v>
      </c>
      <c r="C454" s="441"/>
      <c r="D454" s="441"/>
      <c r="E454" s="441"/>
      <c r="F454" s="441"/>
      <c r="G454" s="441"/>
      <c r="H454" s="441"/>
      <c r="I454" s="441"/>
      <c r="J454" s="441">
        <f t="shared" si="221"/>
        <v>0</v>
      </c>
      <c r="K454" s="441">
        <f t="shared" si="222"/>
        <v>0</v>
      </c>
      <c r="L454" s="441">
        <f t="shared" si="223"/>
        <v>0</v>
      </c>
      <c r="M454" s="441">
        <v>50</v>
      </c>
      <c r="N454" s="441"/>
      <c r="O454" s="441">
        <f t="shared" si="224"/>
        <v>50</v>
      </c>
    </row>
    <row r="455" spans="1:16" ht="110.25" x14ac:dyDescent="0.25">
      <c r="A455" s="443"/>
      <c r="B455" s="674" t="s">
        <v>1214</v>
      </c>
      <c r="C455" s="441"/>
      <c r="D455" s="441"/>
      <c r="E455" s="441"/>
      <c r="F455" s="441"/>
      <c r="G455" s="441"/>
      <c r="H455" s="441"/>
      <c r="I455" s="441"/>
      <c r="J455" s="441">
        <f t="shared" si="221"/>
        <v>0</v>
      </c>
      <c r="K455" s="441">
        <f t="shared" si="222"/>
        <v>0</v>
      </c>
      <c r="L455" s="441">
        <f t="shared" si="223"/>
        <v>0</v>
      </c>
      <c r="M455" s="441">
        <v>500</v>
      </c>
      <c r="N455" s="441"/>
      <c r="O455" s="441">
        <f t="shared" si="224"/>
        <v>500</v>
      </c>
    </row>
    <row r="456" spans="1:16" ht="63" x14ac:dyDescent="0.25">
      <c r="A456" s="443"/>
      <c r="B456" s="674" t="s">
        <v>1215</v>
      </c>
      <c r="C456" s="441"/>
      <c r="D456" s="441"/>
      <c r="E456" s="441"/>
      <c r="F456" s="441"/>
      <c r="G456" s="441"/>
      <c r="H456" s="441"/>
      <c r="I456" s="441"/>
      <c r="J456" s="441">
        <f t="shared" si="221"/>
        <v>0</v>
      </c>
      <c r="K456" s="441">
        <f t="shared" si="222"/>
        <v>0</v>
      </c>
      <c r="L456" s="441">
        <f t="shared" si="223"/>
        <v>0</v>
      </c>
      <c r="M456" s="441">
        <v>400</v>
      </c>
      <c r="N456" s="441"/>
      <c r="O456" s="441">
        <f t="shared" si="224"/>
        <v>400</v>
      </c>
    </row>
    <row r="457" spans="1:16" x14ac:dyDescent="0.25">
      <c r="A457" s="443"/>
      <c r="B457" s="674" t="s">
        <v>1172</v>
      </c>
      <c r="C457" s="441"/>
      <c r="D457" s="441"/>
      <c r="E457" s="441"/>
      <c r="F457" s="441"/>
      <c r="G457" s="441"/>
      <c r="H457" s="441"/>
      <c r="I457" s="441"/>
      <c r="J457" s="441">
        <f t="shared" si="221"/>
        <v>0</v>
      </c>
      <c r="K457" s="441">
        <f t="shared" si="222"/>
        <v>0</v>
      </c>
      <c r="L457" s="441">
        <f t="shared" si="223"/>
        <v>0</v>
      </c>
      <c r="M457" s="441">
        <v>1434</v>
      </c>
      <c r="N457" s="441"/>
      <c r="O457" s="441">
        <f t="shared" si="224"/>
        <v>1434</v>
      </c>
    </row>
    <row r="458" spans="1:16" ht="32.25" thickBot="1" x14ac:dyDescent="0.3">
      <c r="A458" s="443"/>
      <c r="B458" s="674" t="s">
        <v>928</v>
      </c>
      <c r="C458" s="441">
        <v>2260</v>
      </c>
      <c r="D458" s="441"/>
      <c r="E458" s="441"/>
      <c r="F458" s="441"/>
      <c r="G458" s="441"/>
      <c r="H458" s="441"/>
      <c r="I458" s="441"/>
      <c r="J458" s="441">
        <f t="shared" si="221"/>
        <v>2260</v>
      </c>
      <c r="K458" s="441">
        <f t="shared" si="222"/>
        <v>0</v>
      </c>
      <c r="L458" s="441">
        <f t="shared" si="223"/>
        <v>2260</v>
      </c>
      <c r="M458" s="441"/>
      <c r="N458" s="441"/>
      <c r="O458" s="441">
        <f t="shared" si="224"/>
        <v>2260</v>
      </c>
    </row>
    <row r="459" spans="1:16" ht="17.25" thickTop="1" thickBot="1" x14ac:dyDescent="0.3">
      <c r="A459" s="433"/>
      <c r="B459" s="432" t="s">
        <v>430</v>
      </c>
      <c r="C459" s="432">
        <f>+C440+C444+C445+C448+C449+C453+C454+C455+C456+C457+C458+C450+C451+C452+C446</f>
        <v>10435</v>
      </c>
      <c r="D459" s="432">
        <f t="shared" ref="D459:O459" si="225">+D440+D444+D445+D448+D449+D453+D454+D455+D456+D457+D458+D450+D451+D452+D446</f>
        <v>0</v>
      </c>
      <c r="E459" s="432">
        <f t="shared" si="225"/>
        <v>0</v>
      </c>
      <c r="F459" s="432">
        <f t="shared" si="225"/>
        <v>16800</v>
      </c>
      <c r="G459" s="432">
        <f t="shared" si="225"/>
        <v>0</v>
      </c>
      <c r="H459" s="432">
        <f t="shared" si="225"/>
        <v>0</v>
      </c>
      <c r="I459" s="432">
        <f t="shared" si="225"/>
        <v>0</v>
      </c>
      <c r="J459" s="432">
        <f t="shared" si="225"/>
        <v>27235</v>
      </c>
      <c r="K459" s="432">
        <f t="shared" si="225"/>
        <v>0</v>
      </c>
      <c r="L459" s="432">
        <f t="shared" si="225"/>
        <v>27235</v>
      </c>
      <c r="M459" s="432">
        <f t="shared" si="225"/>
        <v>193462</v>
      </c>
      <c r="N459" s="432">
        <f t="shared" si="225"/>
        <v>1498</v>
      </c>
      <c r="O459" s="432">
        <f t="shared" si="225"/>
        <v>222195</v>
      </c>
      <c r="P459" s="429">
        <f>O460+O461</f>
        <v>222195</v>
      </c>
    </row>
    <row r="460" spans="1:16" ht="17.25" thickTop="1" thickBot="1" x14ac:dyDescent="0.3">
      <c r="A460" s="433"/>
      <c r="B460" s="432" t="s">
        <v>429</v>
      </c>
      <c r="C460" s="432">
        <f>+C441+C444+C445+C446</f>
        <v>8175</v>
      </c>
      <c r="D460" s="432">
        <f t="shared" ref="D460:O460" si="226">+D441+D444+D445+D446</f>
        <v>0</v>
      </c>
      <c r="E460" s="432">
        <f t="shared" si="226"/>
        <v>0</v>
      </c>
      <c r="F460" s="432">
        <f t="shared" si="226"/>
        <v>16800</v>
      </c>
      <c r="G460" s="432">
        <f t="shared" si="226"/>
        <v>0</v>
      </c>
      <c r="H460" s="432">
        <f t="shared" si="226"/>
        <v>0</v>
      </c>
      <c r="I460" s="432">
        <f t="shared" si="226"/>
        <v>0</v>
      </c>
      <c r="J460" s="432">
        <f t="shared" si="226"/>
        <v>24975</v>
      </c>
      <c r="K460" s="432">
        <f t="shared" si="226"/>
        <v>0</v>
      </c>
      <c r="L460" s="432">
        <f t="shared" si="226"/>
        <v>24975</v>
      </c>
      <c r="M460" s="432">
        <f t="shared" si="226"/>
        <v>167990</v>
      </c>
      <c r="N460" s="432">
        <f t="shared" si="226"/>
        <v>1498</v>
      </c>
      <c r="O460" s="432">
        <f t="shared" si="226"/>
        <v>194463</v>
      </c>
    </row>
    <row r="461" spans="1:16" ht="17.25" thickTop="1" thickBot="1" x14ac:dyDescent="0.3">
      <c r="A461" s="433"/>
      <c r="B461" s="432" t="s">
        <v>428</v>
      </c>
      <c r="C461" s="432">
        <f>+C442+C448+C449+C453+C454+C455+C456+C457+C458+C450+C451+C452</f>
        <v>2260</v>
      </c>
      <c r="D461" s="432">
        <f t="shared" ref="D461:O461" si="227">+D442+D448+D449+D453+D454+D455+D456+D457+D458+D450+D451+D452</f>
        <v>0</v>
      </c>
      <c r="E461" s="432">
        <f t="shared" si="227"/>
        <v>0</v>
      </c>
      <c r="F461" s="432">
        <f t="shared" si="227"/>
        <v>0</v>
      </c>
      <c r="G461" s="432">
        <f t="shared" si="227"/>
        <v>0</v>
      </c>
      <c r="H461" s="432">
        <f t="shared" si="227"/>
        <v>0</v>
      </c>
      <c r="I461" s="432">
        <f t="shared" si="227"/>
        <v>0</v>
      </c>
      <c r="J461" s="432">
        <f t="shared" si="227"/>
        <v>2260</v>
      </c>
      <c r="K461" s="432">
        <f t="shared" si="227"/>
        <v>0</v>
      </c>
      <c r="L461" s="432">
        <f t="shared" si="227"/>
        <v>2260</v>
      </c>
      <c r="M461" s="432">
        <f t="shared" si="227"/>
        <v>25472</v>
      </c>
      <c r="N461" s="432">
        <f t="shared" si="227"/>
        <v>0</v>
      </c>
      <c r="O461" s="432">
        <f t="shared" si="227"/>
        <v>27732</v>
      </c>
    </row>
    <row r="462" spans="1:16" ht="17.25" thickTop="1" thickBot="1" x14ac:dyDescent="0.3">
      <c r="A462" s="433"/>
      <c r="B462" s="432" t="s">
        <v>435</v>
      </c>
      <c r="C462" s="432">
        <f t="shared" ref="C462:O462" si="228">SUM(C363+C380+C398+C416+C430+C437+C459+C406)</f>
        <v>222889</v>
      </c>
      <c r="D462" s="432">
        <f t="shared" si="228"/>
        <v>0</v>
      </c>
      <c r="E462" s="432">
        <f t="shared" si="228"/>
        <v>0</v>
      </c>
      <c r="F462" s="432">
        <f t="shared" si="228"/>
        <v>422176</v>
      </c>
      <c r="G462" s="432">
        <f t="shared" si="228"/>
        <v>0</v>
      </c>
      <c r="H462" s="432">
        <f t="shared" si="228"/>
        <v>138251</v>
      </c>
      <c r="I462" s="432">
        <f t="shared" si="228"/>
        <v>0</v>
      </c>
      <c r="J462" s="432">
        <f t="shared" si="228"/>
        <v>783316</v>
      </c>
      <c r="K462" s="432">
        <f t="shared" si="228"/>
        <v>0</v>
      </c>
      <c r="L462" s="432">
        <f t="shared" si="228"/>
        <v>783316</v>
      </c>
      <c r="M462" s="432">
        <f t="shared" si="228"/>
        <v>2533643</v>
      </c>
      <c r="N462" s="432">
        <f t="shared" si="228"/>
        <v>136226</v>
      </c>
      <c r="O462" s="432">
        <f t="shared" si="228"/>
        <v>3453185</v>
      </c>
    </row>
    <row r="463" spans="1:16" ht="17.25" thickTop="1" thickBot="1" x14ac:dyDescent="0.3">
      <c r="A463" s="433"/>
      <c r="B463" s="432" t="s">
        <v>434</v>
      </c>
      <c r="C463" s="432">
        <f t="shared" ref="C463:O463" si="229">SUM(C293+C336+C351+C462)</f>
        <v>1156094</v>
      </c>
      <c r="D463" s="432">
        <f t="shared" si="229"/>
        <v>0</v>
      </c>
      <c r="E463" s="432">
        <f t="shared" si="229"/>
        <v>0</v>
      </c>
      <c r="F463" s="432">
        <f t="shared" si="229"/>
        <v>1386498</v>
      </c>
      <c r="G463" s="432">
        <f t="shared" si="229"/>
        <v>0</v>
      </c>
      <c r="H463" s="432">
        <f t="shared" si="229"/>
        <v>138451</v>
      </c>
      <c r="I463" s="432">
        <f t="shared" si="229"/>
        <v>0</v>
      </c>
      <c r="J463" s="432">
        <f t="shared" si="229"/>
        <v>2681043</v>
      </c>
      <c r="K463" s="432">
        <f t="shared" si="229"/>
        <v>0</v>
      </c>
      <c r="L463" s="432">
        <f t="shared" si="229"/>
        <v>2681043</v>
      </c>
      <c r="M463" s="432">
        <f t="shared" si="229"/>
        <v>8461083</v>
      </c>
      <c r="N463" s="432">
        <f t="shared" si="229"/>
        <v>480427</v>
      </c>
      <c r="O463" s="432">
        <f t="shared" si="229"/>
        <v>11622553</v>
      </c>
    </row>
    <row r="464" spans="1:16" ht="16.5" thickTop="1" x14ac:dyDescent="0.25">
      <c r="A464" s="443" t="s">
        <v>887</v>
      </c>
      <c r="B464" s="452" t="s">
        <v>433</v>
      </c>
      <c r="C464" s="452"/>
      <c r="D464" s="452"/>
      <c r="E464" s="452"/>
      <c r="F464" s="452"/>
      <c r="G464" s="452"/>
      <c r="H464" s="452"/>
      <c r="I464" s="452"/>
      <c r="J464" s="452"/>
      <c r="K464" s="452"/>
      <c r="L464" s="452"/>
      <c r="M464" s="452"/>
      <c r="N464" s="452"/>
      <c r="O464" s="452"/>
    </row>
    <row r="465" spans="1:16" x14ac:dyDescent="0.25">
      <c r="A465" s="443"/>
      <c r="B465" s="441" t="s">
        <v>389</v>
      </c>
      <c r="C465" s="441">
        <v>228927</v>
      </c>
      <c r="D465" s="441"/>
      <c r="E465" s="441">
        <v>200</v>
      </c>
      <c r="F465" s="441">
        <v>11156</v>
      </c>
      <c r="G465" s="441"/>
      <c r="H465" s="441"/>
      <c r="I465" s="441"/>
      <c r="J465" s="441">
        <f>SUM(C465+E465+F465+H465)</f>
        <v>240283</v>
      </c>
      <c r="K465" s="441">
        <f>SUM(D465+G465+I465)</f>
        <v>0</v>
      </c>
      <c r="L465" s="441">
        <f>SUM(J465:K465)</f>
        <v>240283</v>
      </c>
      <c r="M465" s="441">
        <v>2768517</v>
      </c>
      <c r="N465" s="441">
        <v>99604</v>
      </c>
      <c r="O465" s="441">
        <f>SUM(L465:N465)</f>
        <v>3108404</v>
      </c>
    </row>
    <row r="466" spans="1:16" s="448" customFormat="1" x14ac:dyDescent="0.25">
      <c r="A466" s="451"/>
      <c r="B466" s="442" t="s">
        <v>432</v>
      </c>
      <c r="C466" s="442">
        <v>42456</v>
      </c>
      <c r="D466" s="442"/>
      <c r="E466" s="442"/>
      <c r="F466" s="442">
        <v>93</v>
      </c>
      <c r="G466" s="442"/>
      <c r="H466" s="442"/>
      <c r="I466" s="442"/>
      <c r="J466" s="449">
        <f>SUM(C466+E466+F466+H466)</f>
        <v>42549</v>
      </c>
      <c r="K466" s="449">
        <f>SUM(D466+G466+I466)</f>
        <v>0</v>
      </c>
      <c r="L466" s="449">
        <f>SUM(J466:K466)</f>
        <v>42549</v>
      </c>
      <c r="M466" s="449">
        <v>1354582</v>
      </c>
      <c r="N466" s="449">
        <v>99604</v>
      </c>
      <c r="O466" s="449">
        <f>SUM(L466:N466)</f>
        <v>1496735</v>
      </c>
    </row>
    <row r="467" spans="1:16" s="448" customFormat="1" x14ac:dyDescent="0.25">
      <c r="A467" s="451"/>
      <c r="B467" s="442" t="s">
        <v>431</v>
      </c>
      <c r="C467" s="442">
        <v>103044</v>
      </c>
      <c r="D467" s="442"/>
      <c r="E467" s="442"/>
      <c r="F467" s="442">
        <v>11063</v>
      </c>
      <c r="G467" s="442"/>
      <c r="H467" s="442"/>
      <c r="I467" s="442"/>
      <c r="J467" s="449">
        <f>SUM(C467+E467+F467+H467)</f>
        <v>114107</v>
      </c>
      <c r="K467" s="449">
        <f>SUM(D467+G467+I467)</f>
        <v>0</v>
      </c>
      <c r="L467" s="449">
        <f>SUM(J467:K467)</f>
        <v>114107</v>
      </c>
      <c r="M467" s="449">
        <v>473589</v>
      </c>
      <c r="N467" s="449"/>
      <c r="O467" s="449">
        <f>SUM(L467:N467)</f>
        <v>587696</v>
      </c>
    </row>
    <row r="468" spans="1:16" s="448" customFormat="1" x14ac:dyDescent="0.25">
      <c r="A468" s="450"/>
      <c r="B468" s="449" t="s">
        <v>501</v>
      </c>
      <c r="C468" s="449">
        <v>83427</v>
      </c>
      <c r="D468" s="449"/>
      <c r="E468" s="449">
        <v>200</v>
      </c>
      <c r="F468" s="449"/>
      <c r="G468" s="449"/>
      <c r="H468" s="449"/>
      <c r="I468" s="449"/>
      <c r="J468" s="449">
        <f>SUM(C468+E468+F468+H468)</f>
        <v>83627</v>
      </c>
      <c r="K468" s="449">
        <f>SUM(D468+G468+I468)</f>
        <v>0</v>
      </c>
      <c r="L468" s="449">
        <f>SUM(J468:K468)</f>
        <v>83627</v>
      </c>
      <c r="M468" s="449">
        <v>940346</v>
      </c>
      <c r="N468" s="449"/>
      <c r="O468" s="449">
        <f>SUM(L468:N468)</f>
        <v>1023973</v>
      </c>
    </row>
    <row r="469" spans="1:16" s="448" customFormat="1" x14ac:dyDescent="0.25">
      <c r="A469" s="450"/>
      <c r="B469" s="449" t="s">
        <v>140</v>
      </c>
      <c r="C469" s="674"/>
      <c r="D469" s="674"/>
      <c r="E469" s="674"/>
      <c r="F469" s="674"/>
      <c r="G469" s="674"/>
      <c r="H469" s="674"/>
      <c r="I469" s="674"/>
      <c r="J469" s="674"/>
      <c r="K469" s="674"/>
      <c r="L469" s="674"/>
      <c r="M469" s="674"/>
      <c r="N469" s="674"/>
      <c r="O469" s="674"/>
    </row>
    <row r="470" spans="1:16" s="448" customFormat="1" ht="31.5" x14ac:dyDescent="0.25">
      <c r="A470" s="450"/>
      <c r="B470" s="674" t="s">
        <v>1168</v>
      </c>
      <c r="C470" s="674"/>
      <c r="D470" s="674"/>
      <c r="E470" s="674"/>
      <c r="F470" s="674"/>
      <c r="G470" s="674"/>
      <c r="H470" s="674"/>
      <c r="I470" s="674"/>
      <c r="J470" s="674">
        <f t="shared" ref="J470:J475" si="230">SUM(C470+E470+F470+H470)</f>
        <v>0</v>
      </c>
      <c r="K470" s="674">
        <f t="shared" ref="K470:K475" si="231">SUM(D470+G470+I470)</f>
        <v>0</v>
      </c>
      <c r="L470" s="674">
        <f t="shared" ref="L470:L475" si="232">SUM(J470:K470)</f>
        <v>0</v>
      </c>
      <c r="M470" s="674">
        <v>1121</v>
      </c>
      <c r="N470" s="674"/>
      <c r="O470" s="674">
        <f t="shared" ref="O470:O475" si="233">SUM(L470:N470)</f>
        <v>1121</v>
      </c>
    </row>
    <row r="471" spans="1:16" s="448" customFormat="1" ht="31.5" x14ac:dyDescent="0.25">
      <c r="A471" s="450"/>
      <c r="B471" s="675" t="s">
        <v>1121</v>
      </c>
      <c r="C471" s="675"/>
      <c r="D471" s="675"/>
      <c r="E471" s="675"/>
      <c r="F471" s="675"/>
      <c r="G471" s="675"/>
      <c r="H471" s="675"/>
      <c r="I471" s="675"/>
      <c r="J471" s="675">
        <f t="shared" si="230"/>
        <v>0</v>
      </c>
      <c r="K471" s="675">
        <f t="shared" si="231"/>
        <v>0</v>
      </c>
      <c r="L471" s="675">
        <f t="shared" si="232"/>
        <v>0</v>
      </c>
      <c r="M471" s="675">
        <v>-37830</v>
      </c>
      <c r="N471" s="675"/>
      <c r="O471" s="675">
        <f t="shared" si="233"/>
        <v>-37830</v>
      </c>
    </row>
    <row r="472" spans="1:16" s="448" customFormat="1" ht="31.5" x14ac:dyDescent="0.25">
      <c r="A472" s="450"/>
      <c r="B472" s="675" t="s">
        <v>928</v>
      </c>
      <c r="C472" s="675">
        <v>2685</v>
      </c>
      <c r="D472" s="675"/>
      <c r="E472" s="675"/>
      <c r="F472" s="675">
        <v>3159</v>
      </c>
      <c r="G472" s="675"/>
      <c r="H472" s="675"/>
      <c r="I472" s="675"/>
      <c r="J472" s="675">
        <f t="shared" si="230"/>
        <v>5844</v>
      </c>
      <c r="K472" s="675">
        <f t="shared" si="231"/>
        <v>0</v>
      </c>
      <c r="L472" s="675">
        <f t="shared" si="232"/>
        <v>5844</v>
      </c>
      <c r="M472" s="675"/>
      <c r="N472" s="675"/>
      <c r="O472" s="675">
        <f t="shared" si="233"/>
        <v>5844</v>
      </c>
    </row>
    <row r="473" spans="1:16" s="448" customFormat="1" x14ac:dyDescent="0.25">
      <c r="A473" s="450"/>
      <c r="B473" s="449" t="s">
        <v>368</v>
      </c>
      <c r="C473" s="674"/>
      <c r="D473" s="674"/>
      <c r="E473" s="674"/>
      <c r="F473" s="674"/>
      <c r="G473" s="674"/>
      <c r="H473" s="674"/>
      <c r="I473" s="674"/>
      <c r="J473" s="674"/>
      <c r="K473" s="674"/>
      <c r="L473" s="674"/>
      <c r="M473" s="674"/>
      <c r="N473" s="674"/>
      <c r="O473" s="674"/>
    </row>
    <row r="474" spans="1:16" s="448" customFormat="1" ht="31.5" x14ac:dyDescent="0.25">
      <c r="A474" s="450"/>
      <c r="B474" s="674" t="s">
        <v>1121</v>
      </c>
      <c r="C474" s="674"/>
      <c r="D474" s="674"/>
      <c r="E474" s="674"/>
      <c r="F474" s="674"/>
      <c r="G474" s="674"/>
      <c r="H474" s="674"/>
      <c r="I474" s="674"/>
      <c r="J474" s="674">
        <f t="shared" ref="J474" si="234">SUM(C474+E474+F474+H474)</f>
        <v>0</v>
      </c>
      <c r="K474" s="674">
        <f t="shared" ref="K474" si="235">SUM(D474+G474+I474)</f>
        <v>0</v>
      </c>
      <c r="L474" s="674">
        <f t="shared" ref="L474" si="236">SUM(J474:K474)</f>
        <v>0</v>
      </c>
      <c r="M474" s="674">
        <v>-27170</v>
      </c>
      <c r="N474" s="674"/>
      <c r="O474" s="674">
        <f t="shared" ref="O474" si="237">SUM(L474:N474)</f>
        <v>-27170</v>
      </c>
    </row>
    <row r="475" spans="1:16" s="448" customFormat="1" ht="32.25" thickBot="1" x14ac:dyDescent="0.3">
      <c r="A475" s="450"/>
      <c r="B475" s="674" t="s">
        <v>928</v>
      </c>
      <c r="C475" s="674"/>
      <c r="D475" s="674"/>
      <c r="E475" s="674"/>
      <c r="F475" s="674">
        <v>2268</v>
      </c>
      <c r="G475" s="674"/>
      <c r="H475" s="674"/>
      <c r="I475" s="674"/>
      <c r="J475" s="674">
        <f t="shared" si="230"/>
        <v>2268</v>
      </c>
      <c r="K475" s="674">
        <f t="shared" si="231"/>
        <v>0</v>
      </c>
      <c r="L475" s="674">
        <f t="shared" si="232"/>
        <v>2268</v>
      </c>
      <c r="M475" s="674"/>
      <c r="N475" s="674"/>
      <c r="O475" s="674">
        <f t="shared" si="233"/>
        <v>2268</v>
      </c>
    </row>
    <row r="476" spans="1:16" ht="17.25" thickTop="1" thickBot="1" x14ac:dyDescent="0.3">
      <c r="A476" s="433"/>
      <c r="B476" s="432" t="s">
        <v>430</v>
      </c>
      <c r="C476" s="432">
        <f>+C465+C470+C471+C474+C475+C472</f>
        <v>231612</v>
      </c>
      <c r="D476" s="432">
        <f t="shared" ref="D476:O476" si="238">+D465+D470+D471+D474+D475+D472</f>
        <v>0</v>
      </c>
      <c r="E476" s="432">
        <f t="shared" si="238"/>
        <v>200</v>
      </c>
      <c r="F476" s="432">
        <f t="shared" si="238"/>
        <v>16583</v>
      </c>
      <c r="G476" s="432">
        <f t="shared" si="238"/>
        <v>0</v>
      </c>
      <c r="H476" s="432">
        <f t="shared" si="238"/>
        <v>0</v>
      </c>
      <c r="I476" s="432">
        <f t="shared" si="238"/>
        <v>0</v>
      </c>
      <c r="J476" s="432">
        <f t="shared" si="238"/>
        <v>248395</v>
      </c>
      <c r="K476" s="432">
        <f t="shared" si="238"/>
        <v>0</v>
      </c>
      <c r="L476" s="432">
        <f t="shared" si="238"/>
        <v>248395</v>
      </c>
      <c r="M476" s="432">
        <f t="shared" si="238"/>
        <v>2704638</v>
      </c>
      <c r="N476" s="432">
        <f t="shared" si="238"/>
        <v>99604</v>
      </c>
      <c r="O476" s="432">
        <f t="shared" si="238"/>
        <v>3052637</v>
      </c>
      <c r="P476" s="429">
        <f>O477+O478+O479</f>
        <v>3052637</v>
      </c>
    </row>
    <row r="477" spans="1:16" ht="17.25" thickTop="1" thickBot="1" x14ac:dyDescent="0.3">
      <c r="A477" s="433"/>
      <c r="B477" s="432" t="s">
        <v>429</v>
      </c>
      <c r="C477" s="432">
        <f>+C466+C470+C471+C472</f>
        <v>45141</v>
      </c>
      <c r="D477" s="432">
        <f t="shared" ref="D477:O477" si="239">+D466+D470+D471+D472</f>
        <v>0</v>
      </c>
      <c r="E477" s="432">
        <f t="shared" si="239"/>
        <v>0</v>
      </c>
      <c r="F477" s="432">
        <f t="shared" si="239"/>
        <v>3252</v>
      </c>
      <c r="G477" s="432">
        <f t="shared" si="239"/>
        <v>0</v>
      </c>
      <c r="H477" s="432">
        <f t="shared" si="239"/>
        <v>0</v>
      </c>
      <c r="I477" s="432">
        <f t="shared" si="239"/>
        <v>0</v>
      </c>
      <c r="J477" s="432">
        <f t="shared" si="239"/>
        <v>48393</v>
      </c>
      <c r="K477" s="432">
        <f t="shared" si="239"/>
        <v>0</v>
      </c>
      <c r="L477" s="432">
        <f t="shared" si="239"/>
        <v>48393</v>
      </c>
      <c r="M477" s="432">
        <f t="shared" si="239"/>
        <v>1317873</v>
      </c>
      <c r="N477" s="432">
        <f t="shared" si="239"/>
        <v>99604</v>
      </c>
      <c r="O477" s="432">
        <f t="shared" si="239"/>
        <v>1465870</v>
      </c>
    </row>
    <row r="478" spans="1:16" ht="17.25" thickTop="1" thickBot="1" x14ac:dyDescent="0.3">
      <c r="A478" s="433"/>
      <c r="B478" s="432" t="s">
        <v>428</v>
      </c>
      <c r="C478" s="432">
        <f>+C467</f>
        <v>103044</v>
      </c>
      <c r="D478" s="432">
        <f t="shared" ref="D478:O478" si="240">+D467</f>
        <v>0</v>
      </c>
      <c r="E478" s="432">
        <f t="shared" si="240"/>
        <v>0</v>
      </c>
      <c r="F478" s="432">
        <f t="shared" si="240"/>
        <v>11063</v>
      </c>
      <c r="G478" s="432">
        <f t="shared" si="240"/>
        <v>0</v>
      </c>
      <c r="H478" s="432">
        <f t="shared" si="240"/>
        <v>0</v>
      </c>
      <c r="I478" s="432">
        <f t="shared" si="240"/>
        <v>0</v>
      </c>
      <c r="J478" s="432">
        <f t="shared" si="240"/>
        <v>114107</v>
      </c>
      <c r="K478" s="432">
        <f t="shared" si="240"/>
        <v>0</v>
      </c>
      <c r="L478" s="432">
        <f t="shared" si="240"/>
        <v>114107</v>
      </c>
      <c r="M478" s="432">
        <f t="shared" si="240"/>
        <v>473589</v>
      </c>
      <c r="N478" s="432">
        <f t="shared" si="240"/>
        <v>0</v>
      </c>
      <c r="O478" s="432">
        <f t="shared" si="240"/>
        <v>587696</v>
      </c>
    </row>
    <row r="479" spans="1:16" ht="33" thickTop="1" thickBot="1" x14ac:dyDescent="0.3">
      <c r="A479" s="433"/>
      <c r="B479" s="432" t="s">
        <v>500</v>
      </c>
      <c r="C479" s="432">
        <f>SUM(C468+C474+C475)</f>
        <v>83427</v>
      </c>
      <c r="D479" s="432">
        <f t="shared" ref="D479:O479" si="241">SUM(D468+D474+D475)</f>
        <v>0</v>
      </c>
      <c r="E479" s="432">
        <f t="shared" si="241"/>
        <v>200</v>
      </c>
      <c r="F479" s="432">
        <f t="shared" si="241"/>
        <v>2268</v>
      </c>
      <c r="G479" s="432">
        <f t="shared" si="241"/>
        <v>0</v>
      </c>
      <c r="H479" s="432">
        <f t="shared" si="241"/>
        <v>0</v>
      </c>
      <c r="I479" s="432">
        <f t="shared" si="241"/>
        <v>0</v>
      </c>
      <c r="J479" s="432">
        <f t="shared" si="241"/>
        <v>85895</v>
      </c>
      <c r="K479" s="432">
        <f t="shared" si="241"/>
        <v>0</v>
      </c>
      <c r="L479" s="432">
        <f t="shared" si="241"/>
        <v>85895</v>
      </c>
      <c r="M479" s="432">
        <f t="shared" si="241"/>
        <v>913176</v>
      </c>
      <c r="N479" s="432">
        <f t="shared" si="241"/>
        <v>0</v>
      </c>
      <c r="O479" s="432">
        <f t="shared" si="241"/>
        <v>999071</v>
      </c>
    </row>
    <row r="480" spans="1:16" ht="17.25" thickTop="1" thickBot="1" x14ac:dyDescent="0.3">
      <c r="A480" s="433"/>
      <c r="B480" s="432" t="s">
        <v>425</v>
      </c>
      <c r="C480" s="432">
        <f t="shared" ref="C480:O480" si="242">SUM(C463+C476)</f>
        <v>1387706</v>
      </c>
      <c r="D480" s="432">
        <f t="shared" si="242"/>
        <v>0</v>
      </c>
      <c r="E480" s="432">
        <f t="shared" si="242"/>
        <v>200</v>
      </c>
      <c r="F480" s="432">
        <f t="shared" si="242"/>
        <v>1403081</v>
      </c>
      <c r="G480" s="432">
        <f t="shared" si="242"/>
        <v>0</v>
      </c>
      <c r="H480" s="432">
        <f t="shared" si="242"/>
        <v>138451</v>
      </c>
      <c r="I480" s="432">
        <f t="shared" si="242"/>
        <v>0</v>
      </c>
      <c r="J480" s="432">
        <f t="shared" si="242"/>
        <v>2929438</v>
      </c>
      <c r="K480" s="432">
        <f t="shared" si="242"/>
        <v>0</v>
      </c>
      <c r="L480" s="432">
        <f t="shared" si="242"/>
        <v>2929438</v>
      </c>
      <c r="M480" s="432">
        <f t="shared" si="242"/>
        <v>11165721</v>
      </c>
      <c r="N480" s="432">
        <f t="shared" si="242"/>
        <v>580031</v>
      </c>
      <c r="O480" s="432">
        <f t="shared" si="242"/>
        <v>14675190</v>
      </c>
    </row>
    <row r="481" spans="1:15" ht="17.25" thickTop="1" thickBot="1" x14ac:dyDescent="0.3">
      <c r="A481" s="440"/>
      <c r="B481" s="432" t="s">
        <v>389</v>
      </c>
      <c r="C481" s="432">
        <f t="shared" ref="C481:O481" si="243">SUM(C6+C23+C37+C50+C63+C77+C90+C104+C119+C134+C147+C162+C177+C191+C204+C219+C234+C250+C263+C278+C295+C308+C322+C338+C355+C366+C384+C409+C419+C433+C440+C465+C402)</f>
        <v>1106634</v>
      </c>
      <c r="D481" s="432">
        <f t="shared" si="243"/>
        <v>0</v>
      </c>
      <c r="E481" s="432">
        <f t="shared" si="243"/>
        <v>200</v>
      </c>
      <c r="F481" s="432">
        <f t="shared" si="243"/>
        <v>1371086</v>
      </c>
      <c r="G481" s="432">
        <f t="shared" si="243"/>
        <v>0</v>
      </c>
      <c r="H481" s="432">
        <f t="shared" si="243"/>
        <v>102000</v>
      </c>
      <c r="I481" s="432">
        <f t="shared" si="243"/>
        <v>0</v>
      </c>
      <c r="J481" s="432">
        <f t="shared" si="243"/>
        <v>2579920</v>
      </c>
      <c r="K481" s="432">
        <f t="shared" si="243"/>
        <v>0</v>
      </c>
      <c r="L481" s="432">
        <f t="shared" si="243"/>
        <v>2579920</v>
      </c>
      <c r="M481" s="432">
        <f t="shared" si="243"/>
        <v>10792662</v>
      </c>
      <c r="N481" s="432">
        <f t="shared" si="243"/>
        <v>580031</v>
      </c>
      <c r="O481" s="432">
        <f t="shared" si="243"/>
        <v>13952613</v>
      </c>
    </row>
    <row r="482" spans="1:15" ht="16.5" thickTop="1" x14ac:dyDescent="0.25">
      <c r="A482" s="437"/>
      <c r="B482" s="439" t="s">
        <v>140</v>
      </c>
      <c r="C482" s="439"/>
      <c r="D482" s="439"/>
      <c r="E482" s="439"/>
      <c r="F482" s="439"/>
      <c r="G482" s="439"/>
      <c r="H482" s="439"/>
      <c r="I482" s="439"/>
      <c r="J482" s="439"/>
      <c r="K482" s="439"/>
      <c r="L482" s="439"/>
      <c r="M482" s="439"/>
      <c r="N482" s="439"/>
      <c r="O482" s="439"/>
    </row>
    <row r="483" spans="1:15" s="679" customFormat="1" x14ac:dyDescent="0.25">
      <c r="A483" s="436"/>
      <c r="B483" s="435" t="s">
        <v>1216</v>
      </c>
      <c r="C483" s="678">
        <f t="shared" ref="C483:O483" si="244">C10+C27+C41+C54+C67+C81+C94+C108+C123+C138+C151+C166+C181+C195+C208+C223+C238+C267+C282+C299+C312+C326+C342+C370+C388+C470</f>
        <v>0</v>
      </c>
      <c r="D483" s="678">
        <f t="shared" si="244"/>
        <v>0</v>
      </c>
      <c r="E483" s="678">
        <f t="shared" si="244"/>
        <v>0</v>
      </c>
      <c r="F483" s="678">
        <f t="shared" si="244"/>
        <v>0</v>
      </c>
      <c r="G483" s="678">
        <f t="shared" si="244"/>
        <v>0</v>
      </c>
      <c r="H483" s="678">
        <f t="shared" si="244"/>
        <v>0</v>
      </c>
      <c r="I483" s="678">
        <f t="shared" si="244"/>
        <v>0</v>
      </c>
      <c r="J483" s="678">
        <f t="shared" si="244"/>
        <v>0</v>
      </c>
      <c r="K483" s="678">
        <f t="shared" si="244"/>
        <v>0</v>
      </c>
      <c r="L483" s="678">
        <f t="shared" si="244"/>
        <v>0</v>
      </c>
      <c r="M483" s="678">
        <f t="shared" si="244"/>
        <v>11704</v>
      </c>
      <c r="N483" s="678">
        <f t="shared" si="244"/>
        <v>0</v>
      </c>
      <c r="O483" s="678">
        <f t="shared" si="244"/>
        <v>11704</v>
      </c>
    </row>
    <row r="484" spans="1:15" s="679" customFormat="1" ht="47.25" x14ac:dyDescent="0.25">
      <c r="A484" s="436"/>
      <c r="B484" s="435" t="s">
        <v>1174</v>
      </c>
      <c r="C484" s="678">
        <f t="shared" ref="C484:O484" si="245">C28+C42+C55+C68+C82+C95+C109+C300+C313+C327</f>
        <v>0</v>
      </c>
      <c r="D484" s="678">
        <f t="shared" si="245"/>
        <v>0</v>
      </c>
      <c r="E484" s="678">
        <f t="shared" si="245"/>
        <v>0</v>
      </c>
      <c r="F484" s="678">
        <f t="shared" si="245"/>
        <v>0</v>
      </c>
      <c r="G484" s="678">
        <f t="shared" si="245"/>
        <v>0</v>
      </c>
      <c r="H484" s="678">
        <f t="shared" si="245"/>
        <v>0</v>
      </c>
      <c r="I484" s="678">
        <f t="shared" si="245"/>
        <v>0</v>
      </c>
      <c r="J484" s="678">
        <f t="shared" si="245"/>
        <v>0</v>
      </c>
      <c r="K484" s="678">
        <f t="shared" si="245"/>
        <v>0</v>
      </c>
      <c r="L484" s="678">
        <f t="shared" si="245"/>
        <v>0</v>
      </c>
      <c r="M484" s="678">
        <f t="shared" si="245"/>
        <v>60554</v>
      </c>
      <c r="N484" s="678">
        <f t="shared" si="245"/>
        <v>0</v>
      </c>
      <c r="O484" s="678">
        <f t="shared" si="245"/>
        <v>60554</v>
      </c>
    </row>
    <row r="485" spans="1:15" s="679" customFormat="1" ht="47.25" x14ac:dyDescent="0.25">
      <c r="A485" s="436"/>
      <c r="B485" s="435" t="s">
        <v>1193</v>
      </c>
      <c r="C485" s="678">
        <f t="shared" ref="C485:O485" si="246">C301</f>
        <v>0</v>
      </c>
      <c r="D485" s="678">
        <f t="shared" si="246"/>
        <v>0</v>
      </c>
      <c r="E485" s="678">
        <f t="shared" si="246"/>
        <v>0</v>
      </c>
      <c r="F485" s="678">
        <f t="shared" si="246"/>
        <v>0</v>
      </c>
      <c r="G485" s="678">
        <f t="shared" si="246"/>
        <v>0</v>
      </c>
      <c r="H485" s="678">
        <f t="shared" si="246"/>
        <v>0</v>
      </c>
      <c r="I485" s="678">
        <f t="shared" si="246"/>
        <v>0</v>
      </c>
      <c r="J485" s="678">
        <f t="shared" si="246"/>
        <v>0</v>
      </c>
      <c r="K485" s="678">
        <f t="shared" si="246"/>
        <v>0</v>
      </c>
      <c r="L485" s="678">
        <f t="shared" si="246"/>
        <v>0</v>
      </c>
      <c r="M485" s="678">
        <f t="shared" si="246"/>
        <v>2631</v>
      </c>
      <c r="N485" s="678">
        <f t="shared" si="246"/>
        <v>0</v>
      </c>
      <c r="O485" s="678">
        <f t="shared" si="246"/>
        <v>2631</v>
      </c>
    </row>
    <row r="486" spans="1:15" s="679" customFormat="1" ht="31.5" x14ac:dyDescent="0.25">
      <c r="A486" s="436"/>
      <c r="B486" s="435" t="s">
        <v>1197</v>
      </c>
      <c r="C486" s="678">
        <f t="shared" ref="C486:O486" si="247">C371+C389+C444</f>
        <v>0</v>
      </c>
      <c r="D486" s="678">
        <f t="shared" si="247"/>
        <v>0</v>
      </c>
      <c r="E486" s="678">
        <f t="shared" si="247"/>
        <v>0</v>
      </c>
      <c r="F486" s="678">
        <f t="shared" si="247"/>
        <v>0</v>
      </c>
      <c r="G486" s="678">
        <f t="shared" si="247"/>
        <v>0</v>
      </c>
      <c r="H486" s="678">
        <f t="shared" si="247"/>
        <v>0</v>
      </c>
      <c r="I486" s="678">
        <f t="shared" si="247"/>
        <v>0</v>
      </c>
      <c r="J486" s="678">
        <f t="shared" si="247"/>
        <v>0</v>
      </c>
      <c r="K486" s="678">
        <f t="shared" si="247"/>
        <v>0</v>
      </c>
      <c r="L486" s="678">
        <f t="shared" si="247"/>
        <v>0</v>
      </c>
      <c r="M486" s="678">
        <f t="shared" si="247"/>
        <v>18237</v>
      </c>
      <c r="N486" s="678">
        <f t="shared" si="247"/>
        <v>0</v>
      </c>
      <c r="O486" s="678">
        <f t="shared" si="247"/>
        <v>18237</v>
      </c>
    </row>
    <row r="487" spans="1:15" s="679" customFormat="1" ht="31.5" x14ac:dyDescent="0.25">
      <c r="A487" s="436"/>
      <c r="B487" s="435" t="s">
        <v>630</v>
      </c>
      <c r="C487" s="678">
        <f t="shared" ref="C487:O487" si="248">C372</f>
        <v>0</v>
      </c>
      <c r="D487" s="678">
        <f t="shared" si="248"/>
        <v>0</v>
      </c>
      <c r="E487" s="678">
        <f t="shared" si="248"/>
        <v>0</v>
      </c>
      <c r="F487" s="678">
        <f t="shared" si="248"/>
        <v>0</v>
      </c>
      <c r="G487" s="678">
        <f t="shared" si="248"/>
        <v>0</v>
      </c>
      <c r="H487" s="678">
        <f t="shared" si="248"/>
        <v>0</v>
      </c>
      <c r="I487" s="678">
        <f t="shared" si="248"/>
        <v>0</v>
      </c>
      <c r="J487" s="678">
        <f t="shared" si="248"/>
        <v>0</v>
      </c>
      <c r="K487" s="678">
        <f t="shared" si="248"/>
        <v>0</v>
      </c>
      <c r="L487" s="678">
        <f t="shared" si="248"/>
        <v>0</v>
      </c>
      <c r="M487" s="678">
        <f t="shared" si="248"/>
        <v>42601</v>
      </c>
      <c r="N487" s="678">
        <f t="shared" si="248"/>
        <v>0</v>
      </c>
      <c r="O487" s="678">
        <f t="shared" si="248"/>
        <v>42601</v>
      </c>
    </row>
    <row r="488" spans="1:15" s="679" customFormat="1" ht="31.5" x14ac:dyDescent="0.25">
      <c r="A488" s="436"/>
      <c r="B488" s="435" t="s">
        <v>1217</v>
      </c>
      <c r="C488" s="678">
        <f t="shared" ref="C488:O488" si="249">C343</f>
        <v>0</v>
      </c>
      <c r="D488" s="678">
        <f t="shared" si="249"/>
        <v>0</v>
      </c>
      <c r="E488" s="678">
        <f t="shared" si="249"/>
        <v>0</v>
      </c>
      <c r="F488" s="678">
        <f t="shared" si="249"/>
        <v>0</v>
      </c>
      <c r="G488" s="678">
        <f t="shared" si="249"/>
        <v>0</v>
      </c>
      <c r="H488" s="678">
        <f t="shared" si="249"/>
        <v>0</v>
      </c>
      <c r="I488" s="678">
        <f t="shared" si="249"/>
        <v>0</v>
      </c>
      <c r="J488" s="678">
        <f t="shared" si="249"/>
        <v>0</v>
      </c>
      <c r="K488" s="678">
        <f t="shared" si="249"/>
        <v>0</v>
      </c>
      <c r="L488" s="678">
        <f t="shared" si="249"/>
        <v>0</v>
      </c>
      <c r="M488" s="678">
        <f t="shared" si="249"/>
        <v>11167</v>
      </c>
      <c r="N488" s="678">
        <f t="shared" si="249"/>
        <v>0</v>
      </c>
      <c r="O488" s="678">
        <f t="shared" si="249"/>
        <v>11167</v>
      </c>
    </row>
    <row r="489" spans="1:15" s="679" customFormat="1" x14ac:dyDescent="0.25">
      <c r="A489" s="436"/>
      <c r="B489" s="435" t="s">
        <v>1186</v>
      </c>
      <c r="C489" s="678">
        <f t="shared" ref="C489:O489" si="250">C344+C152</f>
        <v>0</v>
      </c>
      <c r="D489" s="678">
        <f t="shared" si="250"/>
        <v>0</v>
      </c>
      <c r="E489" s="678">
        <f t="shared" si="250"/>
        <v>0</v>
      </c>
      <c r="F489" s="678">
        <f t="shared" si="250"/>
        <v>0</v>
      </c>
      <c r="G489" s="678">
        <f t="shared" si="250"/>
        <v>0</v>
      </c>
      <c r="H489" s="678">
        <f t="shared" si="250"/>
        <v>0</v>
      </c>
      <c r="I489" s="678">
        <f t="shared" si="250"/>
        <v>0</v>
      </c>
      <c r="J489" s="678">
        <f t="shared" si="250"/>
        <v>0</v>
      </c>
      <c r="K489" s="678">
        <f t="shared" si="250"/>
        <v>0</v>
      </c>
      <c r="L489" s="678">
        <f t="shared" si="250"/>
        <v>0</v>
      </c>
      <c r="M489" s="678">
        <f t="shared" si="250"/>
        <v>70</v>
      </c>
      <c r="N489" s="678">
        <f t="shared" si="250"/>
        <v>0</v>
      </c>
      <c r="O489" s="678">
        <f t="shared" si="250"/>
        <v>70</v>
      </c>
    </row>
    <row r="490" spans="1:15" s="679" customFormat="1" ht="31.5" x14ac:dyDescent="0.25">
      <c r="A490" s="436"/>
      <c r="B490" s="435" t="s">
        <v>628</v>
      </c>
      <c r="C490" s="678">
        <f t="shared" ref="C490:O490" si="251">C11+C56+C69+C96+C110+C124+C139+C153+C167+C182+C196+C209+C224+C239+C254+C268+C283+C345+C373+C390</f>
        <v>0</v>
      </c>
      <c r="D490" s="678">
        <f t="shared" si="251"/>
        <v>0</v>
      </c>
      <c r="E490" s="678">
        <f t="shared" si="251"/>
        <v>0</v>
      </c>
      <c r="F490" s="678">
        <f t="shared" si="251"/>
        <v>0</v>
      </c>
      <c r="G490" s="678">
        <f t="shared" si="251"/>
        <v>0</v>
      </c>
      <c r="H490" s="678">
        <f t="shared" si="251"/>
        <v>0</v>
      </c>
      <c r="I490" s="678">
        <f t="shared" si="251"/>
        <v>0</v>
      </c>
      <c r="J490" s="678">
        <f t="shared" si="251"/>
        <v>0</v>
      </c>
      <c r="K490" s="678">
        <f t="shared" si="251"/>
        <v>0</v>
      </c>
      <c r="L490" s="678">
        <f t="shared" si="251"/>
        <v>0</v>
      </c>
      <c r="M490" s="678">
        <f t="shared" si="251"/>
        <v>45165</v>
      </c>
      <c r="N490" s="678">
        <f t="shared" si="251"/>
        <v>0</v>
      </c>
      <c r="O490" s="678">
        <f t="shared" si="251"/>
        <v>45165</v>
      </c>
    </row>
    <row r="491" spans="1:15" s="679" customFormat="1" ht="47.25" x14ac:dyDescent="0.25">
      <c r="A491" s="436"/>
      <c r="B491" s="435" t="s">
        <v>1169</v>
      </c>
      <c r="C491" s="678">
        <f t="shared" ref="C491:O491" si="252">C12+C346</f>
        <v>0</v>
      </c>
      <c r="D491" s="678">
        <f t="shared" si="252"/>
        <v>0</v>
      </c>
      <c r="E491" s="678">
        <f t="shared" si="252"/>
        <v>0</v>
      </c>
      <c r="F491" s="678">
        <f t="shared" si="252"/>
        <v>0</v>
      </c>
      <c r="G491" s="678">
        <f t="shared" si="252"/>
        <v>0</v>
      </c>
      <c r="H491" s="678">
        <f t="shared" si="252"/>
        <v>0</v>
      </c>
      <c r="I491" s="678">
        <f t="shared" si="252"/>
        <v>0</v>
      </c>
      <c r="J491" s="678">
        <f t="shared" si="252"/>
        <v>0</v>
      </c>
      <c r="K491" s="678">
        <f t="shared" si="252"/>
        <v>0</v>
      </c>
      <c r="L491" s="678">
        <f t="shared" si="252"/>
        <v>0</v>
      </c>
      <c r="M491" s="678">
        <f t="shared" si="252"/>
        <v>3944</v>
      </c>
      <c r="N491" s="678">
        <f t="shared" si="252"/>
        <v>0</v>
      </c>
      <c r="O491" s="678">
        <f t="shared" si="252"/>
        <v>3944</v>
      </c>
    </row>
    <row r="492" spans="1:15" s="679" customFormat="1" ht="47.25" x14ac:dyDescent="0.25">
      <c r="A492" s="436"/>
      <c r="B492" s="435" t="s">
        <v>1195</v>
      </c>
      <c r="C492" s="678">
        <f t="shared" ref="C492:O492" si="253">C328+C347+C374+C391+C445</f>
        <v>0</v>
      </c>
      <c r="D492" s="678">
        <f t="shared" si="253"/>
        <v>0</v>
      </c>
      <c r="E492" s="678">
        <f t="shared" si="253"/>
        <v>0</v>
      </c>
      <c r="F492" s="678">
        <f t="shared" si="253"/>
        <v>0</v>
      </c>
      <c r="G492" s="678">
        <f t="shared" si="253"/>
        <v>0</v>
      </c>
      <c r="H492" s="678">
        <f t="shared" si="253"/>
        <v>0</v>
      </c>
      <c r="I492" s="678">
        <f t="shared" si="253"/>
        <v>0</v>
      </c>
      <c r="J492" s="678">
        <f t="shared" si="253"/>
        <v>0</v>
      </c>
      <c r="K492" s="678">
        <f t="shared" si="253"/>
        <v>0</v>
      </c>
      <c r="L492" s="678">
        <f t="shared" si="253"/>
        <v>0</v>
      </c>
      <c r="M492" s="678">
        <f t="shared" si="253"/>
        <v>9479</v>
      </c>
      <c r="N492" s="678">
        <f t="shared" si="253"/>
        <v>0</v>
      </c>
      <c r="O492" s="678">
        <f t="shared" si="253"/>
        <v>9479</v>
      </c>
    </row>
    <row r="493" spans="1:15" s="679" customFormat="1" ht="31.5" x14ac:dyDescent="0.25">
      <c r="A493" s="436"/>
      <c r="B493" s="435" t="s">
        <v>1121</v>
      </c>
      <c r="C493" s="678">
        <f t="shared" ref="C493:O493" si="254">C471</f>
        <v>0</v>
      </c>
      <c r="D493" s="678">
        <f t="shared" si="254"/>
        <v>0</v>
      </c>
      <c r="E493" s="678">
        <f t="shared" si="254"/>
        <v>0</v>
      </c>
      <c r="F493" s="678">
        <f t="shared" si="254"/>
        <v>0</v>
      </c>
      <c r="G493" s="678">
        <f t="shared" si="254"/>
        <v>0</v>
      </c>
      <c r="H493" s="678">
        <f t="shared" si="254"/>
        <v>0</v>
      </c>
      <c r="I493" s="678">
        <f t="shared" si="254"/>
        <v>0</v>
      </c>
      <c r="J493" s="678">
        <f t="shared" si="254"/>
        <v>0</v>
      </c>
      <c r="K493" s="678">
        <f t="shared" si="254"/>
        <v>0</v>
      </c>
      <c r="L493" s="678">
        <f t="shared" si="254"/>
        <v>0</v>
      </c>
      <c r="M493" s="678">
        <f t="shared" si="254"/>
        <v>-37830</v>
      </c>
      <c r="N493" s="678">
        <f t="shared" si="254"/>
        <v>0</v>
      </c>
      <c r="O493" s="678">
        <f t="shared" si="254"/>
        <v>-37830</v>
      </c>
    </row>
    <row r="494" spans="1:15" s="679" customFormat="1" ht="31.5" x14ac:dyDescent="0.25">
      <c r="A494" s="436"/>
      <c r="B494" s="435" t="s">
        <v>928</v>
      </c>
      <c r="C494" s="678">
        <f>C13+C43+C97+C111+C125+C140+C154+C168+C183+C197+C210+C225+C240+C255+C269+C284+C329+C392+C472</f>
        <v>213247</v>
      </c>
      <c r="D494" s="678">
        <f t="shared" ref="D494:O494" si="255">D13+D43+D97+D111+D125+D140+D154+D168+D183+D197+D210+D225+D240+D255+D269+D284+D329+D392+D472</f>
        <v>0</v>
      </c>
      <c r="E494" s="678">
        <f t="shared" si="255"/>
        <v>0</v>
      </c>
      <c r="F494" s="678">
        <f t="shared" si="255"/>
        <v>29727</v>
      </c>
      <c r="G494" s="678">
        <f t="shared" si="255"/>
        <v>0</v>
      </c>
      <c r="H494" s="678">
        <f t="shared" si="255"/>
        <v>1233</v>
      </c>
      <c r="I494" s="678">
        <f t="shared" si="255"/>
        <v>0</v>
      </c>
      <c r="J494" s="678">
        <f t="shared" si="255"/>
        <v>244207</v>
      </c>
      <c r="K494" s="678">
        <f t="shared" si="255"/>
        <v>0</v>
      </c>
      <c r="L494" s="678">
        <f t="shared" si="255"/>
        <v>244207</v>
      </c>
      <c r="M494" s="678">
        <f t="shared" si="255"/>
        <v>0</v>
      </c>
      <c r="N494" s="678">
        <f t="shared" si="255"/>
        <v>0</v>
      </c>
      <c r="O494" s="678">
        <f t="shared" si="255"/>
        <v>244207</v>
      </c>
    </row>
    <row r="495" spans="1:15" s="679" customFormat="1" ht="47.25" x14ac:dyDescent="0.25">
      <c r="A495" s="436"/>
      <c r="B495" s="435" t="s">
        <v>1218</v>
      </c>
      <c r="C495" s="678">
        <f t="shared" ref="C495:O495" si="256">C83</f>
        <v>0</v>
      </c>
      <c r="D495" s="678">
        <f t="shared" si="256"/>
        <v>0</v>
      </c>
      <c r="E495" s="678">
        <f t="shared" si="256"/>
        <v>0</v>
      </c>
      <c r="F495" s="678">
        <f t="shared" si="256"/>
        <v>0</v>
      </c>
      <c r="G495" s="678">
        <f t="shared" si="256"/>
        <v>0</v>
      </c>
      <c r="H495" s="678">
        <f t="shared" si="256"/>
        <v>0</v>
      </c>
      <c r="I495" s="678">
        <f t="shared" si="256"/>
        <v>0</v>
      </c>
      <c r="J495" s="678">
        <f t="shared" si="256"/>
        <v>0</v>
      </c>
      <c r="K495" s="678">
        <f t="shared" si="256"/>
        <v>0</v>
      </c>
      <c r="L495" s="678">
        <f t="shared" si="256"/>
        <v>0</v>
      </c>
      <c r="M495" s="678">
        <f t="shared" si="256"/>
        <v>639</v>
      </c>
      <c r="N495" s="678">
        <f t="shared" si="256"/>
        <v>0</v>
      </c>
      <c r="O495" s="678">
        <f t="shared" si="256"/>
        <v>639</v>
      </c>
    </row>
    <row r="496" spans="1:15" s="679" customFormat="1" ht="47.25" x14ac:dyDescent="0.25">
      <c r="A496" s="437"/>
      <c r="B496" s="930" t="s">
        <v>1189</v>
      </c>
      <c r="C496" s="931">
        <f t="shared" ref="C496:O496" si="257">C226</f>
        <v>0</v>
      </c>
      <c r="D496" s="931">
        <f t="shared" si="257"/>
        <v>0</v>
      </c>
      <c r="E496" s="931">
        <f t="shared" si="257"/>
        <v>0</v>
      </c>
      <c r="F496" s="931">
        <f t="shared" si="257"/>
        <v>0</v>
      </c>
      <c r="G496" s="931">
        <f t="shared" si="257"/>
        <v>0</v>
      </c>
      <c r="H496" s="931">
        <f t="shared" si="257"/>
        <v>0</v>
      </c>
      <c r="I496" s="931">
        <f t="shared" si="257"/>
        <v>0</v>
      </c>
      <c r="J496" s="931">
        <f t="shared" si="257"/>
        <v>0</v>
      </c>
      <c r="K496" s="931">
        <f t="shared" si="257"/>
        <v>0</v>
      </c>
      <c r="L496" s="931">
        <f t="shared" si="257"/>
        <v>0</v>
      </c>
      <c r="M496" s="931">
        <f t="shared" si="257"/>
        <v>2513</v>
      </c>
      <c r="N496" s="931">
        <f t="shared" si="257"/>
        <v>0</v>
      </c>
      <c r="O496" s="931">
        <f t="shared" si="257"/>
        <v>2513</v>
      </c>
    </row>
    <row r="497" spans="1:15" s="679" customFormat="1" ht="78.75" x14ac:dyDescent="0.25">
      <c r="A497" s="437"/>
      <c r="B497" s="930" t="s">
        <v>1219</v>
      </c>
      <c r="C497" s="931">
        <f t="shared" ref="C497:O497" si="258">C314</f>
        <v>0</v>
      </c>
      <c r="D497" s="931">
        <f t="shared" si="258"/>
        <v>0</v>
      </c>
      <c r="E497" s="931">
        <f t="shared" si="258"/>
        <v>0</v>
      </c>
      <c r="F497" s="931">
        <f t="shared" si="258"/>
        <v>0</v>
      </c>
      <c r="G497" s="931">
        <f t="shared" si="258"/>
        <v>0</v>
      </c>
      <c r="H497" s="931">
        <f t="shared" si="258"/>
        <v>0</v>
      </c>
      <c r="I497" s="931">
        <f t="shared" si="258"/>
        <v>0</v>
      </c>
      <c r="J497" s="931">
        <f t="shared" si="258"/>
        <v>0</v>
      </c>
      <c r="K497" s="931">
        <f t="shared" si="258"/>
        <v>0</v>
      </c>
      <c r="L497" s="931">
        <f t="shared" si="258"/>
        <v>0</v>
      </c>
      <c r="M497" s="931">
        <f t="shared" si="258"/>
        <v>10000</v>
      </c>
      <c r="N497" s="931">
        <f t="shared" si="258"/>
        <v>0</v>
      </c>
      <c r="O497" s="931">
        <f t="shared" si="258"/>
        <v>10000</v>
      </c>
    </row>
    <row r="498" spans="1:15" s="679" customFormat="1" ht="31.5" x14ac:dyDescent="0.25">
      <c r="A498" s="436"/>
      <c r="B498" s="435" t="s">
        <v>1175</v>
      </c>
      <c r="C498" s="678">
        <f t="shared" ref="C498:O498" si="259">C29+C227+C315+C393</f>
        <v>0</v>
      </c>
      <c r="D498" s="678">
        <f t="shared" si="259"/>
        <v>0</v>
      </c>
      <c r="E498" s="678">
        <f t="shared" si="259"/>
        <v>0</v>
      </c>
      <c r="F498" s="678">
        <f t="shared" si="259"/>
        <v>0</v>
      </c>
      <c r="G498" s="678">
        <f t="shared" si="259"/>
        <v>0</v>
      </c>
      <c r="H498" s="678">
        <f t="shared" si="259"/>
        <v>0</v>
      </c>
      <c r="I498" s="678">
        <f t="shared" si="259"/>
        <v>0</v>
      </c>
      <c r="J498" s="678">
        <f t="shared" si="259"/>
        <v>0</v>
      </c>
      <c r="K498" s="678">
        <f t="shared" si="259"/>
        <v>0</v>
      </c>
      <c r="L498" s="678">
        <f t="shared" si="259"/>
        <v>0</v>
      </c>
      <c r="M498" s="678">
        <f t="shared" si="259"/>
        <v>-51672</v>
      </c>
      <c r="N498" s="678">
        <f t="shared" si="259"/>
        <v>0</v>
      </c>
      <c r="O498" s="678">
        <f t="shared" si="259"/>
        <v>-51672</v>
      </c>
    </row>
    <row r="499" spans="1:15" s="679" customFormat="1" ht="47.25" x14ac:dyDescent="0.25">
      <c r="A499" s="436"/>
      <c r="B499" s="435" t="s">
        <v>1182</v>
      </c>
      <c r="C499" s="678">
        <f t="shared" ref="C499:O499" si="260">C126+C169+C155+C184+C285+C211+C241+C270+C256+C348</f>
        <v>0</v>
      </c>
      <c r="D499" s="678">
        <f t="shared" si="260"/>
        <v>0</v>
      </c>
      <c r="E499" s="678">
        <f t="shared" si="260"/>
        <v>0</v>
      </c>
      <c r="F499" s="678">
        <f t="shared" si="260"/>
        <v>0</v>
      </c>
      <c r="G499" s="678">
        <f t="shared" si="260"/>
        <v>0</v>
      </c>
      <c r="H499" s="678">
        <f t="shared" si="260"/>
        <v>0</v>
      </c>
      <c r="I499" s="678">
        <f t="shared" si="260"/>
        <v>0</v>
      </c>
      <c r="J499" s="678">
        <f t="shared" si="260"/>
        <v>0</v>
      </c>
      <c r="K499" s="678">
        <f t="shared" si="260"/>
        <v>0</v>
      </c>
      <c r="L499" s="678">
        <f t="shared" si="260"/>
        <v>0</v>
      </c>
      <c r="M499" s="678">
        <f t="shared" si="260"/>
        <v>140000</v>
      </c>
      <c r="N499" s="678">
        <f t="shared" si="260"/>
        <v>0</v>
      </c>
      <c r="O499" s="678">
        <f t="shared" si="260"/>
        <v>140000</v>
      </c>
    </row>
    <row r="500" spans="1:15" s="679" customFormat="1" ht="47.25" x14ac:dyDescent="0.25">
      <c r="A500" s="436"/>
      <c r="B500" s="435" t="s">
        <v>1207</v>
      </c>
      <c r="C500" s="678">
        <f t="shared" ref="C500:O500" si="261">C446</f>
        <v>0</v>
      </c>
      <c r="D500" s="678">
        <f t="shared" si="261"/>
        <v>0</v>
      </c>
      <c r="E500" s="678">
        <f t="shared" si="261"/>
        <v>0</v>
      </c>
      <c r="F500" s="678">
        <f t="shared" si="261"/>
        <v>0</v>
      </c>
      <c r="G500" s="678">
        <f t="shared" si="261"/>
        <v>0</v>
      </c>
      <c r="H500" s="678">
        <f t="shared" si="261"/>
        <v>0</v>
      </c>
      <c r="I500" s="678">
        <f t="shared" si="261"/>
        <v>0</v>
      </c>
      <c r="J500" s="678">
        <f t="shared" si="261"/>
        <v>0</v>
      </c>
      <c r="K500" s="678">
        <f t="shared" si="261"/>
        <v>0</v>
      </c>
      <c r="L500" s="678">
        <f t="shared" si="261"/>
        <v>0</v>
      </c>
      <c r="M500" s="678">
        <f t="shared" si="261"/>
        <v>829</v>
      </c>
      <c r="N500" s="678">
        <f t="shared" si="261"/>
        <v>0</v>
      </c>
      <c r="O500" s="678">
        <f t="shared" si="261"/>
        <v>829</v>
      </c>
    </row>
    <row r="501" spans="1:15" s="679" customFormat="1" x14ac:dyDescent="0.25">
      <c r="A501" s="436"/>
      <c r="B501" s="438" t="s">
        <v>141</v>
      </c>
      <c r="C501" s="438"/>
      <c r="D501" s="438"/>
      <c r="E501" s="438"/>
      <c r="F501" s="438"/>
      <c r="G501" s="438"/>
      <c r="H501" s="438"/>
      <c r="I501" s="438"/>
      <c r="J501" s="438"/>
      <c r="K501" s="438"/>
      <c r="L501" s="438"/>
      <c r="M501" s="438"/>
      <c r="N501" s="438"/>
      <c r="O501" s="438"/>
    </row>
    <row r="502" spans="1:15" s="679" customFormat="1" x14ac:dyDescent="0.25">
      <c r="A502" s="436"/>
      <c r="B502" s="435" t="s">
        <v>1216</v>
      </c>
      <c r="C502" s="678">
        <f t="shared" ref="C502:O502" si="262">C358+C422</f>
        <v>0</v>
      </c>
      <c r="D502" s="678">
        <f t="shared" si="262"/>
        <v>0</v>
      </c>
      <c r="E502" s="678">
        <f t="shared" si="262"/>
        <v>0</v>
      </c>
      <c r="F502" s="678">
        <f t="shared" si="262"/>
        <v>0</v>
      </c>
      <c r="G502" s="678">
        <f t="shared" si="262"/>
        <v>0</v>
      </c>
      <c r="H502" s="678">
        <f t="shared" si="262"/>
        <v>0</v>
      </c>
      <c r="I502" s="678">
        <f t="shared" si="262"/>
        <v>0</v>
      </c>
      <c r="J502" s="678">
        <f t="shared" si="262"/>
        <v>0</v>
      </c>
      <c r="K502" s="678">
        <f t="shared" si="262"/>
        <v>0</v>
      </c>
      <c r="L502" s="678">
        <f t="shared" si="262"/>
        <v>0</v>
      </c>
      <c r="M502" s="678">
        <f t="shared" si="262"/>
        <v>1410</v>
      </c>
      <c r="N502" s="678">
        <f t="shared" si="262"/>
        <v>0</v>
      </c>
      <c r="O502" s="678">
        <f t="shared" si="262"/>
        <v>1410</v>
      </c>
    </row>
    <row r="503" spans="1:15" s="679" customFormat="1" ht="63" x14ac:dyDescent="0.25">
      <c r="A503" s="436"/>
      <c r="B503" s="435" t="s">
        <v>1220</v>
      </c>
      <c r="C503" s="678">
        <f t="shared" ref="C503:O503" si="263">+C405</f>
        <v>0</v>
      </c>
      <c r="D503" s="678">
        <f t="shared" si="263"/>
        <v>0</v>
      </c>
      <c r="E503" s="678">
        <f t="shared" si="263"/>
        <v>0</v>
      </c>
      <c r="F503" s="678">
        <f t="shared" si="263"/>
        <v>0</v>
      </c>
      <c r="G503" s="678">
        <f t="shared" si="263"/>
        <v>0</v>
      </c>
      <c r="H503" s="678">
        <f t="shared" si="263"/>
        <v>0</v>
      </c>
      <c r="I503" s="678">
        <f t="shared" si="263"/>
        <v>0</v>
      </c>
      <c r="J503" s="678">
        <f t="shared" si="263"/>
        <v>0</v>
      </c>
      <c r="K503" s="678">
        <f t="shared" si="263"/>
        <v>0</v>
      </c>
      <c r="L503" s="678">
        <f t="shared" si="263"/>
        <v>0</v>
      </c>
      <c r="M503" s="678">
        <f t="shared" si="263"/>
        <v>9842</v>
      </c>
      <c r="N503" s="678">
        <f t="shared" si="263"/>
        <v>0</v>
      </c>
      <c r="O503" s="678">
        <f t="shared" si="263"/>
        <v>9842</v>
      </c>
    </row>
    <row r="504" spans="1:15" s="679" customFormat="1" ht="31.5" x14ac:dyDescent="0.25">
      <c r="A504" s="436"/>
      <c r="B504" s="435" t="s">
        <v>1197</v>
      </c>
      <c r="C504" s="678">
        <f t="shared" ref="C504:O504" si="264">C359+C412+C423</f>
        <v>0</v>
      </c>
      <c r="D504" s="678">
        <f t="shared" si="264"/>
        <v>0</v>
      </c>
      <c r="E504" s="678">
        <f t="shared" si="264"/>
        <v>0</v>
      </c>
      <c r="F504" s="678">
        <f t="shared" si="264"/>
        <v>0</v>
      </c>
      <c r="G504" s="678">
        <f t="shared" si="264"/>
        <v>0</v>
      </c>
      <c r="H504" s="678">
        <f t="shared" si="264"/>
        <v>0</v>
      </c>
      <c r="I504" s="678">
        <f t="shared" si="264"/>
        <v>0</v>
      </c>
      <c r="J504" s="678">
        <f t="shared" si="264"/>
        <v>0</v>
      </c>
      <c r="K504" s="678">
        <f t="shared" si="264"/>
        <v>0</v>
      </c>
      <c r="L504" s="678">
        <f t="shared" si="264"/>
        <v>0</v>
      </c>
      <c r="M504" s="678">
        <f t="shared" si="264"/>
        <v>11746</v>
      </c>
      <c r="N504" s="678">
        <f t="shared" si="264"/>
        <v>0</v>
      </c>
      <c r="O504" s="678">
        <f t="shared" si="264"/>
        <v>11746</v>
      </c>
    </row>
    <row r="505" spans="1:15" s="679" customFormat="1" ht="31.5" x14ac:dyDescent="0.25">
      <c r="A505" s="436"/>
      <c r="B505" s="435" t="s">
        <v>1221</v>
      </c>
      <c r="C505" s="678">
        <f t="shared" ref="C505:O505" si="265">C15+C16</f>
        <v>0</v>
      </c>
      <c r="D505" s="678">
        <f t="shared" si="265"/>
        <v>0</v>
      </c>
      <c r="E505" s="678">
        <f t="shared" si="265"/>
        <v>0</v>
      </c>
      <c r="F505" s="678">
        <f t="shared" si="265"/>
        <v>0</v>
      </c>
      <c r="G505" s="678">
        <f t="shared" si="265"/>
        <v>0</v>
      </c>
      <c r="H505" s="678">
        <f t="shared" si="265"/>
        <v>0</v>
      </c>
      <c r="I505" s="678">
        <f t="shared" si="265"/>
        <v>0</v>
      </c>
      <c r="J505" s="678">
        <f t="shared" si="265"/>
        <v>0</v>
      </c>
      <c r="K505" s="678">
        <f t="shared" si="265"/>
        <v>0</v>
      </c>
      <c r="L505" s="678">
        <f t="shared" si="265"/>
        <v>0</v>
      </c>
      <c r="M505" s="678">
        <f t="shared" si="265"/>
        <v>600</v>
      </c>
      <c r="N505" s="678">
        <f t="shared" si="265"/>
        <v>0</v>
      </c>
      <c r="O505" s="678">
        <f t="shared" si="265"/>
        <v>600</v>
      </c>
    </row>
    <row r="506" spans="1:15" s="679" customFormat="1" x14ac:dyDescent="0.25">
      <c r="A506" s="436"/>
      <c r="B506" s="435" t="s">
        <v>632</v>
      </c>
      <c r="C506" s="678">
        <f t="shared" ref="C506:O506" si="266">C71+C272+C331+C376+C377+C448+C449+C450+C451+C452+C453+C454</f>
        <v>0</v>
      </c>
      <c r="D506" s="678">
        <f t="shared" si="266"/>
        <v>0</v>
      </c>
      <c r="E506" s="678">
        <f t="shared" si="266"/>
        <v>0</v>
      </c>
      <c r="F506" s="678">
        <f t="shared" si="266"/>
        <v>0</v>
      </c>
      <c r="G506" s="678">
        <f t="shared" si="266"/>
        <v>0</v>
      </c>
      <c r="H506" s="678">
        <f t="shared" si="266"/>
        <v>0</v>
      </c>
      <c r="I506" s="678">
        <f t="shared" si="266"/>
        <v>0</v>
      </c>
      <c r="J506" s="678">
        <f t="shared" si="266"/>
        <v>0</v>
      </c>
      <c r="K506" s="678">
        <f t="shared" si="266"/>
        <v>0</v>
      </c>
      <c r="L506" s="678">
        <f t="shared" si="266"/>
        <v>0</v>
      </c>
      <c r="M506" s="678">
        <f t="shared" si="266"/>
        <v>1160</v>
      </c>
      <c r="N506" s="678">
        <f t="shared" si="266"/>
        <v>0</v>
      </c>
      <c r="O506" s="678">
        <f t="shared" si="266"/>
        <v>1160</v>
      </c>
    </row>
    <row r="507" spans="1:15" s="679" customFormat="1" x14ac:dyDescent="0.25">
      <c r="A507" s="436"/>
      <c r="B507" s="435" t="s">
        <v>633</v>
      </c>
      <c r="C507" s="678">
        <f t="shared" ref="C507:O507" si="267">C128</f>
        <v>0</v>
      </c>
      <c r="D507" s="678">
        <f t="shared" si="267"/>
        <v>0</v>
      </c>
      <c r="E507" s="678">
        <f t="shared" si="267"/>
        <v>0</v>
      </c>
      <c r="F507" s="678">
        <f t="shared" si="267"/>
        <v>0</v>
      </c>
      <c r="G507" s="678">
        <f t="shared" si="267"/>
        <v>0</v>
      </c>
      <c r="H507" s="678">
        <f t="shared" si="267"/>
        <v>0</v>
      </c>
      <c r="I507" s="678">
        <f t="shared" si="267"/>
        <v>0</v>
      </c>
      <c r="J507" s="678">
        <f t="shared" si="267"/>
        <v>0</v>
      </c>
      <c r="K507" s="678">
        <f t="shared" si="267"/>
        <v>0</v>
      </c>
      <c r="L507" s="678">
        <f t="shared" si="267"/>
        <v>0</v>
      </c>
      <c r="M507" s="678">
        <f t="shared" si="267"/>
        <v>45</v>
      </c>
      <c r="N507" s="678">
        <f t="shared" si="267"/>
        <v>0</v>
      </c>
      <c r="O507" s="678">
        <f t="shared" si="267"/>
        <v>45</v>
      </c>
    </row>
    <row r="508" spans="1:15" s="679" customFormat="1" ht="31.5" x14ac:dyDescent="0.25">
      <c r="A508" s="436"/>
      <c r="B508" s="435" t="s">
        <v>1222</v>
      </c>
      <c r="C508" s="678">
        <f t="shared" ref="C508:O508" si="268">C455</f>
        <v>0</v>
      </c>
      <c r="D508" s="678">
        <f t="shared" si="268"/>
        <v>0</v>
      </c>
      <c r="E508" s="678">
        <f t="shared" si="268"/>
        <v>0</v>
      </c>
      <c r="F508" s="678">
        <f t="shared" si="268"/>
        <v>0</v>
      </c>
      <c r="G508" s="678">
        <f t="shared" si="268"/>
        <v>0</v>
      </c>
      <c r="H508" s="678">
        <f t="shared" si="268"/>
        <v>0</v>
      </c>
      <c r="I508" s="678">
        <f t="shared" si="268"/>
        <v>0</v>
      </c>
      <c r="J508" s="678">
        <f t="shared" si="268"/>
        <v>0</v>
      </c>
      <c r="K508" s="678">
        <f t="shared" si="268"/>
        <v>0</v>
      </c>
      <c r="L508" s="678">
        <f t="shared" si="268"/>
        <v>0</v>
      </c>
      <c r="M508" s="678">
        <f t="shared" si="268"/>
        <v>500</v>
      </c>
      <c r="N508" s="678">
        <f t="shared" si="268"/>
        <v>0</v>
      </c>
      <c r="O508" s="678">
        <f t="shared" si="268"/>
        <v>500</v>
      </c>
    </row>
    <row r="509" spans="1:15" s="679" customFormat="1" x14ac:dyDescent="0.25">
      <c r="A509" s="436"/>
      <c r="B509" s="435" t="s">
        <v>1223</v>
      </c>
      <c r="C509" s="678">
        <f t="shared" ref="C509:O509" si="269">C360</f>
        <v>0</v>
      </c>
      <c r="D509" s="678">
        <f t="shared" si="269"/>
        <v>0</v>
      </c>
      <c r="E509" s="678">
        <f t="shared" si="269"/>
        <v>0</v>
      </c>
      <c r="F509" s="678">
        <f t="shared" si="269"/>
        <v>0</v>
      </c>
      <c r="G509" s="678">
        <f t="shared" si="269"/>
        <v>0</v>
      </c>
      <c r="H509" s="678">
        <f t="shared" si="269"/>
        <v>0</v>
      </c>
      <c r="I509" s="678">
        <f t="shared" si="269"/>
        <v>0</v>
      </c>
      <c r="J509" s="678">
        <f t="shared" si="269"/>
        <v>0</v>
      </c>
      <c r="K509" s="678">
        <f t="shared" si="269"/>
        <v>0</v>
      </c>
      <c r="L509" s="678">
        <f t="shared" si="269"/>
        <v>0</v>
      </c>
      <c r="M509" s="678">
        <f t="shared" si="269"/>
        <v>1248</v>
      </c>
      <c r="N509" s="678">
        <f t="shared" si="269"/>
        <v>0</v>
      </c>
      <c r="O509" s="678">
        <f t="shared" si="269"/>
        <v>1248</v>
      </c>
    </row>
    <row r="510" spans="1:15" s="679" customFormat="1" ht="47.25" x14ac:dyDescent="0.25">
      <c r="A510" s="436"/>
      <c r="B510" s="435" t="s">
        <v>1224</v>
      </c>
      <c r="C510" s="678">
        <f t="shared" ref="C510:O510" si="270">C456</f>
        <v>0</v>
      </c>
      <c r="D510" s="678">
        <f t="shared" si="270"/>
        <v>0</v>
      </c>
      <c r="E510" s="678">
        <f t="shared" si="270"/>
        <v>0</v>
      </c>
      <c r="F510" s="678">
        <f t="shared" si="270"/>
        <v>0</v>
      </c>
      <c r="G510" s="678">
        <f t="shared" si="270"/>
        <v>0</v>
      </c>
      <c r="H510" s="678">
        <f t="shared" si="270"/>
        <v>0</v>
      </c>
      <c r="I510" s="678">
        <f t="shared" si="270"/>
        <v>0</v>
      </c>
      <c r="J510" s="678">
        <f t="shared" si="270"/>
        <v>0</v>
      </c>
      <c r="K510" s="678">
        <f t="shared" si="270"/>
        <v>0</v>
      </c>
      <c r="L510" s="678">
        <f t="shared" si="270"/>
        <v>0</v>
      </c>
      <c r="M510" s="678">
        <f t="shared" si="270"/>
        <v>400</v>
      </c>
      <c r="N510" s="678">
        <f t="shared" si="270"/>
        <v>0</v>
      </c>
      <c r="O510" s="678">
        <f t="shared" si="270"/>
        <v>400</v>
      </c>
    </row>
    <row r="511" spans="1:15" s="679" customFormat="1" ht="31.5" x14ac:dyDescent="0.25">
      <c r="A511" s="436"/>
      <c r="B511" s="435" t="s">
        <v>1225</v>
      </c>
      <c r="C511" s="678">
        <f t="shared" ref="C511:O511" si="271">C424</f>
        <v>0</v>
      </c>
      <c r="D511" s="678">
        <f t="shared" si="271"/>
        <v>0</v>
      </c>
      <c r="E511" s="678">
        <f t="shared" si="271"/>
        <v>0</v>
      </c>
      <c r="F511" s="678">
        <f t="shared" si="271"/>
        <v>0</v>
      </c>
      <c r="G511" s="678">
        <f t="shared" si="271"/>
        <v>0</v>
      </c>
      <c r="H511" s="678">
        <f t="shared" si="271"/>
        <v>0</v>
      </c>
      <c r="I511" s="678">
        <f t="shared" si="271"/>
        <v>0</v>
      </c>
      <c r="J511" s="678">
        <f t="shared" si="271"/>
        <v>0</v>
      </c>
      <c r="K511" s="678">
        <f t="shared" si="271"/>
        <v>0</v>
      </c>
      <c r="L511" s="678">
        <f t="shared" si="271"/>
        <v>0</v>
      </c>
      <c r="M511" s="678">
        <f t="shared" si="271"/>
        <v>1098</v>
      </c>
      <c r="N511" s="678">
        <f t="shared" si="271"/>
        <v>0</v>
      </c>
      <c r="O511" s="678">
        <f t="shared" si="271"/>
        <v>1098</v>
      </c>
    </row>
    <row r="512" spans="1:15" s="679" customFormat="1" x14ac:dyDescent="0.25">
      <c r="A512" s="436"/>
      <c r="B512" s="435" t="s">
        <v>1172</v>
      </c>
      <c r="C512" s="678">
        <f t="shared" ref="C512:O512" si="272">C17+C31+C45+C58+C72+C85+C99+C113+C129+C142+C157+C171+C186+C199+C213+C229+C243+C258+C273+C287+C303+C317+C332+C350+C361+C378+C395+C413+C425+C457</f>
        <v>0</v>
      </c>
      <c r="D512" s="678">
        <f t="shared" si="272"/>
        <v>0</v>
      </c>
      <c r="E512" s="678">
        <f t="shared" si="272"/>
        <v>0</v>
      </c>
      <c r="F512" s="678">
        <f t="shared" si="272"/>
        <v>0</v>
      </c>
      <c r="G512" s="678">
        <f t="shared" si="272"/>
        <v>0</v>
      </c>
      <c r="H512" s="678">
        <f t="shared" si="272"/>
        <v>0</v>
      </c>
      <c r="I512" s="678">
        <f t="shared" si="272"/>
        <v>0</v>
      </c>
      <c r="J512" s="678">
        <f t="shared" si="272"/>
        <v>0</v>
      </c>
      <c r="K512" s="678">
        <f t="shared" si="272"/>
        <v>0</v>
      </c>
      <c r="L512" s="678">
        <f t="shared" si="272"/>
        <v>0</v>
      </c>
      <c r="M512" s="678">
        <f t="shared" si="272"/>
        <v>76128</v>
      </c>
      <c r="N512" s="678">
        <f t="shared" si="272"/>
        <v>0</v>
      </c>
      <c r="O512" s="678">
        <f t="shared" si="272"/>
        <v>76128</v>
      </c>
    </row>
    <row r="513" spans="1:16" s="679" customFormat="1" x14ac:dyDescent="0.25">
      <c r="A513" s="436"/>
      <c r="B513" s="435" t="s">
        <v>1186</v>
      </c>
      <c r="C513" s="678">
        <f t="shared" ref="C513:O513" si="273">C426</f>
        <v>0</v>
      </c>
      <c r="D513" s="678">
        <f t="shared" si="273"/>
        <v>0</v>
      </c>
      <c r="E513" s="678">
        <f t="shared" si="273"/>
        <v>0</v>
      </c>
      <c r="F513" s="678">
        <f t="shared" si="273"/>
        <v>0</v>
      </c>
      <c r="G513" s="678">
        <f t="shared" si="273"/>
        <v>0</v>
      </c>
      <c r="H513" s="678">
        <f t="shared" si="273"/>
        <v>0</v>
      </c>
      <c r="I513" s="678">
        <f t="shared" si="273"/>
        <v>0</v>
      </c>
      <c r="J513" s="678">
        <f t="shared" si="273"/>
        <v>0</v>
      </c>
      <c r="K513" s="678">
        <f t="shared" si="273"/>
        <v>0</v>
      </c>
      <c r="L513" s="678">
        <f t="shared" si="273"/>
        <v>0</v>
      </c>
      <c r="M513" s="678">
        <f t="shared" si="273"/>
        <v>161</v>
      </c>
      <c r="N513" s="678">
        <f t="shared" si="273"/>
        <v>0</v>
      </c>
      <c r="O513" s="678">
        <f t="shared" si="273"/>
        <v>161</v>
      </c>
    </row>
    <row r="514" spans="1:16" s="679" customFormat="1" ht="47.25" x14ac:dyDescent="0.25">
      <c r="A514" s="436"/>
      <c r="B514" s="435" t="s">
        <v>1195</v>
      </c>
      <c r="C514" s="678">
        <f t="shared" ref="C514:O514" si="274">C362+C414+C427</f>
        <v>0</v>
      </c>
      <c r="D514" s="678">
        <f t="shared" si="274"/>
        <v>0</v>
      </c>
      <c r="E514" s="678">
        <f t="shared" si="274"/>
        <v>0</v>
      </c>
      <c r="F514" s="678">
        <f t="shared" si="274"/>
        <v>0</v>
      </c>
      <c r="G514" s="678">
        <f t="shared" si="274"/>
        <v>0</v>
      </c>
      <c r="H514" s="678">
        <f t="shared" si="274"/>
        <v>0</v>
      </c>
      <c r="I514" s="678">
        <f t="shared" si="274"/>
        <v>0</v>
      </c>
      <c r="J514" s="678">
        <f t="shared" si="274"/>
        <v>0</v>
      </c>
      <c r="K514" s="678">
        <f t="shared" si="274"/>
        <v>0</v>
      </c>
      <c r="L514" s="678">
        <f t="shared" si="274"/>
        <v>0</v>
      </c>
      <c r="M514" s="678">
        <f t="shared" si="274"/>
        <v>3835</v>
      </c>
      <c r="N514" s="678">
        <f t="shared" si="274"/>
        <v>0</v>
      </c>
      <c r="O514" s="678">
        <f t="shared" si="274"/>
        <v>3835</v>
      </c>
    </row>
    <row r="515" spans="1:16" s="679" customFormat="1" ht="31.5" x14ac:dyDescent="0.25">
      <c r="A515" s="436"/>
      <c r="B515" s="435" t="s">
        <v>928</v>
      </c>
      <c r="C515" s="678">
        <f>C379+C396+C415+C428+C458</f>
        <v>67825</v>
      </c>
      <c r="D515" s="678">
        <f t="shared" ref="D515:O515" si="275">D379+D396+D415+D428+D458</f>
        <v>0</v>
      </c>
      <c r="E515" s="678">
        <f t="shared" si="275"/>
        <v>0</v>
      </c>
      <c r="F515" s="678">
        <f t="shared" si="275"/>
        <v>0</v>
      </c>
      <c r="G515" s="678">
        <f t="shared" si="275"/>
        <v>0</v>
      </c>
      <c r="H515" s="678">
        <f t="shared" si="275"/>
        <v>35218</v>
      </c>
      <c r="I515" s="678">
        <f t="shared" si="275"/>
        <v>0</v>
      </c>
      <c r="J515" s="678">
        <f t="shared" si="275"/>
        <v>103043</v>
      </c>
      <c r="K515" s="678">
        <f t="shared" si="275"/>
        <v>0</v>
      </c>
      <c r="L515" s="678">
        <f t="shared" si="275"/>
        <v>103043</v>
      </c>
      <c r="M515" s="678">
        <f t="shared" si="275"/>
        <v>0</v>
      </c>
      <c r="N515" s="678">
        <f t="shared" si="275"/>
        <v>0</v>
      </c>
      <c r="O515" s="678">
        <f t="shared" si="275"/>
        <v>103043</v>
      </c>
    </row>
    <row r="516" spans="1:16" s="679" customFormat="1" ht="78.75" x14ac:dyDescent="0.25">
      <c r="A516" s="437"/>
      <c r="B516" s="930" t="s">
        <v>1226</v>
      </c>
      <c r="C516" s="931">
        <f t="shared" ref="C516:O516" si="276">C18</f>
        <v>0</v>
      </c>
      <c r="D516" s="931">
        <f t="shared" si="276"/>
        <v>0</v>
      </c>
      <c r="E516" s="931">
        <f t="shared" si="276"/>
        <v>0</v>
      </c>
      <c r="F516" s="931">
        <f t="shared" si="276"/>
        <v>0</v>
      </c>
      <c r="G516" s="931">
        <f t="shared" si="276"/>
        <v>0</v>
      </c>
      <c r="H516" s="931">
        <f t="shared" si="276"/>
        <v>0</v>
      </c>
      <c r="I516" s="931">
        <f t="shared" si="276"/>
        <v>0</v>
      </c>
      <c r="J516" s="931">
        <f t="shared" si="276"/>
        <v>0</v>
      </c>
      <c r="K516" s="931">
        <f t="shared" si="276"/>
        <v>0</v>
      </c>
      <c r="L516" s="931">
        <f t="shared" si="276"/>
        <v>0</v>
      </c>
      <c r="M516" s="931">
        <f t="shared" si="276"/>
        <v>11038</v>
      </c>
      <c r="N516" s="931">
        <f t="shared" si="276"/>
        <v>0</v>
      </c>
      <c r="O516" s="931">
        <f t="shared" si="276"/>
        <v>11038</v>
      </c>
    </row>
    <row r="517" spans="1:16" s="679" customFormat="1" ht="47.25" x14ac:dyDescent="0.25">
      <c r="A517" s="437"/>
      <c r="B517" s="930" t="s">
        <v>1227</v>
      </c>
      <c r="C517" s="931">
        <f t="shared" ref="C517:O517" si="277">C172+C214+C244+C288</f>
        <v>0</v>
      </c>
      <c r="D517" s="931">
        <f t="shared" si="277"/>
        <v>0</v>
      </c>
      <c r="E517" s="931">
        <f t="shared" si="277"/>
        <v>0</v>
      </c>
      <c r="F517" s="931">
        <f t="shared" si="277"/>
        <v>0</v>
      </c>
      <c r="G517" s="931">
        <f t="shared" si="277"/>
        <v>0</v>
      </c>
      <c r="H517" s="931">
        <f t="shared" si="277"/>
        <v>0</v>
      </c>
      <c r="I517" s="931">
        <f t="shared" si="277"/>
        <v>0</v>
      </c>
      <c r="J517" s="931">
        <f t="shared" si="277"/>
        <v>0</v>
      </c>
      <c r="K517" s="931">
        <f t="shared" si="277"/>
        <v>0</v>
      </c>
      <c r="L517" s="931">
        <f t="shared" si="277"/>
        <v>0</v>
      </c>
      <c r="M517" s="931">
        <f t="shared" si="277"/>
        <v>1000</v>
      </c>
      <c r="N517" s="931">
        <f t="shared" si="277"/>
        <v>0</v>
      </c>
      <c r="O517" s="931">
        <f t="shared" si="277"/>
        <v>1000</v>
      </c>
    </row>
    <row r="518" spans="1:16" s="679" customFormat="1" ht="31.5" x14ac:dyDescent="0.25">
      <c r="A518" s="436"/>
      <c r="B518" s="435" t="s">
        <v>1228</v>
      </c>
      <c r="C518" s="678">
        <f t="shared" ref="C518:O518" si="278">C245</f>
        <v>0</v>
      </c>
      <c r="D518" s="678">
        <f t="shared" si="278"/>
        <v>0</v>
      </c>
      <c r="E518" s="678">
        <f t="shared" si="278"/>
        <v>0</v>
      </c>
      <c r="F518" s="678">
        <f t="shared" si="278"/>
        <v>0</v>
      </c>
      <c r="G518" s="678">
        <f t="shared" si="278"/>
        <v>0</v>
      </c>
      <c r="H518" s="678">
        <f t="shared" si="278"/>
        <v>0</v>
      </c>
      <c r="I518" s="678">
        <f t="shared" si="278"/>
        <v>0</v>
      </c>
      <c r="J518" s="678">
        <f t="shared" si="278"/>
        <v>0</v>
      </c>
      <c r="K518" s="678">
        <f t="shared" si="278"/>
        <v>0</v>
      </c>
      <c r="L518" s="678">
        <f t="shared" si="278"/>
        <v>0</v>
      </c>
      <c r="M518" s="678">
        <f t="shared" si="278"/>
        <v>150</v>
      </c>
      <c r="N518" s="678">
        <f t="shared" si="278"/>
        <v>0</v>
      </c>
      <c r="O518" s="678">
        <f t="shared" si="278"/>
        <v>150</v>
      </c>
    </row>
    <row r="519" spans="1:16" s="679" customFormat="1" ht="63" x14ac:dyDescent="0.25">
      <c r="A519" s="436"/>
      <c r="B519" s="435" t="s">
        <v>1229</v>
      </c>
      <c r="C519" s="678">
        <f t="shared" ref="C519:O519" si="279">C436</f>
        <v>0</v>
      </c>
      <c r="D519" s="678">
        <f t="shared" si="279"/>
        <v>0</v>
      </c>
      <c r="E519" s="678">
        <f t="shared" si="279"/>
        <v>0</v>
      </c>
      <c r="F519" s="678">
        <f t="shared" si="279"/>
        <v>0</v>
      </c>
      <c r="G519" s="678">
        <f t="shared" si="279"/>
        <v>0</v>
      </c>
      <c r="H519" s="678">
        <f t="shared" si="279"/>
        <v>0</v>
      </c>
      <c r="I519" s="678">
        <f t="shared" si="279"/>
        <v>0</v>
      </c>
      <c r="J519" s="678">
        <f t="shared" si="279"/>
        <v>0</v>
      </c>
      <c r="K519" s="678">
        <f t="shared" si="279"/>
        <v>0</v>
      </c>
      <c r="L519" s="678">
        <f t="shared" si="279"/>
        <v>0</v>
      </c>
      <c r="M519" s="678">
        <f t="shared" si="279"/>
        <v>2477</v>
      </c>
      <c r="N519" s="678">
        <f t="shared" si="279"/>
        <v>0</v>
      </c>
      <c r="O519" s="678">
        <f t="shared" si="279"/>
        <v>2477</v>
      </c>
    </row>
    <row r="520" spans="1:16" s="679" customFormat="1" ht="31.5" x14ac:dyDescent="0.25">
      <c r="A520" s="436"/>
      <c r="B520" s="435" t="s">
        <v>1175</v>
      </c>
      <c r="C520" s="678">
        <f t="shared" ref="C520:O520" si="280">C429</f>
        <v>0</v>
      </c>
      <c r="D520" s="678">
        <f t="shared" si="280"/>
        <v>0</v>
      </c>
      <c r="E520" s="678">
        <f t="shared" si="280"/>
        <v>0</v>
      </c>
      <c r="F520" s="678">
        <f t="shared" si="280"/>
        <v>0</v>
      </c>
      <c r="G520" s="678">
        <f t="shared" si="280"/>
        <v>0</v>
      </c>
      <c r="H520" s="678">
        <f t="shared" si="280"/>
        <v>0</v>
      </c>
      <c r="I520" s="678">
        <f t="shared" si="280"/>
        <v>0</v>
      </c>
      <c r="J520" s="678">
        <f t="shared" si="280"/>
        <v>0</v>
      </c>
      <c r="K520" s="678">
        <f t="shared" si="280"/>
        <v>0</v>
      </c>
      <c r="L520" s="678">
        <f t="shared" si="280"/>
        <v>0</v>
      </c>
      <c r="M520" s="678">
        <f t="shared" si="280"/>
        <v>-2640</v>
      </c>
      <c r="N520" s="678">
        <f t="shared" si="280"/>
        <v>0</v>
      </c>
      <c r="O520" s="678">
        <f t="shared" si="280"/>
        <v>-2640</v>
      </c>
    </row>
    <row r="521" spans="1:16" s="679" customFormat="1" ht="63" x14ac:dyDescent="0.25">
      <c r="A521" s="436"/>
      <c r="B521" s="435" t="s">
        <v>1230</v>
      </c>
      <c r="C521" s="678">
        <f t="shared" ref="C521:O521" si="281">C397</f>
        <v>0</v>
      </c>
      <c r="D521" s="678">
        <f t="shared" si="281"/>
        <v>0</v>
      </c>
      <c r="E521" s="678">
        <f t="shared" si="281"/>
        <v>0</v>
      </c>
      <c r="F521" s="678">
        <f t="shared" si="281"/>
        <v>0</v>
      </c>
      <c r="G521" s="678">
        <f t="shared" si="281"/>
        <v>0</v>
      </c>
      <c r="H521" s="678">
        <f t="shared" si="281"/>
        <v>0</v>
      </c>
      <c r="I521" s="678">
        <f t="shared" si="281"/>
        <v>0</v>
      </c>
      <c r="J521" s="678">
        <f t="shared" si="281"/>
        <v>0</v>
      </c>
      <c r="K521" s="678">
        <f t="shared" si="281"/>
        <v>0</v>
      </c>
      <c r="L521" s="678">
        <f t="shared" si="281"/>
        <v>0</v>
      </c>
      <c r="M521" s="678">
        <f t="shared" si="281"/>
        <v>10000</v>
      </c>
      <c r="N521" s="678">
        <f t="shared" si="281"/>
        <v>0</v>
      </c>
      <c r="O521" s="678">
        <f t="shared" si="281"/>
        <v>10000</v>
      </c>
    </row>
    <row r="522" spans="1:16" s="679" customFormat="1" x14ac:dyDescent="0.25">
      <c r="A522" s="436"/>
      <c r="B522" s="438" t="s">
        <v>368</v>
      </c>
      <c r="C522" s="678"/>
      <c r="D522" s="678"/>
      <c r="E522" s="678"/>
      <c r="F522" s="678"/>
      <c r="G522" s="678"/>
      <c r="H522" s="678"/>
      <c r="I522" s="678"/>
      <c r="J522" s="678"/>
      <c r="K522" s="678"/>
      <c r="L522" s="678"/>
      <c r="M522" s="678"/>
      <c r="N522" s="678"/>
      <c r="O522" s="678"/>
    </row>
    <row r="523" spans="1:16" s="679" customFormat="1" ht="31.5" x14ac:dyDescent="0.25">
      <c r="A523" s="436"/>
      <c r="B523" s="435" t="s">
        <v>1121</v>
      </c>
      <c r="C523" s="678">
        <f>C474</f>
        <v>0</v>
      </c>
      <c r="D523" s="678">
        <f t="shared" ref="D523:O524" si="282">D474</f>
        <v>0</v>
      </c>
      <c r="E523" s="678">
        <f t="shared" si="282"/>
        <v>0</v>
      </c>
      <c r="F523" s="678">
        <f t="shared" si="282"/>
        <v>0</v>
      </c>
      <c r="G523" s="678">
        <f t="shared" si="282"/>
        <v>0</v>
      </c>
      <c r="H523" s="678">
        <f t="shared" si="282"/>
        <v>0</v>
      </c>
      <c r="I523" s="678">
        <f t="shared" si="282"/>
        <v>0</v>
      </c>
      <c r="J523" s="678">
        <f t="shared" si="282"/>
        <v>0</v>
      </c>
      <c r="K523" s="678">
        <f t="shared" si="282"/>
        <v>0</v>
      </c>
      <c r="L523" s="678">
        <f t="shared" si="282"/>
        <v>0</v>
      </c>
      <c r="M523" s="678">
        <f t="shared" si="282"/>
        <v>-27170</v>
      </c>
      <c r="N523" s="678">
        <f t="shared" si="282"/>
        <v>0</v>
      </c>
      <c r="O523" s="678">
        <f t="shared" si="282"/>
        <v>-27170</v>
      </c>
    </row>
    <row r="524" spans="1:16" s="679" customFormat="1" ht="32.25" thickBot="1" x14ac:dyDescent="0.3">
      <c r="A524" s="436"/>
      <c r="B524" s="435" t="s">
        <v>928</v>
      </c>
      <c r="C524" s="678">
        <f>C475</f>
        <v>0</v>
      </c>
      <c r="D524" s="678">
        <f t="shared" si="282"/>
        <v>0</v>
      </c>
      <c r="E524" s="678">
        <f t="shared" si="282"/>
        <v>0</v>
      </c>
      <c r="F524" s="678">
        <f t="shared" si="282"/>
        <v>2268</v>
      </c>
      <c r="G524" s="678">
        <f t="shared" si="282"/>
        <v>0</v>
      </c>
      <c r="H524" s="678">
        <f t="shared" si="282"/>
        <v>0</v>
      </c>
      <c r="I524" s="678">
        <f t="shared" si="282"/>
        <v>0</v>
      </c>
      <c r="J524" s="678">
        <f t="shared" si="282"/>
        <v>2268</v>
      </c>
      <c r="K524" s="678">
        <f t="shared" si="282"/>
        <v>0</v>
      </c>
      <c r="L524" s="678">
        <f t="shared" si="282"/>
        <v>2268</v>
      </c>
      <c r="M524" s="678">
        <f t="shared" si="282"/>
        <v>0</v>
      </c>
      <c r="N524" s="678">
        <f t="shared" si="282"/>
        <v>0</v>
      </c>
      <c r="O524" s="678">
        <f t="shared" si="282"/>
        <v>2268</v>
      </c>
    </row>
    <row r="525" spans="1:16" ht="17.25" thickTop="1" thickBot="1" x14ac:dyDescent="0.3">
      <c r="A525" s="433"/>
      <c r="B525" s="432" t="s">
        <v>425</v>
      </c>
      <c r="C525" s="432">
        <f>SUM(C481:C524)</f>
        <v>1387706</v>
      </c>
      <c r="D525" s="432">
        <f t="shared" ref="D525:O525" si="283">SUM(D481:D524)</f>
        <v>0</v>
      </c>
      <c r="E525" s="432">
        <f t="shared" si="283"/>
        <v>200</v>
      </c>
      <c r="F525" s="432">
        <f t="shared" si="283"/>
        <v>1403081</v>
      </c>
      <c r="G525" s="432">
        <f t="shared" si="283"/>
        <v>0</v>
      </c>
      <c r="H525" s="432">
        <f t="shared" si="283"/>
        <v>138451</v>
      </c>
      <c r="I525" s="432">
        <f t="shared" si="283"/>
        <v>0</v>
      </c>
      <c r="J525" s="432">
        <f t="shared" si="283"/>
        <v>2929438</v>
      </c>
      <c r="K525" s="432">
        <f t="shared" si="283"/>
        <v>0</v>
      </c>
      <c r="L525" s="432">
        <f t="shared" si="283"/>
        <v>2929438</v>
      </c>
      <c r="M525" s="432">
        <f t="shared" si="283"/>
        <v>11165721</v>
      </c>
      <c r="N525" s="432">
        <f t="shared" si="283"/>
        <v>580031</v>
      </c>
      <c r="O525" s="432">
        <f t="shared" si="283"/>
        <v>14675190</v>
      </c>
      <c r="P525" s="434">
        <f>O526+O527+O528</f>
        <v>14675190</v>
      </c>
    </row>
    <row r="526" spans="1:16" ht="17.25" thickTop="1" thickBot="1" x14ac:dyDescent="0.3">
      <c r="A526" s="433"/>
      <c r="B526" s="432" t="s">
        <v>429</v>
      </c>
      <c r="C526" s="432">
        <f t="shared" ref="C526:O526" si="284">SUM(C20+C33+C47+C60+C74+C87+C101+C115+C131+C144+C159+C174+C188+C201+C216+C231+C247+C260+C275+C290+C305+C319+C334+C352+C381+C399+C460+C477)</f>
        <v>950891</v>
      </c>
      <c r="D526" s="432">
        <f t="shared" si="284"/>
        <v>0</v>
      </c>
      <c r="E526" s="432">
        <f t="shared" si="284"/>
        <v>0</v>
      </c>
      <c r="F526" s="432">
        <f t="shared" si="284"/>
        <v>1066719</v>
      </c>
      <c r="G526" s="432">
        <f t="shared" si="284"/>
        <v>0</v>
      </c>
      <c r="H526" s="432">
        <f t="shared" si="284"/>
        <v>1233</v>
      </c>
      <c r="I526" s="432">
        <f t="shared" si="284"/>
        <v>0</v>
      </c>
      <c r="J526" s="432">
        <f t="shared" si="284"/>
        <v>2018843</v>
      </c>
      <c r="K526" s="432">
        <f t="shared" si="284"/>
        <v>0</v>
      </c>
      <c r="L526" s="432">
        <f t="shared" si="284"/>
        <v>2018843</v>
      </c>
      <c r="M526" s="432">
        <f t="shared" si="284"/>
        <v>8398038</v>
      </c>
      <c r="N526" s="432">
        <f t="shared" si="284"/>
        <v>541384</v>
      </c>
      <c r="O526" s="432">
        <f t="shared" si="284"/>
        <v>10958265</v>
      </c>
    </row>
    <row r="527" spans="1:16" ht="17.25" thickTop="1" thickBot="1" x14ac:dyDescent="0.3">
      <c r="A527" s="433"/>
      <c r="B527" s="432" t="s">
        <v>428</v>
      </c>
      <c r="C527" s="432">
        <f t="shared" ref="C527:O527" si="285">SUM(C21+C34+C48+C61+C75+C88+C102+C116+C132+C145+C160+C175+C189+C202+C217+C232+C248+C261+C276+C291+C306+C320+C335+C353+C364+C382+C400+C417+C431+C438+C461+C478+C407)</f>
        <v>353388</v>
      </c>
      <c r="D527" s="432">
        <f t="shared" si="285"/>
        <v>0</v>
      </c>
      <c r="E527" s="432">
        <f t="shared" si="285"/>
        <v>0</v>
      </c>
      <c r="F527" s="432">
        <f t="shared" si="285"/>
        <v>334094</v>
      </c>
      <c r="G527" s="432">
        <f t="shared" si="285"/>
        <v>0</v>
      </c>
      <c r="H527" s="432">
        <f t="shared" si="285"/>
        <v>137218</v>
      </c>
      <c r="I527" s="432">
        <f t="shared" si="285"/>
        <v>0</v>
      </c>
      <c r="J527" s="432">
        <f t="shared" si="285"/>
        <v>824700</v>
      </c>
      <c r="K527" s="432">
        <f t="shared" si="285"/>
        <v>0</v>
      </c>
      <c r="L527" s="432">
        <f t="shared" si="285"/>
        <v>824700</v>
      </c>
      <c r="M527" s="432">
        <f t="shared" si="285"/>
        <v>1854507</v>
      </c>
      <c r="N527" s="432">
        <f t="shared" si="285"/>
        <v>38647</v>
      </c>
      <c r="O527" s="432">
        <f t="shared" si="285"/>
        <v>2717854</v>
      </c>
    </row>
    <row r="528" spans="1:16" ht="33" thickTop="1" thickBot="1" x14ac:dyDescent="0.3">
      <c r="A528" s="433"/>
      <c r="B528" s="432" t="s">
        <v>500</v>
      </c>
      <c r="C528" s="432">
        <f t="shared" ref="C528:O528" si="286">SUM(C479)</f>
        <v>83427</v>
      </c>
      <c r="D528" s="432">
        <f t="shared" si="286"/>
        <v>0</v>
      </c>
      <c r="E528" s="432">
        <f t="shared" si="286"/>
        <v>200</v>
      </c>
      <c r="F528" s="432">
        <f t="shared" si="286"/>
        <v>2268</v>
      </c>
      <c r="G528" s="432">
        <f t="shared" si="286"/>
        <v>0</v>
      </c>
      <c r="H528" s="432">
        <f t="shared" si="286"/>
        <v>0</v>
      </c>
      <c r="I528" s="432">
        <f t="shared" si="286"/>
        <v>0</v>
      </c>
      <c r="J528" s="432">
        <f t="shared" si="286"/>
        <v>85895</v>
      </c>
      <c r="K528" s="432">
        <f t="shared" si="286"/>
        <v>0</v>
      </c>
      <c r="L528" s="432">
        <f t="shared" si="286"/>
        <v>85895</v>
      </c>
      <c r="M528" s="432">
        <f t="shared" si="286"/>
        <v>913176</v>
      </c>
      <c r="N528" s="432">
        <f t="shared" si="286"/>
        <v>0</v>
      </c>
      <c r="O528" s="432">
        <f t="shared" si="286"/>
        <v>999071</v>
      </c>
    </row>
    <row r="529" spans="1:15" thickTop="1" x14ac:dyDescent="0.25">
      <c r="A529" s="429"/>
      <c r="B529" s="429"/>
    </row>
    <row r="530" spans="1:15" ht="15" x14ac:dyDescent="0.25">
      <c r="A530" s="429"/>
      <c r="B530" s="429"/>
    </row>
    <row r="531" spans="1:15" ht="15" x14ac:dyDescent="0.25">
      <c r="A531" s="429"/>
      <c r="B531" s="429"/>
      <c r="C531" s="429">
        <f t="shared" ref="C531:O531" si="287">SUM(C525-C481)</f>
        <v>281072</v>
      </c>
      <c r="D531" s="429">
        <f t="shared" si="287"/>
        <v>0</v>
      </c>
      <c r="E531" s="429">
        <f t="shared" si="287"/>
        <v>0</v>
      </c>
      <c r="F531" s="429">
        <f t="shared" si="287"/>
        <v>31995</v>
      </c>
      <c r="G531" s="429">
        <f t="shared" si="287"/>
        <v>0</v>
      </c>
      <c r="H531" s="429">
        <f t="shared" si="287"/>
        <v>36451</v>
      </c>
      <c r="I531" s="429">
        <f t="shared" si="287"/>
        <v>0</v>
      </c>
      <c r="J531" s="429">
        <f t="shared" si="287"/>
        <v>349518</v>
      </c>
      <c r="K531" s="429">
        <f t="shared" si="287"/>
        <v>0</v>
      </c>
      <c r="L531" s="429">
        <f t="shared" si="287"/>
        <v>349518</v>
      </c>
      <c r="M531" s="429">
        <f t="shared" si="287"/>
        <v>373059</v>
      </c>
      <c r="N531" s="429">
        <f t="shared" si="287"/>
        <v>0</v>
      </c>
      <c r="O531" s="429">
        <f t="shared" si="287"/>
        <v>722577</v>
      </c>
    </row>
    <row r="532" spans="1:15" ht="15" x14ac:dyDescent="0.25">
      <c r="A532" s="429"/>
      <c r="B532" s="429"/>
    </row>
    <row r="533" spans="1:15" ht="15" x14ac:dyDescent="0.25">
      <c r="A533" s="429"/>
      <c r="B533" s="429"/>
    </row>
    <row r="534" spans="1:15" ht="15" x14ac:dyDescent="0.25">
      <c r="A534" s="429"/>
      <c r="B534" s="429"/>
    </row>
    <row r="535" spans="1:15" ht="15" x14ac:dyDescent="0.25">
      <c r="A535" s="429"/>
      <c r="B535" s="429"/>
    </row>
    <row r="536" spans="1:15" ht="15" x14ac:dyDescent="0.25">
      <c r="A536" s="429"/>
      <c r="B536" s="429"/>
    </row>
    <row r="537" spans="1:15" ht="15" x14ac:dyDescent="0.25">
      <c r="A537" s="429"/>
      <c r="B537" s="429"/>
    </row>
    <row r="538" spans="1:15" ht="15" x14ac:dyDescent="0.25">
      <c r="A538" s="429"/>
      <c r="B538" s="429"/>
    </row>
    <row r="539" spans="1:15" ht="15" x14ac:dyDescent="0.25">
      <c r="A539" s="429"/>
      <c r="B539" s="429"/>
    </row>
    <row r="540" spans="1:15" ht="15" x14ac:dyDescent="0.25">
      <c r="A540" s="429"/>
      <c r="B540" s="429"/>
    </row>
    <row r="541" spans="1:15" ht="15" x14ac:dyDescent="0.25">
      <c r="A541" s="429"/>
      <c r="B541" s="429"/>
    </row>
    <row r="542" spans="1:15" ht="15" x14ac:dyDescent="0.25">
      <c r="A542" s="429"/>
      <c r="B542" s="429"/>
    </row>
    <row r="543" spans="1:15" ht="15" x14ac:dyDescent="0.25">
      <c r="A543" s="429"/>
      <c r="B543" s="429"/>
    </row>
    <row r="544" spans="1:15" ht="15" x14ac:dyDescent="0.25">
      <c r="A544" s="429"/>
      <c r="B544" s="429"/>
    </row>
    <row r="545" spans="1:2" ht="15" x14ac:dyDescent="0.25">
      <c r="A545" s="429"/>
      <c r="B545" s="429"/>
    </row>
    <row r="547" spans="1:2" ht="15" x14ac:dyDescent="0.25">
      <c r="A547" s="429"/>
      <c r="B547" s="429"/>
    </row>
    <row r="548" spans="1:2" ht="15" x14ac:dyDescent="0.25">
      <c r="A548" s="429"/>
      <c r="B548" s="429"/>
    </row>
    <row r="549" spans="1:2" ht="15" x14ac:dyDescent="0.25">
      <c r="A549" s="429"/>
      <c r="B549" s="429"/>
    </row>
    <row r="550" spans="1:2" ht="15" x14ac:dyDescent="0.25">
      <c r="A550" s="429"/>
      <c r="B550" s="429"/>
    </row>
  </sheetData>
  <mergeCells count="16">
    <mergeCell ref="F1:F2"/>
    <mergeCell ref="M1:N1"/>
    <mergeCell ref="O1:O2"/>
    <mergeCell ref="M3:N3"/>
    <mergeCell ref="M4:N4"/>
    <mergeCell ref="G1:G2"/>
    <mergeCell ref="H1:H2"/>
    <mergeCell ref="I1:I2"/>
    <mergeCell ref="J1:J2"/>
    <mergeCell ref="K1:K2"/>
    <mergeCell ref="L1:L2"/>
    <mergeCell ref="A1:A3"/>
    <mergeCell ref="B1:B2"/>
    <mergeCell ref="C1:C2"/>
    <mergeCell ref="D1:D2"/>
    <mergeCell ref="E1:E2"/>
  </mergeCells>
  <pageMargins left="0.11811023622047245" right="0.11811023622047245" top="0.74803149606299213" bottom="0.74803149606299213" header="0.31496062992125984" footer="0.31496062992125984"/>
  <pageSetup paperSize="9" scale="60" orientation="landscape" r:id="rId1"/>
  <headerFooter>
    <oddHeader>&amp;C&amp;"-,Félkövér"Költségvetési szervek 2018.évi bevételi előirányzata (eFt-ban)&amp;R&amp;"Times New Roman,Félkövér"&amp;11 6. melléklet a 23/2018.(X.15.) önkormányzati rendelethez&amp;"-,Normál"&amp;12
&amp;"-,Dőlt"&amp;11 7. melléklet
 a 3/2018.(II.8.) önkormányzati rendelethez</oddHeader>
  </headerFooter>
  <rowBreaks count="6" manualBreakCount="6">
    <brk id="366" max="14" man="1"/>
    <brk id="394" max="14" man="1"/>
    <brk id="423" max="14" man="1"/>
    <brk id="471" max="14" man="1"/>
    <brk id="496" max="14" man="1"/>
    <brk id="516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571"/>
  <sheetViews>
    <sheetView zoomScale="90" zoomScaleNormal="90" workbookViewId="0">
      <pane ySplit="6" topLeftCell="A7" activePane="bottomLeft" state="frozen"/>
      <selection activeCell="D533" sqref="D533"/>
      <selection pane="bottomLeft" activeCell="K20" sqref="K20"/>
    </sheetView>
  </sheetViews>
  <sheetFormatPr defaultColWidth="9" defaultRowHeight="15.75" x14ac:dyDescent="0.25"/>
  <cols>
    <col min="1" max="1" width="3.625" style="475" customWidth="1"/>
    <col min="2" max="2" width="36.75" style="475" customWidth="1"/>
    <col min="3" max="3" width="10.875" style="475" customWidth="1"/>
    <col min="4" max="4" width="15.625" style="475" customWidth="1"/>
    <col min="5" max="5" width="9.875" style="475" customWidth="1"/>
    <col min="6" max="6" width="11" style="475" customWidth="1"/>
    <col min="7" max="7" width="10.875" style="475" customWidth="1"/>
    <col min="8" max="8" width="11.125" style="475" customWidth="1"/>
    <col min="9" max="9" width="12.5" style="475" customWidth="1"/>
    <col min="10" max="10" width="11.5" style="475" customWidth="1"/>
    <col min="11" max="11" width="13.25" style="475" customWidth="1"/>
    <col min="12" max="12" width="13.125" style="475" customWidth="1"/>
    <col min="13" max="13" width="12.625" style="475" customWidth="1"/>
    <col min="14" max="14" width="14" style="475" customWidth="1"/>
    <col min="15" max="15" width="12.25" style="475" customWidth="1"/>
    <col min="16" max="16" width="16.375" style="475" customWidth="1"/>
    <col min="17" max="16384" width="9" style="475"/>
  </cols>
  <sheetData>
    <row r="1" spans="1:15" x14ac:dyDescent="0.25">
      <c r="A1" s="983" t="s">
        <v>927</v>
      </c>
      <c r="B1" s="983"/>
      <c r="C1" s="983"/>
      <c r="D1" s="983"/>
      <c r="E1" s="983"/>
      <c r="F1" s="983"/>
      <c r="G1" s="983"/>
      <c r="H1" s="983"/>
      <c r="I1" s="983"/>
      <c r="J1" s="983"/>
      <c r="K1" s="983"/>
      <c r="L1" s="983"/>
      <c r="M1" s="983"/>
      <c r="N1" s="983"/>
      <c r="O1" s="983"/>
    </row>
    <row r="3" spans="1:15" ht="16.5" thickBot="1" x14ac:dyDescent="0.3"/>
    <row r="4" spans="1:15" ht="58.5" thickTop="1" thickBot="1" x14ac:dyDescent="0.3">
      <c r="A4" s="566" t="s">
        <v>494</v>
      </c>
      <c r="B4" s="565" t="s">
        <v>493</v>
      </c>
      <c r="C4" s="564" t="s">
        <v>31</v>
      </c>
      <c r="D4" s="560" t="s">
        <v>492</v>
      </c>
      <c r="E4" s="560" t="s">
        <v>57</v>
      </c>
      <c r="F4" s="561" t="s">
        <v>491</v>
      </c>
      <c r="G4" s="560" t="s">
        <v>490</v>
      </c>
      <c r="H4" s="560" t="s">
        <v>502</v>
      </c>
      <c r="I4" s="563" t="s">
        <v>52</v>
      </c>
      <c r="J4" s="562" t="s">
        <v>60</v>
      </c>
      <c r="K4" s="561" t="s">
        <v>270</v>
      </c>
      <c r="L4" s="560" t="s">
        <v>503</v>
      </c>
      <c r="M4" s="560" t="s">
        <v>271</v>
      </c>
      <c r="N4" s="560" t="s">
        <v>489</v>
      </c>
      <c r="O4" s="560" t="s">
        <v>488</v>
      </c>
    </row>
    <row r="5" spans="1:15" ht="17.25" thickTop="1" thickBot="1" x14ac:dyDescent="0.3">
      <c r="A5" s="566"/>
      <c r="B5" s="565"/>
      <c r="C5" s="564" t="s">
        <v>164</v>
      </c>
      <c r="D5" s="560" t="s">
        <v>165</v>
      </c>
      <c r="E5" s="560" t="s">
        <v>166</v>
      </c>
      <c r="F5" s="561" t="s">
        <v>167</v>
      </c>
      <c r="G5" s="560" t="s">
        <v>272</v>
      </c>
      <c r="H5" s="560" t="s">
        <v>487</v>
      </c>
      <c r="I5" s="563" t="s">
        <v>168</v>
      </c>
      <c r="J5" s="562" t="s">
        <v>169</v>
      </c>
      <c r="K5" s="561" t="s">
        <v>170</v>
      </c>
      <c r="L5" s="560" t="s">
        <v>486</v>
      </c>
      <c r="M5" s="560" t="s">
        <v>287</v>
      </c>
      <c r="N5" s="560" t="s">
        <v>222</v>
      </c>
      <c r="O5" s="560" t="s">
        <v>485</v>
      </c>
    </row>
    <row r="6" spans="1:15" s="553" customFormat="1" ht="14.25" thickTop="1" thickBot="1" x14ac:dyDescent="0.25">
      <c r="A6" s="559" t="s">
        <v>147</v>
      </c>
      <c r="B6" s="558" t="s">
        <v>148</v>
      </c>
      <c r="C6" s="554" t="s">
        <v>149</v>
      </c>
      <c r="D6" s="554" t="s">
        <v>150</v>
      </c>
      <c r="E6" s="554" t="s">
        <v>151</v>
      </c>
      <c r="F6" s="555" t="s">
        <v>152</v>
      </c>
      <c r="G6" s="554" t="s">
        <v>467</v>
      </c>
      <c r="H6" s="557" t="s">
        <v>484</v>
      </c>
      <c r="I6" s="556" t="s">
        <v>36</v>
      </c>
      <c r="J6" s="554" t="s">
        <v>37</v>
      </c>
      <c r="K6" s="555" t="s">
        <v>483</v>
      </c>
      <c r="L6" s="554" t="s">
        <v>482</v>
      </c>
      <c r="M6" s="554" t="s">
        <v>481</v>
      </c>
      <c r="N6" s="554" t="s">
        <v>480</v>
      </c>
      <c r="O6" s="554" t="s">
        <v>479</v>
      </c>
    </row>
    <row r="7" spans="1:15" ht="16.5" thickTop="1" x14ac:dyDescent="0.25">
      <c r="A7" s="497" t="s">
        <v>154</v>
      </c>
      <c r="B7" s="453" t="s">
        <v>463</v>
      </c>
      <c r="C7" s="499"/>
      <c r="D7" s="494"/>
      <c r="E7" s="494"/>
      <c r="F7" s="492"/>
      <c r="G7" s="494"/>
      <c r="H7" s="491"/>
      <c r="I7" s="493"/>
      <c r="J7" s="492"/>
      <c r="K7" s="492"/>
      <c r="L7" s="491"/>
      <c r="M7" s="490"/>
      <c r="N7" s="490"/>
      <c r="O7" s="490"/>
    </row>
    <row r="8" spans="1:15" x14ac:dyDescent="0.25">
      <c r="A8" s="497"/>
      <c r="B8" s="444" t="s">
        <v>389</v>
      </c>
      <c r="C8" s="499">
        <v>473161</v>
      </c>
      <c r="D8" s="494">
        <v>100295</v>
      </c>
      <c r="E8" s="494">
        <v>194094</v>
      </c>
      <c r="F8" s="492"/>
      <c r="G8" s="494"/>
      <c r="H8" s="491">
        <f>SUM(C8:G8)</f>
        <v>767550</v>
      </c>
      <c r="I8" s="493"/>
      <c r="J8" s="492"/>
      <c r="K8" s="492"/>
      <c r="L8" s="491">
        <f>SUM(I8:K8)</f>
        <v>0</v>
      </c>
      <c r="M8" s="490">
        <f>SUM(H8+L8)</f>
        <v>767550</v>
      </c>
      <c r="N8" s="490"/>
      <c r="O8" s="490">
        <f>SUM(M8+N8)</f>
        <v>767550</v>
      </c>
    </row>
    <row r="9" spans="1:15" s="504" customFormat="1" x14ac:dyDescent="0.25">
      <c r="A9" s="513"/>
      <c r="B9" s="498" t="s">
        <v>432</v>
      </c>
      <c r="C9" s="530">
        <v>365321</v>
      </c>
      <c r="D9" s="511">
        <v>77499</v>
      </c>
      <c r="E9" s="511">
        <v>158154</v>
      </c>
      <c r="F9" s="507"/>
      <c r="G9" s="511"/>
      <c r="H9" s="506">
        <f>SUM(C9:G9)</f>
        <v>600974</v>
      </c>
      <c r="I9" s="552"/>
      <c r="J9" s="522"/>
      <c r="K9" s="522"/>
      <c r="L9" s="506">
        <f>SUM(I9:K9)</f>
        <v>0</v>
      </c>
      <c r="M9" s="505">
        <f>SUM(H9+L9)</f>
        <v>600974</v>
      </c>
      <c r="N9" s="505"/>
      <c r="O9" s="505">
        <f>SUM(M9+N9)</f>
        <v>600974</v>
      </c>
    </row>
    <row r="10" spans="1:15" x14ac:dyDescent="0.25">
      <c r="A10" s="497"/>
      <c r="B10" s="498" t="s">
        <v>431</v>
      </c>
      <c r="C10" s="530">
        <v>107840</v>
      </c>
      <c r="D10" s="511">
        <v>22796</v>
      </c>
      <c r="E10" s="511">
        <v>35940</v>
      </c>
      <c r="F10" s="492"/>
      <c r="G10" s="494"/>
      <c r="H10" s="506">
        <f>SUM(C10:G10)</f>
        <v>166576</v>
      </c>
      <c r="I10" s="493"/>
      <c r="J10" s="492"/>
      <c r="K10" s="492"/>
      <c r="L10" s="491">
        <f>SUM(I10:K10)</f>
        <v>0</v>
      </c>
      <c r="M10" s="505">
        <f>SUM(H10+L10)</f>
        <v>166576</v>
      </c>
      <c r="N10" s="505"/>
      <c r="O10" s="505">
        <f>SUM(M10+N10)</f>
        <v>166576</v>
      </c>
    </row>
    <row r="11" spans="1:15" s="504" customFormat="1" x14ac:dyDescent="0.25">
      <c r="A11" s="513"/>
      <c r="B11" s="498" t="s">
        <v>140</v>
      </c>
      <c r="C11" s="530"/>
      <c r="D11" s="511"/>
      <c r="E11" s="511"/>
      <c r="F11" s="507"/>
      <c r="G11" s="511"/>
      <c r="H11" s="491"/>
      <c r="I11" s="552"/>
      <c r="J11" s="522"/>
      <c r="K11" s="522"/>
      <c r="L11" s="491">
        <f t="shared" ref="L11:L21" si="0">SUM(I11:K11)</f>
        <v>0</v>
      </c>
      <c r="M11" s="490">
        <f t="shared" ref="M11:M21" si="1">SUM(H11+L11)</f>
        <v>0</v>
      </c>
      <c r="N11" s="505"/>
      <c r="O11" s="490">
        <f t="shared" ref="O11:O21" si="2">SUM(M11+N11)</f>
        <v>0</v>
      </c>
    </row>
    <row r="12" spans="1:15" ht="31.5" x14ac:dyDescent="0.25">
      <c r="A12" s="497"/>
      <c r="B12" s="444" t="s">
        <v>1231</v>
      </c>
      <c r="C12" s="499">
        <v>2815</v>
      </c>
      <c r="D12" s="494">
        <v>549</v>
      </c>
      <c r="E12" s="494"/>
      <c r="F12" s="492"/>
      <c r="G12" s="494"/>
      <c r="H12" s="491">
        <f t="shared" ref="H12:H21" si="3">SUM(C12:G12)</f>
        <v>3364</v>
      </c>
      <c r="I12" s="493"/>
      <c r="J12" s="492"/>
      <c r="K12" s="492"/>
      <c r="L12" s="491">
        <f t="shared" si="0"/>
        <v>0</v>
      </c>
      <c r="M12" s="490">
        <f t="shared" si="1"/>
        <v>3364</v>
      </c>
      <c r="N12" s="490"/>
      <c r="O12" s="490">
        <f t="shared" si="2"/>
        <v>3364</v>
      </c>
    </row>
    <row r="13" spans="1:15" ht="31.5" x14ac:dyDescent="0.25">
      <c r="A13" s="497"/>
      <c r="B13" s="444" t="s">
        <v>628</v>
      </c>
      <c r="C13" s="499">
        <v>4844</v>
      </c>
      <c r="D13" s="494">
        <v>945</v>
      </c>
      <c r="E13" s="494"/>
      <c r="F13" s="492"/>
      <c r="G13" s="494"/>
      <c r="H13" s="491">
        <f t="shared" si="3"/>
        <v>5789</v>
      </c>
      <c r="I13" s="528"/>
      <c r="J13" s="500"/>
      <c r="K13" s="500"/>
      <c r="L13" s="491">
        <f t="shared" si="0"/>
        <v>0</v>
      </c>
      <c r="M13" s="490">
        <f t="shared" si="1"/>
        <v>5789</v>
      </c>
      <c r="N13" s="490"/>
      <c r="O13" s="490">
        <f t="shared" si="2"/>
        <v>5789</v>
      </c>
    </row>
    <row r="14" spans="1:15" ht="47.25" x14ac:dyDescent="0.25">
      <c r="A14" s="497"/>
      <c r="B14" s="444" t="s">
        <v>1232</v>
      </c>
      <c r="C14" s="499">
        <v>200</v>
      </c>
      <c r="D14" s="494">
        <v>39</v>
      </c>
      <c r="E14" s="494"/>
      <c r="F14" s="492"/>
      <c r="G14" s="494"/>
      <c r="H14" s="491">
        <f t="shared" si="3"/>
        <v>239</v>
      </c>
      <c r="I14" s="528"/>
      <c r="J14" s="500"/>
      <c r="K14" s="500"/>
      <c r="L14" s="491">
        <f t="shared" si="0"/>
        <v>0</v>
      </c>
      <c r="M14" s="490">
        <f t="shared" si="1"/>
        <v>239</v>
      </c>
      <c r="N14" s="490"/>
      <c r="O14" s="490">
        <f t="shared" si="2"/>
        <v>239</v>
      </c>
    </row>
    <row r="15" spans="1:15" ht="31.5" x14ac:dyDescent="0.25">
      <c r="A15" s="497"/>
      <c r="B15" s="444" t="s">
        <v>929</v>
      </c>
      <c r="C15" s="499"/>
      <c r="D15" s="494"/>
      <c r="E15" s="494">
        <v>-10795</v>
      </c>
      <c r="F15" s="492"/>
      <c r="G15" s="494"/>
      <c r="H15" s="491">
        <f t="shared" si="3"/>
        <v>-10795</v>
      </c>
      <c r="I15" s="528">
        <v>10795</v>
      </c>
      <c r="J15" s="500"/>
      <c r="K15" s="500"/>
      <c r="L15" s="491">
        <f t="shared" si="0"/>
        <v>10795</v>
      </c>
      <c r="M15" s="490">
        <f t="shared" si="1"/>
        <v>0</v>
      </c>
      <c r="N15" s="490"/>
      <c r="O15" s="490">
        <f t="shared" si="2"/>
        <v>0</v>
      </c>
    </row>
    <row r="16" spans="1:15" ht="31.5" x14ac:dyDescent="0.25">
      <c r="A16" s="497"/>
      <c r="B16" s="444" t="s">
        <v>928</v>
      </c>
      <c r="C16" s="499"/>
      <c r="D16" s="494"/>
      <c r="E16" s="494">
        <v>-12292</v>
      </c>
      <c r="F16" s="492"/>
      <c r="G16" s="494"/>
      <c r="H16" s="491">
        <f t="shared" si="3"/>
        <v>-12292</v>
      </c>
      <c r="I16" s="528"/>
      <c r="J16" s="500"/>
      <c r="K16" s="500"/>
      <c r="L16" s="491">
        <f t="shared" si="0"/>
        <v>0</v>
      </c>
      <c r="M16" s="490">
        <f t="shared" si="1"/>
        <v>-12292</v>
      </c>
      <c r="N16" s="490"/>
      <c r="O16" s="490">
        <f t="shared" si="2"/>
        <v>-12292</v>
      </c>
    </row>
    <row r="17" spans="1:16" s="504" customFormat="1" x14ac:dyDescent="0.25">
      <c r="A17" s="513"/>
      <c r="B17" s="498" t="s">
        <v>141</v>
      </c>
      <c r="C17" s="530"/>
      <c r="D17" s="511"/>
      <c r="E17" s="511"/>
      <c r="F17" s="507"/>
      <c r="G17" s="511"/>
      <c r="H17" s="491"/>
      <c r="I17" s="552"/>
      <c r="J17" s="522"/>
      <c r="K17" s="522"/>
      <c r="L17" s="491">
        <f t="shared" si="0"/>
        <v>0</v>
      </c>
      <c r="M17" s="490">
        <f t="shared" si="1"/>
        <v>0</v>
      </c>
      <c r="N17" s="505"/>
      <c r="O17" s="490">
        <f t="shared" si="2"/>
        <v>0</v>
      </c>
    </row>
    <row r="18" spans="1:16" ht="94.5" x14ac:dyDescent="0.25">
      <c r="A18" s="497"/>
      <c r="B18" s="444" t="s">
        <v>1233</v>
      </c>
      <c r="C18" s="499"/>
      <c r="D18" s="494"/>
      <c r="E18" s="494">
        <v>400</v>
      </c>
      <c r="F18" s="492"/>
      <c r="G18" s="494"/>
      <c r="H18" s="491">
        <f t="shared" si="3"/>
        <v>400</v>
      </c>
      <c r="I18" s="493"/>
      <c r="J18" s="492"/>
      <c r="K18" s="492"/>
      <c r="L18" s="491">
        <f t="shared" si="0"/>
        <v>0</v>
      </c>
      <c r="M18" s="490">
        <f t="shared" si="1"/>
        <v>400</v>
      </c>
      <c r="N18" s="490"/>
      <c r="O18" s="490">
        <f t="shared" si="2"/>
        <v>400</v>
      </c>
    </row>
    <row r="19" spans="1:16" ht="78.75" x14ac:dyDescent="0.25">
      <c r="A19" s="497"/>
      <c r="B19" s="444" t="s">
        <v>1234</v>
      </c>
      <c r="C19" s="499"/>
      <c r="D19" s="494"/>
      <c r="E19" s="494">
        <v>200</v>
      </c>
      <c r="F19" s="492"/>
      <c r="G19" s="494"/>
      <c r="H19" s="491">
        <f t="shared" si="3"/>
        <v>200</v>
      </c>
      <c r="I19" s="493"/>
      <c r="J19" s="492"/>
      <c r="K19" s="492"/>
      <c r="L19" s="491">
        <f t="shared" si="0"/>
        <v>0</v>
      </c>
      <c r="M19" s="490">
        <f t="shared" si="1"/>
        <v>200</v>
      </c>
      <c r="N19" s="490"/>
      <c r="O19" s="490">
        <f t="shared" si="2"/>
        <v>200</v>
      </c>
    </row>
    <row r="20" spans="1:16" x14ac:dyDescent="0.25">
      <c r="A20" s="497"/>
      <c r="B20" s="444" t="s">
        <v>1235</v>
      </c>
      <c r="C20" s="499">
        <v>4071</v>
      </c>
      <c r="D20" s="494">
        <v>1393</v>
      </c>
      <c r="E20" s="494"/>
      <c r="F20" s="492"/>
      <c r="G20" s="494"/>
      <c r="H20" s="491">
        <f t="shared" si="3"/>
        <v>5464</v>
      </c>
      <c r="I20" s="493"/>
      <c r="J20" s="492"/>
      <c r="K20" s="492"/>
      <c r="L20" s="491">
        <f t="shared" si="0"/>
        <v>0</v>
      </c>
      <c r="M20" s="490">
        <f t="shared" si="1"/>
        <v>5464</v>
      </c>
      <c r="N20" s="490"/>
      <c r="O20" s="490">
        <f t="shared" si="2"/>
        <v>5464</v>
      </c>
    </row>
    <row r="21" spans="1:16" ht="63.75" thickBot="1" x14ac:dyDescent="0.3">
      <c r="A21" s="497"/>
      <c r="B21" s="444" t="s">
        <v>1173</v>
      </c>
      <c r="C21" s="499"/>
      <c r="D21" s="494"/>
      <c r="E21" s="494">
        <v>11038</v>
      </c>
      <c r="F21" s="492"/>
      <c r="G21" s="494"/>
      <c r="H21" s="491">
        <f t="shared" si="3"/>
        <v>11038</v>
      </c>
      <c r="I21" s="493"/>
      <c r="J21" s="492"/>
      <c r="K21" s="492"/>
      <c r="L21" s="491">
        <f t="shared" si="0"/>
        <v>0</v>
      </c>
      <c r="M21" s="490">
        <f t="shared" si="1"/>
        <v>11038</v>
      </c>
      <c r="N21" s="490"/>
      <c r="O21" s="490">
        <f t="shared" si="2"/>
        <v>11038</v>
      </c>
    </row>
    <row r="22" spans="1:16" ht="17.25" thickTop="1" thickBot="1" x14ac:dyDescent="0.3">
      <c r="A22" s="478"/>
      <c r="B22" s="477" t="s">
        <v>430</v>
      </c>
      <c r="C22" s="476">
        <f>+C8+C12+C18+C19+C13+C14+C16+C20+C15+C21</f>
        <v>485091</v>
      </c>
      <c r="D22" s="476">
        <f t="shared" ref="D22:O22" si="4">+D8+D12+D18+D19+D13+D14+D16+D20+D15+D21</f>
        <v>103221</v>
      </c>
      <c r="E22" s="476">
        <f t="shared" si="4"/>
        <v>182645</v>
      </c>
      <c r="F22" s="476">
        <f t="shared" si="4"/>
        <v>0</v>
      </c>
      <c r="G22" s="476">
        <f t="shared" si="4"/>
        <v>0</v>
      </c>
      <c r="H22" s="476">
        <f t="shared" si="4"/>
        <v>770957</v>
      </c>
      <c r="I22" s="476">
        <f t="shared" si="4"/>
        <v>10795</v>
      </c>
      <c r="J22" s="476">
        <f t="shared" si="4"/>
        <v>0</v>
      </c>
      <c r="K22" s="476">
        <f t="shared" si="4"/>
        <v>0</v>
      </c>
      <c r="L22" s="476">
        <f t="shared" si="4"/>
        <v>10795</v>
      </c>
      <c r="M22" s="476">
        <f t="shared" si="4"/>
        <v>781752</v>
      </c>
      <c r="N22" s="476">
        <f t="shared" si="4"/>
        <v>0</v>
      </c>
      <c r="O22" s="476">
        <f t="shared" si="4"/>
        <v>781752</v>
      </c>
      <c r="P22" s="430">
        <f>+O23+O24</f>
        <v>781752</v>
      </c>
    </row>
    <row r="23" spans="1:16" ht="17.25" thickTop="1" thickBot="1" x14ac:dyDescent="0.3">
      <c r="A23" s="478"/>
      <c r="B23" s="477" t="s">
        <v>429</v>
      </c>
      <c r="C23" s="476">
        <f t="shared" ref="C23:O23" si="5">+C9+C12+C13+C14+C16+C15</f>
        <v>373180</v>
      </c>
      <c r="D23" s="476">
        <f t="shared" si="5"/>
        <v>79032</v>
      </c>
      <c r="E23" s="476">
        <f t="shared" si="5"/>
        <v>135067</v>
      </c>
      <c r="F23" s="476">
        <f t="shared" si="5"/>
        <v>0</v>
      </c>
      <c r="G23" s="476">
        <f t="shared" si="5"/>
        <v>0</v>
      </c>
      <c r="H23" s="476">
        <f t="shared" si="5"/>
        <v>587279</v>
      </c>
      <c r="I23" s="476">
        <f t="shared" si="5"/>
        <v>10795</v>
      </c>
      <c r="J23" s="476">
        <f t="shared" si="5"/>
        <v>0</v>
      </c>
      <c r="K23" s="476">
        <f t="shared" si="5"/>
        <v>0</v>
      </c>
      <c r="L23" s="476">
        <f t="shared" si="5"/>
        <v>10795</v>
      </c>
      <c r="M23" s="476">
        <f t="shared" si="5"/>
        <v>598074</v>
      </c>
      <c r="N23" s="476">
        <f t="shared" si="5"/>
        <v>0</v>
      </c>
      <c r="O23" s="476">
        <f t="shared" si="5"/>
        <v>598074</v>
      </c>
      <c r="P23" s="430"/>
    </row>
    <row r="24" spans="1:16" ht="17.25" thickTop="1" thickBot="1" x14ac:dyDescent="0.3">
      <c r="A24" s="478"/>
      <c r="B24" s="477" t="s">
        <v>428</v>
      </c>
      <c r="C24" s="476">
        <f>+C10+C18+C19+C20+C21</f>
        <v>111911</v>
      </c>
      <c r="D24" s="476">
        <f t="shared" ref="D24:O24" si="6">+D10+D18+D19+D20+D21</f>
        <v>24189</v>
      </c>
      <c r="E24" s="476">
        <f t="shared" si="6"/>
        <v>47578</v>
      </c>
      <c r="F24" s="476">
        <f t="shared" si="6"/>
        <v>0</v>
      </c>
      <c r="G24" s="476">
        <f t="shared" si="6"/>
        <v>0</v>
      </c>
      <c r="H24" s="476">
        <f t="shared" si="6"/>
        <v>183678</v>
      </c>
      <c r="I24" s="476">
        <f t="shared" si="6"/>
        <v>0</v>
      </c>
      <c r="J24" s="476">
        <f t="shared" si="6"/>
        <v>0</v>
      </c>
      <c r="K24" s="476">
        <f t="shared" si="6"/>
        <v>0</v>
      </c>
      <c r="L24" s="476">
        <f t="shared" si="6"/>
        <v>0</v>
      </c>
      <c r="M24" s="476">
        <f t="shared" si="6"/>
        <v>183678</v>
      </c>
      <c r="N24" s="476">
        <f t="shared" si="6"/>
        <v>0</v>
      </c>
      <c r="O24" s="476">
        <f t="shared" si="6"/>
        <v>183678</v>
      </c>
    </row>
    <row r="25" spans="1:16" s="504" customFormat="1" ht="32.25" thickTop="1" x14ac:dyDescent="0.25">
      <c r="A25" s="497" t="s">
        <v>155</v>
      </c>
      <c r="B25" s="453" t="s">
        <v>462</v>
      </c>
      <c r="C25" s="499"/>
      <c r="D25" s="494"/>
      <c r="E25" s="494"/>
      <c r="F25" s="492"/>
      <c r="G25" s="494"/>
      <c r="H25" s="491"/>
      <c r="I25" s="493"/>
      <c r="J25" s="492"/>
      <c r="K25" s="492"/>
      <c r="L25" s="491"/>
      <c r="M25" s="490"/>
      <c r="N25" s="490"/>
      <c r="O25" s="490"/>
      <c r="P25" s="475"/>
    </row>
    <row r="26" spans="1:16" x14ac:dyDescent="0.25">
      <c r="A26" s="503"/>
      <c r="B26" s="453" t="s">
        <v>389</v>
      </c>
      <c r="C26" s="499">
        <v>82741</v>
      </c>
      <c r="D26" s="494">
        <v>15996</v>
      </c>
      <c r="E26" s="494">
        <v>31273</v>
      </c>
      <c r="F26" s="492"/>
      <c r="G26" s="494"/>
      <c r="H26" s="491">
        <f>SUM(C26:G26)</f>
        <v>130010</v>
      </c>
      <c r="I26" s="493">
        <v>8292</v>
      </c>
      <c r="J26" s="492"/>
      <c r="K26" s="492"/>
      <c r="L26" s="491">
        <f>SUM(I26:K26)</f>
        <v>8292</v>
      </c>
      <c r="M26" s="491">
        <f>SUM(H26+L26)</f>
        <v>138302</v>
      </c>
      <c r="N26" s="491"/>
      <c r="O26" s="491">
        <f>SUM(M26+N26)</f>
        <v>138302</v>
      </c>
    </row>
    <row r="27" spans="1:16" x14ac:dyDescent="0.25">
      <c r="A27" s="531"/>
      <c r="B27" s="502" t="s">
        <v>432</v>
      </c>
      <c r="C27" s="530">
        <v>40116</v>
      </c>
      <c r="D27" s="511">
        <v>7857</v>
      </c>
      <c r="E27" s="511">
        <v>9839</v>
      </c>
      <c r="F27" s="507"/>
      <c r="G27" s="511"/>
      <c r="H27" s="506">
        <f>SUM(C27:G27)</f>
        <v>57812</v>
      </c>
      <c r="I27" s="508">
        <v>3317</v>
      </c>
      <c r="J27" s="507"/>
      <c r="K27" s="507"/>
      <c r="L27" s="506">
        <f>SUM(I27:K27)</f>
        <v>3317</v>
      </c>
      <c r="M27" s="506">
        <f>SUM(H27+L27)</f>
        <v>61129</v>
      </c>
      <c r="N27" s="506"/>
      <c r="O27" s="506">
        <f>SUM(M27+N27)</f>
        <v>61129</v>
      </c>
      <c r="P27" s="504"/>
    </row>
    <row r="28" spans="1:16" x14ac:dyDescent="0.25">
      <c r="A28" s="497"/>
      <c r="B28" s="498" t="s">
        <v>431</v>
      </c>
      <c r="C28" s="530">
        <v>42625</v>
      </c>
      <c r="D28" s="511">
        <v>8139</v>
      </c>
      <c r="E28" s="511">
        <v>21434</v>
      </c>
      <c r="F28" s="507"/>
      <c r="G28" s="511"/>
      <c r="H28" s="506">
        <f>SUM(C28:G28)</f>
        <v>72198</v>
      </c>
      <c r="I28" s="508">
        <v>4975</v>
      </c>
      <c r="J28" s="507"/>
      <c r="K28" s="507"/>
      <c r="L28" s="506">
        <f>SUM(I28:K28)</f>
        <v>4975</v>
      </c>
      <c r="M28" s="505">
        <f>SUM(H28+L28)</f>
        <v>77173</v>
      </c>
      <c r="N28" s="505"/>
      <c r="O28" s="505">
        <f>SUM(M28+N28)</f>
        <v>77173</v>
      </c>
    </row>
    <row r="29" spans="1:16" x14ac:dyDescent="0.25">
      <c r="A29" s="497"/>
      <c r="B29" s="498" t="s">
        <v>140</v>
      </c>
      <c r="C29" s="499"/>
      <c r="D29" s="494"/>
      <c r="E29" s="494"/>
      <c r="F29" s="492"/>
      <c r="G29" s="494"/>
      <c r="H29" s="506"/>
      <c r="I29" s="493"/>
      <c r="J29" s="492"/>
      <c r="K29" s="492"/>
      <c r="L29" s="506"/>
      <c r="M29" s="505"/>
      <c r="N29" s="490"/>
      <c r="O29" s="505"/>
    </row>
    <row r="30" spans="1:16" ht="31.5" x14ac:dyDescent="0.25">
      <c r="A30" s="497"/>
      <c r="B30" s="444" t="s">
        <v>1231</v>
      </c>
      <c r="C30" s="499">
        <v>366</v>
      </c>
      <c r="D30" s="494">
        <v>72</v>
      </c>
      <c r="E30" s="494"/>
      <c r="F30" s="492"/>
      <c r="G30" s="494"/>
      <c r="H30" s="545">
        <f t="shared" ref="H30:H34" si="7">SUM(C30:G30)</f>
        <v>438</v>
      </c>
      <c r="I30" s="493"/>
      <c r="J30" s="492"/>
      <c r="K30" s="492"/>
      <c r="L30" s="545">
        <f t="shared" ref="L30:L34" si="8">SUM(I30:K30)</f>
        <v>0</v>
      </c>
      <c r="M30" s="544">
        <f t="shared" ref="M30:M34" si="9">SUM(H30+L30)</f>
        <v>438</v>
      </c>
      <c r="N30" s="490"/>
      <c r="O30" s="544">
        <f t="shared" ref="O30:O34" si="10">SUM(M30+N30)</f>
        <v>438</v>
      </c>
    </row>
    <row r="31" spans="1:16" ht="47.25" x14ac:dyDescent="0.25">
      <c r="A31" s="497"/>
      <c r="B31" s="444" t="s">
        <v>1236</v>
      </c>
      <c r="C31" s="499">
        <v>4364</v>
      </c>
      <c r="D31" s="494">
        <v>851</v>
      </c>
      <c r="E31" s="494"/>
      <c r="F31" s="492"/>
      <c r="G31" s="494"/>
      <c r="H31" s="545">
        <f t="shared" si="7"/>
        <v>5215</v>
      </c>
      <c r="I31" s="493"/>
      <c r="J31" s="492"/>
      <c r="K31" s="492"/>
      <c r="L31" s="545">
        <f t="shared" si="8"/>
        <v>0</v>
      </c>
      <c r="M31" s="544">
        <f t="shared" si="9"/>
        <v>5215</v>
      </c>
      <c r="N31" s="490"/>
      <c r="O31" s="544">
        <f t="shared" si="10"/>
        <v>5215</v>
      </c>
    </row>
    <row r="32" spans="1:16" ht="31.5" x14ac:dyDescent="0.25">
      <c r="A32" s="497"/>
      <c r="B32" s="444" t="s">
        <v>1175</v>
      </c>
      <c r="C32" s="499">
        <v>-844</v>
      </c>
      <c r="D32" s="494">
        <v>-165</v>
      </c>
      <c r="E32" s="494"/>
      <c r="F32" s="492"/>
      <c r="G32" s="494"/>
      <c r="H32" s="545">
        <f t="shared" si="7"/>
        <v>-1009</v>
      </c>
      <c r="I32" s="493"/>
      <c r="J32" s="492"/>
      <c r="K32" s="492"/>
      <c r="L32" s="545">
        <f t="shared" si="8"/>
        <v>0</v>
      </c>
      <c r="M32" s="544">
        <f t="shared" si="9"/>
        <v>-1009</v>
      </c>
      <c r="N32" s="490"/>
      <c r="O32" s="544">
        <f t="shared" si="10"/>
        <v>-1009</v>
      </c>
    </row>
    <row r="33" spans="1:16" x14ac:dyDescent="0.25">
      <c r="A33" s="497"/>
      <c r="B33" s="498" t="s">
        <v>141</v>
      </c>
      <c r="C33" s="499"/>
      <c r="D33" s="494"/>
      <c r="E33" s="494"/>
      <c r="F33" s="492"/>
      <c r="G33" s="494"/>
      <c r="H33" s="506"/>
      <c r="I33" s="493"/>
      <c r="J33" s="492"/>
      <c r="K33" s="492"/>
      <c r="L33" s="545"/>
      <c r="M33" s="544"/>
      <c r="N33" s="490"/>
      <c r="O33" s="544"/>
    </row>
    <row r="34" spans="1:16" ht="16.5" thickBot="1" x14ac:dyDescent="0.3">
      <c r="A34" s="497"/>
      <c r="B34" s="444" t="s">
        <v>1235</v>
      </c>
      <c r="C34" s="499">
        <v>885</v>
      </c>
      <c r="D34" s="494">
        <v>303</v>
      </c>
      <c r="E34" s="494"/>
      <c r="F34" s="492"/>
      <c r="G34" s="494"/>
      <c r="H34" s="545">
        <f t="shared" si="7"/>
        <v>1188</v>
      </c>
      <c r="I34" s="493"/>
      <c r="J34" s="492"/>
      <c r="K34" s="492"/>
      <c r="L34" s="545">
        <f t="shared" si="8"/>
        <v>0</v>
      </c>
      <c r="M34" s="544">
        <f t="shared" si="9"/>
        <v>1188</v>
      </c>
      <c r="N34" s="490"/>
      <c r="O34" s="544">
        <f t="shared" si="10"/>
        <v>1188</v>
      </c>
    </row>
    <row r="35" spans="1:16" ht="17.25" thickTop="1" thickBot="1" x14ac:dyDescent="0.3">
      <c r="A35" s="478"/>
      <c r="B35" s="477" t="s">
        <v>430</v>
      </c>
      <c r="C35" s="476">
        <f>+C26+C30+C34+C31+C32</f>
        <v>87512</v>
      </c>
      <c r="D35" s="476">
        <f t="shared" ref="D35:O35" si="11">+D26+D30+D34+D31+D32</f>
        <v>17057</v>
      </c>
      <c r="E35" s="476">
        <f t="shared" si="11"/>
        <v>31273</v>
      </c>
      <c r="F35" s="476">
        <f t="shared" si="11"/>
        <v>0</v>
      </c>
      <c r="G35" s="476">
        <f t="shared" si="11"/>
        <v>0</v>
      </c>
      <c r="H35" s="476">
        <f t="shared" si="11"/>
        <v>135842</v>
      </c>
      <c r="I35" s="476">
        <f t="shared" si="11"/>
        <v>8292</v>
      </c>
      <c r="J35" s="476">
        <f t="shared" si="11"/>
        <v>0</v>
      </c>
      <c r="K35" s="476">
        <f t="shared" si="11"/>
        <v>0</v>
      </c>
      <c r="L35" s="476">
        <f t="shared" si="11"/>
        <v>8292</v>
      </c>
      <c r="M35" s="476">
        <f t="shared" si="11"/>
        <v>144134</v>
      </c>
      <c r="N35" s="476">
        <f t="shared" si="11"/>
        <v>0</v>
      </c>
      <c r="O35" s="476">
        <f t="shared" si="11"/>
        <v>144134</v>
      </c>
    </row>
    <row r="36" spans="1:16" ht="17.25" thickTop="1" thickBot="1" x14ac:dyDescent="0.3">
      <c r="A36" s="478"/>
      <c r="B36" s="477" t="s">
        <v>429</v>
      </c>
      <c r="C36" s="476">
        <f>+C27+C30+C31+C32</f>
        <v>44002</v>
      </c>
      <c r="D36" s="476">
        <f t="shared" ref="D36:O36" si="12">+D27+D30+D31+D32</f>
        <v>8615</v>
      </c>
      <c r="E36" s="476">
        <f t="shared" si="12"/>
        <v>9839</v>
      </c>
      <c r="F36" s="476">
        <f t="shared" si="12"/>
        <v>0</v>
      </c>
      <c r="G36" s="476">
        <f t="shared" si="12"/>
        <v>0</v>
      </c>
      <c r="H36" s="476">
        <f t="shared" si="12"/>
        <v>62456</v>
      </c>
      <c r="I36" s="476">
        <f t="shared" si="12"/>
        <v>3317</v>
      </c>
      <c r="J36" s="476">
        <f t="shared" si="12"/>
        <v>0</v>
      </c>
      <c r="K36" s="476">
        <f t="shared" si="12"/>
        <v>0</v>
      </c>
      <c r="L36" s="476">
        <f t="shared" si="12"/>
        <v>3317</v>
      </c>
      <c r="M36" s="476">
        <f t="shared" si="12"/>
        <v>65773</v>
      </c>
      <c r="N36" s="476">
        <f t="shared" si="12"/>
        <v>0</v>
      </c>
      <c r="O36" s="476">
        <f t="shared" si="12"/>
        <v>65773</v>
      </c>
      <c r="P36" s="430">
        <f>+O36+O37</f>
        <v>144134</v>
      </c>
    </row>
    <row r="37" spans="1:16" ht="17.25" thickTop="1" thickBot="1" x14ac:dyDescent="0.3">
      <c r="A37" s="478"/>
      <c r="B37" s="477" t="s">
        <v>428</v>
      </c>
      <c r="C37" s="476">
        <f>+C28+C34</f>
        <v>43510</v>
      </c>
      <c r="D37" s="476">
        <f t="shared" ref="D37:O37" si="13">+D28+D34</f>
        <v>8442</v>
      </c>
      <c r="E37" s="476">
        <f t="shared" si="13"/>
        <v>21434</v>
      </c>
      <c r="F37" s="476">
        <f t="shared" si="13"/>
        <v>0</v>
      </c>
      <c r="G37" s="476">
        <f t="shared" si="13"/>
        <v>0</v>
      </c>
      <c r="H37" s="476">
        <f t="shared" si="13"/>
        <v>73386</v>
      </c>
      <c r="I37" s="476">
        <f t="shared" si="13"/>
        <v>4975</v>
      </c>
      <c r="J37" s="476">
        <f t="shared" si="13"/>
        <v>0</v>
      </c>
      <c r="K37" s="476">
        <f t="shared" si="13"/>
        <v>0</v>
      </c>
      <c r="L37" s="476">
        <f t="shared" si="13"/>
        <v>4975</v>
      </c>
      <c r="M37" s="476">
        <f t="shared" si="13"/>
        <v>78361</v>
      </c>
      <c r="N37" s="476">
        <f t="shared" si="13"/>
        <v>0</v>
      </c>
      <c r="O37" s="476">
        <f t="shared" si="13"/>
        <v>78361</v>
      </c>
    </row>
    <row r="38" spans="1:16" ht="17.25" thickTop="1" thickBot="1" x14ac:dyDescent="0.3">
      <c r="A38" s="478"/>
      <c r="B38" s="477" t="s">
        <v>461</v>
      </c>
      <c r="C38" s="476">
        <f t="shared" ref="C38:O38" si="14">SUM(C22+C35)</f>
        <v>572603</v>
      </c>
      <c r="D38" s="476">
        <f t="shared" si="14"/>
        <v>120278</v>
      </c>
      <c r="E38" s="476">
        <f t="shared" si="14"/>
        <v>213918</v>
      </c>
      <c r="F38" s="476">
        <f t="shared" si="14"/>
        <v>0</v>
      </c>
      <c r="G38" s="476">
        <f t="shared" si="14"/>
        <v>0</v>
      </c>
      <c r="H38" s="476">
        <f t="shared" si="14"/>
        <v>906799</v>
      </c>
      <c r="I38" s="476">
        <f t="shared" si="14"/>
        <v>19087</v>
      </c>
      <c r="J38" s="476">
        <f t="shared" si="14"/>
        <v>0</v>
      </c>
      <c r="K38" s="476">
        <f t="shared" si="14"/>
        <v>0</v>
      </c>
      <c r="L38" s="476">
        <f t="shared" si="14"/>
        <v>19087</v>
      </c>
      <c r="M38" s="476">
        <f t="shared" si="14"/>
        <v>925886</v>
      </c>
      <c r="N38" s="476">
        <f t="shared" si="14"/>
        <v>0</v>
      </c>
      <c r="O38" s="476">
        <f t="shared" si="14"/>
        <v>925886</v>
      </c>
    </row>
    <row r="39" spans="1:16" ht="16.5" thickTop="1" x14ac:dyDescent="0.25">
      <c r="A39" s="497" t="s">
        <v>156</v>
      </c>
      <c r="B39" s="519" t="s">
        <v>460</v>
      </c>
      <c r="C39" s="496"/>
      <c r="D39" s="514"/>
      <c r="E39" s="494"/>
      <c r="F39" s="494"/>
      <c r="G39" s="514"/>
      <c r="H39" s="491"/>
      <c r="I39" s="517"/>
      <c r="J39" s="515"/>
      <c r="K39" s="515"/>
      <c r="L39" s="491"/>
      <c r="M39" s="516"/>
      <c r="N39" s="516"/>
      <c r="O39" s="516"/>
    </row>
    <row r="40" spans="1:16" x14ac:dyDescent="0.25">
      <c r="A40" s="497"/>
      <c r="B40" s="444" t="s">
        <v>389</v>
      </c>
      <c r="C40" s="496">
        <v>64292</v>
      </c>
      <c r="D40" s="514">
        <v>12484</v>
      </c>
      <c r="E40" s="494">
        <v>15367</v>
      </c>
      <c r="F40" s="514"/>
      <c r="G40" s="494"/>
      <c r="H40" s="491">
        <f>SUM(C40:G40)</f>
        <v>92143</v>
      </c>
      <c r="I40" s="493"/>
      <c r="J40" s="492"/>
      <c r="K40" s="492"/>
      <c r="L40" s="491">
        <f>SUM(I40:K40)</f>
        <v>0</v>
      </c>
      <c r="M40" s="490">
        <f>SUM(H40+L40)</f>
        <v>92143</v>
      </c>
      <c r="N40" s="490"/>
      <c r="O40" s="516">
        <f>SUM(M40+N40)</f>
        <v>92143</v>
      </c>
    </row>
    <row r="41" spans="1:16" s="504" customFormat="1" x14ac:dyDescent="0.25">
      <c r="A41" s="513"/>
      <c r="B41" s="498" t="s">
        <v>432</v>
      </c>
      <c r="C41" s="530">
        <v>63660</v>
      </c>
      <c r="D41" s="511">
        <v>12267</v>
      </c>
      <c r="E41" s="511">
        <v>15312</v>
      </c>
      <c r="F41" s="507"/>
      <c r="G41" s="511"/>
      <c r="H41" s="491">
        <f>SUM(C41:G41)</f>
        <v>91239</v>
      </c>
      <c r="I41" s="493"/>
      <c r="J41" s="492"/>
      <c r="K41" s="492"/>
      <c r="L41" s="491">
        <f>SUM(I41:K41)</f>
        <v>0</v>
      </c>
      <c r="M41" s="490">
        <f>SUM(H41+L41)</f>
        <v>91239</v>
      </c>
      <c r="N41" s="490"/>
      <c r="O41" s="516">
        <f>SUM(M41+N41)</f>
        <v>91239</v>
      </c>
    </row>
    <row r="42" spans="1:16" s="504" customFormat="1" x14ac:dyDescent="0.25">
      <c r="A42" s="513"/>
      <c r="B42" s="498" t="s">
        <v>431</v>
      </c>
      <c r="C42" s="512">
        <v>632</v>
      </c>
      <c r="D42" s="509">
        <v>217</v>
      </c>
      <c r="E42" s="511">
        <v>55</v>
      </c>
      <c r="F42" s="509"/>
      <c r="G42" s="511"/>
      <c r="H42" s="506">
        <f>SUM(C42:G42)</f>
        <v>904</v>
      </c>
      <c r="I42" s="508"/>
      <c r="J42" s="507"/>
      <c r="K42" s="507"/>
      <c r="L42" s="506">
        <f>SUM(I42:K42)</f>
        <v>0</v>
      </c>
      <c r="M42" s="505">
        <f>SUM(H42+L42)</f>
        <v>904</v>
      </c>
      <c r="N42" s="505"/>
      <c r="O42" s="658">
        <f>SUM(M42+N42)</f>
        <v>904</v>
      </c>
    </row>
    <row r="43" spans="1:16" x14ac:dyDescent="0.25">
      <c r="A43" s="497"/>
      <c r="B43" s="498" t="s">
        <v>140</v>
      </c>
      <c r="C43" s="496"/>
      <c r="D43" s="514"/>
      <c r="E43" s="494"/>
      <c r="F43" s="514"/>
      <c r="G43" s="494"/>
      <c r="H43" s="506"/>
      <c r="I43" s="493"/>
      <c r="J43" s="492"/>
      <c r="K43" s="492"/>
      <c r="L43" s="506"/>
      <c r="M43" s="505"/>
      <c r="N43" s="490"/>
      <c r="O43" s="658"/>
    </row>
    <row r="44" spans="1:16" ht="31.5" x14ac:dyDescent="0.25">
      <c r="A44" s="497"/>
      <c r="B44" s="444" t="s">
        <v>1231</v>
      </c>
      <c r="C44" s="496">
        <v>99</v>
      </c>
      <c r="D44" s="514">
        <v>20</v>
      </c>
      <c r="E44" s="494"/>
      <c r="F44" s="514"/>
      <c r="G44" s="494"/>
      <c r="H44" s="545">
        <f t="shared" ref="H44:H49" si="15">SUM(C44:G44)</f>
        <v>119</v>
      </c>
      <c r="I44" s="493"/>
      <c r="J44" s="492"/>
      <c r="K44" s="492"/>
      <c r="L44" s="545">
        <f t="shared" ref="L44:L49" si="16">SUM(I44:K44)</f>
        <v>0</v>
      </c>
      <c r="M44" s="544">
        <f t="shared" ref="M44:M49" si="17">SUM(H44+L44)</f>
        <v>119</v>
      </c>
      <c r="N44" s="490"/>
      <c r="O44" s="659">
        <f t="shared" ref="O44:O49" si="18">SUM(M44+N44)</f>
        <v>119</v>
      </c>
    </row>
    <row r="45" spans="1:16" ht="47.25" x14ac:dyDescent="0.25">
      <c r="A45" s="497"/>
      <c r="B45" s="444" t="s">
        <v>1236</v>
      </c>
      <c r="C45" s="496">
        <v>396</v>
      </c>
      <c r="D45" s="514">
        <v>77</v>
      </c>
      <c r="E45" s="494"/>
      <c r="F45" s="514"/>
      <c r="G45" s="494"/>
      <c r="H45" s="545">
        <f t="shared" si="15"/>
        <v>473</v>
      </c>
      <c r="I45" s="493"/>
      <c r="J45" s="492"/>
      <c r="K45" s="492"/>
      <c r="L45" s="545">
        <f t="shared" si="16"/>
        <v>0</v>
      </c>
      <c r="M45" s="544">
        <f t="shared" si="17"/>
        <v>473</v>
      </c>
      <c r="N45" s="490"/>
      <c r="O45" s="659">
        <f t="shared" si="18"/>
        <v>473</v>
      </c>
    </row>
    <row r="46" spans="1:16" ht="31.5" x14ac:dyDescent="0.25">
      <c r="A46" s="497"/>
      <c r="B46" s="444" t="s">
        <v>929</v>
      </c>
      <c r="C46" s="496">
        <v>-415</v>
      </c>
      <c r="D46" s="514">
        <v>-80</v>
      </c>
      <c r="E46" s="494">
        <v>469</v>
      </c>
      <c r="F46" s="514"/>
      <c r="G46" s="494"/>
      <c r="H46" s="545">
        <f t="shared" si="15"/>
        <v>-26</v>
      </c>
      <c r="I46" s="493">
        <v>26</v>
      </c>
      <c r="J46" s="492"/>
      <c r="K46" s="492"/>
      <c r="L46" s="545">
        <f t="shared" si="16"/>
        <v>26</v>
      </c>
      <c r="M46" s="544">
        <f t="shared" si="17"/>
        <v>0</v>
      </c>
      <c r="N46" s="490"/>
      <c r="O46" s="659">
        <f t="shared" si="18"/>
        <v>0</v>
      </c>
    </row>
    <row r="47" spans="1:16" ht="31.5" x14ac:dyDescent="0.25">
      <c r="A47" s="497"/>
      <c r="B47" s="444" t="s">
        <v>928</v>
      </c>
      <c r="C47" s="496"/>
      <c r="D47" s="514"/>
      <c r="E47" s="494">
        <v>78</v>
      </c>
      <c r="F47" s="514"/>
      <c r="G47" s="494"/>
      <c r="H47" s="545">
        <f t="shared" si="15"/>
        <v>78</v>
      </c>
      <c r="I47" s="493"/>
      <c r="J47" s="492"/>
      <c r="K47" s="492"/>
      <c r="L47" s="545">
        <f t="shared" si="16"/>
        <v>0</v>
      </c>
      <c r="M47" s="544">
        <f t="shared" si="17"/>
        <v>78</v>
      </c>
      <c r="N47" s="490"/>
      <c r="O47" s="659">
        <f t="shared" si="18"/>
        <v>78</v>
      </c>
    </row>
    <row r="48" spans="1:16" x14ac:dyDescent="0.25">
      <c r="A48" s="497"/>
      <c r="B48" s="498" t="s">
        <v>141</v>
      </c>
      <c r="C48" s="496"/>
      <c r="D48" s="514"/>
      <c r="E48" s="494"/>
      <c r="F48" s="514"/>
      <c r="G48" s="494"/>
      <c r="H48" s="506"/>
      <c r="I48" s="493"/>
      <c r="J48" s="492"/>
      <c r="K48" s="492"/>
      <c r="L48" s="545"/>
      <c r="M48" s="544"/>
      <c r="N48" s="490"/>
      <c r="O48" s="659"/>
    </row>
    <row r="49" spans="1:16" ht="16.5" thickBot="1" x14ac:dyDescent="0.3">
      <c r="A49" s="497"/>
      <c r="B49" s="444" t="s">
        <v>1235</v>
      </c>
      <c r="C49" s="496">
        <v>875</v>
      </c>
      <c r="D49" s="514">
        <v>300</v>
      </c>
      <c r="E49" s="494"/>
      <c r="F49" s="514"/>
      <c r="G49" s="494"/>
      <c r="H49" s="545">
        <f t="shared" si="15"/>
        <v>1175</v>
      </c>
      <c r="I49" s="493"/>
      <c r="J49" s="492"/>
      <c r="K49" s="492"/>
      <c r="L49" s="545">
        <f t="shared" si="16"/>
        <v>0</v>
      </c>
      <c r="M49" s="544">
        <f t="shared" si="17"/>
        <v>1175</v>
      </c>
      <c r="N49" s="490"/>
      <c r="O49" s="659">
        <f t="shared" si="18"/>
        <v>1175</v>
      </c>
    </row>
    <row r="50" spans="1:16" ht="17.25" thickTop="1" thickBot="1" x14ac:dyDescent="0.3">
      <c r="A50" s="478"/>
      <c r="B50" s="477" t="s">
        <v>430</v>
      </c>
      <c r="C50" s="476">
        <f>+C40+C44+C49+C45+C46+C47</f>
        <v>65247</v>
      </c>
      <c r="D50" s="476">
        <f t="shared" ref="D50:O50" si="19">+D40+D44+D49+D45+D46+D47</f>
        <v>12801</v>
      </c>
      <c r="E50" s="476">
        <f t="shared" si="19"/>
        <v>15914</v>
      </c>
      <c r="F50" s="476">
        <f t="shared" si="19"/>
        <v>0</v>
      </c>
      <c r="G50" s="476">
        <f t="shared" si="19"/>
        <v>0</v>
      </c>
      <c r="H50" s="476">
        <f t="shared" si="19"/>
        <v>93962</v>
      </c>
      <c r="I50" s="476">
        <f t="shared" si="19"/>
        <v>26</v>
      </c>
      <c r="J50" s="476">
        <f t="shared" si="19"/>
        <v>0</v>
      </c>
      <c r="K50" s="476">
        <f t="shared" si="19"/>
        <v>0</v>
      </c>
      <c r="L50" s="476">
        <f t="shared" si="19"/>
        <v>26</v>
      </c>
      <c r="M50" s="476">
        <f t="shared" si="19"/>
        <v>93988</v>
      </c>
      <c r="N50" s="476">
        <f t="shared" si="19"/>
        <v>0</v>
      </c>
      <c r="O50" s="476">
        <f t="shared" si="19"/>
        <v>93988</v>
      </c>
      <c r="P50" s="430">
        <f>O51+O52</f>
        <v>93988</v>
      </c>
    </row>
    <row r="51" spans="1:16" ht="17.25" thickTop="1" thickBot="1" x14ac:dyDescent="0.3">
      <c r="A51" s="478"/>
      <c r="B51" s="477" t="s">
        <v>429</v>
      </c>
      <c r="C51" s="476">
        <f t="shared" ref="C51:O51" si="20">+C41+C44+C45+C46+C47</f>
        <v>63740</v>
      </c>
      <c r="D51" s="476">
        <f t="shared" si="20"/>
        <v>12284</v>
      </c>
      <c r="E51" s="476">
        <f t="shared" si="20"/>
        <v>15859</v>
      </c>
      <c r="F51" s="476">
        <f t="shared" si="20"/>
        <v>0</v>
      </c>
      <c r="G51" s="476">
        <f t="shared" si="20"/>
        <v>0</v>
      </c>
      <c r="H51" s="476">
        <f t="shared" si="20"/>
        <v>91883</v>
      </c>
      <c r="I51" s="476">
        <f t="shared" si="20"/>
        <v>26</v>
      </c>
      <c r="J51" s="476">
        <f t="shared" si="20"/>
        <v>0</v>
      </c>
      <c r="K51" s="476">
        <f t="shared" si="20"/>
        <v>0</v>
      </c>
      <c r="L51" s="476">
        <f t="shared" si="20"/>
        <v>26</v>
      </c>
      <c r="M51" s="476">
        <f t="shared" si="20"/>
        <v>91909</v>
      </c>
      <c r="N51" s="476">
        <f t="shared" si="20"/>
        <v>0</v>
      </c>
      <c r="O51" s="476">
        <f t="shared" si="20"/>
        <v>91909</v>
      </c>
    </row>
    <row r="52" spans="1:16" ht="17.25" thickTop="1" thickBot="1" x14ac:dyDescent="0.3">
      <c r="A52" s="478"/>
      <c r="B52" s="477" t="s">
        <v>428</v>
      </c>
      <c r="C52" s="476">
        <f>+C42+C49</f>
        <v>1507</v>
      </c>
      <c r="D52" s="476">
        <f t="shared" ref="D52:O52" si="21">+D42+D49</f>
        <v>517</v>
      </c>
      <c r="E52" s="476">
        <f t="shared" si="21"/>
        <v>55</v>
      </c>
      <c r="F52" s="476">
        <f t="shared" si="21"/>
        <v>0</v>
      </c>
      <c r="G52" s="476">
        <f t="shared" si="21"/>
        <v>0</v>
      </c>
      <c r="H52" s="476">
        <f t="shared" si="21"/>
        <v>2079</v>
      </c>
      <c r="I52" s="476">
        <f t="shared" si="21"/>
        <v>0</v>
      </c>
      <c r="J52" s="476">
        <f t="shared" si="21"/>
        <v>0</v>
      </c>
      <c r="K52" s="476">
        <f t="shared" si="21"/>
        <v>0</v>
      </c>
      <c r="L52" s="476">
        <f t="shared" si="21"/>
        <v>0</v>
      </c>
      <c r="M52" s="476">
        <f t="shared" si="21"/>
        <v>2079</v>
      </c>
      <c r="N52" s="476">
        <f t="shared" si="21"/>
        <v>0</v>
      </c>
      <c r="O52" s="476">
        <f t="shared" si="21"/>
        <v>2079</v>
      </c>
    </row>
    <row r="53" spans="1:16" ht="16.5" thickTop="1" x14ac:dyDescent="0.25">
      <c r="A53" s="497" t="s">
        <v>157</v>
      </c>
      <c r="B53" s="453" t="s">
        <v>1176</v>
      </c>
      <c r="C53" s="499"/>
      <c r="D53" s="494"/>
      <c r="E53" s="494"/>
      <c r="F53" s="500"/>
      <c r="G53" s="494"/>
      <c r="H53" s="491"/>
      <c r="I53" s="493"/>
      <c r="J53" s="492"/>
      <c r="K53" s="492"/>
      <c r="L53" s="491"/>
      <c r="M53" s="491"/>
      <c r="N53" s="491"/>
      <c r="O53" s="491"/>
    </row>
    <row r="54" spans="1:16" x14ac:dyDescent="0.25">
      <c r="A54" s="497"/>
      <c r="B54" s="444" t="s">
        <v>389</v>
      </c>
      <c r="C54" s="499">
        <v>70429</v>
      </c>
      <c r="D54" s="494">
        <v>13787</v>
      </c>
      <c r="E54" s="494">
        <v>16258</v>
      </c>
      <c r="F54" s="492"/>
      <c r="G54" s="494"/>
      <c r="H54" s="491">
        <f>SUM(C54:G54)</f>
        <v>100474</v>
      </c>
      <c r="I54" s="528"/>
      <c r="J54" s="500"/>
      <c r="K54" s="500"/>
      <c r="L54" s="491">
        <f>SUM(I54:K54)</f>
        <v>0</v>
      </c>
      <c r="M54" s="490">
        <f>SUM(H54+L54)</f>
        <v>100474</v>
      </c>
      <c r="N54" s="490"/>
      <c r="O54" s="490">
        <f>SUM(M54+N54)</f>
        <v>100474</v>
      </c>
    </row>
    <row r="55" spans="1:16" x14ac:dyDescent="0.25">
      <c r="A55" s="531"/>
      <c r="B55" s="502" t="s">
        <v>432</v>
      </c>
      <c r="C55" s="530">
        <v>69762</v>
      </c>
      <c r="D55" s="511">
        <v>13559</v>
      </c>
      <c r="E55" s="511">
        <v>16203</v>
      </c>
      <c r="F55" s="507"/>
      <c r="G55" s="511"/>
      <c r="H55" s="506">
        <f>SUM(C55:G55)</f>
        <v>99524</v>
      </c>
      <c r="I55" s="508"/>
      <c r="J55" s="507"/>
      <c r="K55" s="507"/>
      <c r="L55" s="506">
        <f>SUM(I55:K55)</f>
        <v>0</v>
      </c>
      <c r="M55" s="506">
        <f>SUM(H55+L55)</f>
        <v>99524</v>
      </c>
      <c r="N55" s="506"/>
      <c r="O55" s="506">
        <f>SUM(M55+N55)</f>
        <v>99524</v>
      </c>
      <c r="P55" s="504"/>
    </row>
    <row r="56" spans="1:16" x14ac:dyDescent="0.25">
      <c r="A56" s="531"/>
      <c r="B56" s="502" t="s">
        <v>431</v>
      </c>
      <c r="C56" s="530">
        <v>667</v>
      </c>
      <c r="D56" s="511">
        <v>228</v>
      </c>
      <c r="E56" s="511">
        <v>55</v>
      </c>
      <c r="F56" s="507"/>
      <c r="G56" s="511"/>
      <c r="H56" s="506">
        <f>SUM(C56:G56)</f>
        <v>950</v>
      </c>
      <c r="I56" s="508"/>
      <c r="J56" s="507"/>
      <c r="K56" s="507"/>
      <c r="L56" s="506">
        <f>SUM(I56:K56)</f>
        <v>0</v>
      </c>
      <c r="M56" s="506">
        <f>SUM(H56+L56)</f>
        <v>950</v>
      </c>
      <c r="N56" s="506"/>
      <c r="O56" s="506">
        <f>SUM(M56+N56)</f>
        <v>950</v>
      </c>
      <c r="P56" s="504"/>
    </row>
    <row r="57" spans="1:16" x14ac:dyDescent="0.25">
      <c r="A57" s="551"/>
      <c r="B57" s="498" t="s">
        <v>140</v>
      </c>
      <c r="C57" s="550"/>
      <c r="D57" s="548"/>
      <c r="E57" s="548"/>
      <c r="F57" s="549"/>
      <c r="G57" s="548"/>
      <c r="H57" s="506"/>
      <c r="I57" s="547"/>
      <c r="J57" s="546"/>
      <c r="K57" s="546"/>
      <c r="L57" s="506"/>
      <c r="M57" s="505"/>
      <c r="N57" s="544"/>
      <c r="O57" s="505"/>
      <c r="P57" s="543"/>
    </row>
    <row r="58" spans="1:16" s="504" customFormat="1" ht="31.5" x14ac:dyDescent="0.25">
      <c r="A58" s="551"/>
      <c r="B58" s="444" t="s">
        <v>1231</v>
      </c>
      <c r="C58" s="550">
        <v>302</v>
      </c>
      <c r="D58" s="548">
        <v>59</v>
      </c>
      <c r="E58" s="548"/>
      <c r="F58" s="549"/>
      <c r="G58" s="548"/>
      <c r="H58" s="545">
        <f t="shared" ref="H58:H63" si="22">SUM(C58:G58)</f>
        <v>361</v>
      </c>
      <c r="I58" s="547"/>
      <c r="J58" s="546"/>
      <c r="K58" s="546"/>
      <c r="L58" s="545">
        <f t="shared" ref="L58:L63" si="23">SUM(I58:K58)</f>
        <v>0</v>
      </c>
      <c r="M58" s="544">
        <f t="shared" ref="M58:M63" si="24">SUM(H58+L58)</f>
        <v>361</v>
      </c>
      <c r="N58" s="544"/>
      <c r="O58" s="544">
        <f t="shared" ref="O58:O63" si="25">SUM(M58+N58)</f>
        <v>361</v>
      </c>
      <c r="P58" s="543"/>
    </row>
    <row r="59" spans="1:16" s="504" customFormat="1" ht="47.25" x14ac:dyDescent="0.25">
      <c r="A59" s="551"/>
      <c r="B59" s="444" t="s">
        <v>1236</v>
      </c>
      <c r="C59" s="550">
        <v>520</v>
      </c>
      <c r="D59" s="548">
        <v>102</v>
      </c>
      <c r="E59" s="548"/>
      <c r="F59" s="549"/>
      <c r="G59" s="548"/>
      <c r="H59" s="545">
        <f t="shared" si="22"/>
        <v>622</v>
      </c>
      <c r="I59" s="547"/>
      <c r="J59" s="546"/>
      <c r="K59" s="546"/>
      <c r="L59" s="545">
        <f t="shared" si="23"/>
        <v>0</v>
      </c>
      <c r="M59" s="544">
        <f t="shared" si="24"/>
        <v>622</v>
      </c>
      <c r="N59" s="544"/>
      <c r="O59" s="544">
        <f t="shared" si="25"/>
        <v>622</v>
      </c>
      <c r="P59" s="543"/>
    </row>
    <row r="60" spans="1:16" s="543" customFormat="1" ht="31.5" x14ac:dyDescent="0.25">
      <c r="A60" s="551"/>
      <c r="B60" s="444" t="s">
        <v>628</v>
      </c>
      <c r="C60" s="550">
        <v>581</v>
      </c>
      <c r="D60" s="548">
        <v>114</v>
      </c>
      <c r="E60" s="548"/>
      <c r="F60" s="549"/>
      <c r="G60" s="548"/>
      <c r="H60" s="545">
        <f t="shared" si="22"/>
        <v>695</v>
      </c>
      <c r="I60" s="547"/>
      <c r="J60" s="546"/>
      <c r="K60" s="546"/>
      <c r="L60" s="545">
        <f t="shared" si="23"/>
        <v>0</v>
      </c>
      <c r="M60" s="544">
        <f t="shared" si="24"/>
        <v>695</v>
      </c>
      <c r="N60" s="544"/>
      <c r="O60" s="544">
        <f t="shared" si="25"/>
        <v>695</v>
      </c>
    </row>
    <row r="61" spans="1:16" s="543" customFormat="1" ht="31.5" x14ac:dyDescent="0.25">
      <c r="A61" s="551"/>
      <c r="B61" s="444" t="s">
        <v>929</v>
      </c>
      <c r="C61" s="550"/>
      <c r="D61" s="548"/>
      <c r="E61" s="548">
        <v>-18</v>
      </c>
      <c r="F61" s="549"/>
      <c r="G61" s="548"/>
      <c r="H61" s="545">
        <f t="shared" si="22"/>
        <v>-18</v>
      </c>
      <c r="I61" s="547">
        <v>18</v>
      </c>
      <c r="J61" s="546"/>
      <c r="K61" s="546"/>
      <c r="L61" s="545">
        <f t="shared" si="23"/>
        <v>18</v>
      </c>
      <c r="M61" s="544">
        <f t="shared" si="24"/>
        <v>0</v>
      </c>
      <c r="N61" s="544"/>
      <c r="O61" s="544">
        <f t="shared" si="25"/>
        <v>0</v>
      </c>
    </row>
    <row r="62" spans="1:16" s="543" customFormat="1" x14ac:dyDescent="0.25">
      <c r="A62" s="551"/>
      <c r="B62" s="498" t="s">
        <v>141</v>
      </c>
      <c r="C62" s="550"/>
      <c r="D62" s="548"/>
      <c r="E62" s="548"/>
      <c r="F62" s="549"/>
      <c r="G62" s="548"/>
      <c r="H62" s="506"/>
      <c r="I62" s="547"/>
      <c r="J62" s="546"/>
      <c r="K62" s="546"/>
      <c r="L62" s="506"/>
      <c r="M62" s="505"/>
      <c r="N62" s="544"/>
      <c r="O62" s="505"/>
    </row>
    <row r="63" spans="1:16" s="543" customFormat="1" ht="16.5" thickBot="1" x14ac:dyDescent="0.3">
      <c r="A63" s="551"/>
      <c r="B63" s="444" t="s">
        <v>1235</v>
      </c>
      <c r="C63" s="550">
        <v>823</v>
      </c>
      <c r="D63" s="548">
        <v>282</v>
      </c>
      <c r="E63" s="548"/>
      <c r="F63" s="549"/>
      <c r="G63" s="548"/>
      <c r="H63" s="545">
        <f t="shared" si="22"/>
        <v>1105</v>
      </c>
      <c r="I63" s="547"/>
      <c r="J63" s="546"/>
      <c r="K63" s="546"/>
      <c r="L63" s="545">
        <f t="shared" si="23"/>
        <v>0</v>
      </c>
      <c r="M63" s="544">
        <f t="shared" si="24"/>
        <v>1105</v>
      </c>
      <c r="N63" s="544"/>
      <c r="O63" s="544">
        <f t="shared" si="25"/>
        <v>1105</v>
      </c>
    </row>
    <row r="64" spans="1:16" s="543" customFormat="1" ht="17.25" thickTop="1" thickBot="1" x14ac:dyDescent="0.3">
      <c r="A64" s="478"/>
      <c r="B64" s="477" t="s">
        <v>430</v>
      </c>
      <c r="C64" s="476">
        <f>+C54+C58+C63+C59+C60+C61</f>
        <v>72655</v>
      </c>
      <c r="D64" s="476">
        <f t="shared" ref="D64:O64" si="26">+D54+D58+D63+D59+D60+D61</f>
        <v>14344</v>
      </c>
      <c r="E64" s="476">
        <f t="shared" si="26"/>
        <v>16240</v>
      </c>
      <c r="F64" s="476">
        <f t="shared" si="26"/>
        <v>0</v>
      </c>
      <c r="G64" s="476">
        <f t="shared" si="26"/>
        <v>0</v>
      </c>
      <c r="H64" s="476">
        <f t="shared" si="26"/>
        <v>103239</v>
      </c>
      <c r="I64" s="476">
        <f t="shared" si="26"/>
        <v>18</v>
      </c>
      <c r="J64" s="476">
        <f t="shared" si="26"/>
        <v>0</v>
      </c>
      <c r="K64" s="476">
        <f t="shared" si="26"/>
        <v>0</v>
      </c>
      <c r="L64" s="476">
        <f t="shared" si="26"/>
        <v>18</v>
      </c>
      <c r="M64" s="476">
        <f t="shared" si="26"/>
        <v>103257</v>
      </c>
      <c r="N64" s="476">
        <f t="shared" si="26"/>
        <v>0</v>
      </c>
      <c r="O64" s="476">
        <f t="shared" si="26"/>
        <v>103257</v>
      </c>
      <c r="P64" s="430">
        <f>O65+O66</f>
        <v>103257</v>
      </c>
    </row>
    <row r="65" spans="1:16" s="543" customFormat="1" ht="17.25" thickTop="1" thickBot="1" x14ac:dyDescent="0.3">
      <c r="A65" s="478"/>
      <c r="B65" s="477" t="s">
        <v>429</v>
      </c>
      <c r="C65" s="476">
        <f t="shared" ref="C65:O65" si="27">+C55+C58+C59+C60+C61</f>
        <v>71165</v>
      </c>
      <c r="D65" s="476">
        <f t="shared" si="27"/>
        <v>13834</v>
      </c>
      <c r="E65" s="476">
        <f t="shared" si="27"/>
        <v>16185</v>
      </c>
      <c r="F65" s="476">
        <f t="shared" si="27"/>
        <v>0</v>
      </c>
      <c r="G65" s="476">
        <f t="shared" si="27"/>
        <v>0</v>
      </c>
      <c r="H65" s="476">
        <f t="shared" si="27"/>
        <v>101184</v>
      </c>
      <c r="I65" s="476">
        <f t="shared" si="27"/>
        <v>18</v>
      </c>
      <c r="J65" s="476">
        <f t="shared" si="27"/>
        <v>0</v>
      </c>
      <c r="K65" s="476">
        <f t="shared" si="27"/>
        <v>0</v>
      </c>
      <c r="L65" s="476">
        <f t="shared" si="27"/>
        <v>18</v>
      </c>
      <c r="M65" s="476">
        <f t="shared" si="27"/>
        <v>101202</v>
      </c>
      <c r="N65" s="476">
        <f t="shared" si="27"/>
        <v>0</v>
      </c>
      <c r="O65" s="476">
        <f t="shared" si="27"/>
        <v>101202</v>
      </c>
      <c r="P65" s="475"/>
    </row>
    <row r="66" spans="1:16" s="543" customFormat="1" ht="17.25" thickTop="1" thickBot="1" x14ac:dyDescent="0.3">
      <c r="A66" s="478"/>
      <c r="B66" s="477" t="s">
        <v>428</v>
      </c>
      <c r="C66" s="476">
        <f>+C56+C63</f>
        <v>1490</v>
      </c>
      <c r="D66" s="476">
        <f t="shared" ref="D66:O66" si="28">+D56+D63</f>
        <v>510</v>
      </c>
      <c r="E66" s="476">
        <f t="shared" si="28"/>
        <v>55</v>
      </c>
      <c r="F66" s="476">
        <f t="shared" si="28"/>
        <v>0</v>
      </c>
      <c r="G66" s="476">
        <f t="shared" si="28"/>
        <v>0</v>
      </c>
      <c r="H66" s="476">
        <f t="shared" si="28"/>
        <v>2055</v>
      </c>
      <c r="I66" s="476">
        <f t="shared" si="28"/>
        <v>0</v>
      </c>
      <c r="J66" s="476">
        <f t="shared" si="28"/>
        <v>0</v>
      </c>
      <c r="K66" s="476">
        <f t="shared" si="28"/>
        <v>0</v>
      </c>
      <c r="L66" s="476">
        <f t="shared" si="28"/>
        <v>0</v>
      </c>
      <c r="M66" s="476">
        <f t="shared" si="28"/>
        <v>2055</v>
      </c>
      <c r="N66" s="476">
        <f t="shared" si="28"/>
        <v>0</v>
      </c>
      <c r="O66" s="476">
        <f t="shared" si="28"/>
        <v>2055</v>
      </c>
      <c r="P66" s="475"/>
    </row>
    <row r="67" spans="1:16" s="543" customFormat="1" ht="16.5" thickTop="1" x14ac:dyDescent="0.25">
      <c r="A67" s="497" t="s">
        <v>158</v>
      </c>
      <c r="B67" s="453" t="s">
        <v>459</v>
      </c>
      <c r="C67" s="499"/>
      <c r="D67" s="494"/>
      <c r="E67" s="494"/>
      <c r="F67" s="500"/>
      <c r="G67" s="494"/>
      <c r="H67" s="491"/>
      <c r="I67" s="493"/>
      <c r="J67" s="492"/>
      <c r="K67" s="492"/>
      <c r="L67" s="491"/>
      <c r="M67" s="491"/>
      <c r="N67" s="491"/>
      <c r="O67" s="491"/>
      <c r="P67" s="475"/>
    </row>
    <row r="68" spans="1:16" s="543" customFormat="1" x14ac:dyDescent="0.25">
      <c r="A68" s="497"/>
      <c r="B68" s="444" t="s">
        <v>389</v>
      </c>
      <c r="C68" s="499">
        <v>66593</v>
      </c>
      <c r="D68" s="494">
        <v>12947</v>
      </c>
      <c r="E68" s="494">
        <v>13655</v>
      </c>
      <c r="F68" s="492"/>
      <c r="G68" s="494"/>
      <c r="H68" s="491">
        <f>SUM(C68:G68)</f>
        <v>93195</v>
      </c>
      <c r="I68" s="493"/>
      <c r="J68" s="492"/>
      <c r="K68" s="492"/>
      <c r="L68" s="491">
        <f>SUM(I68:K68)</f>
        <v>0</v>
      </c>
      <c r="M68" s="490">
        <f>SUM(H68+L68)</f>
        <v>93195</v>
      </c>
      <c r="N68" s="490"/>
      <c r="O68" s="490">
        <f>SUM(M68+N68)</f>
        <v>93195</v>
      </c>
      <c r="P68" s="475"/>
    </row>
    <row r="69" spans="1:16" s="543" customFormat="1" x14ac:dyDescent="0.25">
      <c r="A69" s="513"/>
      <c r="B69" s="498" t="s">
        <v>432</v>
      </c>
      <c r="C69" s="530">
        <v>65960</v>
      </c>
      <c r="D69" s="511">
        <v>12731</v>
      </c>
      <c r="E69" s="511">
        <v>13500</v>
      </c>
      <c r="F69" s="507"/>
      <c r="G69" s="511"/>
      <c r="H69" s="506">
        <f>SUM(C69:G69)</f>
        <v>92191</v>
      </c>
      <c r="I69" s="508"/>
      <c r="J69" s="507"/>
      <c r="K69" s="507"/>
      <c r="L69" s="506">
        <f>SUM(I69:K69)</f>
        <v>0</v>
      </c>
      <c r="M69" s="505">
        <f>SUM(H69+L69)</f>
        <v>92191</v>
      </c>
      <c r="N69" s="505"/>
      <c r="O69" s="505">
        <f>SUM(M69+N69)</f>
        <v>92191</v>
      </c>
      <c r="P69" s="504"/>
    </row>
    <row r="70" spans="1:16" x14ac:dyDescent="0.25">
      <c r="A70" s="513"/>
      <c r="B70" s="498" t="s">
        <v>431</v>
      </c>
      <c r="C70" s="530">
        <v>633</v>
      </c>
      <c r="D70" s="511">
        <v>216</v>
      </c>
      <c r="E70" s="511">
        <v>155</v>
      </c>
      <c r="F70" s="507"/>
      <c r="G70" s="511"/>
      <c r="H70" s="506">
        <f>SUM(C70:G70)</f>
        <v>1004</v>
      </c>
      <c r="I70" s="508"/>
      <c r="J70" s="507"/>
      <c r="K70" s="507"/>
      <c r="L70" s="506">
        <f>SUM(I70:K70)</f>
        <v>0</v>
      </c>
      <c r="M70" s="505">
        <f>SUM(H70+L70)</f>
        <v>1004</v>
      </c>
      <c r="N70" s="505"/>
      <c r="O70" s="505">
        <f>SUM(M70+N70)</f>
        <v>1004</v>
      </c>
      <c r="P70" s="504"/>
    </row>
    <row r="71" spans="1:16" x14ac:dyDescent="0.25">
      <c r="A71" s="513"/>
      <c r="B71" s="498" t="s">
        <v>140</v>
      </c>
      <c r="C71" s="530"/>
      <c r="D71" s="511"/>
      <c r="E71" s="511"/>
      <c r="F71" s="507"/>
      <c r="G71" s="511"/>
      <c r="H71" s="506"/>
      <c r="I71" s="508"/>
      <c r="J71" s="507"/>
      <c r="K71" s="507"/>
      <c r="L71" s="506"/>
      <c r="M71" s="505"/>
      <c r="N71" s="505"/>
      <c r="O71" s="505"/>
      <c r="P71" s="504"/>
    </row>
    <row r="72" spans="1:16" ht="31.5" x14ac:dyDescent="0.25">
      <c r="A72" s="513"/>
      <c r="B72" s="444" t="s">
        <v>1237</v>
      </c>
      <c r="C72" s="550">
        <v>194</v>
      </c>
      <c r="D72" s="548">
        <v>38</v>
      </c>
      <c r="E72" s="548"/>
      <c r="F72" s="549"/>
      <c r="G72" s="548"/>
      <c r="H72" s="545">
        <f t="shared" ref="H72:H78" si="29">SUM(C72:G72)</f>
        <v>232</v>
      </c>
      <c r="I72" s="578"/>
      <c r="J72" s="549"/>
      <c r="K72" s="549"/>
      <c r="L72" s="545">
        <f t="shared" ref="L72:L78" si="30">SUM(I72:K72)</f>
        <v>0</v>
      </c>
      <c r="M72" s="544">
        <f t="shared" ref="M72:M78" si="31">SUM(H72+L72)</f>
        <v>232</v>
      </c>
      <c r="N72" s="544"/>
      <c r="O72" s="544">
        <f t="shared" ref="O72:O78" si="32">SUM(M72+N72)</f>
        <v>232</v>
      </c>
      <c r="P72" s="504"/>
    </row>
    <row r="73" spans="1:16" ht="47.25" x14ac:dyDescent="0.25">
      <c r="A73" s="513"/>
      <c r="B73" s="444" t="s">
        <v>1236</v>
      </c>
      <c r="C73" s="550">
        <v>520</v>
      </c>
      <c r="D73" s="548">
        <v>101</v>
      </c>
      <c r="E73" s="548"/>
      <c r="F73" s="549"/>
      <c r="G73" s="548"/>
      <c r="H73" s="545">
        <f t="shared" si="29"/>
        <v>621</v>
      </c>
      <c r="I73" s="578"/>
      <c r="J73" s="549"/>
      <c r="K73" s="549"/>
      <c r="L73" s="545">
        <f t="shared" si="30"/>
        <v>0</v>
      </c>
      <c r="M73" s="544">
        <f t="shared" si="31"/>
        <v>621</v>
      </c>
      <c r="N73" s="544"/>
      <c r="O73" s="544">
        <f t="shared" si="32"/>
        <v>621</v>
      </c>
      <c r="P73" s="504"/>
    </row>
    <row r="74" spans="1:16" ht="31.5" x14ac:dyDescent="0.25">
      <c r="A74" s="513"/>
      <c r="B74" s="444" t="s">
        <v>628</v>
      </c>
      <c r="C74" s="550">
        <v>63</v>
      </c>
      <c r="D74" s="548">
        <v>12</v>
      </c>
      <c r="E74" s="548"/>
      <c r="F74" s="549"/>
      <c r="G74" s="548"/>
      <c r="H74" s="545">
        <f t="shared" si="29"/>
        <v>75</v>
      </c>
      <c r="I74" s="578"/>
      <c r="J74" s="549"/>
      <c r="K74" s="549"/>
      <c r="L74" s="545">
        <f t="shared" si="30"/>
        <v>0</v>
      </c>
      <c r="M74" s="544">
        <f t="shared" si="31"/>
        <v>75</v>
      </c>
      <c r="N74" s="544"/>
      <c r="O74" s="544">
        <f t="shared" si="32"/>
        <v>75</v>
      </c>
      <c r="P74" s="504"/>
    </row>
    <row r="75" spans="1:16" s="504" customFormat="1" ht="31.5" x14ac:dyDescent="0.25">
      <c r="A75" s="513"/>
      <c r="B75" s="444" t="s">
        <v>929</v>
      </c>
      <c r="C75" s="550">
        <v>-332</v>
      </c>
      <c r="D75" s="548">
        <v>-64</v>
      </c>
      <c r="E75" s="548">
        <v>272</v>
      </c>
      <c r="F75" s="549"/>
      <c r="G75" s="548"/>
      <c r="H75" s="545">
        <f t="shared" si="29"/>
        <v>-124</v>
      </c>
      <c r="I75" s="578">
        <v>124</v>
      </c>
      <c r="J75" s="549"/>
      <c r="K75" s="549"/>
      <c r="L75" s="545">
        <f t="shared" si="30"/>
        <v>124</v>
      </c>
      <c r="M75" s="544">
        <f t="shared" si="31"/>
        <v>0</v>
      </c>
      <c r="N75" s="544"/>
      <c r="O75" s="544">
        <f t="shared" si="32"/>
        <v>0</v>
      </c>
    </row>
    <row r="76" spans="1:16" s="504" customFormat="1" x14ac:dyDescent="0.25">
      <c r="A76" s="513"/>
      <c r="B76" s="498" t="s">
        <v>141</v>
      </c>
      <c r="C76" s="530"/>
      <c r="D76" s="511"/>
      <c r="E76" s="511"/>
      <c r="F76" s="507"/>
      <c r="G76" s="511"/>
      <c r="H76" s="506"/>
      <c r="I76" s="508"/>
      <c r="J76" s="507"/>
      <c r="K76" s="507"/>
      <c r="L76" s="506"/>
      <c r="M76" s="505"/>
      <c r="N76" s="505"/>
      <c r="O76" s="505"/>
    </row>
    <row r="77" spans="1:16" s="504" customFormat="1" ht="63" x14ac:dyDescent="0.25">
      <c r="A77" s="513"/>
      <c r="B77" s="444" t="s">
        <v>1177</v>
      </c>
      <c r="C77" s="550"/>
      <c r="D77" s="548"/>
      <c r="E77" s="548">
        <v>60</v>
      </c>
      <c r="F77" s="549"/>
      <c r="G77" s="548"/>
      <c r="H77" s="545">
        <f t="shared" si="29"/>
        <v>60</v>
      </c>
      <c r="I77" s="578"/>
      <c r="J77" s="549"/>
      <c r="K77" s="549"/>
      <c r="L77" s="545">
        <f t="shared" si="30"/>
        <v>0</v>
      </c>
      <c r="M77" s="544">
        <f t="shared" si="31"/>
        <v>60</v>
      </c>
      <c r="N77" s="544"/>
      <c r="O77" s="544">
        <f t="shared" si="32"/>
        <v>60</v>
      </c>
    </row>
    <row r="78" spans="1:16" s="504" customFormat="1" ht="16.5" thickBot="1" x14ac:dyDescent="0.3">
      <c r="A78" s="513"/>
      <c r="B78" s="444" t="s">
        <v>1235</v>
      </c>
      <c r="C78" s="550">
        <v>833</v>
      </c>
      <c r="D78" s="548">
        <v>285</v>
      </c>
      <c r="E78" s="548"/>
      <c r="F78" s="549"/>
      <c r="G78" s="548"/>
      <c r="H78" s="545">
        <f t="shared" si="29"/>
        <v>1118</v>
      </c>
      <c r="I78" s="578"/>
      <c r="J78" s="549"/>
      <c r="K78" s="549"/>
      <c r="L78" s="545">
        <f t="shared" si="30"/>
        <v>0</v>
      </c>
      <c r="M78" s="544">
        <f t="shared" si="31"/>
        <v>1118</v>
      </c>
      <c r="N78" s="544"/>
      <c r="O78" s="544">
        <f t="shared" si="32"/>
        <v>1118</v>
      </c>
    </row>
    <row r="79" spans="1:16" s="504" customFormat="1" ht="17.25" thickTop="1" thickBot="1" x14ac:dyDescent="0.3">
      <c r="A79" s="478"/>
      <c r="B79" s="477" t="s">
        <v>430</v>
      </c>
      <c r="C79" s="476">
        <f>+C68+C72+C77+C73+C74+C78+C75</f>
        <v>67871</v>
      </c>
      <c r="D79" s="476">
        <f t="shared" ref="D79:O79" si="33">+D68+D72+D77+D73+D74+D78+D75</f>
        <v>13319</v>
      </c>
      <c r="E79" s="476">
        <f t="shared" si="33"/>
        <v>13987</v>
      </c>
      <c r="F79" s="476">
        <f t="shared" si="33"/>
        <v>0</v>
      </c>
      <c r="G79" s="476">
        <f t="shared" si="33"/>
        <v>0</v>
      </c>
      <c r="H79" s="476">
        <f t="shared" si="33"/>
        <v>95177</v>
      </c>
      <c r="I79" s="476">
        <f t="shared" si="33"/>
        <v>124</v>
      </c>
      <c r="J79" s="476">
        <f t="shared" si="33"/>
        <v>0</v>
      </c>
      <c r="K79" s="476">
        <f t="shared" si="33"/>
        <v>0</v>
      </c>
      <c r="L79" s="476">
        <f t="shared" si="33"/>
        <v>124</v>
      </c>
      <c r="M79" s="476">
        <f t="shared" si="33"/>
        <v>95301</v>
      </c>
      <c r="N79" s="476">
        <f t="shared" si="33"/>
        <v>0</v>
      </c>
      <c r="O79" s="476">
        <f t="shared" si="33"/>
        <v>95301</v>
      </c>
      <c r="P79" s="430">
        <f>O80+O81</f>
        <v>95301</v>
      </c>
    </row>
    <row r="80" spans="1:16" s="504" customFormat="1" ht="17.25" thickTop="1" thickBot="1" x14ac:dyDescent="0.3">
      <c r="A80" s="478"/>
      <c r="B80" s="477" t="s">
        <v>429</v>
      </c>
      <c r="C80" s="476">
        <f t="shared" ref="C80:O80" si="34">+C69+C72+C73+C74+C75</f>
        <v>66405</v>
      </c>
      <c r="D80" s="476">
        <f t="shared" si="34"/>
        <v>12818</v>
      </c>
      <c r="E80" s="476">
        <f t="shared" si="34"/>
        <v>13772</v>
      </c>
      <c r="F80" s="476">
        <f t="shared" si="34"/>
        <v>0</v>
      </c>
      <c r="G80" s="476">
        <f t="shared" si="34"/>
        <v>0</v>
      </c>
      <c r="H80" s="476">
        <f t="shared" si="34"/>
        <v>92995</v>
      </c>
      <c r="I80" s="476">
        <f t="shared" si="34"/>
        <v>124</v>
      </c>
      <c r="J80" s="476">
        <f t="shared" si="34"/>
        <v>0</v>
      </c>
      <c r="K80" s="476">
        <f t="shared" si="34"/>
        <v>0</v>
      </c>
      <c r="L80" s="476">
        <f t="shared" si="34"/>
        <v>124</v>
      </c>
      <c r="M80" s="476">
        <f t="shared" si="34"/>
        <v>93119</v>
      </c>
      <c r="N80" s="476">
        <f t="shared" si="34"/>
        <v>0</v>
      </c>
      <c r="O80" s="476">
        <f t="shared" si="34"/>
        <v>93119</v>
      </c>
      <c r="P80" s="475"/>
    </row>
    <row r="81" spans="1:16" s="504" customFormat="1" ht="17.25" thickTop="1" thickBot="1" x14ac:dyDescent="0.3">
      <c r="A81" s="478"/>
      <c r="B81" s="477" t="s">
        <v>428</v>
      </c>
      <c r="C81" s="476">
        <f>+C70+C77+C78</f>
        <v>1466</v>
      </c>
      <c r="D81" s="476">
        <f t="shared" ref="D81:O81" si="35">+D70+D77+D78</f>
        <v>501</v>
      </c>
      <c r="E81" s="476">
        <f t="shared" si="35"/>
        <v>215</v>
      </c>
      <c r="F81" s="476">
        <f t="shared" si="35"/>
        <v>0</v>
      </c>
      <c r="G81" s="476">
        <f t="shared" si="35"/>
        <v>0</v>
      </c>
      <c r="H81" s="476">
        <f t="shared" si="35"/>
        <v>2182</v>
      </c>
      <c r="I81" s="476">
        <f t="shared" si="35"/>
        <v>0</v>
      </c>
      <c r="J81" s="476">
        <f t="shared" si="35"/>
        <v>0</v>
      </c>
      <c r="K81" s="476">
        <f t="shared" si="35"/>
        <v>0</v>
      </c>
      <c r="L81" s="476">
        <f t="shared" si="35"/>
        <v>0</v>
      </c>
      <c r="M81" s="476">
        <f t="shared" si="35"/>
        <v>2182</v>
      </c>
      <c r="N81" s="476">
        <f t="shared" si="35"/>
        <v>0</v>
      </c>
      <c r="O81" s="476">
        <f t="shared" si="35"/>
        <v>2182</v>
      </c>
      <c r="P81" s="475"/>
    </row>
    <row r="82" spans="1:16" s="504" customFormat="1" ht="16.5" thickTop="1" x14ac:dyDescent="0.25">
      <c r="A82" s="487" t="s">
        <v>159</v>
      </c>
      <c r="B82" s="542" t="s">
        <v>458</v>
      </c>
      <c r="C82" s="485"/>
      <c r="D82" s="484"/>
      <c r="E82" s="484"/>
      <c r="F82" s="482"/>
      <c r="G82" s="484"/>
      <c r="H82" s="481"/>
      <c r="I82" s="483"/>
      <c r="J82" s="482"/>
      <c r="K82" s="482"/>
      <c r="L82" s="481"/>
      <c r="M82" s="481"/>
      <c r="N82" s="481"/>
      <c r="O82" s="481"/>
      <c r="P82" s="475"/>
    </row>
    <row r="83" spans="1:16" s="504" customFormat="1" x14ac:dyDescent="0.25">
      <c r="A83" s="503"/>
      <c r="B83" s="453" t="s">
        <v>389</v>
      </c>
      <c r="C83" s="499">
        <v>39600</v>
      </c>
      <c r="D83" s="494">
        <v>7680</v>
      </c>
      <c r="E83" s="494">
        <v>6473</v>
      </c>
      <c r="F83" s="492"/>
      <c r="G83" s="494"/>
      <c r="H83" s="491">
        <f>SUM(C83:G83)</f>
        <v>53753</v>
      </c>
      <c r="I83" s="493"/>
      <c r="J83" s="492"/>
      <c r="K83" s="492"/>
      <c r="L83" s="491">
        <f>SUM(I83:K83)</f>
        <v>0</v>
      </c>
      <c r="M83" s="491">
        <f>SUM(H83+L83)</f>
        <v>53753</v>
      </c>
      <c r="N83" s="491"/>
      <c r="O83" s="491">
        <f>SUM(M83+N83)</f>
        <v>53753</v>
      </c>
      <c r="P83" s="475"/>
    </row>
    <row r="84" spans="1:16" s="504" customFormat="1" x14ac:dyDescent="0.25">
      <c r="A84" s="513"/>
      <c r="B84" s="498" t="s">
        <v>432</v>
      </c>
      <c r="C84" s="530">
        <v>39252</v>
      </c>
      <c r="D84" s="511">
        <v>7560</v>
      </c>
      <c r="E84" s="511">
        <v>6418</v>
      </c>
      <c r="F84" s="507"/>
      <c r="G84" s="511"/>
      <c r="H84" s="506">
        <f>SUM(C84:G84)</f>
        <v>53230</v>
      </c>
      <c r="I84" s="508"/>
      <c r="J84" s="507"/>
      <c r="K84" s="507"/>
      <c r="L84" s="506">
        <f>SUM(I84:K84)</f>
        <v>0</v>
      </c>
      <c r="M84" s="505">
        <f>SUM(H84+L84)</f>
        <v>53230</v>
      </c>
      <c r="N84" s="505"/>
      <c r="O84" s="505">
        <f>SUM(M84+N84)</f>
        <v>53230</v>
      </c>
    </row>
    <row r="85" spans="1:16" s="504" customFormat="1" x14ac:dyDescent="0.25">
      <c r="A85" s="513"/>
      <c r="B85" s="498" t="s">
        <v>431</v>
      </c>
      <c r="C85" s="530">
        <v>348</v>
      </c>
      <c r="D85" s="511">
        <v>120</v>
      </c>
      <c r="E85" s="511">
        <v>55</v>
      </c>
      <c r="F85" s="507"/>
      <c r="G85" s="511"/>
      <c r="H85" s="506">
        <f>SUM(C85:G85)</f>
        <v>523</v>
      </c>
      <c r="I85" s="508"/>
      <c r="J85" s="507"/>
      <c r="K85" s="507"/>
      <c r="L85" s="506">
        <f>SUM(I85:K85)</f>
        <v>0</v>
      </c>
      <c r="M85" s="505">
        <f>SUM(H85+L85)</f>
        <v>523</v>
      </c>
      <c r="N85" s="505"/>
      <c r="O85" s="505">
        <f>SUM(M85+N85)</f>
        <v>523</v>
      </c>
    </row>
    <row r="86" spans="1:16" s="504" customFormat="1" x14ac:dyDescent="0.25">
      <c r="A86" s="513"/>
      <c r="B86" s="498" t="s">
        <v>140</v>
      </c>
      <c r="C86" s="530"/>
      <c r="D86" s="511"/>
      <c r="E86" s="511"/>
      <c r="F86" s="507"/>
      <c r="G86" s="511"/>
      <c r="H86" s="506"/>
      <c r="I86" s="508"/>
      <c r="J86" s="507"/>
      <c r="K86" s="507"/>
      <c r="L86" s="506"/>
      <c r="M86" s="505"/>
      <c r="N86" s="505"/>
      <c r="O86" s="505"/>
    </row>
    <row r="87" spans="1:16" ht="31.5" x14ac:dyDescent="0.25">
      <c r="A87" s="513"/>
      <c r="B87" s="444" t="s">
        <v>1238</v>
      </c>
      <c r="C87" s="550">
        <v>116</v>
      </c>
      <c r="D87" s="548">
        <v>23</v>
      </c>
      <c r="E87" s="548"/>
      <c r="F87" s="549"/>
      <c r="G87" s="548"/>
      <c r="H87" s="545">
        <f t="shared" ref="H87:H92" si="36">SUM(C87:G87)</f>
        <v>139</v>
      </c>
      <c r="I87" s="578"/>
      <c r="J87" s="549"/>
      <c r="K87" s="549"/>
      <c r="L87" s="545">
        <f t="shared" ref="L87:L92" si="37">SUM(I87:K87)</f>
        <v>0</v>
      </c>
      <c r="M87" s="544">
        <f t="shared" ref="M87:M92" si="38">SUM(H87+L87)</f>
        <v>139</v>
      </c>
      <c r="N87" s="544"/>
      <c r="O87" s="544">
        <f t="shared" ref="O87:O92" si="39">SUM(M87+N87)</f>
        <v>139</v>
      </c>
      <c r="P87" s="504"/>
    </row>
    <row r="88" spans="1:16" ht="47.25" x14ac:dyDescent="0.25">
      <c r="A88" s="513"/>
      <c r="B88" s="444" t="s">
        <v>1236</v>
      </c>
      <c r="C88" s="550">
        <v>364</v>
      </c>
      <c r="D88" s="548">
        <v>71</v>
      </c>
      <c r="E88" s="548"/>
      <c r="F88" s="549"/>
      <c r="G88" s="548"/>
      <c r="H88" s="545">
        <f t="shared" si="36"/>
        <v>435</v>
      </c>
      <c r="I88" s="578"/>
      <c r="J88" s="549"/>
      <c r="K88" s="549"/>
      <c r="L88" s="545">
        <f t="shared" si="37"/>
        <v>0</v>
      </c>
      <c r="M88" s="544">
        <f t="shared" si="38"/>
        <v>435</v>
      </c>
      <c r="N88" s="544"/>
      <c r="O88" s="544">
        <f t="shared" si="39"/>
        <v>435</v>
      </c>
      <c r="P88" s="504"/>
    </row>
    <row r="89" spans="1:16" ht="31.5" x14ac:dyDescent="0.25">
      <c r="A89" s="513"/>
      <c r="B89" s="444" t="s">
        <v>929</v>
      </c>
      <c r="C89" s="550">
        <v>-369</v>
      </c>
      <c r="D89" s="548">
        <v>-71</v>
      </c>
      <c r="E89" s="548">
        <v>440</v>
      </c>
      <c r="F89" s="549"/>
      <c r="G89" s="548"/>
      <c r="H89" s="545">
        <f t="shared" si="36"/>
        <v>0</v>
      </c>
      <c r="I89" s="578"/>
      <c r="J89" s="549"/>
      <c r="K89" s="549"/>
      <c r="L89" s="545">
        <f t="shared" si="37"/>
        <v>0</v>
      </c>
      <c r="M89" s="544">
        <f t="shared" si="38"/>
        <v>0</v>
      </c>
      <c r="N89" s="544"/>
      <c r="O89" s="544">
        <f t="shared" si="39"/>
        <v>0</v>
      </c>
      <c r="P89" s="504"/>
    </row>
    <row r="90" spans="1:16" ht="47.25" x14ac:dyDescent="0.25">
      <c r="A90" s="513"/>
      <c r="B90" s="444" t="s">
        <v>1179</v>
      </c>
      <c r="C90" s="550"/>
      <c r="D90" s="548"/>
      <c r="E90" s="548">
        <v>639</v>
      </c>
      <c r="F90" s="549"/>
      <c r="G90" s="548"/>
      <c r="H90" s="545">
        <f t="shared" si="36"/>
        <v>639</v>
      </c>
      <c r="I90" s="578"/>
      <c r="J90" s="549"/>
      <c r="K90" s="549"/>
      <c r="L90" s="545">
        <f t="shared" si="37"/>
        <v>0</v>
      </c>
      <c r="M90" s="544">
        <f t="shared" si="38"/>
        <v>639</v>
      </c>
      <c r="N90" s="544"/>
      <c r="O90" s="544">
        <f t="shared" si="39"/>
        <v>639</v>
      </c>
      <c r="P90" s="504"/>
    </row>
    <row r="91" spans="1:16" x14ac:dyDescent="0.25">
      <c r="A91" s="513"/>
      <c r="B91" s="498" t="s">
        <v>141</v>
      </c>
      <c r="C91" s="530"/>
      <c r="D91" s="511"/>
      <c r="E91" s="511"/>
      <c r="F91" s="507"/>
      <c r="G91" s="511"/>
      <c r="H91" s="506"/>
      <c r="I91" s="508"/>
      <c r="J91" s="507"/>
      <c r="K91" s="507"/>
      <c r="L91" s="506"/>
      <c r="M91" s="505"/>
      <c r="N91" s="505"/>
      <c r="O91" s="505"/>
      <c r="P91" s="504"/>
    </row>
    <row r="92" spans="1:16" s="504" customFormat="1" ht="16.5" thickBot="1" x14ac:dyDescent="0.3">
      <c r="A92" s="513"/>
      <c r="B92" s="444" t="s">
        <v>1235</v>
      </c>
      <c r="C92" s="550">
        <v>466</v>
      </c>
      <c r="D92" s="548">
        <v>159</v>
      </c>
      <c r="E92" s="548"/>
      <c r="F92" s="549"/>
      <c r="G92" s="548"/>
      <c r="H92" s="545">
        <f t="shared" si="36"/>
        <v>625</v>
      </c>
      <c r="I92" s="578"/>
      <c r="J92" s="549"/>
      <c r="K92" s="549"/>
      <c r="L92" s="545">
        <f t="shared" si="37"/>
        <v>0</v>
      </c>
      <c r="M92" s="544">
        <f t="shared" si="38"/>
        <v>625</v>
      </c>
      <c r="N92" s="544"/>
      <c r="O92" s="544">
        <f t="shared" si="39"/>
        <v>625</v>
      </c>
    </row>
    <row r="93" spans="1:16" s="504" customFormat="1" ht="17.25" thickTop="1" thickBot="1" x14ac:dyDescent="0.3">
      <c r="A93" s="478"/>
      <c r="B93" s="477" t="s">
        <v>430</v>
      </c>
      <c r="C93" s="476">
        <f>+C83+C87+C92+C88+C89+C90</f>
        <v>40177</v>
      </c>
      <c r="D93" s="476">
        <f t="shared" ref="D93:O93" si="40">+D83+D87+D92+D88+D89+D90</f>
        <v>7862</v>
      </c>
      <c r="E93" s="476">
        <f t="shared" si="40"/>
        <v>7552</v>
      </c>
      <c r="F93" s="476">
        <f t="shared" si="40"/>
        <v>0</v>
      </c>
      <c r="G93" s="476">
        <f t="shared" si="40"/>
        <v>0</v>
      </c>
      <c r="H93" s="476">
        <f t="shared" si="40"/>
        <v>55591</v>
      </c>
      <c r="I93" s="476">
        <f t="shared" si="40"/>
        <v>0</v>
      </c>
      <c r="J93" s="476">
        <f t="shared" si="40"/>
        <v>0</v>
      </c>
      <c r="K93" s="476">
        <f t="shared" si="40"/>
        <v>0</v>
      </c>
      <c r="L93" s="476">
        <f t="shared" si="40"/>
        <v>0</v>
      </c>
      <c r="M93" s="476">
        <f t="shared" si="40"/>
        <v>55591</v>
      </c>
      <c r="N93" s="476">
        <f t="shared" si="40"/>
        <v>0</v>
      </c>
      <c r="O93" s="476">
        <f t="shared" si="40"/>
        <v>55591</v>
      </c>
      <c r="P93" s="430">
        <f>O94+O95</f>
        <v>55591</v>
      </c>
    </row>
    <row r="94" spans="1:16" s="504" customFormat="1" ht="17.25" thickTop="1" thickBot="1" x14ac:dyDescent="0.3">
      <c r="A94" s="478"/>
      <c r="B94" s="477" t="s">
        <v>429</v>
      </c>
      <c r="C94" s="476">
        <f t="shared" ref="C94:O94" si="41">+C84+C87+C88+C89+C90</f>
        <v>39363</v>
      </c>
      <c r="D94" s="476">
        <f t="shared" si="41"/>
        <v>7583</v>
      </c>
      <c r="E94" s="476">
        <f t="shared" si="41"/>
        <v>7497</v>
      </c>
      <c r="F94" s="476">
        <f t="shared" si="41"/>
        <v>0</v>
      </c>
      <c r="G94" s="476">
        <f t="shared" si="41"/>
        <v>0</v>
      </c>
      <c r="H94" s="476">
        <f t="shared" si="41"/>
        <v>54443</v>
      </c>
      <c r="I94" s="476">
        <f t="shared" si="41"/>
        <v>0</v>
      </c>
      <c r="J94" s="476">
        <f t="shared" si="41"/>
        <v>0</v>
      </c>
      <c r="K94" s="476">
        <f t="shared" si="41"/>
        <v>0</v>
      </c>
      <c r="L94" s="476">
        <f t="shared" si="41"/>
        <v>0</v>
      </c>
      <c r="M94" s="476">
        <f t="shared" si="41"/>
        <v>54443</v>
      </c>
      <c r="N94" s="476">
        <f t="shared" si="41"/>
        <v>0</v>
      </c>
      <c r="O94" s="476">
        <f t="shared" si="41"/>
        <v>54443</v>
      </c>
      <c r="P94" s="475"/>
    </row>
    <row r="95" spans="1:16" s="504" customFormat="1" ht="17.25" thickTop="1" thickBot="1" x14ac:dyDescent="0.3">
      <c r="A95" s="478"/>
      <c r="B95" s="477" t="s">
        <v>428</v>
      </c>
      <c r="C95" s="476">
        <f>+C85+C92</f>
        <v>814</v>
      </c>
      <c r="D95" s="476">
        <f t="shared" ref="D95:O95" si="42">+D85+D92</f>
        <v>279</v>
      </c>
      <c r="E95" s="476">
        <f t="shared" si="42"/>
        <v>55</v>
      </c>
      <c r="F95" s="476">
        <f t="shared" si="42"/>
        <v>0</v>
      </c>
      <c r="G95" s="476">
        <f t="shared" si="42"/>
        <v>0</v>
      </c>
      <c r="H95" s="476">
        <f t="shared" si="42"/>
        <v>1148</v>
      </c>
      <c r="I95" s="476">
        <f t="shared" si="42"/>
        <v>0</v>
      </c>
      <c r="J95" s="476">
        <f t="shared" si="42"/>
        <v>0</v>
      </c>
      <c r="K95" s="476">
        <f t="shared" si="42"/>
        <v>0</v>
      </c>
      <c r="L95" s="476">
        <f t="shared" si="42"/>
        <v>0</v>
      </c>
      <c r="M95" s="476">
        <f t="shared" si="42"/>
        <v>1148</v>
      </c>
      <c r="N95" s="476">
        <f t="shared" si="42"/>
        <v>0</v>
      </c>
      <c r="O95" s="476">
        <f t="shared" si="42"/>
        <v>1148</v>
      </c>
      <c r="P95" s="475"/>
    </row>
    <row r="96" spans="1:16" s="504" customFormat="1" ht="16.5" thickTop="1" x14ac:dyDescent="0.25">
      <c r="A96" s="497"/>
      <c r="B96" s="453" t="s">
        <v>1180</v>
      </c>
      <c r="C96" s="499"/>
      <c r="D96" s="494"/>
      <c r="E96" s="494"/>
      <c r="F96" s="500"/>
      <c r="G96" s="494"/>
      <c r="H96" s="491"/>
      <c r="I96" s="493"/>
      <c r="J96" s="492"/>
      <c r="K96" s="492"/>
      <c r="L96" s="491"/>
      <c r="M96" s="491"/>
      <c r="N96" s="491"/>
      <c r="O96" s="491"/>
      <c r="P96" s="475"/>
    </row>
    <row r="97" spans="1:16" s="504" customFormat="1" x14ac:dyDescent="0.25">
      <c r="A97" s="497" t="s">
        <v>160</v>
      </c>
      <c r="B97" s="444" t="s">
        <v>389</v>
      </c>
      <c r="C97" s="499">
        <v>84706</v>
      </c>
      <c r="D97" s="494">
        <v>18048</v>
      </c>
      <c r="E97" s="494">
        <v>20946</v>
      </c>
      <c r="F97" s="492"/>
      <c r="G97" s="494"/>
      <c r="H97" s="491">
        <f>SUM(C97:G97)</f>
        <v>123700</v>
      </c>
      <c r="I97" s="493"/>
      <c r="J97" s="492"/>
      <c r="K97" s="492"/>
      <c r="L97" s="491">
        <f>SUM(I97:K97)</f>
        <v>0</v>
      </c>
      <c r="M97" s="490">
        <f>SUM(H97+L97)</f>
        <v>123700</v>
      </c>
      <c r="N97" s="490"/>
      <c r="O97" s="490">
        <f>SUM(M97+N97)</f>
        <v>123700</v>
      </c>
      <c r="P97" s="475"/>
    </row>
    <row r="98" spans="1:16" s="504" customFormat="1" x14ac:dyDescent="0.25">
      <c r="A98" s="513"/>
      <c r="B98" s="498" t="s">
        <v>432</v>
      </c>
      <c r="C98" s="530">
        <v>83962</v>
      </c>
      <c r="D98" s="511">
        <v>17794</v>
      </c>
      <c r="E98" s="511">
        <v>20891</v>
      </c>
      <c r="F98" s="507"/>
      <c r="G98" s="511"/>
      <c r="H98" s="506">
        <f>SUM(C98:G98)</f>
        <v>122647</v>
      </c>
      <c r="I98" s="508"/>
      <c r="J98" s="507"/>
      <c r="K98" s="507"/>
      <c r="L98" s="506">
        <f>SUM(I98:K98)</f>
        <v>0</v>
      </c>
      <c r="M98" s="505">
        <f>SUM(H98+L98)</f>
        <v>122647</v>
      </c>
      <c r="N98" s="505"/>
      <c r="O98" s="505">
        <f>SUM(M98+N98)</f>
        <v>122647</v>
      </c>
    </row>
    <row r="99" spans="1:16" s="504" customFormat="1" x14ac:dyDescent="0.25">
      <c r="A99" s="513"/>
      <c r="B99" s="498" t="s">
        <v>431</v>
      </c>
      <c r="C99" s="530">
        <v>744</v>
      </c>
      <c r="D99" s="511">
        <v>254</v>
      </c>
      <c r="E99" s="511">
        <v>55</v>
      </c>
      <c r="F99" s="507"/>
      <c r="G99" s="511"/>
      <c r="H99" s="506">
        <f>SUM(C99:G99)</f>
        <v>1053</v>
      </c>
      <c r="I99" s="508"/>
      <c r="J99" s="507"/>
      <c r="K99" s="507"/>
      <c r="L99" s="506">
        <f>SUM(I99:K99)</f>
        <v>0</v>
      </c>
      <c r="M99" s="505">
        <f>SUM(H99+L99)</f>
        <v>1053</v>
      </c>
      <c r="N99" s="505"/>
      <c r="O99" s="505">
        <f>SUM(M99+N99)</f>
        <v>1053</v>
      </c>
    </row>
    <row r="100" spans="1:16" s="504" customFormat="1" x14ac:dyDescent="0.25">
      <c r="A100" s="513"/>
      <c r="B100" s="498" t="s">
        <v>140</v>
      </c>
      <c r="C100" s="530"/>
      <c r="D100" s="511"/>
      <c r="E100" s="511"/>
      <c r="F100" s="507"/>
      <c r="G100" s="511"/>
      <c r="H100" s="506"/>
      <c r="I100" s="508"/>
      <c r="J100" s="507"/>
      <c r="K100" s="507"/>
      <c r="L100" s="506"/>
      <c r="M100" s="505"/>
      <c r="N100" s="505"/>
      <c r="O100" s="505"/>
    </row>
    <row r="101" spans="1:16" s="504" customFormat="1" ht="31.5" x14ac:dyDescent="0.25">
      <c r="A101" s="551"/>
      <c r="B101" s="444" t="s">
        <v>1237</v>
      </c>
      <c r="C101" s="550">
        <v>671</v>
      </c>
      <c r="D101" s="548">
        <v>131</v>
      </c>
      <c r="E101" s="548"/>
      <c r="F101" s="549"/>
      <c r="G101" s="548"/>
      <c r="H101" s="545">
        <f t="shared" ref="H101:H107" si="43">SUM(C101:G101)</f>
        <v>802</v>
      </c>
      <c r="I101" s="578"/>
      <c r="J101" s="549"/>
      <c r="K101" s="549"/>
      <c r="L101" s="545">
        <f t="shared" ref="L101:L107" si="44">SUM(I101:K101)</f>
        <v>0</v>
      </c>
      <c r="M101" s="544">
        <f t="shared" ref="M101:M107" si="45">SUM(H101+L101)</f>
        <v>802</v>
      </c>
      <c r="N101" s="544"/>
      <c r="O101" s="544">
        <f t="shared" ref="O101:O107" si="46">SUM(M101+N101)</f>
        <v>802</v>
      </c>
      <c r="P101" s="543"/>
    </row>
    <row r="102" spans="1:16" ht="47.25" x14ac:dyDescent="0.25">
      <c r="A102" s="551"/>
      <c r="B102" s="444" t="s">
        <v>1236</v>
      </c>
      <c r="C102" s="550">
        <v>641</v>
      </c>
      <c r="D102" s="548">
        <v>125</v>
      </c>
      <c r="E102" s="548"/>
      <c r="F102" s="549"/>
      <c r="G102" s="548"/>
      <c r="H102" s="545">
        <f t="shared" si="43"/>
        <v>766</v>
      </c>
      <c r="I102" s="578"/>
      <c r="J102" s="549"/>
      <c r="K102" s="549"/>
      <c r="L102" s="545">
        <f t="shared" si="44"/>
        <v>0</v>
      </c>
      <c r="M102" s="544">
        <f t="shared" si="45"/>
        <v>766</v>
      </c>
      <c r="N102" s="544"/>
      <c r="O102" s="544">
        <f t="shared" si="46"/>
        <v>766</v>
      </c>
      <c r="P102" s="543"/>
    </row>
    <row r="103" spans="1:16" ht="31.5" x14ac:dyDescent="0.25">
      <c r="A103" s="551"/>
      <c r="B103" s="444" t="s">
        <v>628</v>
      </c>
      <c r="C103" s="550">
        <v>1550</v>
      </c>
      <c r="D103" s="548">
        <v>302</v>
      </c>
      <c r="E103" s="548"/>
      <c r="F103" s="549"/>
      <c r="G103" s="548"/>
      <c r="H103" s="545">
        <f t="shared" si="43"/>
        <v>1852</v>
      </c>
      <c r="I103" s="578"/>
      <c r="J103" s="549"/>
      <c r="K103" s="549"/>
      <c r="L103" s="545">
        <f t="shared" si="44"/>
        <v>0</v>
      </c>
      <c r="M103" s="544">
        <f t="shared" si="45"/>
        <v>1852</v>
      </c>
      <c r="N103" s="544"/>
      <c r="O103" s="544">
        <f t="shared" si="46"/>
        <v>1852</v>
      </c>
      <c r="P103" s="543"/>
    </row>
    <row r="104" spans="1:16" ht="31.5" x14ac:dyDescent="0.25">
      <c r="A104" s="551"/>
      <c r="B104" s="444" t="s">
        <v>929</v>
      </c>
      <c r="C104" s="550">
        <v>-507</v>
      </c>
      <c r="D104" s="548">
        <v>-98</v>
      </c>
      <c r="E104" s="548">
        <v>-114</v>
      </c>
      <c r="F104" s="549"/>
      <c r="G104" s="548"/>
      <c r="H104" s="545">
        <f t="shared" si="43"/>
        <v>-719</v>
      </c>
      <c r="I104" s="578">
        <v>719</v>
      </c>
      <c r="J104" s="549"/>
      <c r="K104" s="549"/>
      <c r="L104" s="545">
        <f t="shared" si="44"/>
        <v>719</v>
      </c>
      <c r="M104" s="544">
        <f t="shared" si="45"/>
        <v>0</v>
      </c>
      <c r="N104" s="544"/>
      <c r="O104" s="544">
        <f t="shared" si="46"/>
        <v>0</v>
      </c>
      <c r="P104" s="543"/>
    </row>
    <row r="105" spans="1:16" ht="31.5" x14ac:dyDescent="0.25">
      <c r="A105" s="551"/>
      <c r="B105" s="444" t="s">
        <v>928</v>
      </c>
      <c r="C105" s="550"/>
      <c r="D105" s="548"/>
      <c r="E105" s="548">
        <v>519</v>
      </c>
      <c r="F105" s="549"/>
      <c r="G105" s="548"/>
      <c r="H105" s="545">
        <f t="shared" si="43"/>
        <v>519</v>
      </c>
      <c r="I105" s="578"/>
      <c r="J105" s="549"/>
      <c r="K105" s="549"/>
      <c r="L105" s="545">
        <f t="shared" si="44"/>
        <v>0</v>
      </c>
      <c r="M105" s="544">
        <f t="shared" si="45"/>
        <v>519</v>
      </c>
      <c r="N105" s="544"/>
      <c r="O105" s="544">
        <f t="shared" si="46"/>
        <v>519</v>
      </c>
      <c r="P105" s="543"/>
    </row>
    <row r="106" spans="1:16" x14ac:dyDescent="0.25">
      <c r="A106" s="513"/>
      <c r="B106" s="498" t="s">
        <v>141</v>
      </c>
      <c r="C106" s="530"/>
      <c r="D106" s="511"/>
      <c r="E106" s="511"/>
      <c r="F106" s="507"/>
      <c r="G106" s="511"/>
      <c r="H106" s="506"/>
      <c r="I106" s="508"/>
      <c r="J106" s="507"/>
      <c r="K106" s="507"/>
      <c r="L106" s="506"/>
      <c r="M106" s="505"/>
      <c r="N106" s="505"/>
      <c r="O106" s="505"/>
      <c r="P106" s="504"/>
    </row>
    <row r="107" spans="1:16" s="504" customFormat="1" ht="16.5" thickBot="1" x14ac:dyDescent="0.3">
      <c r="A107" s="551"/>
      <c r="B107" s="444" t="s">
        <v>1235</v>
      </c>
      <c r="C107" s="550">
        <v>974</v>
      </c>
      <c r="D107" s="548">
        <v>334</v>
      </c>
      <c r="E107" s="548"/>
      <c r="F107" s="549"/>
      <c r="G107" s="548"/>
      <c r="H107" s="545">
        <f t="shared" si="43"/>
        <v>1308</v>
      </c>
      <c r="I107" s="578"/>
      <c r="J107" s="549"/>
      <c r="K107" s="549"/>
      <c r="L107" s="545">
        <f t="shared" si="44"/>
        <v>0</v>
      </c>
      <c r="M107" s="544">
        <f t="shared" si="45"/>
        <v>1308</v>
      </c>
      <c r="N107" s="544"/>
      <c r="O107" s="544">
        <f t="shared" si="46"/>
        <v>1308</v>
      </c>
      <c r="P107" s="543"/>
    </row>
    <row r="108" spans="1:16" s="504" customFormat="1" ht="17.25" thickTop="1" thickBot="1" x14ac:dyDescent="0.3">
      <c r="A108" s="478"/>
      <c r="B108" s="477" t="s">
        <v>430</v>
      </c>
      <c r="C108" s="476">
        <f>+C97+C101+C107+C102+C103+C104+C105</f>
        <v>88035</v>
      </c>
      <c r="D108" s="476">
        <f t="shared" ref="D108:O108" si="47">+D97+D101+D107+D102+D103+D104+D105</f>
        <v>18842</v>
      </c>
      <c r="E108" s="476">
        <f t="shared" si="47"/>
        <v>21351</v>
      </c>
      <c r="F108" s="476">
        <f t="shared" si="47"/>
        <v>0</v>
      </c>
      <c r="G108" s="476">
        <f t="shared" si="47"/>
        <v>0</v>
      </c>
      <c r="H108" s="476">
        <f t="shared" si="47"/>
        <v>128228</v>
      </c>
      <c r="I108" s="476">
        <f t="shared" si="47"/>
        <v>719</v>
      </c>
      <c r="J108" s="476">
        <f t="shared" si="47"/>
        <v>0</v>
      </c>
      <c r="K108" s="476">
        <f t="shared" si="47"/>
        <v>0</v>
      </c>
      <c r="L108" s="476">
        <f t="shared" si="47"/>
        <v>719</v>
      </c>
      <c r="M108" s="476">
        <f t="shared" si="47"/>
        <v>128947</v>
      </c>
      <c r="N108" s="476">
        <f t="shared" si="47"/>
        <v>0</v>
      </c>
      <c r="O108" s="476">
        <f t="shared" si="47"/>
        <v>128947</v>
      </c>
      <c r="P108" s="430">
        <f>O109+O110</f>
        <v>128947</v>
      </c>
    </row>
    <row r="109" spans="1:16" s="504" customFormat="1" ht="17.25" thickTop="1" thickBot="1" x14ac:dyDescent="0.3">
      <c r="A109" s="478"/>
      <c r="B109" s="477" t="s">
        <v>429</v>
      </c>
      <c r="C109" s="476">
        <f t="shared" ref="C109:O109" si="48">+C98+C101+C102+C103+C104+C105</f>
        <v>86317</v>
      </c>
      <c r="D109" s="476">
        <f t="shared" si="48"/>
        <v>18254</v>
      </c>
      <c r="E109" s="476">
        <f t="shared" si="48"/>
        <v>21296</v>
      </c>
      <c r="F109" s="476">
        <f t="shared" si="48"/>
        <v>0</v>
      </c>
      <c r="G109" s="476">
        <f t="shared" si="48"/>
        <v>0</v>
      </c>
      <c r="H109" s="476">
        <f t="shared" si="48"/>
        <v>125867</v>
      </c>
      <c r="I109" s="476">
        <f t="shared" si="48"/>
        <v>719</v>
      </c>
      <c r="J109" s="476">
        <f t="shared" si="48"/>
        <v>0</v>
      </c>
      <c r="K109" s="476">
        <f t="shared" si="48"/>
        <v>0</v>
      </c>
      <c r="L109" s="476">
        <f t="shared" si="48"/>
        <v>719</v>
      </c>
      <c r="M109" s="476">
        <f t="shared" si="48"/>
        <v>126586</v>
      </c>
      <c r="N109" s="476">
        <f t="shared" si="48"/>
        <v>0</v>
      </c>
      <c r="O109" s="476">
        <f t="shared" si="48"/>
        <v>126586</v>
      </c>
      <c r="P109" s="475"/>
    </row>
    <row r="110" spans="1:16" s="543" customFormat="1" ht="17.25" thickTop="1" thickBot="1" x14ac:dyDescent="0.3">
      <c r="A110" s="478"/>
      <c r="B110" s="477" t="s">
        <v>428</v>
      </c>
      <c r="C110" s="476">
        <f>+C99+C107</f>
        <v>1718</v>
      </c>
      <c r="D110" s="476">
        <f t="shared" ref="D110:O110" si="49">+D99+D107</f>
        <v>588</v>
      </c>
      <c r="E110" s="476">
        <f t="shared" si="49"/>
        <v>55</v>
      </c>
      <c r="F110" s="476">
        <f t="shared" si="49"/>
        <v>0</v>
      </c>
      <c r="G110" s="476">
        <f t="shared" si="49"/>
        <v>0</v>
      </c>
      <c r="H110" s="476">
        <f t="shared" si="49"/>
        <v>2361</v>
      </c>
      <c r="I110" s="476">
        <f t="shared" si="49"/>
        <v>0</v>
      </c>
      <c r="J110" s="476">
        <f t="shared" si="49"/>
        <v>0</v>
      </c>
      <c r="K110" s="476">
        <f t="shared" si="49"/>
        <v>0</v>
      </c>
      <c r="L110" s="476">
        <f t="shared" si="49"/>
        <v>0</v>
      </c>
      <c r="M110" s="476">
        <f t="shared" si="49"/>
        <v>2361</v>
      </c>
      <c r="N110" s="476">
        <f t="shared" si="49"/>
        <v>0</v>
      </c>
      <c r="O110" s="476">
        <f t="shared" si="49"/>
        <v>2361</v>
      </c>
      <c r="P110" s="475"/>
    </row>
    <row r="111" spans="1:16" s="543" customFormat="1" ht="16.5" thickTop="1" x14ac:dyDescent="0.25">
      <c r="A111" s="497" t="s">
        <v>161</v>
      </c>
      <c r="B111" s="453" t="s">
        <v>1181</v>
      </c>
      <c r="C111" s="499"/>
      <c r="D111" s="494"/>
      <c r="E111" s="494"/>
      <c r="F111" s="500"/>
      <c r="G111" s="494"/>
      <c r="H111" s="491"/>
      <c r="I111" s="493"/>
      <c r="J111" s="492"/>
      <c r="K111" s="492"/>
      <c r="L111" s="491"/>
      <c r="M111" s="491"/>
      <c r="N111" s="491"/>
      <c r="O111" s="491"/>
      <c r="P111" s="475"/>
    </row>
    <row r="112" spans="1:16" s="543" customFormat="1" x14ac:dyDescent="0.25">
      <c r="A112" s="497"/>
      <c r="B112" s="444" t="s">
        <v>389</v>
      </c>
      <c r="C112" s="499">
        <v>77026</v>
      </c>
      <c r="D112" s="494">
        <v>16593</v>
      </c>
      <c r="E112" s="494">
        <v>14607</v>
      </c>
      <c r="F112" s="492"/>
      <c r="G112" s="494"/>
      <c r="H112" s="491">
        <f>SUM(C112:G112)</f>
        <v>108226</v>
      </c>
      <c r="I112" s="493"/>
      <c r="J112" s="492"/>
      <c r="K112" s="492"/>
      <c r="L112" s="491">
        <f>SUM(I112:K112)</f>
        <v>0</v>
      </c>
      <c r="M112" s="490">
        <f>SUM(H112+L112)</f>
        <v>108226</v>
      </c>
      <c r="N112" s="490"/>
      <c r="O112" s="490">
        <f>SUM(M112+N112)</f>
        <v>108226</v>
      </c>
      <c r="P112" s="475"/>
    </row>
    <row r="113" spans="1:16" s="543" customFormat="1" x14ac:dyDescent="0.25">
      <c r="A113" s="513"/>
      <c r="B113" s="498" t="s">
        <v>432</v>
      </c>
      <c r="C113" s="530">
        <v>76264</v>
      </c>
      <c r="D113" s="511">
        <v>16332</v>
      </c>
      <c r="E113" s="511">
        <v>14552</v>
      </c>
      <c r="F113" s="507"/>
      <c r="G113" s="511"/>
      <c r="H113" s="506">
        <f>SUM(C113:G113)</f>
        <v>107148</v>
      </c>
      <c r="I113" s="508"/>
      <c r="J113" s="507"/>
      <c r="K113" s="507"/>
      <c r="L113" s="506">
        <f>SUM(I113:K113)</f>
        <v>0</v>
      </c>
      <c r="M113" s="505">
        <f>SUM(H113+L113)</f>
        <v>107148</v>
      </c>
      <c r="N113" s="505"/>
      <c r="O113" s="505">
        <f>SUM(M113+N113)</f>
        <v>107148</v>
      </c>
      <c r="P113" s="504"/>
    </row>
    <row r="114" spans="1:16" s="504" customFormat="1" x14ac:dyDescent="0.25">
      <c r="A114" s="513"/>
      <c r="B114" s="498" t="s">
        <v>431</v>
      </c>
      <c r="C114" s="530">
        <v>762</v>
      </c>
      <c r="D114" s="511">
        <v>261</v>
      </c>
      <c r="E114" s="511">
        <v>55</v>
      </c>
      <c r="F114" s="507"/>
      <c r="G114" s="511"/>
      <c r="H114" s="506">
        <f>SUM(C114:G114)</f>
        <v>1078</v>
      </c>
      <c r="I114" s="508"/>
      <c r="J114" s="507"/>
      <c r="K114" s="507"/>
      <c r="L114" s="506">
        <f>SUM(I114:K114)</f>
        <v>0</v>
      </c>
      <c r="M114" s="505">
        <f>SUM(H114+L114)</f>
        <v>1078</v>
      </c>
      <c r="N114" s="505"/>
      <c r="O114" s="505">
        <f>SUM(M114+N114)</f>
        <v>1078</v>
      </c>
    </row>
    <row r="115" spans="1:16" s="543" customFormat="1" x14ac:dyDescent="0.25">
      <c r="A115" s="513"/>
      <c r="B115" s="498" t="s">
        <v>140</v>
      </c>
      <c r="C115" s="530"/>
      <c r="D115" s="511"/>
      <c r="E115" s="511"/>
      <c r="F115" s="507"/>
      <c r="G115" s="511"/>
      <c r="H115" s="506"/>
      <c r="I115" s="508"/>
      <c r="J115" s="507"/>
      <c r="K115" s="507"/>
      <c r="L115" s="506"/>
      <c r="M115" s="505"/>
      <c r="N115" s="505"/>
      <c r="O115" s="505"/>
      <c r="P115" s="504"/>
    </row>
    <row r="116" spans="1:16" s="543" customFormat="1" ht="31.5" x14ac:dyDescent="0.25">
      <c r="A116" s="513"/>
      <c r="B116" s="444" t="s">
        <v>1231</v>
      </c>
      <c r="C116" s="550">
        <v>235</v>
      </c>
      <c r="D116" s="548">
        <v>46</v>
      </c>
      <c r="E116" s="548"/>
      <c r="F116" s="507"/>
      <c r="G116" s="511"/>
      <c r="H116" s="545">
        <f t="shared" ref="H116:H122" si="50">SUM(C116:G116)</f>
        <v>281</v>
      </c>
      <c r="I116" s="508"/>
      <c r="J116" s="507"/>
      <c r="K116" s="507"/>
      <c r="L116" s="545">
        <f t="shared" ref="L116:L122" si="51">SUM(I116:K116)</f>
        <v>0</v>
      </c>
      <c r="M116" s="544">
        <f t="shared" ref="M116:M122" si="52">SUM(H116+L116)</f>
        <v>281</v>
      </c>
      <c r="N116" s="505"/>
      <c r="O116" s="544">
        <f t="shared" ref="O116:O122" si="53">SUM(M116+N116)</f>
        <v>281</v>
      </c>
      <c r="P116" s="504"/>
    </row>
    <row r="117" spans="1:16" ht="47.25" x14ac:dyDescent="0.25">
      <c r="A117" s="513"/>
      <c r="B117" s="444" t="s">
        <v>1236</v>
      </c>
      <c r="C117" s="550">
        <v>811</v>
      </c>
      <c r="D117" s="548">
        <v>158</v>
      </c>
      <c r="E117" s="548"/>
      <c r="F117" s="507"/>
      <c r="G117" s="511"/>
      <c r="H117" s="545">
        <f t="shared" si="50"/>
        <v>969</v>
      </c>
      <c r="I117" s="508"/>
      <c r="J117" s="507"/>
      <c r="K117" s="507"/>
      <c r="L117" s="545">
        <f t="shared" si="51"/>
        <v>0</v>
      </c>
      <c r="M117" s="544">
        <f t="shared" si="52"/>
        <v>969</v>
      </c>
      <c r="N117" s="505"/>
      <c r="O117" s="544">
        <f t="shared" si="53"/>
        <v>969</v>
      </c>
      <c r="P117" s="504"/>
    </row>
    <row r="118" spans="1:16" ht="31.5" x14ac:dyDescent="0.25">
      <c r="A118" s="513"/>
      <c r="B118" s="444" t="s">
        <v>628</v>
      </c>
      <c r="C118" s="550">
        <v>1643</v>
      </c>
      <c r="D118" s="548">
        <v>320</v>
      </c>
      <c r="E118" s="548"/>
      <c r="F118" s="507"/>
      <c r="G118" s="511"/>
      <c r="H118" s="545">
        <f t="shared" si="50"/>
        <v>1963</v>
      </c>
      <c r="I118" s="508"/>
      <c r="J118" s="507"/>
      <c r="K118" s="507"/>
      <c r="L118" s="545">
        <f t="shared" si="51"/>
        <v>0</v>
      </c>
      <c r="M118" s="544">
        <f t="shared" si="52"/>
        <v>1963</v>
      </c>
      <c r="N118" s="505"/>
      <c r="O118" s="544">
        <f t="shared" si="53"/>
        <v>1963</v>
      </c>
      <c r="P118" s="504"/>
    </row>
    <row r="119" spans="1:16" ht="31.5" x14ac:dyDescent="0.25">
      <c r="A119" s="513"/>
      <c r="B119" s="444" t="s">
        <v>929</v>
      </c>
      <c r="C119" s="550">
        <v>-470</v>
      </c>
      <c r="D119" s="548">
        <v>-91</v>
      </c>
      <c r="E119" s="548">
        <v>290</v>
      </c>
      <c r="F119" s="507"/>
      <c r="G119" s="511"/>
      <c r="H119" s="545">
        <f t="shared" si="50"/>
        <v>-271</v>
      </c>
      <c r="I119" s="578">
        <v>271</v>
      </c>
      <c r="J119" s="507"/>
      <c r="K119" s="507"/>
      <c r="L119" s="545">
        <f t="shared" si="51"/>
        <v>271</v>
      </c>
      <c r="M119" s="544">
        <f t="shared" si="52"/>
        <v>0</v>
      </c>
      <c r="N119" s="505"/>
      <c r="O119" s="544">
        <f t="shared" si="53"/>
        <v>0</v>
      </c>
      <c r="P119" s="504"/>
    </row>
    <row r="120" spans="1:16" ht="31.5" x14ac:dyDescent="0.25">
      <c r="A120" s="513"/>
      <c r="B120" s="444" t="s">
        <v>928</v>
      </c>
      <c r="C120" s="550"/>
      <c r="D120" s="548"/>
      <c r="E120" s="548">
        <v>7886</v>
      </c>
      <c r="F120" s="507"/>
      <c r="G120" s="511"/>
      <c r="H120" s="545">
        <f t="shared" si="50"/>
        <v>7886</v>
      </c>
      <c r="I120" s="578"/>
      <c r="J120" s="507"/>
      <c r="K120" s="507"/>
      <c r="L120" s="545">
        <f t="shared" si="51"/>
        <v>0</v>
      </c>
      <c r="M120" s="544">
        <f t="shared" si="52"/>
        <v>7886</v>
      </c>
      <c r="N120" s="505"/>
      <c r="O120" s="544">
        <f t="shared" si="53"/>
        <v>7886</v>
      </c>
      <c r="P120" s="504"/>
    </row>
    <row r="121" spans="1:16" x14ac:dyDescent="0.25">
      <c r="A121" s="513"/>
      <c r="B121" s="498" t="s">
        <v>141</v>
      </c>
      <c r="C121" s="550"/>
      <c r="D121" s="548"/>
      <c r="E121" s="548"/>
      <c r="F121" s="507"/>
      <c r="G121" s="511"/>
      <c r="H121" s="545"/>
      <c r="I121" s="508"/>
      <c r="J121" s="507"/>
      <c r="K121" s="507"/>
      <c r="L121" s="545"/>
      <c r="M121" s="544"/>
      <c r="N121" s="505"/>
      <c r="O121" s="544"/>
      <c r="P121" s="504"/>
    </row>
    <row r="122" spans="1:16" s="504" customFormat="1" ht="16.5" thickBot="1" x14ac:dyDescent="0.3">
      <c r="A122" s="513"/>
      <c r="B122" s="444" t="s">
        <v>1235</v>
      </c>
      <c r="C122" s="550">
        <v>990</v>
      </c>
      <c r="D122" s="548">
        <v>339</v>
      </c>
      <c r="E122" s="548"/>
      <c r="F122" s="507"/>
      <c r="G122" s="511"/>
      <c r="H122" s="545">
        <f t="shared" si="50"/>
        <v>1329</v>
      </c>
      <c r="I122" s="508"/>
      <c r="J122" s="507"/>
      <c r="K122" s="507"/>
      <c r="L122" s="545">
        <f t="shared" si="51"/>
        <v>0</v>
      </c>
      <c r="M122" s="544">
        <f t="shared" si="52"/>
        <v>1329</v>
      </c>
      <c r="N122" s="505"/>
      <c r="O122" s="544">
        <f t="shared" si="53"/>
        <v>1329</v>
      </c>
    </row>
    <row r="123" spans="1:16" s="504" customFormat="1" ht="17.25" thickTop="1" thickBot="1" x14ac:dyDescent="0.3">
      <c r="A123" s="478"/>
      <c r="B123" s="477" t="s">
        <v>430</v>
      </c>
      <c r="C123" s="476">
        <f>+C112+C116+C122+C117+C118+C119+C120</f>
        <v>80235</v>
      </c>
      <c r="D123" s="476">
        <f t="shared" ref="D123:O123" si="54">+D112+D116+D122+D117+D118+D119+D120</f>
        <v>17365</v>
      </c>
      <c r="E123" s="476">
        <f t="shared" si="54"/>
        <v>22783</v>
      </c>
      <c r="F123" s="476">
        <f t="shared" si="54"/>
        <v>0</v>
      </c>
      <c r="G123" s="476">
        <f t="shared" si="54"/>
        <v>0</v>
      </c>
      <c r="H123" s="476">
        <f t="shared" si="54"/>
        <v>120383</v>
      </c>
      <c r="I123" s="476">
        <f t="shared" si="54"/>
        <v>271</v>
      </c>
      <c r="J123" s="476">
        <f t="shared" si="54"/>
        <v>0</v>
      </c>
      <c r="K123" s="476">
        <f t="shared" si="54"/>
        <v>0</v>
      </c>
      <c r="L123" s="476">
        <f t="shared" si="54"/>
        <v>271</v>
      </c>
      <c r="M123" s="476">
        <f t="shared" si="54"/>
        <v>120654</v>
      </c>
      <c r="N123" s="476">
        <f t="shared" si="54"/>
        <v>0</v>
      </c>
      <c r="O123" s="476">
        <f t="shared" si="54"/>
        <v>120654</v>
      </c>
      <c r="P123" s="430">
        <f>O124+O125</f>
        <v>120654</v>
      </c>
    </row>
    <row r="124" spans="1:16" s="504" customFormat="1" ht="17.25" thickTop="1" thickBot="1" x14ac:dyDescent="0.3">
      <c r="A124" s="478"/>
      <c r="B124" s="477" t="s">
        <v>429</v>
      </c>
      <c r="C124" s="476">
        <f t="shared" ref="C124:O124" si="55">+C113+C116+C117+C118+C119+C120</f>
        <v>78483</v>
      </c>
      <c r="D124" s="476">
        <f t="shared" si="55"/>
        <v>16765</v>
      </c>
      <c r="E124" s="476">
        <f t="shared" si="55"/>
        <v>22728</v>
      </c>
      <c r="F124" s="476">
        <f t="shared" si="55"/>
        <v>0</v>
      </c>
      <c r="G124" s="476">
        <f t="shared" si="55"/>
        <v>0</v>
      </c>
      <c r="H124" s="476">
        <f t="shared" si="55"/>
        <v>117976</v>
      </c>
      <c r="I124" s="476">
        <f t="shared" si="55"/>
        <v>271</v>
      </c>
      <c r="J124" s="476">
        <f t="shared" si="55"/>
        <v>0</v>
      </c>
      <c r="K124" s="476">
        <f t="shared" si="55"/>
        <v>0</v>
      </c>
      <c r="L124" s="476">
        <f t="shared" si="55"/>
        <v>271</v>
      </c>
      <c r="M124" s="476">
        <f t="shared" si="55"/>
        <v>118247</v>
      </c>
      <c r="N124" s="476">
        <f t="shared" si="55"/>
        <v>0</v>
      </c>
      <c r="O124" s="476">
        <f t="shared" si="55"/>
        <v>118247</v>
      </c>
      <c r="P124" s="475"/>
    </row>
    <row r="125" spans="1:16" s="504" customFormat="1" ht="17.25" thickTop="1" thickBot="1" x14ac:dyDescent="0.3">
      <c r="A125" s="478"/>
      <c r="B125" s="477" t="s">
        <v>428</v>
      </c>
      <c r="C125" s="476">
        <f>+C114+C122</f>
        <v>1752</v>
      </c>
      <c r="D125" s="476">
        <f t="shared" ref="D125:O125" si="56">+D114+D122</f>
        <v>600</v>
      </c>
      <c r="E125" s="476">
        <f t="shared" si="56"/>
        <v>55</v>
      </c>
      <c r="F125" s="476">
        <f t="shared" si="56"/>
        <v>0</v>
      </c>
      <c r="G125" s="476">
        <f t="shared" si="56"/>
        <v>0</v>
      </c>
      <c r="H125" s="476">
        <f t="shared" si="56"/>
        <v>2407</v>
      </c>
      <c r="I125" s="476">
        <f t="shared" si="56"/>
        <v>0</v>
      </c>
      <c r="J125" s="476">
        <f t="shared" si="56"/>
        <v>0</v>
      </c>
      <c r="K125" s="476">
        <f t="shared" si="56"/>
        <v>0</v>
      </c>
      <c r="L125" s="476">
        <f t="shared" si="56"/>
        <v>0</v>
      </c>
      <c r="M125" s="476">
        <f t="shared" si="56"/>
        <v>2407</v>
      </c>
      <c r="N125" s="476">
        <f t="shared" si="56"/>
        <v>0</v>
      </c>
      <c r="O125" s="476">
        <f t="shared" si="56"/>
        <v>2407</v>
      </c>
      <c r="P125" s="475"/>
    </row>
    <row r="126" spans="1:16" s="504" customFormat="1" ht="17.25" thickTop="1" thickBot="1" x14ac:dyDescent="0.3">
      <c r="A126" s="478"/>
      <c r="B126" s="477" t="s">
        <v>457</v>
      </c>
      <c r="C126" s="476">
        <f t="shared" ref="C126:O126" si="57">SUM(C50+C64+C79+C93+C108+C123)</f>
        <v>414220</v>
      </c>
      <c r="D126" s="476">
        <f t="shared" si="57"/>
        <v>84533</v>
      </c>
      <c r="E126" s="476">
        <f t="shared" si="57"/>
        <v>97827</v>
      </c>
      <c r="F126" s="476">
        <f t="shared" si="57"/>
        <v>0</v>
      </c>
      <c r="G126" s="476">
        <f t="shared" si="57"/>
        <v>0</v>
      </c>
      <c r="H126" s="476">
        <f t="shared" si="57"/>
        <v>596580</v>
      </c>
      <c r="I126" s="476">
        <f t="shared" si="57"/>
        <v>1158</v>
      </c>
      <c r="J126" s="476">
        <f t="shared" si="57"/>
        <v>0</v>
      </c>
      <c r="K126" s="476">
        <f t="shared" si="57"/>
        <v>0</v>
      </c>
      <c r="L126" s="476">
        <f t="shared" si="57"/>
        <v>1158</v>
      </c>
      <c r="M126" s="476">
        <f t="shared" si="57"/>
        <v>597738</v>
      </c>
      <c r="N126" s="476">
        <f t="shared" si="57"/>
        <v>0</v>
      </c>
      <c r="O126" s="476">
        <f t="shared" si="57"/>
        <v>597738</v>
      </c>
      <c r="P126" s="475"/>
    </row>
    <row r="127" spans="1:16" s="504" customFormat="1" ht="16.5" thickTop="1" x14ac:dyDescent="0.25">
      <c r="A127" s="497" t="s">
        <v>162</v>
      </c>
      <c r="B127" s="453" t="s">
        <v>456</v>
      </c>
      <c r="C127" s="499"/>
      <c r="D127" s="494"/>
      <c r="E127" s="494"/>
      <c r="F127" s="500"/>
      <c r="G127" s="494"/>
      <c r="H127" s="491"/>
      <c r="I127" s="493"/>
      <c r="J127" s="492"/>
      <c r="K127" s="492"/>
      <c r="L127" s="491"/>
      <c r="M127" s="491"/>
      <c r="N127" s="491"/>
      <c r="O127" s="491"/>
      <c r="P127" s="475"/>
    </row>
    <row r="128" spans="1:16" s="504" customFormat="1" x14ac:dyDescent="0.25">
      <c r="A128" s="497"/>
      <c r="B128" s="444" t="s">
        <v>389</v>
      </c>
      <c r="C128" s="499">
        <v>166273</v>
      </c>
      <c r="D128" s="494">
        <v>35224</v>
      </c>
      <c r="E128" s="494">
        <v>65275</v>
      </c>
      <c r="F128" s="492"/>
      <c r="G128" s="494"/>
      <c r="H128" s="491">
        <f>SUM(C128:G128)</f>
        <v>266772</v>
      </c>
      <c r="I128" s="493"/>
      <c r="J128" s="492"/>
      <c r="K128" s="492"/>
      <c r="L128" s="491">
        <f>SUM(I128:K128)</f>
        <v>0</v>
      </c>
      <c r="M128" s="490">
        <f>SUM(H128+L128)</f>
        <v>266772</v>
      </c>
      <c r="N128" s="490"/>
      <c r="O128" s="490">
        <f>SUM(M128+N128)</f>
        <v>266772</v>
      </c>
      <c r="P128" s="475"/>
    </row>
    <row r="129" spans="1:16" s="504" customFormat="1" x14ac:dyDescent="0.25">
      <c r="A129" s="497"/>
      <c r="B129" s="498" t="s">
        <v>432</v>
      </c>
      <c r="C129" s="530">
        <v>164977</v>
      </c>
      <c r="D129" s="511">
        <v>34781</v>
      </c>
      <c r="E129" s="511">
        <v>65120</v>
      </c>
      <c r="F129" s="507"/>
      <c r="G129" s="511"/>
      <c r="H129" s="506">
        <f>SUM(C129:G129)</f>
        <v>264878</v>
      </c>
      <c r="I129" s="508"/>
      <c r="J129" s="507"/>
      <c r="K129" s="507"/>
      <c r="L129" s="506">
        <f>SUM(I129:K129)</f>
        <v>0</v>
      </c>
      <c r="M129" s="505">
        <f>SUM(H129+L129)</f>
        <v>264878</v>
      </c>
      <c r="N129" s="505"/>
      <c r="O129" s="505">
        <f>SUM(M129+N129)</f>
        <v>264878</v>
      </c>
      <c r="P129" s="475"/>
    </row>
    <row r="130" spans="1:16" s="504" customFormat="1" x14ac:dyDescent="0.25">
      <c r="A130" s="497"/>
      <c r="B130" s="498" t="s">
        <v>431</v>
      </c>
      <c r="C130" s="530">
        <v>1296</v>
      </c>
      <c r="D130" s="511">
        <v>443</v>
      </c>
      <c r="E130" s="511">
        <v>155</v>
      </c>
      <c r="F130" s="507"/>
      <c r="G130" s="511"/>
      <c r="H130" s="506">
        <f>SUM(C130:G130)</f>
        <v>1894</v>
      </c>
      <c r="I130" s="508"/>
      <c r="J130" s="507"/>
      <c r="K130" s="507"/>
      <c r="L130" s="506">
        <f>SUM(I130:K130)</f>
        <v>0</v>
      </c>
      <c r="M130" s="505">
        <f>SUM(H130+L130)</f>
        <v>1894</v>
      </c>
      <c r="N130" s="505"/>
      <c r="O130" s="505">
        <f>SUM(M130+N130)</f>
        <v>1894</v>
      </c>
      <c r="P130" s="475"/>
    </row>
    <row r="131" spans="1:16" s="504" customFormat="1" x14ac:dyDescent="0.25">
      <c r="A131" s="497"/>
      <c r="B131" s="498" t="s">
        <v>140</v>
      </c>
      <c r="C131" s="530"/>
      <c r="D131" s="511"/>
      <c r="E131" s="511"/>
      <c r="F131" s="507"/>
      <c r="G131" s="511"/>
      <c r="H131" s="506"/>
      <c r="I131" s="508"/>
      <c r="J131" s="507"/>
      <c r="K131" s="507"/>
      <c r="L131" s="506"/>
      <c r="M131" s="505"/>
      <c r="N131" s="505"/>
      <c r="O131" s="505"/>
      <c r="P131" s="475"/>
    </row>
    <row r="132" spans="1:16" s="504" customFormat="1" ht="31.5" x14ac:dyDescent="0.25">
      <c r="A132" s="497"/>
      <c r="B132" s="444" t="s">
        <v>1239</v>
      </c>
      <c r="C132" s="550">
        <v>32</v>
      </c>
      <c r="D132" s="548">
        <v>7</v>
      </c>
      <c r="E132" s="548"/>
      <c r="F132" s="549"/>
      <c r="G132" s="511"/>
      <c r="H132" s="545">
        <f t="shared" ref="H132:H139" si="58">SUM(C132:G132)</f>
        <v>39</v>
      </c>
      <c r="I132" s="508"/>
      <c r="J132" s="507"/>
      <c r="K132" s="507"/>
      <c r="L132" s="545">
        <f t="shared" ref="L132:L139" si="59">SUM(I132:K132)</f>
        <v>0</v>
      </c>
      <c r="M132" s="544">
        <f t="shared" ref="M132:M139" si="60">SUM(H132+L132)</f>
        <v>39</v>
      </c>
      <c r="N132" s="505"/>
      <c r="O132" s="544">
        <f t="shared" ref="O132:O139" si="61">SUM(M132+N132)</f>
        <v>39</v>
      </c>
      <c r="P132" s="475"/>
    </row>
    <row r="133" spans="1:16" s="504" customFormat="1" ht="31.5" x14ac:dyDescent="0.25">
      <c r="A133" s="497"/>
      <c r="B133" s="444" t="s">
        <v>628</v>
      </c>
      <c r="C133" s="550">
        <v>2580</v>
      </c>
      <c r="D133" s="548">
        <v>503</v>
      </c>
      <c r="E133" s="548"/>
      <c r="F133" s="549"/>
      <c r="G133" s="511"/>
      <c r="H133" s="545">
        <f t="shared" si="58"/>
        <v>3083</v>
      </c>
      <c r="I133" s="508"/>
      <c r="J133" s="507"/>
      <c r="K133" s="507"/>
      <c r="L133" s="545">
        <f t="shared" si="59"/>
        <v>0</v>
      </c>
      <c r="M133" s="544">
        <f t="shared" si="60"/>
        <v>3083</v>
      </c>
      <c r="N133" s="505"/>
      <c r="O133" s="544">
        <f t="shared" si="61"/>
        <v>3083</v>
      </c>
      <c r="P133" s="475"/>
    </row>
    <row r="134" spans="1:16" ht="31.5" x14ac:dyDescent="0.25">
      <c r="A134" s="497"/>
      <c r="B134" s="444" t="s">
        <v>929</v>
      </c>
      <c r="C134" s="550"/>
      <c r="D134" s="548"/>
      <c r="E134" s="548">
        <v>-72</v>
      </c>
      <c r="F134" s="549"/>
      <c r="G134" s="511"/>
      <c r="H134" s="545">
        <f t="shared" si="58"/>
        <v>-72</v>
      </c>
      <c r="I134" s="578">
        <v>72</v>
      </c>
      <c r="J134" s="507"/>
      <c r="K134" s="507"/>
      <c r="L134" s="545">
        <f t="shared" si="59"/>
        <v>72</v>
      </c>
      <c r="M134" s="544">
        <f t="shared" si="60"/>
        <v>0</v>
      </c>
      <c r="N134" s="505"/>
      <c r="O134" s="544">
        <f t="shared" si="61"/>
        <v>0</v>
      </c>
    </row>
    <row r="135" spans="1:16" ht="31.5" x14ac:dyDescent="0.25">
      <c r="A135" s="503"/>
      <c r="B135" s="453" t="s">
        <v>928</v>
      </c>
      <c r="C135" s="550"/>
      <c r="D135" s="548"/>
      <c r="E135" s="548">
        <v>10047</v>
      </c>
      <c r="F135" s="549"/>
      <c r="G135" s="511"/>
      <c r="H135" s="545">
        <f t="shared" si="58"/>
        <v>10047</v>
      </c>
      <c r="I135" s="578"/>
      <c r="J135" s="507"/>
      <c r="K135" s="507"/>
      <c r="L135" s="545">
        <f t="shared" si="59"/>
        <v>0</v>
      </c>
      <c r="M135" s="545">
        <f t="shared" si="60"/>
        <v>10047</v>
      </c>
      <c r="N135" s="506"/>
      <c r="O135" s="545">
        <f t="shared" si="61"/>
        <v>10047</v>
      </c>
    </row>
    <row r="136" spans="1:16" ht="47.25" x14ac:dyDescent="0.25">
      <c r="A136" s="503"/>
      <c r="B136" s="453" t="s">
        <v>1240</v>
      </c>
      <c r="C136" s="550"/>
      <c r="D136" s="548"/>
      <c r="E136" s="548">
        <v>8890</v>
      </c>
      <c r="F136" s="549"/>
      <c r="G136" s="511"/>
      <c r="H136" s="545">
        <f t="shared" si="58"/>
        <v>8890</v>
      </c>
      <c r="I136" s="578"/>
      <c r="J136" s="507"/>
      <c r="K136" s="507"/>
      <c r="L136" s="545">
        <f t="shared" si="59"/>
        <v>0</v>
      </c>
      <c r="M136" s="545">
        <f t="shared" si="60"/>
        <v>8890</v>
      </c>
      <c r="N136" s="506"/>
      <c r="O136" s="545">
        <f t="shared" si="61"/>
        <v>8890</v>
      </c>
    </row>
    <row r="137" spans="1:16" x14ac:dyDescent="0.25">
      <c r="A137" s="497"/>
      <c r="B137" s="498" t="s">
        <v>141</v>
      </c>
      <c r="C137" s="550"/>
      <c r="D137" s="548"/>
      <c r="E137" s="548"/>
      <c r="F137" s="549"/>
      <c r="G137" s="511"/>
      <c r="H137" s="545"/>
      <c r="I137" s="508"/>
      <c r="J137" s="507"/>
      <c r="K137" s="507"/>
      <c r="L137" s="545"/>
      <c r="M137" s="544"/>
      <c r="N137" s="505"/>
      <c r="O137" s="544"/>
    </row>
    <row r="138" spans="1:16" ht="47.25" x14ac:dyDescent="0.25">
      <c r="A138" s="497"/>
      <c r="B138" s="444" t="s">
        <v>1241</v>
      </c>
      <c r="C138" s="550"/>
      <c r="D138" s="548"/>
      <c r="E138" s="548">
        <v>45</v>
      </c>
      <c r="F138" s="549"/>
      <c r="G138" s="511"/>
      <c r="H138" s="545">
        <f t="shared" si="58"/>
        <v>45</v>
      </c>
      <c r="I138" s="508"/>
      <c r="J138" s="507"/>
      <c r="K138" s="507"/>
      <c r="L138" s="545">
        <f t="shared" si="59"/>
        <v>0</v>
      </c>
      <c r="M138" s="544">
        <f t="shared" si="60"/>
        <v>45</v>
      </c>
      <c r="N138" s="505"/>
      <c r="O138" s="544">
        <f t="shared" si="61"/>
        <v>45</v>
      </c>
    </row>
    <row r="139" spans="1:16" ht="16.5" thickBot="1" x14ac:dyDescent="0.3">
      <c r="A139" s="497"/>
      <c r="B139" s="444" t="s">
        <v>1235</v>
      </c>
      <c r="C139" s="550">
        <v>1765</v>
      </c>
      <c r="D139" s="548">
        <v>604</v>
      </c>
      <c r="E139" s="548"/>
      <c r="F139" s="549"/>
      <c r="G139" s="511"/>
      <c r="H139" s="545">
        <f t="shared" si="58"/>
        <v>2369</v>
      </c>
      <c r="I139" s="508"/>
      <c r="J139" s="507"/>
      <c r="K139" s="507"/>
      <c r="L139" s="545">
        <f t="shared" si="59"/>
        <v>0</v>
      </c>
      <c r="M139" s="544">
        <f t="shared" si="60"/>
        <v>2369</v>
      </c>
      <c r="N139" s="505"/>
      <c r="O139" s="544">
        <f t="shared" si="61"/>
        <v>2369</v>
      </c>
    </row>
    <row r="140" spans="1:16" ht="17.25" thickTop="1" thickBot="1" x14ac:dyDescent="0.3">
      <c r="A140" s="478"/>
      <c r="B140" s="477" t="s">
        <v>430</v>
      </c>
      <c r="C140" s="476">
        <f>+C128+C132+C138+C133+C139+C134+C135+C136</f>
        <v>170650</v>
      </c>
      <c r="D140" s="476">
        <f t="shared" ref="D140:O140" si="62">+D128+D132+D138+D133+D139+D134+D135+D136</f>
        <v>36338</v>
      </c>
      <c r="E140" s="476">
        <f t="shared" si="62"/>
        <v>84185</v>
      </c>
      <c r="F140" s="476">
        <f t="shared" si="62"/>
        <v>0</v>
      </c>
      <c r="G140" s="476">
        <f t="shared" si="62"/>
        <v>0</v>
      </c>
      <c r="H140" s="476">
        <f t="shared" si="62"/>
        <v>291173</v>
      </c>
      <c r="I140" s="476">
        <f t="shared" si="62"/>
        <v>72</v>
      </c>
      <c r="J140" s="476">
        <f t="shared" si="62"/>
        <v>0</v>
      </c>
      <c r="K140" s="476">
        <f t="shared" si="62"/>
        <v>0</v>
      </c>
      <c r="L140" s="476">
        <f t="shared" si="62"/>
        <v>72</v>
      </c>
      <c r="M140" s="476">
        <f t="shared" si="62"/>
        <v>291245</v>
      </c>
      <c r="N140" s="476">
        <f t="shared" si="62"/>
        <v>0</v>
      </c>
      <c r="O140" s="476">
        <f t="shared" si="62"/>
        <v>291245</v>
      </c>
      <c r="P140" s="430">
        <f>O141+O142</f>
        <v>291245</v>
      </c>
    </row>
    <row r="141" spans="1:16" ht="17.25" thickTop="1" thickBot="1" x14ac:dyDescent="0.3">
      <c r="A141" s="478"/>
      <c r="B141" s="477" t="s">
        <v>429</v>
      </c>
      <c r="C141" s="476">
        <f t="shared" ref="C141:O141" si="63">+C129+C132+C133+C134+C135+C136</f>
        <v>167589</v>
      </c>
      <c r="D141" s="476">
        <f t="shared" si="63"/>
        <v>35291</v>
      </c>
      <c r="E141" s="476">
        <f t="shared" si="63"/>
        <v>83985</v>
      </c>
      <c r="F141" s="476">
        <f t="shared" si="63"/>
        <v>0</v>
      </c>
      <c r="G141" s="476">
        <f t="shared" si="63"/>
        <v>0</v>
      </c>
      <c r="H141" s="476">
        <f t="shared" si="63"/>
        <v>286865</v>
      </c>
      <c r="I141" s="476">
        <f t="shared" si="63"/>
        <v>72</v>
      </c>
      <c r="J141" s="476">
        <f t="shared" si="63"/>
        <v>0</v>
      </c>
      <c r="K141" s="476">
        <f t="shared" si="63"/>
        <v>0</v>
      </c>
      <c r="L141" s="476">
        <f t="shared" si="63"/>
        <v>72</v>
      </c>
      <c r="M141" s="476">
        <f t="shared" si="63"/>
        <v>286937</v>
      </c>
      <c r="N141" s="476">
        <f t="shared" si="63"/>
        <v>0</v>
      </c>
      <c r="O141" s="476">
        <f t="shared" si="63"/>
        <v>286937</v>
      </c>
    </row>
    <row r="142" spans="1:16" ht="17.25" thickTop="1" thickBot="1" x14ac:dyDescent="0.3">
      <c r="A142" s="478"/>
      <c r="B142" s="477" t="s">
        <v>428</v>
      </c>
      <c r="C142" s="476">
        <f>+C130+C138+C139</f>
        <v>3061</v>
      </c>
      <c r="D142" s="476">
        <f t="shared" ref="D142:O142" si="64">+D130+D138+D139</f>
        <v>1047</v>
      </c>
      <c r="E142" s="476">
        <f t="shared" si="64"/>
        <v>200</v>
      </c>
      <c r="F142" s="476">
        <f t="shared" si="64"/>
        <v>0</v>
      </c>
      <c r="G142" s="476">
        <f t="shared" si="64"/>
        <v>0</v>
      </c>
      <c r="H142" s="476">
        <f t="shared" si="64"/>
        <v>4308</v>
      </c>
      <c r="I142" s="476">
        <f t="shared" si="64"/>
        <v>0</v>
      </c>
      <c r="J142" s="476">
        <f t="shared" si="64"/>
        <v>0</v>
      </c>
      <c r="K142" s="476">
        <f t="shared" si="64"/>
        <v>0</v>
      </c>
      <c r="L142" s="476">
        <f t="shared" si="64"/>
        <v>0</v>
      </c>
      <c r="M142" s="476">
        <f t="shared" si="64"/>
        <v>4308</v>
      </c>
      <c r="N142" s="476">
        <f t="shared" si="64"/>
        <v>0</v>
      </c>
      <c r="O142" s="476">
        <f t="shared" si="64"/>
        <v>4308</v>
      </c>
    </row>
    <row r="143" spans="1:16" ht="16.5" thickTop="1" x14ac:dyDescent="0.25">
      <c r="A143" s="497" t="s">
        <v>0</v>
      </c>
      <c r="B143" s="453" t="s">
        <v>1184</v>
      </c>
      <c r="C143" s="499"/>
      <c r="D143" s="494"/>
      <c r="E143" s="494"/>
      <c r="F143" s="500"/>
      <c r="G143" s="494"/>
      <c r="H143" s="491"/>
      <c r="I143" s="493"/>
      <c r="J143" s="492"/>
      <c r="K143" s="492"/>
      <c r="L143" s="491"/>
      <c r="M143" s="491"/>
      <c r="N143" s="491"/>
      <c r="O143" s="491"/>
    </row>
    <row r="144" spans="1:16" x14ac:dyDescent="0.25">
      <c r="A144" s="497"/>
      <c r="B144" s="444" t="s">
        <v>389</v>
      </c>
      <c r="C144" s="499">
        <v>171847</v>
      </c>
      <c r="D144" s="494">
        <v>36707</v>
      </c>
      <c r="E144" s="494">
        <v>62223</v>
      </c>
      <c r="F144" s="492"/>
      <c r="G144" s="494"/>
      <c r="H144" s="491">
        <f>SUM(C144:G144)</f>
        <v>270777</v>
      </c>
      <c r="I144" s="493"/>
      <c r="J144" s="492"/>
      <c r="K144" s="492"/>
      <c r="L144" s="491">
        <f>SUM(I144:K144)</f>
        <v>0</v>
      </c>
      <c r="M144" s="490">
        <f>SUM(H144+L144)</f>
        <v>270777</v>
      </c>
      <c r="N144" s="490"/>
      <c r="O144" s="490">
        <f>SUM(M144+N144)</f>
        <v>270777</v>
      </c>
    </row>
    <row r="145" spans="1:16" x14ac:dyDescent="0.25">
      <c r="A145" s="513"/>
      <c r="B145" s="498" t="s">
        <v>432</v>
      </c>
      <c r="C145" s="530">
        <v>170558</v>
      </c>
      <c r="D145" s="511">
        <v>36266</v>
      </c>
      <c r="E145" s="511">
        <v>62168</v>
      </c>
      <c r="F145" s="507"/>
      <c r="G145" s="511"/>
      <c r="H145" s="506">
        <f>SUM(C145:G145)</f>
        <v>268992</v>
      </c>
      <c r="I145" s="508"/>
      <c r="J145" s="507"/>
      <c r="K145" s="507"/>
      <c r="L145" s="506">
        <f>SUM(I145:K145)</f>
        <v>0</v>
      </c>
      <c r="M145" s="505">
        <f>SUM(H145+L145)</f>
        <v>268992</v>
      </c>
      <c r="N145" s="505"/>
      <c r="O145" s="505">
        <f>SUM(M145+N145)</f>
        <v>268992</v>
      </c>
      <c r="P145" s="504"/>
    </row>
    <row r="146" spans="1:16" x14ac:dyDescent="0.25">
      <c r="A146" s="513"/>
      <c r="B146" s="498" t="s">
        <v>431</v>
      </c>
      <c r="C146" s="530">
        <v>1289</v>
      </c>
      <c r="D146" s="511">
        <v>441</v>
      </c>
      <c r="E146" s="511">
        <v>55</v>
      </c>
      <c r="F146" s="507"/>
      <c r="G146" s="511"/>
      <c r="H146" s="506">
        <f>SUM(C146:G146)</f>
        <v>1785</v>
      </c>
      <c r="I146" s="508"/>
      <c r="J146" s="507"/>
      <c r="K146" s="507"/>
      <c r="L146" s="506">
        <f>SUM(I146:K146)</f>
        <v>0</v>
      </c>
      <c r="M146" s="505">
        <f>SUM(H146+L146)</f>
        <v>1785</v>
      </c>
      <c r="N146" s="505"/>
      <c r="O146" s="505">
        <f>SUM(M146+N146)</f>
        <v>1785</v>
      </c>
      <c r="P146" s="504"/>
    </row>
    <row r="147" spans="1:16" x14ac:dyDescent="0.25">
      <c r="A147" s="513"/>
      <c r="B147" s="498" t="s">
        <v>140</v>
      </c>
      <c r="C147" s="530"/>
      <c r="D147" s="511"/>
      <c r="E147" s="511"/>
      <c r="F147" s="507"/>
      <c r="G147" s="511"/>
      <c r="H147" s="506"/>
      <c r="I147" s="508"/>
      <c r="J147" s="507"/>
      <c r="K147" s="507"/>
      <c r="L147" s="506"/>
      <c r="M147" s="505"/>
      <c r="N147" s="505"/>
      <c r="O147" s="505"/>
      <c r="P147" s="504"/>
    </row>
    <row r="148" spans="1:16" ht="31.5" x14ac:dyDescent="0.25">
      <c r="A148" s="513"/>
      <c r="B148" s="444" t="s">
        <v>1168</v>
      </c>
      <c r="C148" s="550">
        <v>142</v>
      </c>
      <c r="D148" s="548">
        <v>27</v>
      </c>
      <c r="E148" s="548"/>
      <c r="F148" s="507"/>
      <c r="G148" s="511"/>
      <c r="H148" s="545">
        <f t="shared" ref="H148:H153" si="65">SUM(C148:G148)</f>
        <v>169</v>
      </c>
      <c r="I148" s="508"/>
      <c r="J148" s="507"/>
      <c r="K148" s="507"/>
      <c r="L148" s="545">
        <f t="shared" ref="L148:L153" si="66">SUM(I148:K148)</f>
        <v>0</v>
      </c>
      <c r="M148" s="544">
        <f t="shared" ref="M148:M153" si="67">SUM(H148+L148)</f>
        <v>169</v>
      </c>
      <c r="N148" s="505"/>
      <c r="O148" s="544">
        <f t="shared" ref="O148:O153" si="68">SUM(M148+N148)</f>
        <v>169</v>
      </c>
      <c r="P148" s="504"/>
    </row>
    <row r="149" spans="1:16" ht="31.5" x14ac:dyDescent="0.25">
      <c r="A149" s="513"/>
      <c r="B149" s="444" t="s">
        <v>628</v>
      </c>
      <c r="C149" s="550">
        <v>2050</v>
      </c>
      <c r="D149" s="548">
        <v>400</v>
      </c>
      <c r="E149" s="548"/>
      <c r="F149" s="507"/>
      <c r="G149" s="511"/>
      <c r="H149" s="545">
        <f t="shared" si="65"/>
        <v>2450</v>
      </c>
      <c r="I149" s="508"/>
      <c r="J149" s="507"/>
      <c r="K149" s="507"/>
      <c r="L149" s="545">
        <f t="shared" si="66"/>
        <v>0</v>
      </c>
      <c r="M149" s="544">
        <f t="shared" si="67"/>
        <v>2450</v>
      </c>
      <c r="N149" s="505"/>
      <c r="O149" s="544">
        <f t="shared" si="68"/>
        <v>2450</v>
      </c>
      <c r="P149" s="504"/>
    </row>
    <row r="150" spans="1:16" ht="31.5" x14ac:dyDescent="0.25">
      <c r="A150" s="513"/>
      <c r="B150" s="444" t="s">
        <v>929</v>
      </c>
      <c r="C150" s="550"/>
      <c r="D150" s="548"/>
      <c r="E150" s="548">
        <v>-122</v>
      </c>
      <c r="F150" s="507"/>
      <c r="G150" s="511"/>
      <c r="H150" s="545">
        <f t="shared" si="65"/>
        <v>-122</v>
      </c>
      <c r="I150" s="578">
        <v>122</v>
      </c>
      <c r="J150" s="507"/>
      <c r="K150" s="507"/>
      <c r="L150" s="545">
        <f t="shared" si="66"/>
        <v>122</v>
      </c>
      <c r="M150" s="544">
        <f t="shared" si="67"/>
        <v>0</v>
      </c>
      <c r="N150" s="505"/>
      <c r="O150" s="544">
        <f t="shared" si="68"/>
        <v>0</v>
      </c>
      <c r="P150" s="504"/>
    </row>
    <row r="151" spans="1:16" ht="31.5" x14ac:dyDescent="0.25">
      <c r="A151" s="513"/>
      <c r="B151" s="444" t="s">
        <v>928</v>
      </c>
      <c r="C151" s="550"/>
      <c r="D151" s="548"/>
      <c r="E151" s="548">
        <v>1530</v>
      </c>
      <c r="F151" s="507"/>
      <c r="G151" s="511"/>
      <c r="H151" s="545">
        <f t="shared" si="65"/>
        <v>1530</v>
      </c>
      <c r="I151" s="578"/>
      <c r="J151" s="507"/>
      <c r="K151" s="507"/>
      <c r="L151" s="545">
        <f t="shared" si="66"/>
        <v>0</v>
      </c>
      <c r="M151" s="544">
        <f t="shared" si="67"/>
        <v>1530</v>
      </c>
      <c r="N151" s="505"/>
      <c r="O151" s="544">
        <f t="shared" si="68"/>
        <v>1530</v>
      </c>
      <c r="P151" s="504"/>
    </row>
    <row r="152" spans="1:16" x14ac:dyDescent="0.25">
      <c r="A152" s="513"/>
      <c r="B152" s="498" t="s">
        <v>141</v>
      </c>
      <c r="C152" s="550"/>
      <c r="D152" s="548"/>
      <c r="E152" s="548"/>
      <c r="F152" s="507"/>
      <c r="G152" s="511"/>
      <c r="H152" s="545"/>
      <c r="I152" s="508"/>
      <c r="J152" s="507"/>
      <c r="K152" s="507"/>
      <c r="L152" s="545"/>
      <c r="M152" s="544"/>
      <c r="N152" s="505"/>
      <c r="O152" s="544"/>
      <c r="P152" s="504"/>
    </row>
    <row r="153" spans="1:16" ht="16.5" thickBot="1" x14ac:dyDescent="0.3">
      <c r="A153" s="513"/>
      <c r="B153" s="444" t="s">
        <v>1235</v>
      </c>
      <c r="C153" s="550">
        <v>1729</v>
      </c>
      <c r="D153" s="548">
        <v>591</v>
      </c>
      <c r="E153" s="548"/>
      <c r="F153" s="507"/>
      <c r="G153" s="511"/>
      <c r="H153" s="545">
        <f t="shared" si="65"/>
        <v>2320</v>
      </c>
      <c r="I153" s="508"/>
      <c r="J153" s="507"/>
      <c r="K153" s="507"/>
      <c r="L153" s="545">
        <f t="shared" si="66"/>
        <v>0</v>
      </c>
      <c r="M153" s="544">
        <f t="shared" si="67"/>
        <v>2320</v>
      </c>
      <c r="N153" s="505"/>
      <c r="O153" s="544">
        <f t="shared" si="68"/>
        <v>2320</v>
      </c>
      <c r="P153" s="504"/>
    </row>
    <row r="154" spans="1:16" ht="17.25" thickTop="1" thickBot="1" x14ac:dyDescent="0.3">
      <c r="A154" s="478"/>
      <c r="B154" s="477" t="s">
        <v>430</v>
      </c>
      <c r="C154" s="476">
        <f>+C144+C148+C153+C149+C150+C151</f>
        <v>175768</v>
      </c>
      <c r="D154" s="476">
        <f t="shared" ref="D154:O154" si="69">+D144+D148+D153+D149+D150+D151</f>
        <v>37725</v>
      </c>
      <c r="E154" s="476">
        <f t="shared" si="69"/>
        <v>63631</v>
      </c>
      <c r="F154" s="476">
        <f t="shared" si="69"/>
        <v>0</v>
      </c>
      <c r="G154" s="476">
        <f t="shared" si="69"/>
        <v>0</v>
      </c>
      <c r="H154" s="476">
        <f t="shared" si="69"/>
        <v>277124</v>
      </c>
      <c r="I154" s="476">
        <f t="shared" si="69"/>
        <v>122</v>
      </c>
      <c r="J154" s="476">
        <f t="shared" si="69"/>
        <v>0</v>
      </c>
      <c r="K154" s="476">
        <f t="shared" si="69"/>
        <v>0</v>
      </c>
      <c r="L154" s="476">
        <f t="shared" si="69"/>
        <v>122</v>
      </c>
      <c r="M154" s="476">
        <f t="shared" si="69"/>
        <v>277246</v>
      </c>
      <c r="N154" s="476">
        <f t="shared" si="69"/>
        <v>0</v>
      </c>
      <c r="O154" s="476">
        <f t="shared" si="69"/>
        <v>277246</v>
      </c>
      <c r="P154" s="430">
        <f>O155+O156</f>
        <v>277246</v>
      </c>
    </row>
    <row r="155" spans="1:16" ht="17.25" thickTop="1" thickBot="1" x14ac:dyDescent="0.3">
      <c r="A155" s="478"/>
      <c r="B155" s="477" t="s">
        <v>429</v>
      </c>
      <c r="C155" s="476">
        <f t="shared" ref="C155:O155" si="70">+C145+C148+C149+C150+C151</f>
        <v>172750</v>
      </c>
      <c r="D155" s="476">
        <f t="shared" si="70"/>
        <v>36693</v>
      </c>
      <c r="E155" s="476">
        <f t="shared" si="70"/>
        <v>63576</v>
      </c>
      <c r="F155" s="476">
        <f t="shared" si="70"/>
        <v>0</v>
      </c>
      <c r="G155" s="476">
        <f t="shared" si="70"/>
        <v>0</v>
      </c>
      <c r="H155" s="476">
        <f t="shared" si="70"/>
        <v>273019</v>
      </c>
      <c r="I155" s="476">
        <f t="shared" si="70"/>
        <v>122</v>
      </c>
      <c r="J155" s="476">
        <f t="shared" si="70"/>
        <v>0</v>
      </c>
      <c r="K155" s="476">
        <f t="shared" si="70"/>
        <v>0</v>
      </c>
      <c r="L155" s="476">
        <f t="shared" si="70"/>
        <v>122</v>
      </c>
      <c r="M155" s="476">
        <f t="shared" si="70"/>
        <v>273141</v>
      </c>
      <c r="N155" s="476">
        <f t="shared" si="70"/>
        <v>0</v>
      </c>
      <c r="O155" s="476">
        <f t="shared" si="70"/>
        <v>273141</v>
      </c>
    </row>
    <row r="156" spans="1:16" ht="17.25" thickTop="1" thickBot="1" x14ac:dyDescent="0.3">
      <c r="A156" s="478"/>
      <c r="B156" s="477" t="s">
        <v>428</v>
      </c>
      <c r="C156" s="476">
        <f>+C146+C153</f>
        <v>3018</v>
      </c>
      <c r="D156" s="476">
        <f t="shared" ref="D156:O156" si="71">+D146+D153</f>
        <v>1032</v>
      </c>
      <c r="E156" s="476">
        <f t="shared" si="71"/>
        <v>55</v>
      </c>
      <c r="F156" s="476">
        <f t="shared" si="71"/>
        <v>0</v>
      </c>
      <c r="G156" s="476">
        <f t="shared" si="71"/>
        <v>0</v>
      </c>
      <c r="H156" s="476">
        <f t="shared" si="71"/>
        <v>4105</v>
      </c>
      <c r="I156" s="476">
        <f t="shared" si="71"/>
        <v>0</v>
      </c>
      <c r="J156" s="476">
        <f t="shared" si="71"/>
        <v>0</v>
      </c>
      <c r="K156" s="476">
        <f t="shared" si="71"/>
        <v>0</v>
      </c>
      <c r="L156" s="476">
        <f t="shared" si="71"/>
        <v>0</v>
      </c>
      <c r="M156" s="476">
        <f t="shared" si="71"/>
        <v>4105</v>
      </c>
      <c r="N156" s="476">
        <f t="shared" si="71"/>
        <v>0</v>
      </c>
      <c r="O156" s="476">
        <f t="shared" si="71"/>
        <v>4105</v>
      </c>
    </row>
    <row r="157" spans="1:16" s="504" customFormat="1" ht="32.25" thickTop="1" x14ac:dyDescent="0.25">
      <c r="A157" s="487" t="s">
        <v>1</v>
      </c>
      <c r="B157" s="542" t="s">
        <v>1185</v>
      </c>
      <c r="C157" s="485"/>
      <c r="D157" s="484"/>
      <c r="E157" s="484"/>
      <c r="F157" s="482"/>
      <c r="G157" s="484"/>
      <c r="H157" s="481"/>
      <c r="I157" s="483"/>
      <c r="J157" s="482"/>
      <c r="K157" s="482"/>
      <c r="L157" s="481"/>
      <c r="M157" s="481"/>
      <c r="N157" s="481"/>
      <c r="O157" s="481"/>
      <c r="P157" s="475"/>
    </row>
    <row r="158" spans="1:16" s="504" customFormat="1" x14ac:dyDescent="0.25">
      <c r="A158" s="497"/>
      <c r="B158" s="444" t="s">
        <v>389</v>
      </c>
      <c r="C158" s="499">
        <v>182195</v>
      </c>
      <c r="D158" s="494">
        <v>38901</v>
      </c>
      <c r="E158" s="494">
        <v>91515</v>
      </c>
      <c r="F158" s="492"/>
      <c r="G158" s="494"/>
      <c r="H158" s="491">
        <f>SUM(C158:G158)</f>
        <v>312611</v>
      </c>
      <c r="I158" s="493"/>
      <c r="J158" s="492"/>
      <c r="K158" s="492"/>
      <c r="L158" s="491">
        <f>SUM(I158:K158)</f>
        <v>0</v>
      </c>
      <c r="M158" s="490">
        <f>SUM(H158+L158)</f>
        <v>312611</v>
      </c>
      <c r="N158" s="490"/>
      <c r="O158" s="490">
        <f>SUM(M158+N158)</f>
        <v>312611</v>
      </c>
      <c r="P158" s="475"/>
    </row>
    <row r="159" spans="1:16" s="504" customFormat="1" x14ac:dyDescent="0.25">
      <c r="A159" s="513"/>
      <c r="B159" s="498" t="s">
        <v>432</v>
      </c>
      <c r="C159" s="530">
        <v>180775</v>
      </c>
      <c r="D159" s="511">
        <v>38416</v>
      </c>
      <c r="E159" s="511">
        <v>91460</v>
      </c>
      <c r="F159" s="507"/>
      <c r="G159" s="511"/>
      <c r="H159" s="506">
        <f>SUM(C159:G159)</f>
        <v>310651</v>
      </c>
      <c r="I159" s="508"/>
      <c r="J159" s="507"/>
      <c r="K159" s="507"/>
      <c r="L159" s="506">
        <f>SUM(I159:K159)</f>
        <v>0</v>
      </c>
      <c r="M159" s="505">
        <f>SUM(H159+L159)</f>
        <v>310651</v>
      </c>
      <c r="N159" s="505"/>
      <c r="O159" s="505">
        <f>SUM(M159+N159)</f>
        <v>310651</v>
      </c>
    </row>
    <row r="160" spans="1:16" s="504" customFormat="1" x14ac:dyDescent="0.25">
      <c r="A160" s="513"/>
      <c r="B160" s="498" t="s">
        <v>431</v>
      </c>
      <c r="C160" s="530">
        <v>1420</v>
      </c>
      <c r="D160" s="511">
        <v>485</v>
      </c>
      <c r="E160" s="511">
        <v>55</v>
      </c>
      <c r="F160" s="507"/>
      <c r="G160" s="511"/>
      <c r="H160" s="506">
        <f>SUM(C160:G160)</f>
        <v>1960</v>
      </c>
      <c r="I160" s="508"/>
      <c r="J160" s="507"/>
      <c r="K160" s="507"/>
      <c r="L160" s="506">
        <f>SUM(I160:K160)</f>
        <v>0</v>
      </c>
      <c r="M160" s="505">
        <f>SUM(H160+L160)</f>
        <v>1960</v>
      </c>
      <c r="N160" s="505"/>
      <c r="O160" s="505">
        <f>SUM(M160+N160)</f>
        <v>1960</v>
      </c>
    </row>
    <row r="161" spans="1:16" s="504" customFormat="1" x14ac:dyDescent="0.25">
      <c r="A161" s="513"/>
      <c r="B161" s="498" t="s">
        <v>140</v>
      </c>
      <c r="C161" s="530"/>
      <c r="D161" s="511"/>
      <c r="E161" s="511"/>
      <c r="F161" s="507"/>
      <c r="G161" s="511"/>
      <c r="H161" s="506"/>
      <c r="I161" s="508"/>
      <c r="J161" s="507"/>
      <c r="K161" s="507"/>
      <c r="L161" s="506"/>
      <c r="M161" s="505"/>
      <c r="N161" s="505"/>
      <c r="O161" s="505"/>
    </row>
    <row r="162" spans="1:16" s="504" customFormat="1" ht="31.5" x14ac:dyDescent="0.25">
      <c r="A162" s="513"/>
      <c r="B162" s="444" t="s">
        <v>1168</v>
      </c>
      <c r="C162" s="550">
        <v>136</v>
      </c>
      <c r="D162" s="548">
        <v>27</v>
      </c>
      <c r="E162" s="548"/>
      <c r="F162" s="507"/>
      <c r="G162" s="511"/>
      <c r="H162" s="545">
        <f t="shared" ref="H162:H169" si="72">SUM(C162:G162)</f>
        <v>163</v>
      </c>
      <c r="I162" s="508"/>
      <c r="J162" s="507"/>
      <c r="K162" s="507"/>
      <c r="L162" s="545">
        <f t="shared" ref="L162:L169" si="73">SUM(I162:K162)</f>
        <v>0</v>
      </c>
      <c r="M162" s="544">
        <f t="shared" ref="M162:M169" si="74">SUM(H162+L162)</f>
        <v>163</v>
      </c>
      <c r="N162" s="505"/>
      <c r="O162" s="544">
        <f t="shared" ref="O162:O169" si="75">SUM(M162+N162)</f>
        <v>163</v>
      </c>
    </row>
    <row r="163" spans="1:16" s="504" customFormat="1" x14ac:dyDescent="0.25">
      <c r="A163" s="531"/>
      <c r="B163" s="453" t="s">
        <v>631</v>
      </c>
      <c r="C163" s="550">
        <v>193</v>
      </c>
      <c r="D163" s="548">
        <v>38</v>
      </c>
      <c r="E163" s="548"/>
      <c r="F163" s="507"/>
      <c r="G163" s="511"/>
      <c r="H163" s="545">
        <f t="shared" si="72"/>
        <v>231</v>
      </c>
      <c r="I163" s="508"/>
      <c r="J163" s="507"/>
      <c r="K163" s="507"/>
      <c r="L163" s="545">
        <f t="shared" si="73"/>
        <v>0</v>
      </c>
      <c r="M163" s="545">
        <f t="shared" si="74"/>
        <v>231</v>
      </c>
      <c r="N163" s="506"/>
      <c r="O163" s="545">
        <f t="shared" si="75"/>
        <v>231</v>
      </c>
    </row>
    <row r="164" spans="1:16" s="504" customFormat="1" ht="31.5" x14ac:dyDescent="0.25">
      <c r="A164" s="531"/>
      <c r="B164" s="453" t="s">
        <v>628</v>
      </c>
      <c r="C164" s="550">
        <v>530</v>
      </c>
      <c r="D164" s="548">
        <v>103</v>
      </c>
      <c r="E164" s="548"/>
      <c r="F164" s="507"/>
      <c r="G164" s="511"/>
      <c r="H164" s="545">
        <f t="shared" si="72"/>
        <v>633</v>
      </c>
      <c r="I164" s="508"/>
      <c r="J164" s="507"/>
      <c r="K164" s="507"/>
      <c r="L164" s="545">
        <f t="shared" si="73"/>
        <v>0</v>
      </c>
      <c r="M164" s="545">
        <f t="shared" si="74"/>
        <v>633</v>
      </c>
      <c r="N164" s="506"/>
      <c r="O164" s="545">
        <f t="shared" si="75"/>
        <v>633</v>
      </c>
    </row>
    <row r="165" spans="1:16" s="504" customFormat="1" ht="31.5" x14ac:dyDescent="0.25">
      <c r="A165" s="513"/>
      <c r="B165" s="444" t="s">
        <v>929</v>
      </c>
      <c r="C165" s="550"/>
      <c r="D165" s="548"/>
      <c r="E165" s="548">
        <v>-642</v>
      </c>
      <c r="F165" s="507"/>
      <c r="G165" s="511"/>
      <c r="H165" s="545">
        <f t="shared" si="72"/>
        <v>-642</v>
      </c>
      <c r="I165" s="578">
        <v>642</v>
      </c>
      <c r="J165" s="507"/>
      <c r="K165" s="507"/>
      <c r="L165" s="545">
        <f t="shared" si="73"/>
        <v>642</v>
      </c>
      <c r="M165" s="544">
        <f t="shared" si="74"/>
        <v>0</v>
      </c>
      <c r="N165" s="505"/>
      <c r="O165" s="544">
        <f t="shared" si="75"/>
        <v>0</v>
      </c>
    </row>
    <row r="166" spans="1:16" s="504" customFormat="1" ht="31.5" x14ac:dyDescent="0.25">
      <c r="A166" s="513"/>
      <c r="B166" s="444" t="s">
        <v>928</v>
      </c>
      <c r="C166" s="550"/>
      <c r="D166" s="548"/>
      <c r="E166" s="548">
        <v>2413</v>
      </c>
      <c r="F166" s="507"/>
      <c r="G166" s="511"/>
      <c r="H166" s="545">
        <f t="shared" si="72"/>
        <v>2413</v>
      </c>
      <c r="I166" s="578"/>
      <c r="J166" s="507"/>
      <c r="K166" s="507"/>
      <c r="L166" s="545">
        <f t="shared" si="73"/>
        <v>0</v>
      </c>
      <c r="M166" s="544">
        <f t="shared" si="74"/>
        <v>2413</v>
      </c>
      <c r="N166" s="505"/>
      <c r="O166" s="544">
        <f t="shared" si="75"/>
        <v>2413</v>
      </c>
    </row>
    <row r="167" spans="1:16" ht="47.25" x14ac:dyDescent="0.25">
      <c r="A167" s="513"/>
      <c r="B167" s="444" t="s">
        <v>1240</v>
      </c>
      <c r="C167" s="550"/>
      <c r="D167" s="548"/>
      <c r="E167" s="548">
        <v>7112</v>
      </c>
      <c r="F167" s="507"/>
      <c r="G167" s="511"/>
      <c r="H167" s="545">
        <f t="shared" si="72"/>
        <v>7112</v>
      </c>
      <c r="I167" s="578"/>
      <c r="J167" s="507"/>
      <c r="K167" s="507"/>
      <c r="L167" s="545">
        <f t="shared" si="73"/>
        <v>0</v>
      </c>
      <c r="M167" s="544">
        <f t="shared" si="74"/>
        <v>7112</v>
      </c>
      <c r="N167" s="505"/>
      <c r="O167" s="544">
        <f t="shared" si="75"/>
        <v>7112</v>
      </c>
      <c r="P167" s="504"/>
    </row>
    <row r="168" spans="1:16" x14ac:dyDescent="0.25">
      <c r="A168" s="513"/>
      <c r="B168" s="498" t="s">
        <v>141</v>
      </c>
      <c r="C168" s="550"/>
      <c r="D168" s="548"/>
      <c r="E168" s="548"/>
      <c r="F168" s="507"/>
      <c r="G168" s="511"/>
      <c r="H168" s="545"/>
      <c r="I168" s="508"/>
      <c r="J168" s="507"/>
      <c r="K168" s="507"/>
      <c r="L168" s="545"/>
      <c r="M168" s="544"/>
      <c r="N168" s="505"/>
      <c r="O168" s="544"/>
      <c r="P168" s="504"/>
    </row>
    <row r="169" spans="1:16" ht="16.5" thickBot="1" x14ac:dyDescent="0.3">
      <c r="A169" s="513"/>
      <c r="B169" s="444" t="s">
        <v>1235</v>
      </c>
      <c r="C169" s="550">
        <v>1904</v>
      </c>
      <c r="D169" s="548">
        <v>651</v>
      </c>
      <c r="E169" s="548"/>
      <c r="F169" s="507"/>
      <c r="G169" s="511"/>
      <c r="H169" s="545">
        <f t="shared" si="72"/>
        <v>2555</v>
      </c>
      <c r="I169" s="508"/>
      <c r="J169" s="507"/>
      <c r="K169" s="507"/>
      <c r="L169" s="545">
        <f t="shared" si="73"/>
        <v>0</v>
      </c>
      <c r="M169" s="544">
        <f t="shared" si="74"/>
        <v>2555</v>
      </c>
      <c r="N169" s="505"/>
      <c r="O169" s="544">
        <f t="shared" si="75"/>
        <v>2555</v>
      </c>
      <c r="P169" s="504"/>
    </row>
    <row r="170" spans="1:16" ht="17.25" thickTop="1" thickBot="1" x14ac:dyDescent="0.3">
      <c r="A170" s="478"/>
      <c r="B170" s="477" t="s">
        <v>430</v>
      </c>
      <c r="C170" s="476">
        <f>+C158+C162+C169+C163+C164+C165+C166+C167</f>
        <v>184958</v>
      </c>
      <c r="D170" s="476">
        <f t="shared" ref="D170:O170" si="76">+D158+D162+D169+D163+D164+D165+D166+D167</f>
        <v>39720</v>
      </c>
      <c r="E170" s="476">
        <f t="shared" si="76"/>
        <v>100398</v>
      </c>
      <c r="F170" s="476">
        <f t="shared" si="76"/>
        <v>0</v>
      </c>
      <c r="G170" s="476">
        <f t="shared" si="76"/>
        <v>0</v>
      </c>
      <c r="H170" s="476">
        <f t="shared" si="76"/>
        <v>325076</v>
      </c>
      <c r="I170" s="476">
        <f t="shared" si="76"/>
        <v>642</v>
      </c>
      <c r="J170" s="476">
        <f t="shared" si="76"/>
        <v>0</v>
      </c>
      <c r="K170" s="476">
        <f t="shared" si="76"/>
        <v>0</v>
      </c>
      <c r="L170" s="476">
        <f t="shared" si="76"/>
        <v>642</v>
      </c>
      <c r="M170" s="476">
        <f t="shared" si="76"/>
        <v>325718</v>
      </c>
      <c r="N170" s="476">
        <f t="shared" si="76"/>
        <v>0</v>
      </c>
      <c r="O170" s="476">
        <f t="shared" si="76"/>
        <v>325718</v>
      </c>
      <c r="P170" s="430">
        <f>O171+O172</f>
        <v>325718</v>
      </c>
    </row>
    <row r="171" spans="1:16" ht="17.25" thickTop="1" thickBot="1" x14ac:dyDescent="0.3">
      <c r="A171" s="478"/>
      <c r="B171" s="477" t="s">
        <v>429</v>
      </c>
      <c r="C171" s="476">
        <f t="shared" ref="C171:O171" si="77">+C159+C162+C163+C164+C165+C166+C167</f>
        <v>181634</v>
      </c>
      <c r="D171" s="476">
        <f t="shared" si="77"/>
        <v>38584</v>
      </c>
      <c r="E171" s="476">
        <f t="shared" si="77"/>
        <v>100343</v>
      </c>
      <c r="F171" s="476">
        <f t="shared" si="77"/>
        <v>0</v>
      </c>
      <c r="G171" s="476">
        <f t="shared" si="77"/>
        <v>0</v>
      </c>
      <c r="H171" s="476">
        <f t="shared" si="77"/>
        <v>320561</v>
      </c>
      <c r="I171" s="476">
        <f t="shared" si="77"/>
        <v>642</v>
      </c>
      <c r="J171" s="476">
        <f t="shared" si="77"/>
        <v>0</v>
      </c>
      <c r="K171" s="476">
        <f t="shared" si="77"/>
        <v>0</v>
      </c>
      <c r="L171" s="476">
        <f t="shared" si="77"/>
        <v>642</v>
      </c>
      <c r="M171" s="476">
        <f t="shared" si="77"/>
        <v>321203</v>
      </c>
      <c r="N171" s="476">
        <f t="shared" si="77"/>
        <v>0</v>
      </c>
      <c r="O171" s="476">
        <f t="shared" si="77"/>
        <v>321203</v>
      </c>
    </row>
    <row r="172" spans="1:16" s="504" customFormat="1" ht="17.25" thickTop="1" thickBot="1" x14ac:dyDescent="0.3">
      <c r="A172" s="478"/>
      <c r="B172" s="477" t="s">
        <v>428</v>
      </c>
      <c r="C172" s="476">
        <f>+C160+C169</f>
        <v>3324</v>
      </c>
      <c r="D172" s="476">
        <f t="shared" ref="D172:O172" si="78">+D160+D169</f>
        <v>1136</v>
      </c>
      <c r="E172" s="476">
        <f t="shared" si="78"/>
        <v>55</v>
      </c>
      <c r="F172" s="476">
        <f t="shared" si="78"/>
        <v>0</v>
      </c>
      <c r="G172" s="476">
        <f t="shared" si="78"/>
        <v>0</v>
      </c>
      <c r="H172" s="476">
        <f t="shared" si="78"/>
        <v>4515</v>
      </c>
      <c r="I172" s="476">
        <f t="shared" si="78"/>
        <v>0</v>
      </c>
      <c r="J172" s="476">
        <f t="shared" si="78"/>
        <v>0</v>
      </c>
      <c r="K172" s="476">
        <f t="shared" si="78"/>
        <v>0</v>
      </c>
      <c r="L172" s="476">
        <f t="shared" si="78"/>
        <v>0</v>
      </c>
      <c r="M172" s="476">
        <f t="shared" si="78"/>
        <v>4515</v>
      </c>
      <c r="N172" s="476">
        <f t="shared" si="78"/>
        <v>0</v>
      </c>
      <c r="O172" s="476">
        <f t="shared" si="78"/>
        <v>4515</v>
      </c>
      <c r="P172" s="475"/>
    </row>
    <row r="173" spans="1:16" s="504" customFormat="1" ht="16.5" thickTop="1" x14ac:dyDescent="0.25">
      <c r="A173" s="497" t="s">
        <v>2</v>
      </c>
      <c r="B173" s="453" t="s">
        <v>455</v>
      </c>
      <c r="C173" s="499"/>
      <c r="D173" s="494"/>
      <c r="E173" s="494"/>
      <c r="F173" s="500"/>
      <c r="G173" s="494"/>
      <c r="H173" s="491"/>
      <c r="I173" s="493"/>
      <c r="J173" s="492"/>
      <c r="K173" s="492"/>
      <c r="L173" s="491"/>
      <c r="M173" s="491"/>
      <c r="N173" s="491"/>
      <c r="O173" s="491"/>
      <c r="P173" s="475"/>
    </row>
    <row r="174" spans="1:16" s="504" customFormat="1" x14ac:dyDescent="0.25">
      <c r="A174" s="503"/>
      <c r="B174" s="453" t="s">
        <v>389</v>
      </c>
      <c r="C174" s="499">
        <v>119997</v>
      </c>
      <c r="D174" s="494">
        <v>25420</v>
      </c>
      <c r="E174" s="494">
        <v>50192</v>
      </c>
      <c r="F174" s="492"/>
      <c r="G174" s="494"/>
      <c r="H174" s="491">
        <f>SUM(C174:G174)</f>
        <v>195609</v>
      </c>
      <c r="I174" s="493"/>
      <c r="J174" s="492"/>
      <c r="K174" s="492"/>
      <c r="L174" s="491">
        <f>SUM(I174:K174)</f>
        <v>0</v>
      </c>
      <c r="M174" s="490">
        <f>SUM(H174+L174)</f>
        <v>195609</v>
      </c>
      <c r="N174" s="490"/>
      <c r="O174" s="490">
        <f>SUM(M174+N174)</f>
        <v>195609</v>
      </c>
      <c r="P174" s="475"/>
    </row>
    <row r="175" spans="1:16" s="504" customFormat="1" x14ac:dyDescent="0.25">
      <c r="A175" s="531"/>
      <c r="B175" s="498" t="s">
        <v>432</v>
      </c>
      <c r="C175" s="530">
        <v>119135</v>
      </c>
      <c r="D175" s="511">
        <v>25125</v>
      </c>
      <c r="E175" s="511">
        <v>49837</v>
      </c>
      <c r="F175" s="507"/>
      <c r="G175" s="511"/>
      <c r="H175" s="506">
        <f>SUM(C175:G175)</f>
        <v>194097</v>
      </c>
      <c r="I175" s="508"/>
      <c r="J175" s="507"/>
      <c r="K175" s="507"/>
      <c r="L175" s="506">
        <f>SUM(I175:K175)</f>
        <v>0</v>
      </c>
      <c r="M175" s="505">
        <f>SUM(H175+L175)</f>
        <v>194097</v>
      </c>
      <c r="N175" s="505"/>
      <c r="O175" s="505">
        <f>SUM(M175+N175)</f>
        <v>194097</v>
      </c>
    </row>
    <row r="176" spans="1:16" s="504" customFormat="1" x14ac:dyDescent="0.25">
      <c r="A176" s="531"/>
      <c r="B176" s="498" t="s">
        <v>431</v>
      </c>
      <c r="C176" s="530">
        <v>862</v>
      </c>
      <c r="D176" s="511">
        <v>295</v>
      </c>
      <c r="E176" s="511">
        <v>355</v>
      </c>
      <c r="F176" s="507"/>
      <c r="G176" s="511"/>
      <c r="H176" s="506">
        <f>SUM(C176:G176)</f>
        <v>1512</v>
      </c>
      <c r="I176" s="508"/>
      <c r="J176" s="507"/>
      <c r="K176" s="507"/>
      <c r="L176" s="506">
        <f>SUM(I176:K176)</f>
        <v>0</v>
      </c>
      <c r="M176" s="505">
        <f>SUM(H176+L176)</f>
        <v>1512</v>
      </c>
      <c r="N176" s="505"/>
      <c r="O176" s="505">
        <f>SUM(M176+N176)</f>
        <v>1512</v>
      </c>
    </row>
    <row r="177" spans="1:16" s="504" customFormat="1" x14ac:dyDescent="0.25">
      <c r="A177" s="503"/>
      <c r="B177" s="502" t="s">
        <v>140</v>
      </c>
      <c r="C177" s="499"/>
      <c r="D177" s="494"/>
      <c r="E177" s="494"/>
      <c r="F177" s="492"/>
      <c r="G177" s="494"/>
      <c r="H177" s="506"/>
      <c r="I177" s="493"/>
      <c r="J177" s="492"/>
      <c r="K177" s="492"/>
      <c r="L177" s="506"/>
      <c r="M177" s="505"/>
      <c r="N177" s="490"/>
      <c r="O177" s="505"/>
      <c r="P177" s="475"/>
    </row>
    <row r="178" spans="1:16" s="504" customFormat="1" ht="31.5" x14ac:dyDescent="0.25">
      <c r="A178" s="503"/>
      <c r="B178" s="444" t="s">
        <v>1168</v>
      </c>
      <c r="C178" s="550">
        <v>216</v>
      </c>
      <c r="D178" s="548">
        <v>42</v>
      </c>
      <c r="E178" s="548"/>
      <c r="F178" s="549"/>
      <c r="G178" s="548"/>
      <c r="H178" s="545">
        <f t="shared" ref="H178:H179" si="79">SUM(C178:G178)</f>
        <v>258</v>
      </c>
      <c r="I178" s="578"/>
      <c r="J178" s="549"/>
      <c r="K178" s="549"/>
      <c r="L178" s="545">
        <f t="shared" ref="L178:L179" si="80">SUM(I178:K178)</f>
        <v>0</v>
      </c>
      <c r="M178" s="544">
        <f t="shared" ref="M178:M179" si="81">SUM(H178+L178)</f>
        <v>258</v>
      </c>
      <c r="N178" s="544"/>
      <c r="O178" s="544">
        <f t="shared" ref="O178:O185" si="82">SUM(M178+N178)</f>
        <v>258</v>
      </c>
      <c r="P178" s="475"/>
    </row>
    <row r="179" spans="1:16" s="504" customFormat="1" ht="31.5" x14ac:dyDescent="0.25">
      <c r="A179" s="503"/>
      <c r="B179" s="444" t="s">
        <v>628</v>
      </c>
      <c r="C179" s="550">
        <v>316</v>
      </c>
      <c r="D179" s="548">
        <v>62</v>
      </c>
      <c r="E179" s="548"/>
      <c r="F179" s="549"/>
      <c r="G179" s="548"/>
      <c r="H179" s="545">
        <f t="shared" si="79"/>
        <v>378</v>
      </c>
      <c r="I179" s="578"/>
      <c r="J179" s="549"/>
      <c r="K179" s="549"/>
      <c r="L179" s="545">
        <f t="shared" si="80"/>
        <v>0</v>
      </c>
      <c r="M179" s="544">
        <f t="shared" si="81"/>
        <v>378</v>
      </c>
      <c r="N179" s="544"/>
      <c r="O179" s="544">
        <f t="shared" si="82"/>
        <v>378</v>
      </c>
      <c r="P179" s="475"/>
    </row>
    <row r="180" spans="1:16" s="504" customFormat="1" ht="31.5" x14ac:dyDescent="0.25">
      <c r="A180" s="503"/>
      <c r="B180" s="444" t="s">
        <v>929</v>
      </c>
      <c r="C180" s="550"/>
      <c r="D180" s="548"/>
      <c r="E180" s="548">
        <v>-770</v>
      </c>
      <c r="F180" s="549"/>
      <c r="G180" s="548"/>
      <c r="H180" s="545">
        <f>SUM(C180:G180)</f>
        <v>-770</v>
      </c>
      <c r="I180" s="578">
        <v>770</v>
      </c>
      <c r="J180" s="549"/>
      <c r="K180" s="549"/>
      <c r="L180" s="545">
        <f>SUM(I180:K180)</f>
        <v>770</v>
      </c>
      <c r="M180" s="545">
        <f>SUM(H180+L180)</f>
        <v>0</v>
      </c>
      <c r="N180" s="545"/>
      <c r="O180" s="544">
        <f t="shared" si="82"/>
        <v>0</v>
      </c>
      <c r="P180" s="475"/>
    </row>
    <row r="181" spans="1:16" s="504" customFormat="1" ht="31.5" x14ac:dyDescent="0.25">
      <c r="A181" s="503"/>
      <c r="B181" s="444" t="s">
        <v>928</v>
      </c>
      <c r="C181" s="550"/>
      <c r="D181" s="548"/>
      <c r="E181" s="548">
        <v>1407</v>
      </c>
      <c r="F181" s="549"/>
      <c r="G181" s="548"/>
      <c r="H181" s="545">
        <f>SUM(C181:G181)</f>
        <v>1407</v>
      </c>
      <c r="I181" s="578"/>
      <c r="J181" s="549"/>
      <c r="K181" s="549"/>
      <c r="L181" s="545">
        <f>SUM(I181:K181)</f>
        <v>0</v>
      </c>
      <c r="M181" s="545">
        <f>SUM(H181+L181)</f>
        <v>1407</v>
      </c>
      <c r="N181" s="545"/>
      <c r="O181" s="544">
        <f t="shared" si="82"/>
        <v>1407</v>
      </c>
      <c r="P181" s="475"/>
    </row>
    <row r="182" spans="1:16" ht="47.25" x14ac:dyDescent="0.25">
      <c r="A182" s="503"/>
      <c r="B182" s="444" t="s">
        <v>1240</v>
      </c>
      <c r="C182" s="550"/>
      <c r="D182" s="548"/>
      <c r="E182" s="548">
        <v>4280</v>
      </c>
      <c r="F182" s="549"/>
      <c r="G182" s="548"/>
      <c r="H182" s="545">
        <f>SUM(C182:G182)</f>
        <v>4280</v>
      </c>
      <c r="I182" s="578"/>
      <c r="J182" s="549"/>
      <c r="K182" s="549"/>
      <c r="L182" s="545">
        <f>SUM(I182:K182)</f>
        <v>0</v>
      </c>
      <c r="M182" s="545">
        <f>SUM(H182+L182)</f>
        <v>4280</v>
      </c>
      <c r="N182" s="545"/>
      <c r="O182" s="544">
        <f t="shared" si="82"/>
        <v>4280</v>
      </c>
    </row>
    <row r="183" spans="1:16" x14ac:dyDescent="0.25">
      <c r="A183" s="503"/>
      <c r="B183" s="446" t="s">
        <v>141</v>
      </c>
      <c r="C183" s="550"/>
      <c r="D183" s="548"/>
      <c r="E183" s="548"/>
      <c r="F183" s="549"/>
      <c r="G183" s="548"/>
      <c r="H183" s="545"/>
      <c r="I183" s="578"/>
      <c r="J183" s="549"/>
      <c r="K183" s="549"/>
      <c r="L183" s="545"/>
      <c r="M183" s="545"/>
      <c r="N183" s="545"/>
      <c r="O183" s="544"/>
    </row>
    <row r="184" spans="1:16" x14ac:dyDescent="0.25">
      <c r="A184" s="503"/>
      <c r="B184" s="444" t="s">
        <v>1235</v>
      </c>
      <c r="C184" s="550">
        <v>1176</v>
      </c>
      <c r="D184" s="548">
        <v>403</v>
      </c>
      <c r="E184" s="548"/>
      <c r="F184" s="549"/>
      <c r="G184" s="548"/>
      <c r="H184" s="545">
        <f t="shared" ref="H184:H185" si="83">SUM(C184:G184)</f>
        <v>1579</v>
      </c>
      <c r="I184" s="578"/>
      <c r="J184" s="549"/>
      <c r="K184" s="549"/>
      <c r="L184" s="545">
        <f t="shared" ref="L184:L185" si="84">SUM(I184:K184)</f>
        <v>0</v>
      </c>
      <c r="M184" s="545">
        <f t="shared" ref="M184:M185" si="85">SUM(H184+L184)</f>
        <v>1579</v>
      </c>
      <c r="N184" s="545"/>
      <c r="O184" s="544">
        <f t="shared" si="82"/>
        <v>1579</v>
      </c>
    </row>
    <row r="185" spans="1:16" ht="32.25" thickBot="1" x14ac:dyDescent="0.3">
      <c r="A185" s="503"/>
      <c r="B185" s="445" t="s">
        <v>1187</v>
      </c>
      <c r="C185" s="550"/>
      <c r="D185" s="548"/>
      <c r="E185" s="548">
        <v>250</v>
      </c>
      <c r="F185" s="549"/>
      <c r="G185" s="548"/>
      <c r="H185" s="545">
        <f t="shared" si="83"/>
        <v>250</v>
      </c>
      <c r="I185" s="578"/>
      <c r="J185" s="549"/>
      <c r="K185" s="549"/>
      <c r="L185" s="545">
        <f t="shared" si="84"/>
        <v>0</v>
      </c>
      <c r="M185" s="545">
        <f t="shared" si="85"/>
        <v>250</v>
      </c>
      <c r="N185" s="545"/>
      <c r="O185" s="544">
        <f t="shared" si="82"/>
        <v>250</v>
      </c>
    </row>
    <row r="186" spans="1:16" ht="17.25" thickTop="1" thickBot="1" x14ac:dyDescent="0.3">
      <c r="A186" s="478"/>
      <c r="B186" s="477" t="s">
        <v>430</v>
      </c>
      <c r="C186" s="476">
        <f>+C174+C180+C178+C179+C184+C185+C181+C182</f>
        <v>121705</v>
      </c>
      <c r="D186" s="476">
        <f t="shared" ref="D186:O186" si="86">+D174+D180+D178+D179+D184+D185+D181+D182</f>
        <v>25927</v>
      </c>
      <c r="E186" s="476">
        <f t="shared" si="86"/>
        <v>55359</v>
      </c>
      <c r="F186" s="476">
        <f t="shared" si="86"/>
        <v>0</v>
      </c>
      <c r="G186" s="476">
        <f t="shared" si="86"/>
        <v>0</v>
      </c>
      <c r="H186" s="476">
        <f t="shared" si="86"/>
        <v>202991</v>
      </c>
      <c r="I186" s="476">
        <f t="shared" si="86"/>
        <v>770</v>
      </c>
      <c r="J186" s="476">
        <f t="shared" si="86"/>
        <v>0</v>
      </c>
      <c r="K186" s="476">
        <f t="shared" si="86"/>
        <v>0</v>
      </c>
      <c r="L186" s="476">
        <f t="shared" si="86"/>
        <v>770</v>
      </c>
      <c r="M186" s="476">
        <f t="shared" si="86"/>
        <v>203761</v>
      </c>
      <c r="N186" s="476">
        <f t="shared" si="86"/>
        <v>0</v>
      </c>
      <c r="O186" s="476">
        <f t="shared" si="86"/>
        <v>203761</v>
      </c>
      <c r="P186" s="430">
        <f>O187+O188</f>
        <v>203761</v>
      </c>
    </row>
    <row r="187" spans="1:16" s="504" customFormat="1" ht="17.25" thickTop="1" thickBot="1" x14ac:dyDescent="0.3">
      <c r="A187" s="478"/>
      <c r="B187" s="477" t="s">
        <v>429</v>
      </c>
      <c r="C187" s="476">
        <f t="shared" ref="C187:O187" si="87">+C175+C180+C178+C179+C181+C182</f>
        <v>119667</v>
      </c>
      <c r="D187" s="476">
        <f t="shared" si="87"/>
        <v>25229</v>
      </c>
      <c r="E187" s="476">
        <f t="shared" si="87"/>
        <v>54754</v>
      </c>
      <c r="F187" s="476">
        <f t="shared" si="87"/>
        <v>0</v>
      </c>
      <c r="G187" s="476">
        <f t="shared" si="87"/>
        <v>0</v>
      </c>
      <c r="H187" s="476">
        <f t="shared" si="87"/>
        <v>199650</v>
      </c>
      <c r="I187" s="476">
        <f t="shared" si="87"/>
        <v>770</v>
      </c>
      <c r="J187" s="476">
        <f t="shared" si="87"/>
        <v>0</v>
      </c>
      <c r="K187" s="476">
        <f t="shared" si="87"/>
        <v>0</v>
      </c>
      <c r="L187" s="476">
        <f t="shared" si="87"/>
        <v>770</v>
      </c>
      <c r="M187" s="476">
        <f t="shared" si="87"/>
        <v>200420</v>
      </c>
      <c r="N187" s="476">
        <f t="shared" si="87"/>
        <v>0</v>
      </c>
      <c r="O187" s="476">
        <f t="shared" si="87"/>
        <v>200420</v>
      </c>
      <c r="P187" s="475"/>
    </row>
    <row r="188" spans="1:16" s="504" customFormat="1" ht="17.25" thickTop="1" thickBot="1" x14ac:dyDescent="0.3">
      <c r="A188" s="478"/>
      <c r="B188" s="477" t="s">
        <v>428</v>
      </c>
      <c r="C188" s="476">
        <f>+C176+C184+C185</f>
        <v>2038</v>
      </c>
      <c r="D188" s="476">
        <f t="shared" ref="D188:O188" si="88">+D176+D184+D185</f>
        <v>698</v>
      </c>
      <c r="E188" s="476">
        <f t="shared" si="88"/>
        <v>605</v>
      </c>
      <c r="F188" s="476">
        <f t="shared" si="88"/>
        <v>0</v>
      </c>
      <c r="G188" s="476">
        <f t="shared" si="88"/>
        <v>0</v>
      </c>
      <c r="H188" s="476">
        <f t="shared" si="88"/>
        <v>3341</v>
      </c>
      <c r="I188" s="476">
        <f t="shared" si="88"/>
        <v>0</v>
      </c>
      <c r="J188" s="476">
        <f t="shared" si="88"/>
        <v>0</v>
      </c>
      <c r="K188" s="476">
        <f t="shared" si="88"/>
        <v>0</v>
      </c>
      <c r="L188" s="476">
        <f t="shared" si="88"/>
        <v>0</v>
      </c>
      <c r="M188" s="476">
        <f t="shared" si="88"/>
        <v>3341</v>
      </c>
      <c r="N188" s="476">
        <f t="shared" si="88"/>
        <v>0</v>
      </c>
      <c r="O188" s="476">
        <f t="shared" si="88"/>
        <v>3341</v>
      </c>
      <c r="P188" s="475"/>
    </row>
    <row r="189" spans="1:16" ht="16.5" thickTop="1" x14ac:dyDescent="0.25">
      <c r="A189" s="497" t="s">
        <v>3</v>
      </c>
      <c r="B189" s="453" t="s">
        <v>454</v>
      </c>
      <c r="C189" s="499"/>
      <c r="D189" s="494"/>
      <c r="E189" s="494"/>
      <c r="F189" s="500"/>
      <c r="G189" s="494"/>
      <c r="H189" s="491"/>
      <c r="I189" s="493"/>
      <c r="J189" s="492"/>
      <c r="K189" s="492"/>
      <c r="L189" s="491"/>
      <c r="M189" s="491"/>
      <c r="N189" s="491"/>
      <c r="O189" s="491"/>
    </row>
    <row r="190" spans="1:16" x14ac:dyDescent="0.25">
      <c r="A190" s="503"/>
      <c r="B190" s="453" t="s">
        <v>389</v>
      </c>
      <c r="C190" s="499">
        <v>152520</v>
      </c>
      <c r="D190" s="494">
        <v>32209</v>
      </c>
      <c r="E190" s="494">
        <v>61105</v>
      </c>
      <c r="F190" s="492"/>
      <c r="G190" s="494"/>
      <c r="H190" s="491">
        <f>SUM(C190:G190)</f>
        <v>245834</v>
      </c>
      <c r="I190" s="493"/>
      <c r="J190" s="492"/>
      <c r="K190" s="492"/>
      <c r="L190" s="491">
        <f>SUM(I190:K190)</f>
        <v>0</v>
      </c>
      <c r="M190" s="491">
        <f>SUM(H190+L190)</f>
        <v>245834</v>
      </c>
      <c r="N190" s="491"/>
      <c r="O190" s="491">
        <f>SUM(M190+N190)</f>
        <v>245834</v>
      </c>
    </row>
    <row r="191" spans="1:16" x14ac:dyDescent="0.25">
      <c r="A191" s="531"/>
      <c r="B191" s="502" t="s">
        <v>432</v>
      </c>
      <c r="C191" s="530">
        <v>151337</v>
      </c>
      <c r="D191" s="511">
        <v>31804</v>
      </c>
      <c r="E191" s="511">
        <v>61050</v>
      </c>
      <c r="F191" s="507"/>
      <c r="G191" s="511"/>
      <c r="H191" s="506">
        <f>SUM(C191:G191)</f>
        <v>244191</v>
      </c>
      <c r="I191" s="508"/>
      <c r="J191" s="507"/>
      <c r="K191" s="507"/>
      <c r="L191" s="506">
        <f>SUM(I191:K191)</f>
        <v>0</v>
      </c>
      <c r="M191" s="506">
        <f>SUM(H191+L191)</f>
        <v>244191</v>
      </c>
      <c r="N191" s="506"/>
      <c r="O191" s="506">
        <f>SUM(M191+N191)</f>
        <v>244191</v>
      </c>
      <c r="P191" s="504"/>
    </row>
    <row r="192" spans="1:16" x14ac:dyDescent="0.25">
      <c r="A192" s="513"/>
      <c r="B192" s="498" t="s">
        <v>431</v>
      </c>
      <c r="C192" s="530">
        <v>1183</v>
      </c>
      <c r="D192" s="511">
        <v>405</v>
      </c>
      <c r="E192" s="511">
        <v>55</v>
      </c>
      <c r="F192" s="507"/>
      <c r="G192" s="511"/>
      <c r="H192" s="506">
        <f>SUM(C192:G192)</f>
        <v>1643</v>
      </c>
      <c r="I192" s="508"/>
      <c r="J192" s="507"/>
      <c r="K192" s="507"/>
      <c r="L192" s="506">
        <f>SUM(I192:K192)</f>
        <v>0</v>
      </c>
      <c r="M192" s="505">
        <f>SUM(H192+L192)</f>
        <v>1643</v>
      </c>
      <c r="N192" s="505"/>
      <c r="O192" s="505">
        <f>SUM(M192+N192)</f>
        <v>1643</v>
      </c>
      <c r="P192" s="504"/>
    </row>
    <row r="193" spans="1:16" x14ac:dyDescent="0.25">
      <c r="A193" s="513"/>
      <c r="B193" s="498" t="s">
        <v>140</v>
      </c>
      <c r="C193" s="530"/>
      <c r="D193" s="511"/>
      <c r="E193" s="511"/>
      <c r="F193" s="507"/>
      <c r="G193" s="511"/>
      <c r="H193" s="506"/>
      <c r="I193" s="508"/>
      <c r="J193" s="507"/>
      <c r="K193" s="507"/>
      <c r="L193" s="506"/>
      <c r="M193" s="505"/>
      <c r="N193" s="505"/>
      <c r="O193" s="505"/>
      <c r="P193" s="504"/>
    </row>
    <row r="194" spans="1:16" ht="31.5" x14ac:dyDescent="0.25">
      <c r="A194" s="513"/>
      <c r="B194" s="444" t="s">
        <v>1168</v>
      </c>
      <c r="C194" s="550">
        <v>57</v>
      </c>
      <c r="D194" s="548">
        <v>11</v>
      </c>
      <c r="E194" s="548"/>
      <c r="F194" s="549"/>
      <c r="G194" s="511"/>
      <c r="H194" s="545">
        <f t="shared" ref="H194:H200" si="89">SUM(C194:G194)</f>
        <v>68</v>
      </c>
      <c r="I194" s="508"/>
      <c r="J194" s="507"/>
      <c r="K194" s="507"/>
      <c r="L194" s="545">
        <f t="shared" ref="L194:L200" si="90">SUM(I194:K194)</f>
        <v>0</v>
      </c>
      <c r="M194" s="544">
        <f t="shared" ref="M194:M200" si="91">SUM(H194+L194)</f>
        <v>68</v>
      </c>
      <c r="N194" s="505"/>
      <c r="O194" s="544">
        <f t="shared" ref="O194:O200" si="92">SUM(M194+N194)</f>
        <v>68</v>
      </c>
      <c r="P194" s="504"/>
    </row>
    <row r="195" spans="1:16" ht="31.5" x14ac:dyDescent="0.25">
      <c r="A195" s="513"/>
      <c r="B195" s="444" t="s">
        <v>628</v>
      </c>
      <c r="C195" s="550">
        <v>4522</v>
      </c>
      <c r="D195" s="548">
        <v>882</v>
      </c>
      <c r="E195" s="548"/>
      <c r="F195" s="549"/>
      <c r="G195" s="511"/>
      <c r="H195" s="545">
        <f t="shared" si="89"/>
        <v>5404</v>
      </c>
      <c r="I195" s="508"/>
      <c r="J195" s="507"/>
      <c r="K195" s="507"/>
      <c r="L195" s="545">
        <f t="shared" si="90"/>
        <v>0</v>
      </c>
      <c r="M195" s="544">
        <f t="shared" si="91"/>
        <v>5404</v>
      </c>
      <c r="N195" s="505"/>
      <c r="O195" s="544">
        <f t="shared" si="92"/>
        <v>5404</v>
      </c>
      <c r="P195" s="504"/>
    </row>
    <row r="196" spans="1:16" ht="31.5" x14ac:dyDescent="0.25">
      <c r="A196" s="513"/>
      <c r="B196" s="444" t="s">
        <v>929</v>
      </c>
      <c r="C196" s="550"/>
      <c r="D196" s="548"/>
      <c r="E196" s="548">
        <v>-103</v>
      </c>
      <c r="F196" s="549"/>
      <c r="G196" s="511"/>
      <c r="H196" s="545">
        <f t="shared" si="89"/>
        <v>-103</v>
      </c>
      <c r="I196" s="578">
        <v>103</v>
      </c>
      <c r="J196" s="507"/>
      <c r="K196" s="507"/>
      <c r="L196" s="545">
        <f t="shared" si="90"/>
        <v>103</v>
      </c>
      <c r="M196" s="544">
        <f t="shared" si="91"/>
        <v>0</v>
      </c>
      <c r="N196" s="505"/>
      <c r="O196" s="544">
        <f t="shared" si="92"/>
        <v>0</v>
      </c>
      <c r="P196" s="504"/>
    </row>
    <row r="197" spans="1:16" ht="31.5" x14ac:dyDescent="0.25">
      <c r="A197" s="513"/>
      <c r="B197" s="444" t="s">
        <v>928</v>
      </c>
      <c r="C197" s="550"/>
      <c r="D197" s="548"/>
      <c r="E197" s="548">
        <v>162</v>
      </c>
      <c r="F197" s="549"/>
      <c r="G197" s="511"/>
      <c r="H197" s="545">
        <f t="shared" si="89"/>
        <v>162</v>
      </c>
      <c r="I197" s="508"/>
      <c r="J197" s="507"/>
      <c r="K197" s="507"/>
      <c r="L197" s="545">
        <f t="shared" si="90"/>
        <v>0</v>
      </c>
      <c r="M197" s="544">
        <f t="shared" si="91"/>
        <v>162</v>
      </c>
      <c r="N197" s="505"/>
      <c r="O197" s="544">
        <f t="shared" si="92"/>
        <v>162</v>
      </c>
      <c r="P197" s="504"/>
    </row>
    <row r="198" spans="1:16" ht="47.25" x14ac:dyDescent="0.25">
      <c r="A198" s="513"/>
      <c r="B198" s="444" t="s">
        <v>1240</v>
      </c>
      <c r="C198" s="550"/>
      <c r="D198" s="548"/>
      <c r="E198" s="548">
        <v>1905</v>
      </c>
      <c r="F198" s="549"/>
      <c r="G198" s="511"/>
      <c r="H198" s="545">
        <f t="shared" si="89"/>
        <v>1905</v>
      </c>
      <c r="I198" s="508"/>
      <c r="J198" s="507"/>
      <c r="K198" s="507"/>
      <c r="L198" s="545">
        <f t="shared" si="90"/>
        <v>0</v>
      </c>
      <c r="M198" s="544">
        <f t="shared" si="91"/>
        <v>1905</v>
      </c>
      <c r="N198" s="505"/>
      <c r="O198" s="544">
        <f t="shared" si="92"/>
        <v>1905</v>
      </c>
      <c r="P198" s="504"/>
    </row>
    <row r="199" spans="1:16" x14ac:dyDescent="0.25">
      <c r="A199" s="513"/>
      <c r="B199" s="498" t="s">
        <v>141</v>
      </c>
      <c r="C199" s="550"/>
      <c r="D199" s="548"/>
      <c r="E199" s="548"/>
      <c r="F199" s="549"/>
      <c r="G199" s="511"/>
      <c r="H199" s="545"/>
      <c r="I199" s="508"/>
      <c r="J199" s="507"/>
      <c r="K199" s="507"/>
      <c r="L199" s="545"/>
      <c r="M199" s="544"/>
      <c r="N199" s="505"/>
      <c r="O199" s="544"/>
      <c r="P199" s="504"/>
    </row>
    <row r="200" spans="1:16" ht="16.5" thickBot="1" x14ac:dyDescent="0.3">
      <c r="A200" s="513"/>
      <c r="B200" s="444" t="s">
        <v>1235</v>
      </c>
      <c r="C200" s="550">
        <v>1562</v>
      </c>
      <c r="D200" s="548">
        <v>535</v>
      </c>
      <c r="E200" s="548"/>
      <c r="F200" s="549"/>
      <c r="G200" s="511"/>
      <c r="H200" s="545">
        <f t="shared" si="89"/>
        <v>2097</v>
      </c>
      <c r="I200" s="508"/>
      <c r="J200" s="507"/>
      <c r="K200" s="507"/>
      <c r="L200" s="545">
        <f t="shared" si="90"/>
        <v>0</v>
      </c>
      <c r="M200" s="544">
        <f t="shared" si="91"/>
        <v>2097</v>
      </c>
      <c r="N200" s="505"/>
      <c r="O200" s="544">
        <f t="shared" si="92"/>
        <v>2097</v>
      </c>
      <c r="P200" s="504"/>
    </row>
    <row r="201" spans="1:16" ht="17.25" thickTop="1" thickBot="1" x14ac:dyDescent="0.3">
      <c r="A201" s="478"/>
      <c r="B201" s="477" t="s">
        <v>430</v>
      </c>
      <c r="C201" s="476">
        <f>+C190+C194+C200+C195+C196+C197+C198</f>
        <v>158661</v>
      </c>
      <c r="D201" s="476">
        <f t="shared" ref="D201:O201" si="93">+D190+D194+D200+D195+D196+D197+D198</f>
        <v>33637</v>
      </c>
      <c r="E201" s="476">
        <f t="shared" si="93"/>
        <v>63069</v>
      </c>
      <c r="F201" s="476">
        <f t="shared" si="93"/>
        <v>0</v>
      </c>
      <c r="G201" s="476">
        <f t="shared" si="93"/>
        <v>0</v>
      </c>
      <c r="H201" s="476">
        <f t="shared" si="93"/>
        <v>255367</v>
      </c>
      <c r="I201" s="476">
        <f t="shared" si="93"/>
        <v>103</v>
      </c>
      <c r="J201" s="476">
        <f t="shared" si="93"/>
        <v>0</v>
      </c>
      <c r="K201" s="476">
        <f t="shared" si="93"/>
        <v>0</v>
      </c>
      <c r="L201" s="476">
        <f t="shared" si="93"/>
        <v>103</v>
      </c>
      <c r="M201" s="476">
        <f t="shared" si="93"/>
        <v>255470</v>
      </c>
      <c r="N201" s="476">
        <f t="shared" si="93"/>
        <v>0</v>
      </c>
      <c r="O201" s="476">
        <f t="shared" si="93"/>
        <v>255470</v>
      </c>
      <c r="P201" s="430">
        <f>O202+O203</f>
        <v>255470</v>
      </c>
    </row>
    <row r="202" spans="1:16" ht="17.25" thickTop="1" thickBot="1" x14ac:dyDescent="0.3">
      <c r="A202" s="478"/>
      <c r="B202" s="477" t="s">
        <v>429</v>
      </c>
      <c r="C202" s="476">
        <f t="shared" ref="C202:O202" si="94">+C191+C194+C195+C196+C197+C198</f>
        <v>155916</v>
      </c>
      <c r="D202" s="476">
        <f t="shared" si="94"/>
        <v>32697</v>
      </c>
      <c r="E202" s="476">
        <f t="shared" si="94"/>
        <v>63014</v>
      </c>
      <c r="F202" s="476">
        <f t="shared" si="94"/>
        <v>0</v>
      </c>
      <c r="G202" s="476">
        <f t="shared" si="94"/>
        <v>0</v>
      </c>
      <c r="H202" s="476">
        <f t="shared" si="94"/>
        <v>251627</v>
      </c>
      <c r="I202" s="476">
        <f t="shared" si="94"/>
        <v>103</v>
      </c>
      <c r="J202" s="476">
        <f t="shared" si="94"/>
        <v>0</v>
      </c>
      <c r="K202" s="476">
        <f t="shared" si="94"/>
        <v>0</v>
      </c>
      <c r="L202" s="476">
        <f t="shared" si="94"/>
        <v>103</v>
      </c>
      <c r="M202" s="476">
        <f t="shared" si="94"/>
        <v>251730</v>
      </c>
      <c r="N202" s="476">
        <f t="shared" si="94"/>
        <v>0</v>
      </c>
      <c r="O202" s="476">
        <f t="shared" si="94"/>
        <v>251730</v>
      </c>
    </row>
    <row r="203" spans="1:16" s="504" customFormat="1" ht="17.25" thickTop="1" thickBot="1" x14ac:dyDescent="0.3">
      <c r="A203" s="478"/>
      <c r="B203" s="477" t="s">
        <v>428</v>
      </c>
      <c r="C203" s="476">
        <f>+C192+C200</f>
        <v>2745</v>
      </c>
      <c r="D203" s="476">
        <f t="shared" ref="D203:O203" si="95">+D192+D200</f>
        <v>940</v>
      </c>
      <c r="E203" s="476">
        <f t="shared" si="95"/>
        <v>55</v>
      </c>
      <c r="F203" s="476">
        <f t="shared" si="95"/>
        <v>0</v>
      </c>
      <c r="G203" s="476">
        <f t="shared" si="95"/>
        <v>0</v>
      </c>
      <c r="H203" s="476">
        <f t="shared" si="95"/>
        <v>3740</v>
      </c>
      <c r="I203" s="476">
        <f t="shared" si="95"/>
        <v>0</v>
      </c>
      <c r="J203" s="476">
        <f t="shared" si="95"/>
        <v>0</v>
      </c>
      <c r="K203" s="476">
        <f t="shared" si="95"/>
        <v>0</v>
      </c>
      <c r="L203" s="476">
        <f t="shared" si="95"/>
        <v>0</v>
      </c>
      <c r="M203" s="476">
        <f t="shared" si="95"/>
        <v>3740</v>
      </c>
      <c r="N203" s="476">
        <f t="shared" si="95"/>
        <v>0</v>
      </c>
      <c r="O203" s="476">
        <f t="shared" si="95"/>
        <v>3740</v>
      </c>
      <c r="P203" s="475"/>
    </row>
    <row r="204" spans="1:16" s="504" customFormat="1" ht="16.5" thickTop="1" x14ac:dyDescent="0.25">
      <c r="A204" s="497" t="s">
        <v>4</v>
      </c>
      <c r="B204" s="453" t="s">
        <v>453</v>
      </c>
      <c r="C204" s="499"/>
      <c r="D204" s="494"/>
      <c r="E204" s="494"/>
      <c r="F204" s="500"/>
      <c r="G204" s="494"/>
      <c r="H204" s="491"/>
      <c r="I204" s="493"/>
      <c r="J204" s="492"/>
      <c r="K204" s="492"/>
      <c r="L204" s="491"/>
      <c r="M204" s="491"/>
      <c r="N204" s="491"/>
      <c r="O204" s="491"/>
      <c r="P204" s="475"/>
    </row>
    <row r="205" spans="1:16" s="504" customFormat="1" x14ac:dyDescent="0.25">
      <c r="A205" s="503"/>
      <c r="B205" s="453" t="s">
        <v>389</v>
      </c>
      <c r="C205" s="499">
        <v>132363</v>
      </c>
      <c r="D205" s="494">
        <v>28151</v>
      </c>
      <c r="E205" s="494">
        <v>62073</v>
      </c>
      <c r="F205" s="492"/>
      <c r="G205" s="494"/>
      <c r="H205" s="491">
        <f>SUM(C205:G205)</f>
        <v>222587</v>
      </c>
      <c r="I205" s="493"/>
      <c r="J205" s="492"/>
      <c r="K205" s="492"/>
      <c r="L205" s="491">
        <f>SUM(I205:K205)</f>
        <v>0</v>
      </c>
      <c r="M205" s="490">
        <f>SUM(H205+L205)</f>
        <v>222587</v>
      </c>
      <c r="N205" s="490"/>
      <c r="O205" s="490">
        <f>SUM(M205+N205)</f>
        <v>222587</v>
      </c>
      <c r="P205" s="475"/>
    </row>
    <row r="206" spans="1:16" s="504" customFormat="1" x14ac:dyDescent="0.25">
      <c r="A206" s="531"/>
      <c r="B206" s="498" t="s">
        <v>432</v>
      </c>
      <c r="C206" s="530">
        <v>131357</v>
      </c>
      <c r="D206" s="511">
        <v>27806</v>
      </c>
      <c r="E206" s="511">
        <v>62018</v>
      </c>
      <c r="F206" s="507"/>
      <c r="G206" s="511"/>
      <c r="H206" s="506">
        <f>SUM(C206:G206)</f>
        <v>221181</v>
      </c>
      <c r="I206" s="508"/>
      <c r="J206" s="507"/>
      <c r="K206" s="507"/>
      <c r="L206" s="506">
        <f>SUM(I206:K206)</f>
        <v>0</v>
      </c>
      <c r="M206" s="505">
        <f>SUM(H206+L206)</f>
        <v>221181</v>
      </c>
      <c r="N206" s="505"/>
      <c r="O206" s="505">
        <f>SUM(M206+N206)</f>
        <v>221181</v>
      </c>
    </row>
    <row r="207" spans="1:16" s="504" customFormat="1" x14ac:dyDescent="0.25">
      <c r="A207" s="531"/>
      <c r="B207" s="498" t="s">
        <v>431</v>
      </c>
      <c r="C207" s="530">
        <v>1006</v>
      </c>
      <c r="D207" s="511">
        <v>345</v>
      </c>
      <c r="E207" s="511">
        <v>55</v>
      </c>
      <c r="F207" s="507"/>
      <c r="G207" s="511"/>
      <c r="H207" s="506">
        <f>SUM(C207:G207)</f>
        <v>1406</v>
      </c>
      <c r="I207" s="508"/>
      <c r="J207" s="507"/>
      <c r="K207" s="507"/>
      <c r="L207" s="506">
        <f>SUM(I207:K207)</f>
        <v>0</v>
      </c>
      <c r="M207" s="505">
        <f>SUM(H207+L207)</f>
        <v>1406</v>
      </c>
      <c r="N207" s="505"/>
      <c r="O207" s="505">
        <f>SUM(M207+N207)</f>
        <v>1406</v>
      </c>
    </row>
    <row r="208" spans="1:16" s="504" customFormat="1" x14ac:dyDescent="0.25">
      <c r="A208" s="531"/>
      <c r="B208" s="498" t="s">
        <v>140</v>
      </c>
      <c r="C208" s="530"/>
      <c r="D208" s="511"/>
      <c r="E208" s="511"/>
      <c r="F208" s="507"/>
      <c r="G208" s="511"/>
      <c r="H208" s="506"/>
      <c r="I208" s="508"/>
      <c r="J208" s="507"/>
      <c r="K208" s="507"/>
      <c r="L208" s="506"/>
      <c r="M208" s="505"/>
      <c r="N208" s="505"/>
      <c r="O208" s="505"/>
    </row>
    <row r="209" spans="1:16" s="504" customFormat="1" ht="31.5" x14ac:dyDescent="0.25">
      <c r="A209" s="531"/>
      <c r="B209" s="444" t="s">
        <v>1168</v>
      </c>
      <c r="C209" s="550">
        <v>16</v>
      </c>
      <c r="D209" s="548">
        <v>3</v>
      </c>
      <c r="E209" s="548"/>
      <c r="F209" s="549"/>
      <c r="G209" s="511"/>
      <c r="H209" s="545">
        <f t="shared" ref="H209:H214" si="96">SUM(C209:G209)</f>
        <v>19</v>
      </c>
      <c r="I209" s="508"/>
      <c r="J209" s="507"/>
      <c r="K209" s="507"/>
      <c r="L209" s="545">
        <f t="shared" ref="L209:L214" si="97">SUM(I209:K209)</f>
        <v>0</v>
      </c>
      <c r="M209" s="544">
        <f t="shared" ref="M209:M214" si="98">SUM(H209+L209)</f>
        <v>19</v>
      </c>
      <c r="N209" s="505"/>
      <c r="O209" s="544">
        <f t="shared" ref="O209:O214" si="99">SUM(M209+N209)</f>
        <v>19</v>
      </c>
    </row>
    <row r="210" spans="1:16" s="504" customFormat="1" ht="31.5" x14ac:dyDescent="0.25">
      <c r="A210" s="531"/>
      <c r="B210" s="444" t="s">
        <v>628</v>
      </c>
      <c r="C210" s="550">
        <v>106</v>
      </c>
      <c r="D210" s="548">
        <v>21</v>
      </c>
      <c r="E210" s="548"/>
      <c r="F210" s="549"/>
      <c r="G210" s="511"/>
      <c r="H210" s="545">
        <f t="shared" si="96"/>
        <v>127</v>
      </c>
      <c r="I210" s="508"/>
      <c r="J210" s="507"/>
      <c r="K210" s="507"/>
      <c r="L210" s="545">
        <f t="shared" si="97"/>
        <v>0</v>
      </c>
      <c r="M210" s="544">
        <f t="shared" si="98"/>
        <v>127</v>
      </c>
      <c r="N210" s="505"/>
      <c r="O210" s="544">
        <f t="shared" si="99"/>
        <v>127</v>
      </c>
    </row>
    <row r="211" spans="1:16" s="504" customFormat="1" ht="31.5" x14ac:dyDescent="0.25">
      <c r="A211" s="531"/>
      <c r="B211" s="444" t="s">
        <v>929</v>
      </c>
      <c r="C211" s="550"/>
      <c r="D211" s="548"/>
      <c r="E211" s="548">
        <v>-35</v>
      </c>
      <c r="F211" s="549"/>
      <c r="G211" s="511"/>
      <c r="H211" s="545">
        <f t="shared" si="96"/>
        <v>-35</v>
      </c>
      <c r="I211" s="578">
        <v>35</v>
      </c>
      <c r="J211" s="507"/>
      <c r="K211" s="507"/>
      <c r="L211" s="545">
        <f t="shared" si="97"/>
        <v>35</v>
      </c>
      <c r="M211" s="544">
        <f t="shared" si="98"/>
        <v>0</v>
      </c>
      <c r="N211" s="505"/>
      <c r="O211" s="544">
        <f t="shared" si="99"/>
        <v>0</v>
      </c>
    </row>
    <row r="212" spans="1:16" s="504" customFormat="1" ht="31.5" x14ac:dyDescent="0.25">
      <c r="A212" s="531"/>
      <c r="B212" s="444" t="s">
        <v>928</v>
      </c>
      <c r="C212" s="550"/>
      <c r="D212" s="548"/>
      <c r="E212" s="548">
        <v>1048</v>
      </c>
      <c r="F212" s="549"/>
      <c r="G212" s="511"/>
      <c r="H212" s="545">
        <f t="shared" si="96"/>
        <v>1048</v>
      </c>
      <c r="I212" s="578"/>
      <c r="J212" s="507"/>
      <c r="K212" s="507"/>
      <c r="L212" s="545">
        <f t="shared" si="97"/>
        <v>0</v>
      </c>
      <c r="M212" s="544">
        <f t="shared" si="98"/>
        <v>1048</v>
      </c>
      <c r="N212" s="505"/>
      <c r="O212" s="544">
        <f t="shared" si="99"/>
        <v>1048</v>
      </c>
    </row>
    <row r="213" spans="1:16" x14ac:dyDescent="0.25">
      <c r="A213" s="531"/>
      <c r="B213" s="498" t="s">
        <v>141</v>
      </c>
      <c r="C213" s="550"/>
      <c r="D213" s="548"/>
      <c r="E213" s="548"/>
      <c r="F213" s="549"/>
      <c r="G213" s="511"/>
      <c r="H213" s="545"/>
      <c r="I213" s="508"/>
      <c r="J213" s="507"/>
      <c r="K213" s="507"/>
      <c r="L213" s="545"/>
      <c r="M213" s="544"/>
      <c r="N213" s="505"/>
      <c r="O213" s="544"/>
      <c r="P213" s="504"/>
    </row>
    <row r="214" spans="1:16" ht="16.5" thickBot="1" x14ac:dyDescent="0.3">
      <c r="A214" s="531"/>
      <c r="B214" s="444" t="s">
        <v>1235</v>
      </c>
      <c r="C214" s="550">
        <v>1350</v>
      </c>
      <c r="D214" s="548">
        <v>462</v>
      </c>
      <c r="E214" s="548"/>
      <c r="F214" s="549"/>
      <c r="G214" s="511"/>
      <c r="H214" s="545">
        <f t="shared" si="96"/>
        <v>1812</v>
      </c>
      <c r="I214" s="508"/>
      <c r="J214" s="507"/>
      <c r="K214" s="507"/>
      <c r="L214" s="545">
        <f t="shared" si="97"/>
        <v>0</v>
      </c>
      <c r="M214" s="544">
        <f t="shared" si="98"/>
        <v>1812</v>
      </c>
      <c r="N214" s="505"/>
      <c r="O214" s="544">
        <f t="shared" si="99"/>
        <v>1812</v>
      </c>
      <c r="P214" s="504"/>
    </row>
    <row r="215" spans="1:16" ht="17.25" thickTop="1" thickBot="1" x14ac:dyDescent="0.3">
      <c r="A215" s="478"/>
      <c r="B215" s="477" t="s">
        <v>430</v>
      </c>
      <c r="C215" s="476">
        <f>+C205+C209+C214+C210+C211+C212</f>
        <v>133835</v>
      </c>
      <c r="D215" s="476">
        <f t="shared" ref="D215:O215" si="100">+D205+D209+D214+D210+D211+D212</f>
        <v>28637</v>
      </c>
      <c r="E215" s="476">
        <f t="shared" si="100"/>
        <v>63086</v>
      </c>
      <c r="F215" s="476">
        <f t="shared" si="100"/>
        <v>0</v>
      </c>
      <c r="G215" s="476">
        <f t="shared" si="100"/>
        <v>0</v>
      </c>
      <c r="H215" s="476">
        <f t="shared" si="100"/>
        <v>225558</v>
      </c>
      <c r="I215" s="476">
        <f t="shared" si="100"/>
        <v>35</v>
      </c>
      <c r="J215" s="476">
        <f t="shared" si="100"/>
        <v>0</v>
      </c>
      <c r="K215" s="476">
        <f t="shared" si="100"/>
        <v>0</v>
      </c>
      <c r="L215" s="476">
        <f t="shared" si="100"/>
        <v>35</v>
      </c>
      <c r="M215" s="476">
        <f t="shared" si="100"/>
        <v>225593</v>
      </c>
      <c r="N215" s="476">
        <f t="shared" si="100"/>
        <v>0</v>
      </c>
      <c r="O215" s="476">
        <f t="shared" si="100"/>
        <v>225593</v>
      </c>
      <c r="P215" s="430">
        <f>O216+O217</f>
        <v>225593</v>
      </c>
    </row>
    <row r="216" spans="1:16" ht="17.25" thickTop="1" thickBot="1" x14ac:dyDescent="0.3">
      <c r="A216" s="478"/>
      <c r="B216" s="477" t="s">
        <v>429</v>
      </c>
      <c r="C216" s="476">
        <f t="shared" ref="C216:O216" si="101">+C206+C209+C210+C211+C212</f>
        <v>131479</v>
      </c>
      <c r="D216" s="476">
        <f t="shared" si="101"/>
        <v>27830</v>
      </c>
      <c r="E216" s="476">
        <f t="shared" si="101"/>
        <v>63031</v>
      </c>
      <c r="F216" s="476">
        <f t="shared" si="101"/>
        <v>0</v>
      </c>
      <c r="G216" s="476">
        <f t="shared" si="101"/>
        <v>0</v>
      </c>
      <c r="H216" s="476">
        <f t="shared" si="101"/>
        <v>222340</v>
      </c>
      <c r="I216" s="476">
        <f t="shared" si="101"/>
        <v>35</v>
      </c>
      <c r="J216" s="476">
        <f t="shared" si="101"/>
        <v>0</v>
      </c>
      <c r="K216" s="476">
        <f t="shared" si="101"/>
        <v>0</v>
      </c>
      <c r="L216" s="476">
        <f t="shared" si="101"/>
        <v>35</v>
      </c>
      <c r="M216" s="476">
        <f t="shared" si="101"/>
        <v>222375</v>
      </c>
      <c r="N216" s="476">
        <f t="shared" si="101"/>
        <v>0</v>
      </c>
      <c r="O216" s="476">
        <f t="shared" si="101"/>
        <v>222375</v>
      </c>
    </row>
    <row r="217" spans="1:16" ht="17.25" thickTop="1" thickBot="1" x14ac:dyDescent="0.3">
      <c r="A217" s="478"/>
      <c r="B217" s="477" t="s">
        <v>428</v>
      </c>
      <c r="C217" s="476">
        <f>+C207+C214</f>
        <v>2356</v>
      </c>
      <c r="D217" s="476">
        <f t="shared" ref="D217:O217" si="102">+D207+D214</f>
        <v>807</v>
      </c>
      <c r="E217" s="476">
        <f t="shared" si="102"/>
        <v>55</v>
      </c>
      <c r="F217" s="476">
        <f t="shared" si="102"/>
        <v>0</v>
      </c>
      <c r="G217" s="476">
        <f t="shared" si="102"/>
        <v>0</v>
      </c>
      <c r="H217" s="476">
        <f t="shared" si="102"/>
        <v>3218</v>
      </c>
      <c r="I217" s="476">
        <f t="shared" si="102"/>
        <v>0</v>
      </c>
      <c r="J217" s="476">
        <f t="shared" si="102"/>
        <v>0</v>
      </c>
      <c r="K217" s="476">
        <f t="shared" si="102"/>
        <v>0</v>
      </c>
      <c r="L217" s="476">
        <f t="shared" si="102"/>
        <v>0</v>
      </c>
      <c r="M217" s="476">
        <f t="shared" si="102"/>
        <v>3218</v>
      </c>
      <c r="N217" s="476">
        <f t="shared" si="102"/>
        <v>0</v>
      </c>
      <c r="O217" s="476">
        <f t="shared" si="102"/>
        <v>3218</v>
      </c>
    </row>
    <row r="218" spans="1:16" s="504" customFormat="1" ht="16.5" thickTop="1" x14ac:dyDescent="0.25">
      <c r="A218" s="497" t="s">
        <v>5</v>
      </c>
      <c r="B218" s="453" t="s">
        <v>452</v>
      </c>
      <c r="C218" s="499"/>
      <c r="D218" s="494"/>
      <c r="E218" s="494"/>
      <c r="F218" s="500"/>
      <c r="G218" s="494"/>
      <c r="H218" s="491"/>
      <c r="I218" s="493"/>
      <c r="J218" s="492"/>
      <c r="K218" s="492"/>
      <c r="L218" s="491"/>
      <c r="M218" s="491"/>
      <c r="N218" s="491"/>
      <c r="O218" s="491"/>
      <c r="P218" s="475"/>
    </row>
    <row r="219" spans="1:16" s="504" customFormat="1" x14ac:dyDescent="0.25">
      <c r="A219" s="503"/>
      <c r="B219" s="453" t="s">
        <v>1242</v>
      </c>
      <c r="C219" s="499">
        <v>145876</v>
      </c>
      <c r="D219" s="494">
        <v>31104</v>
      </c>
      <c r="E219" s="494">
        <v>61509</v>
      </c>
      <c r="F219" s="492"/>
      <c r="G219" s="494"/>
      <c r="H219" s="491">
        <f>SUM(C219:G219)</f>
        <v>238489</v>
      </c>
      <c r="I219" s="493"/>
      <c r="J219" s="492"/>
      <c r="K219" s="492"/>
      <c r="L219" s="491">
        <f>SUM(I219:K219)</f>
        <v>0</v>
      </c>
      <c r="M219" s="491">
        <f>SUM(H219+L219)</f>
        <v>238489</v>
      </c>
      <c r="N219" s="491"/>
      <c r="O219" s="491">
        <f>SUM(M219+N219)</f>
        <v>238489</v>
      </c>
      <c r="P219" s="475"/>
    </row>
    <row r="220" spans="1:16" s="504" customFormat="1" x14ac:dyDescent="0.25">
      <c r="A220" s="531"/>
      <c r="B220" s="502" t="s">
        <v>432</v>
      </c>
      <c r="C220" s="530">
        <v>144730</v>
      </c>
      <c r="D220" s="511">
        <v>30711</v>
      </c>
      <c r="E220" s="511">
        <v>61454</v>
      </c>
      <c r="F220" s="507"/>
      <c r="G220" s="511"/>
      <c r="H220" s="506">
        <f>SUM(C220:G220)</f>
        <v>236895</v>
      </c>
      <c r="I220" s="508"/>
      <c r="J220" s="507"/>
      <c r="K220" s="507"/>
      <c r="L220" s="506">
        <f>SUM(I220:K220)</f>
        <v>0</v>
      </c>
      <c r="M220" s="506">
        <f>SUM(H220+L220)</f>
        <v>236895</v>
      </c>
      <c r="N220" s="506"/>
      <c r="O220" s="506">
        <f>SUM(M220+N220)</f>
        <v>236895</v>
      </c>
    </row>
    <row r="221" spans="1:16" s="504" customFormat="1" x14ac:dyDescent="0.25">
      <c r="A221" s="513"/>
      <c r="B221" s="498" t="s">
        <v>431</v>
      </c>
      <c r="C221" s="530">
        <v>1146</v>
      </c>
      <c r="D221" s="511">
        <v>393</v>
      </c>
      <c r="E221" s="511">
        <v>55</v>
      </c>
      <c r="F221" s="522"/>
      <c r="G221" s="511"/>
      <c r="H221" s="506">
        <f>SUM(C221:G221)</f>
        <v>1594</v>
      </c>
      <c r="I221" s="508"/>
      <c r="J221" s="507"/>
      <c r="K221" s="507"/>
      <c r="L221" s="506">
        <f>SUM(I221:K221)</f>
        <v>0</v>
      </c>
      <c r="M221" s="505">
        <f>SUM(H221+L221)</f>
        <v>1594</v>
      </c>
      <c r="N221" s="505"/>
      <c r="O221" s="505">
        <f>SUM(M221+N221)</f>
        <v>1594</v>
      </c>
    </row>
    <row r="222" spans="1:16" s="504" customFormat="1" x14ac:dyDescent="0.25">
      <c r="A222" s="513"/>
      <c r="B222" s="498" t="s">
        <v>140</v>
      </c>
      <c r="C222" s="530"/>
      <c r="D222" s="511"/>
      <c r="E222" s="511"/>
      <c r="F222" s="522"/>
      <c r="G222" s="511"/>
      <c r="H222" s="506"/>
      <c r="I222" s="508"/>
      <c r="J222" s="507"/>
      <c r="K222" s="507"/>
      <c r="L222" s="506"/>
      <c r="M222" s="505"/>
      <c r="N222" s="505"/>
      <c r="O222" s="505"/>
    </row>
    <row r="223" spans="1:16" s="504" customFormat="1" ht="31.5" x14ac:dyDescent="0.25">
      <c r="A223" s="513"/>
      <c r="B223" s="444" t="s">
        <v>1168</v>
      </c>
      <c r="C223" s="550">
        <v>30</v>
      </c>
      <c r="D223" s="548">
        <v>6</v>
      </c>
      <c r="E223" s="548"/>
      <c r="F223" s="546"/>
      <c r="G223" s="511"/>
      <c r="H223" s="545">
        <f t="shared" ref="H223:H229" si="103">SUM(C223:G223)</f>
        <v>36</v>
      </c>
      <c r="I223" s="508"/>
      <c r="J223" s="507"/>
      <c r="K223" s="507"/>
      <c r="L223" s="545">
        <f t="shared" ref="L223:L229" si="104">SUM(I223:K223)</f>
        <v>0</v>
      </c>
      <c r="M223" s="544">
        <f t="shared" ref="M223:M229" si="105">SUM(H223+L223)</f>
        <v>36</v>
      </c>
      <c r="N223" s="505"/>
      <c r="O223" s="544">
        <f t="shared" ref="O223:O229" si="106">SUM(M223+N223)</f>
        <v>36</v>
      </c>
    </row>
    <row r="224" spans="1:16" s="504" customFormat="1" ht="31.5" x14ac:dyDescent="0.25">
      <c r="A224" s="513"/>
      <c r="B224" s="444" t="s">
        <v>628</v>
      </c>
      <c r="C224" s="550">
        <v>3680</v>
      </c>
      <c r="D224" s="548">
        <v>718</v>
      </c>
      <c r="E224" s="548"/>
      <c r="F224" s="546"/>
      <c r="G224" s="511"/>
      <c r="H224" s="545">
        <f t="shared" si="103"/>
        <v>4398</v>
      </c>
      <c r="I224" s="508"/>
      <c r="J224" s="507"/>
      <c r="K224" s="507"/>
      <c r="L224" s="545">
        <f t="shared" si="104"/>
        <v>0</v>
      </c>
      <c r="M224" s="544">
        <f t="shared" si="105"/>
        <v>4398</v>
      </c>
      <c r="N224" s="505"/>
      <c r="O224" s="544">
        <f t="shared" si="106"/>
        <v>4398</v>
      </c>
    </row>
    <row r="225" spans="1:16" s="504" customFormat="1" ht="31.5" x14ac:dyDescent="0.25">
      <c r="A225" s="513"/>
      <c r="B225" s="444" t="s">
        <v>928</v>
      </c>
      <c r="C225" s="550"/>
      <c r="D225" s="548"/>
      <c r="E225" s="548">
        <v>1051</v>
      </c>
      <c r="F225" s="546"/>
      <c r="G225" s="511"/>
      <c r="H225" s="545">
        <f t="shared" si="103"/>
        <v>1051</v>
      </c>
      <c r="I225" s="508"/>
      <c r="J225" s="507"/>
      <c r="K225" s="507"/>
      <c r="L225" s="545">
        <f t="shared" si="104"/>
        <v>0</v>
      </c>
      <c r="M225" s="544">
        <f t="shared" si="105"/>
        <v>1051</v>
      </c>
      <c r="N225" s="505"/>
      <c r="O225" s="544">
        <f t="shared" si="106"/>
        <v>1051</v>
      </c>
    </row>
    <row r="226" spans="1:16" s="504" customFormat="1" ht="47.25" x14ac:dyDescent="0.25">
      <c r="A226" s="513"/>
      <c r="B226" s="444" t="s">
        <v>1240</v>
      </c>
      <c r="C226" s="550"/>
      <c r="D226" s="548"/>
      <c r="E226" s="548">
        <v>7620</v>
      </c>
      <c r="F226" s="546"/>
      <c r="G226" s="511"/>
      <c r="H226" s="545">
        <f t="shared" si="103"/>
        <v>7620</v>
      </c>
      <c r="I226" s="508"/>
      <c r="J226" s="507"/>
      <c r="K226" s="507"/>
      <c r="L226" s="545">
        <f t="shared" si="104"/>
        <v>0</v>
      </c>
      <c r="M226" s="544">
        <f t="shared" si="105"/>
        <v>7620</v>
      </c>
      <c r="N226" s="505"/>
      <c r="O226" s="544">
        <f t="shared" si="106"/>
        <v>7620</v>
      </c>
    </row>
    <row r="227" spans="1:16" s="504" customFormat="1" x14ac:dyDescent="0.25">
      <c r="A227" s="513"/>
      <c r="B227" s="498" t="s">
        <v>141</v>
      </c>
      <c r="C227" s="550"/>
      <c r="D227" s="548"/>
      <c r="E227" s="548"/>
      <c r="F227" s="546"/>
      <c r="G227" s="511"/>
      <c r="H227" s="545"/>
      <c r="I227" s="508"/>
      <c r="J227" s="507"/>
      <c r="K227" s="507"/>
      <c r="L227" s="545"/>
      <c r="M227" s="544"/>
      <c r="N227" s="505"/>
      <c r="O227" s="544"/>
    </row>
    <row r="228" spans="1:16" x14ac:dyDescent="0.25">
      <c r="A228" s="513"/>
      <c r="B228" s="444" t="s">
        <v>1235</v>
      </c>
      <c r="C228" s="550">
        <v>1526</v>
      </c>
      <c r="D228" s="548">
        <v>522</v>
      </c>
      <c r="E228" s="548"/>
      <c r="F228" s="546"/>
      <c r="G228" s="511"/>
      <c r="H228" s="545">
        <f t="shared" si="103"/>
        <v>2048</v>
      </c>
      <c r="I228" s="508"/>
      <c r="J228" s="507"/>
      <c r="K228" s="507"/>
      <c r="L228" s="545">
        <f t="shared" si="104"/>
        <v>0</v>
      </c>
      <c r="M228" s="544">
        <f t="shared" si="105"/>
        <v>2048</v>
      </c>
      <c r="N228" s="505"/>
      <c r="O228" s="544">
        <f t="shared" si="106"/>
        <v>2048</v>
      </c>
      <c r="P228" s="504"/>
    </row>
    <row r="229" spans="1:16" ht="16.5" thickBot="1" x14ac:dyDescent="0.3">
      <c r="A229" s="513"/>
      <c r="B229" s="444" t="s">
        <v>1188</v>
      </c>
      <c r="C229" s="550"/>
      <c r="D229" s="548"/>
      <c r="E229" s="548">
        <v>250</v>
      </c>
      <c r="F229" s="546"/>
      <c r="G229" s="511"/>
      <c r="H229" s="545">
        <f t="shared" si="103"/>
        <v>250</v>
      </c>
      <c r="I229" s="508"/>
      <c r="J229" s="507"/>
      <c r="K229" s="507"/>
      <c r="L229" s="545">
        <f t="shared" si="104"/>
        <v>0</v>
      </c>
      <c r="M229" s="544">
        <f t="shared" si="105"/>
        <v>250</v>
      </c>
      <c r="N229" s="505"/>
      <c r="O229" s="544">
        <f t="shared" si="106"/>
        <v>250</v>
      </c>
      <c r="P229" s="504"/>
    </row>
    <row r="230" spans="1:16" ht="17.25" thickTop="1" thickBot="1" x14ac:dyDescent="0.3">
      <c r="A230" s="478"/>
      <c r="B230" s="477" t="s">
        <v>430</v>
      </c>
      <c r="C230" s="476">
        <f>+C219+C223+C224+C228+C229+C225+C226</f>
        <v>151112</v>
      </c>
      <c r="D230" s="476">
        <f t="shared" ref="D230:O230" si="107">+D219+D223+D224+D228+D229+D225+D226</f>
        <v>32350</v>
      </c>
      <c r="E230" s="476">
        <f t="shared" si="107"/>
        <v>70430</v>
      </c>
      <c r="F230" s="476">
        <f t="shared" si="107"/>
        <v>0</v>
      </c>
      <c r="G230" s="476">
        <f t="shared" si="107"/>
        <v>0</v>
      </c>
      <c r="H230" s="476">
        <f t="shared" si="107"/>
        <v>253892</v>
      </c>
      <c r="I230" s="476">
        <f t="shared" si="107"/>
        <v>0</v>
      </c>
      <c r="J230" s="476">
        <f t="shared" si="107"/>
        <v>0</v>
      </c>
      <c r="K230" s="476">
        <f t="shared" si="107"/>
        <v>0</v>
      </c>
      <c r="L230" s="476">
        <f t="shared" si="107"/>
        <v>0</v>
      </c>
      <c r="M230" s="476">
        <f t="shared" si="107"/>
        <v>253892</v>
      </c>
      <c r="N230" s="476">
        <f t="shared" si="107"/>
        <v>0</v>
      </c>
      <c r="O230" s="476">
        <f t="shared" si="107"/>
        <v>253892</v>
      </c>
      <c r="P230" s="430">
        <f>O231+O232</f>
        <v>253892</v>
      </c>
    </row>
    <row r="231" spans="1:16" ht="17.25" thickTop="1" thickBot="1" x14ac:dyDescent="0.3">
      <c r="A231" s="478"/>
      <c r="B231" s="477" t="s">
        <v>429</v>
      </c>
      <c r="C231" s="476">
        <f>+C220+C223+C224+C225+C226</f>
        <v>148440</v>
      </c>
      <c r="D231" s="476">
        <f t="shared" ref="D231:O231" si="108">+D220+D223+D224+D225+D226</f>
        <v>31435</v>
      </c>
      <c r="E231" s="476">
        <f t="shared" si="108"/>
        <v>70125</v>
      </c>
      <c r="F231" s="476">
        <f t="shared" si="108"/>
        <v>0</v>
      </c>
      <c r="G231" s="476">
        <f t="shared" si="108"/>
        <v>0</v>
      </c>
      <c r="H231" s="476">
        <f t="shared" si="108"/>
        <v>250000</v>
      </c>
      <c r="I231" s="476">
        <f t="shared" si="108"/>
        <v>0</v>
      </c>
      <c r="J231" s="476">
        <f t="shared" si="108"/>
        <v>0</v>
      </c>
      <c r="K231" s="476">
        <f t="shared" si="108"/>
        <v>0</v>
      </c>
      <c r="L231" s="476">
        <f t="shared" si="108"/>
        <v>0</v>
      </c>
      <c r="M231" s="476">
        <f t="shared" si="108"/>
        <v>250000</v>
      </c>
      <c r="N231" s="476">
        <f t="shared" si="108"/>
        <v>0</v>
      </c>
      <c r="O231" s="476">
        <f t="shared" si="108"/>
        <v>250000</v>
      </c>
    </row>
    <row r="232" spans="1:16" ht="17.25" thickTop="1" thickBot="1" x14ac:dyDescent="0.3">
      <c r="A232" s="478"/>
      <c r="B232" s="477" t="s">
        <v>428</v>
      </c>
      <c r="C232" s="476">
        <f>+C221+C228+C229</f>
        <v>2672</v>
      </c>
      <c r="D232" s="476">
        <f t="shared" ref="D232:O232" si="109">+D221+D228+D229</f>
        <v>915</v>
      </c>
      <c r="E232" s="476">
        <f t="shared" si="109"/>
        <v>305</v>
      </c>
      <c r="F232" s="476">
        <f t="shared" si="109"/>
        <v>0</v>
      </c>
      <c r="G232" s="476">
        <f t="shared" si="109"/>
        <v>0</v>
      </c>
      <c r="H232" s="476">
        <f t="shared" si="109"/>
        <v>3892</v>
      </c>
      <c r="I232" s="476">
        <f t="shared" si="109"/>
        <v>0</v>
      </c>
      <c r="J232" s="476">
        <f t="shared" si="109"/>
        <v>0</v>
      </c>
      <c r="K232" s="476">
        <f t="shared" si="109"/>
        <v>0</v>
      </c>
      <c r="L232" s="476">
        <f t="shared" si="109"/>
        <v>0</v>
      </c>
      <c r="M232" s="476">
        <f t="shared" si="109"/>
        <v>3892</v>
      </c>
      <c r="N232" s="476">
        <f t="shared" si="109"/>
        <v>0</v>
      </c>
      <c r="O232" s="476">
        <f t="shared" si="109"/>
        <v>3892</v>
      </c>
    </row>
    <row r="233" spans="1:16" s="504" customFormat="1" ht="16.5" thickTop="1" x14ac:dyDescent="0.25">
      <c r="A233" s="497" t="s">
        <v>6</v>
      </c>
      <c r="B233" s="453" t="s">
        <v>1243</v>
      </c>
      <c r="C233" s="499"/>
      <c r="D233" s="494"/>
      <c r="E233" s="494"/>
      <c r="F233" s="500"/>
      <c r="G233" s="494"/>
      <c r="H233" s="491"/>
      <c r="I233" s="493"/>
      <c r="J233" s="492"/>
      <c r="K233" s="492"/>
      <c r="L233" s="491"/>
      <c r="M233" s="491"/>
      <c r="N233" s="491"/>
      <c r="O233" s="491"/>
      <c r="P233" s="475"/>
    </row>
    <row r="234" spans="1:16" s="504" customFormat="1" x14ac:dyDescent="0.25">
      <c r="A234" s="503"/>
      <c r="B234" s="453" t="s">
        <v>389</v>
      </c>
      <c r="C234" s="499">
        <v>158459</v>
      </c>
      <c r="D234" s="494">
        <v>33281</v>
      </c>
      <c r="E234" s="494">
        <v>65431</v>
      </c>
      <c r="F234" s="492"/>
      <c r="G234" s="494"/>
      <c r="H234" s="491">
        <f>SUM(C234:G234)</f>
        <v>257171</v>
      </c>
      <c r="I234" s="493"/>
      <c r="J234" s="492"/>
      <c r="K234" s="492"/>
      <c r="L234" s="491">
        <f>SUM(I234:K234)</f>
        <v>0</v>
      </c>
      <c r="M234" s="490">
        <f>SUM(H234+L234)</f>
        <v>257171</v>
      </c>
      <c r="N234" s="490"/>
      <c r="O234" s="490">
        <f>SUM(M234+N234)</f>
        <v>257171</v>
      </c>
      <c r="P234" s="475"/>
    </row>
    <row r="235" spans="1:16" s="504" customFormat="1" x14ac:dyDescent="0.25">
      <c r="A235" s="531"/>
      <c r="B235" s="498" t="s">
        <v>432</v>
      </c>
      <c r="C235" s="530">
        <v>157530</v>
      </c>
      <c r="D235" s="511">
        <v>32963</v>
      </c>
      <c r="E235" s="511">
        <v>65276</v>
      </c>
      <c r="F235" s="507"/>
      <c r="G235" s="511"/>
      <c r="H235" s="506">
        <f>SUM(C235:G235)</f>
        <v>255769</v>
      </c>
      <c r="I235" s="508"/>
      <c r="J235" s="507"/>
      <c r="K235" s="507"/>
      <c r="L235" s="506">
        <f>SUM(I235:K235)</f>
        <v>0</v>
      </c>
      <c r="M235" s="505">
        <f>SUM(H235+L235)</f>
        <v>255769</v>
      </c>
      <c r="N235" s="505"/>
      <c r="O235" s="505">
        <f>SUM(M235+N235)</f>
        <v>255769</v>
      </c>
    </row>
    <row r="236" spans="1:16" s="504" customFormat="1" x14ac:dyDescent="0.25">
      <c r="A236" s="531"/>
      <c r="B236" s="498" t="s">
        <v>431</v>
      </c>
      <c r="C236" s="530">
        <v>929</v>
      </c>
      <c r="D236" s="511">
        <v>318</v>
      </c>
      <c r="E236" s="511">
        <v>155</v>
      </c>
      <c r="F236" s="507"/>
      <c r="G236" s="511"/>
      <c r="H236" s="506">
        <f>SUM(C236:G236)</f>
        <v>1402</v>
      </c>
      <c r="I236" s="508"/>
      <c r="J236" s="507"/>
      <c r="K236" s="507"/>
      <c r="L236" s="506">
        <f>SUM(I236:K236)</f>
        <v>0</v>
      </c>
      <c r="M236" s="505">
        <f>SUM(H236+L236)</f>
        <v>1402</v>
      </c>
      <c r="N236" s="505"/>
      <c r="O236" s="505">
        <f>SUM(M236+N236)</f>
        <v>1402</v>
      </c>
    </row>
    <row r="237" spans="1:16" s="504" customFormat="1" x14ac:dyDescent="0.25">
      <c r="A237" s="531"/>
      <c r="B237" s="498" t="s">
        <v>140</v>
      </c>
      <c r="C237" s="530"/>
      <c r="D237" s="511"/>
      <c r="E237" s="511"/>
      <c r="F237" s="507"/>
      <c r="G237" s="511"/>
      <c r="H237" s="506"/>
      <c r="I237" s="508"/>
      <c r="J237" s="507"/>
      <c r="K237" s="507"/>
      <c r="L237" s="506"/>
      <c r="M237" s="505"/>
      <c r="N237" s="505"/>
      <c r="O237" s="505"/>
    </row>
    <row r="238" spans="1:16" s="504" customFormat="1" ht="31.5" x14ac:dyDescent="0.25">
      <c r="A238" s="531"/>
      <c r="B238" s="444" t="s">
        <v>1168</v>
      </c>
      <c r="C238" s="550">
        <v>69</v>
      </c>
      <c r="D238" s="548">
        <v>13</v>
      </c>
      <c r="E238" s="548"/>
      <c r="F238" s="549"/>
      <c r="G238" s="511"/>
      <c r="H238" s="545">
        <f t="shared" ref="H238:H245" si="110">SUM(C238:G238)</f>
        <v>82</v>
      </c>
      <c r="I238" s="508"/>
      <c r="J238" s="507"/>
      <c r="K238" s="507"/>
      <c r="L238" s="545">
        <f t="shared" ref="L238:L245" si="111">SUM(I238:K238)</f>
        <v>0</v>
      </c>
      <c r="M238" s="544">
        <f t="shared" ref="M238:M245" si="112">SUM(H238+L238)</f>
        <v>82</v>
      </c>
      <c r="N238" s="505"/>
      <c r="O238" s="544">
        <f t="shared" ref="O238:O245" si="113">SUM(M238+N238)</f>
        <v>82</v>
      </c>
    </row>
    <row r="239" spans="1:16" s="504" customFormat="1" ht="31.5" x14ac:dyDescent="0.25">
      <c r="A239" s="531"/>
      <c r="B239" s="444" t="s">
        <v>628</v>
      </c>
      <c r="C239" s="550">
        <v>3853</v>
      </c>
      <c r="D239" s="548">
        <v>752</v>
      </c>
      <c r="E239" s="548"/>
      <c r="F239" s="549"/>
      <c r="G239" s="511"/>
      <c r="H239" s="545">
        <f t="shared" si="110"/>
        <v>4605</v>
      </c>
      <c r="I239" s="508"/>
      <c r="J239" s="507"/>
      <c r="K239" s="507"/>
      <c r="L239" s="545">
        <f t="shared" si="111"/>
        <v>0</v>
      </c>
      <c r="M239" s="544">
        <f t="shared" si="112"/>
        <v>4605</v>
      </c>
      <c r="N239" s="505"/>
      <c r="O239" s="544">
        <f t="shared" si="113"/>
        <v>4605</v>
      </c>
    </row>
    <row r="240" spans="1:16" s="504" customFormat="1" ht="31.5" x14ac:dyDescent="0.25">
      <c r="A240" s="531"/>
      <c r="B240" s="444" t="s">
        <v>929</v>
      </c>
      <c r="C240" s="550"/>
      <c r="D240" s="548"/>
      <c r="E240" s="548">
        <v>-917</v>
      </c>
      <c r="F240" s="549"/>
      <c r="G240" s="511"/>
      <c r="H240" s="545">
        <f t="shared" si="110"/>
        <v>-917</v>
      </c>
      <c r="I240" s="578">
        <v>917</v>
      </c>
      <c r="J240" s="507"/>
      <c r="K240" s="507"/>
      <c r="L240" s="545">
        <f t="shared" si="111"/>
        <v>917</v>
      </c>
      <c r="M240" s="544">
        <f t="shared" si="112"/>
        <v>0</v>
      </c>
      <c r="N240" s="505"/>
      <c r="O240" s="544">
        <f t="shared" si="113"/>
        <v>0</v>
      </c>
    </row>
    <row r="241" spans="1:16" s="504" customFormat="1" ht="31.5" x14ac:dyDescent="0.25">
      <c r="A241" s="531"/>
      <c r="B241" s="444" t="s">
        <v>928</v>
      </c>
      <c r="C241" s="550"/>
      <c r="D241" s="548"/>
      <c r="E241" s="548">
        <v>1006</v>
      </c>
      <c r="F241" s="549"/>
      <c r="G241" s="511"/>
      <c r="H241" s="545">
        <f t="shared" si="110"/>
        <v>1006</v>
      </c>
      <c r="I241" s="508"/>
      <c r="J241" s="507"/>
      <c r="K241" s="507"/>
      <c r="L241" s="545">
        <f t="shared" si="111"/>
        <v>0</v>
      </c>
      <c r="M241" s="544">
        <f t="shared" si="112"/>
        <v>1006</v>
      </c>
      <c r="N241" s="505"/>
      <c r="O241" s="544">
        <f t="shared" si="113"/>
        <v>1006</v>
      </c>
    </row>
    <row r="242" spans="1:16" s="504" customFormat="1" ht="47.25" x14ac:dyDescent="0.25">
      <c r="A242" s="531"/>
      <c r="B242" s="444" t="s">
        <v>1189</v>
      </c>
      <c r="C242" s="550"/>
      <c r="D242" s="548"/>
      <c r="E242" s="548">
        <v>2513</v>
      </c>
      <c r="F242" s="549"/>
      <c r="G242" s="511"/>
      <c r="H242" s="545">
        <f t="shared" si="110"/>
        <v>2513</v>
      </c>
      <c r="I242" s="508"/>
      <c r="J242" s="507"/>
      <c r="K242" s="507"/>
      <c r="L242" s="545">
        <f t="shared" si="111"/>
        <v>0</v>
      </c>
      <c r="M242" s="544">
        <f t="shared" si="112"/>
        <v>2513</v>
      </c>
      <c r="N242" s="505"/>
      <c r="O242" s="544">
        <f t="shared" si="113"/>
        <v>2513</v>
      </c>
    </row>
    <row r="243" spans="1:16" ht="31.5" x14ac:dyDescent="0.25">
      <c r="A243" s="531"/>
      <c r="B243" s="444" t="s">
        <v>1175</v>
      </c>
      <c r="C243" s="550">
        <v>-20986</v>
      </c>
      <c r="D243" s="548">
        <v>-4092</v>
      </c>
      <c r="E243" s="548"/>
      <c r="F243" s="549"/>
      <c r="G243" s="511"/>
      <c r="H243" s="545">
        <f t="shared" si="110"/>
        <v>-25078</v>
      </c>
      <c r="I243" s="508"/>
      <c r="J243" s="507"/>
      <c r="K243" s="507"/>
      <c r="L243" s="545">
        <f t="shared" si="111"/>
        <v>0</v>
      </c>
      <c r="M243" s="544">
        <f t="shared" si="112"/>
        <v>-25078</v>
      </c>
      <c r="N243" s="505"/>
      <c r="O243" s="544">
        <f t="shared" si="113"/>
        <v>-25078</v>
      </c>
      <c r="P243" s="504"/>
    </row>
    <row r="244" spans="1:16" x14ac:dyDescent="0.25">
      <c r="A244" s="531"/>
      <c r="B244" s="498" t="s">
        <v>141</v>
      </c>
      <c r="C244" s="550"/>
      <c r="D244" s="548"/>
      <c r="E244" s="548"/>
      <c r="F244" s="549"/>
      <c r="G244" s="511"/>
      <c r="H244" s="545"/>
      <c r="I244" s="508"/>
      <c r="J244" s="507"/>
      <c r="K244" s="507"/>
      <c r="L244" s="545"/>
      <c r="M244" s="544"/>
      <c r="N244" s="505"/>
      <c r="O244" s="544"/>
      <c r="P244" s="504"/>
    </row>
    <row r="245" spans="1:16" ht="16.5" thickBot="1" x14ac:dyDescent="0.3">
      <c r="A245" s="531"/>
      <c r="B245" s="444" t="s">
        <v>1235</v>
      </c>
      <c r="C245" s="550">
        <v>1188</v>
      </c>
      <c r="D245" s="548">
        <v>406</v>
      </c>
      <c r="E245" s="548"/>
      <c r="F245" s="549"/>
      <c r="G245" s="511"/>
      <c r="H245" s="545">
        <f t="shared" si="110"/>
        <v>1594</v>
      </c>
      <c r="I245" s="508"/>
      <c r="J245" s="507"/>
      <c r="K245" s="507"/>
      <c r="L245" s="545">
        <f t="shared" si="111"/>
        <v>0</v>
      </c>
      <c r="M245" s="544">
        <f t="shared" si="112"/>
        <v>1594</v>
      </c>
      <c r="N245" s="505"/>
      <c r="O245" s="544">
        <f t="shared" si="113"/>
        <v>1594</v>
      </c>
      <c r="P245" s="504"/>
    </row>
    <row r="246" spans="1:16" ht="17.25" thickTop="1" thickBot="1" x14ac:dyDescent="0.3">
      <c r="A246" s="478"/>
      <c r="B246" s="477" t="s">
        <v>430</v>
      </c>
      <c r="C246" s="476">
        <f>+C234+C238+C239+C245+C240+C241+C242+C243</f>
        <v>142583</v>
      </c>
      <c r="D246" s="476">
        <f t="shared" ref="D246:O246" si="114">+D234+D238+D239+D245+D240+D241+D242+D243</f>
        <v>30360</v>
      </c>
      <c r="E246" s="476">
        <f t="shared" si="114"/>
        <v>68033</v>
      </c>
      <c r="F246" s="476">
        <f t="shared" si="114"/>
        <v>0</v>
      </c>
      <c r="G246" s="476">
        <f t="shared" si="114"/>
        <v>0</v>
      </c>
      <c r="H246" s="476">
        <f t="shared" si="114"/>
        <v>240976</v>
      </c>
      <c r="I246" s="476">
        <f t="shared" si="114"/>
        <v>917</v>
      </c>
      <c r="J246" s="476">
        <f t="shared" si="114"/>
        <v>0</v>
      </c>
      <c r="K246" s="476">
        <f t="shared" si="114"/>
        <v>0</v>
      </c>
      <c r="L246" s="476">
        <f t="shared" si="114"/>
        <v>917</v>
      </c>
      <c r="M246" s="476">
        <f t="shared" si="114"/>
        <v>241893</v>
      </c>
      <c r="N246" s="476">
        <f t="shared" si="114"/>
        <v>0</v>
      </c>
      <c r="O246" s="476">
        <f t="shared" si="114"/>
        <v>241893</v>
      </c>
      <c r="P246" s="430">
        <f>O247+O248</f>
        <v>241893</v>
      </c>
    </row>
    <row r="247" spans="1:16" ht="17.25" thickTop="1" thickBot="1" x14ac:dyDescent="0.3">
      <c r="A247" s="478"/>
      <c r="B247" s="477" t="s">
        <v>429</v>
      </c>
      <c r="C247" s="476">
        <f t="shared" ref="C247:O247" si="115">+C235+C238+C239+C240+C241+C242+C243</f>
        <v>140466</v>
      </c>
      <c r="D247" s="476">
        <f t="shared" si="115"/>
        <v>29636</v>
      </c>
      <c r="E247" s="476">
        <f t="shared" si="115"/>
        <v>67878</v>
      </c>
      <c r="F247" s="476">
        <f t="shared" si="115"/>
        <v>0</v>
      </c>
      <c r="G247" s="476">
        <f t="shared" si="115"/>
        <v>0</v>
      </c>
      <c r="H247" s="476">
        <f t="shared" si="115"/>
        <v>237980</v>
      </c>
      <c r="I247" s="476">
        <f t="shared" si="115"/>
        <v>917</v>
      </c>
      <c r="J247" s="476">
        <f t="shared" si="115"/>
        <v>0</v>
      </c>
      <c r="K247" s="476">
        <f t="shared" si="115"/>
        <v>0</v>
      </c>
      <c r="L247" s="476">
        <f t="shared" si="115"/>
        <v>917</v>
      </c>
      <c r="M247" s="476">
        <f t="shared" si="115"/>
        <v>238897</v>
      </c>
      <c r="N247" s="476">
        <f t="shared" si="115"/>
        <v>0</v>
      </c>
      <c r="O247" s="476">
        <f t="shared" si="115"/>
        <v>238897</v>
      </c>
    </row>
    <row r="248" spans="1:16" s="504" customFormat="1" ht="17.25" thickTop="1" thickBot="1" x14ac:dyDescent="0.3">
      <c r="A248" s="478"/>
      <c r="B248" s="477" t="s">
        <v>428</v>
      </c>
      <c r="C248" s="476">
        <f>+C236+C245</f>
        <v>2117</v>
      </c>
      <c r="D248" s="476">
        <f t="shared" ref="D248:O248" si="116">+D236+D245</f>
        <v>724</v>
      </c>
      <c r="E248" s="476">
        <f t="shared" si="116"/>
        <v>155</v>
      </c>
      <c r="F248" s="476">
        <f t="shared" si="116"/>
        <v>0</v>
      </c>
      <c r="G248" s="476">
        <f t="shared" si="116"/>
        <v>0</v>
      </c>
      <c r="H248" s="476">
        <f t="shared" si="116"/>
        <v>2996</v>
      </c>
      <c r="I248" s="476">
        <f t="shared" si="116"/>
        <v>0</v>
      </c>
      <c r="J248" s="476">
        <f t="shared" si="116"/>
        <v>0</v>
      </c>
      <c r="K248" s="476">
        <f t="shared" si="116"/>
        <v>0</v>
      </c>
      <c r="L248" s="476">
        <f t="shared" si="116"/>
        <v>0</v>
      </c>
      <c r="M248" s="476">
        <f t="shared" si="116"/>
        <v>2996</v>
      </c>
      <c r="N248" s="476">
        <f t="shared" si="116"/>
        <v>0</v>
      </c>
      <c r="O248" s="476">
        <f t="shared" si="116"/>
        <v>2996</v>
      </c>
      <c r="P248" s="475"/>
    </row>
    <row r="249" spans="1:16" s="504" customFormat="1" ht="16.5" thickTop="1" x14ac:dyDescent="0.25">
      <c r="A249" s="497" t="s">
        <v>7</v>
      </c>
      <c r="B249" s="453" t="s">
        <v>451</v>
      </c>
      <c r="C249" s="499"/>
      <c r="D249" s="494"/>
      <c r="E249" s="494"/>
      <c r="F249" s="500"/>
      <c r="G249" s="494"/>
      <c r="H249" s="491"/>
      <c r="I249" s="493"/>
      <c r="J249" s="492"/>
      <c r="K249" s="492"/>
      <c r="L249" s="491"/>
      <c r="M249" s="491"/>
      <c r="N249" s="491"/>
      <c r="O249" s="491"/>
      <c r="P249" s="475"/>
    </row>
    <row r="250" spans="1:16" s="504" customFormat="1" x14ac:dyDescent="0.25">
      <c r="A250" s="497"/>
      <c r="B250" s="444" t="s">
        <v>389</v>
      </c>
      <c r="C250" s="499">
        <v>54167</v>
      </c>
      <c r="D250" s="494">
        <v>10575</v>
      </c>
      <c r="E250" s="494">
        <v>18186</v>
      </c>
      <c r="F250" s="500"/>
      <c r="G250" s="494"/>
      <c r="H250" s="491">
        <f>SUM(C250:G250)</f>
        <v>82928</v>
      </c>
      <c r="I250" s="493"/>
      <c r="J250" s="492"/>
      <c r="K250" s="492"/>
      <c r="L250" s="491">
        <f>SUM(I250:K250)</f>
        <v>0</v>
      </c>
      <c r="M250" s="490">
        <f>SUM(H250+L250)</f>
        <v>82928</v>
      </c>
      <c r="N250" s="490"/>
      <c r="O250" s="490">
        <f>SUM(M250+N250)</f>
        <v>82928</v>
      </c>
      <c r="P250" s="475"/>
    </row>
    <row r="251" spans="1:16" s="504" customFormat="1" x14ac:dyDescent="0.25">
      <c r="A251" s="513"/>
      <c r="B251" s="498" t="s">
        <v>432</v>
      </c>
      <c r="C251" s="530">
        <v>53760</v>
      </c>
      <c r="D251" s="511">
        <v>10436</v>
      </c>
      <c r="E251" s="511">
        <v>18131</v>
      </c>
      <c r="F251" s="522"/>
      <c r="G251" s="511"/>
      <c r="H251" s="506">
        <f>SUM(C251:G251)</f>
        <v>82327</v>
      </c>
      <c r="I251" s="508"/>
      <c r="J251" s="507"/>
      <c r="K251" s="507"/>
      <c r="L251" s="506">
        <f>SUM(I251:K251)</f>
        <v>0</v>
      </c>
      <c r="M251" s="505">
        <f>SUM(H251+L251)</f>
        <v>82327</v>
      </c>
      <c r="N251" s="505"/>
      <c r="O251" s="505">
        <f>SUM(M251+N251)</f>
        <v>82327</v>
      </c>
    </row>
    <row r="252" spans="1:16" s="504" customFormat="1" x14ac:dyDescent="0.25">
      <c r="A252" s="513"/>
      <c r="B252" s="498" t="s">
        <v>431</v>
      </c>
      <c r="C252" s="530">
        <v>407</v>
      </c>
      <c r="D252" s="511">
        <v>139</v>
      </c>
      <c r="E252" s="511">
        <v>55</v>
      </c>
      <c r="F252" s="522"/>
      <c r="G252" s="511"/>
      <c r="H252" s="506">
        <f>SUM(C252:G252)</f>
        <v>601</v>
      </c>
      <c r="I252" s="508"/>
      <c r="J252" s="507"/>
      <c r="K252" s="507"/>
      <c r="L252" s="506">
        <f>SUM(I252:K252)</f>
        <v>0</v>
      </c>
      <c r="M252" s="505">
        <f>SUM(H252+L252)</f>
        <v>601</v>
      </c>
      <c r="N252" s="505"/>
      <c r="O252" s="505">
        <f>SUM(M252+N252)</f>
        <v>601</v>
      </c>
    </row>
    <row r="253" spans="1:16" s="504" customFormat="1" x14ac:dyDescent="0.25">
      <c r="A253" s="513"/>
      <c r="B253" s="498" t="s">
        <v>140</v>
      </c>
      <c r="C253" s="530"/>
      <c r="D253" s="511"/>
      <c r="E253" s="511"/>
      <c r="F253" s="522"/>
      <c r="G253" s="511"/>
      <c r="H253" s="506"/>
      <c r="I253" s="508"/>
      <c r="J253" s="507"/>
      <c r="K253" s="507"/>
      <c r="L253" s="506"/>
      <c r="M253" s="505"/>
      <c r="N253" s="505"/>
      <c r="O253" s="505"/>
    </row>
    <row r="254" spans="1:16" s="504" customFormat="1" ht="31.5" x14ac:dyDescent="0.25">
      <c r="A254" s="513"/>
      <c r="B254" s="444" t="s">
        <v>1231</v>
      </c>
      <c r="C254" s="550">
        <v>23</v>
      </c>
      <c r="D254" s="548">
        <v>5</v>
      </c>
      <c r="E254" s="548"/>
      <c r="F254" s="546"/>
      <c r="G254" s="548"/>
      <c r="H254" s="545">
        <f t="shared" ref="H254:H262" si="117">SUM(C254:G254)</f>
        <v>28</v>
      </c>
      <c r="I254" s="578"/>
      <c r="J254" s="549"/>
      <c r="K254" s="549"/>
      <c r="L254" s="545">
        <f t="shared" ref="L254:L262" si="118">SUM(I254:K254)</f>
        <v>0</v>
      </c>
      <c r="M254" s="544">
        <f t="shared" ref="M254:M262" si="119">SUM(H254+L254)</f>
        <v>28</v>
      </c>
      <c r="N254" s="544"/>
      <c r="O254" s="544">
        <f t="shared" ref="O254:O262" si="120">SUM(M254+N254)</f>
        <v>28</v>
      </c>
    </row>
    <row r="255" spans="1:16" s="504" customFormat="1" ht="31.5" x14ac:dyDescent="0.25">
      <c r="A255" s="513"/>
      <c r="B255" s="444" t="s">
        <v>628</v>
      </c>
      <c r="C255" s="550">
        <v>153</v>
      </c>
      <c r="D255" s="548">
        <v>30</v>
      </c>
      <c r="E255" s="548"/>
      <c r="F255" s="546"/>
      <c r="G255" s="548"/>
      <c r="H255" s="545">
        <f t="shared" si="117"/>
        <v>183</v>
      </c>
      <c r="I255" s="578"/>
      <c r="J255" s="549"/>
      <c r="K255" s="549"/>
      <c r="L255" s="545">
        <f t="shared" si="118"/>
        <v>0</v>
      </c>
      <c r="M255" s="544">
        <f t="shared" si="119"/>
        <v>183</v>
      </c>
      <c r="N255" s="544"/>
      <c r="O255" s="544">
        <f t="shared" si="120"/>
        <v>183</v>
      </c>
    </row>
    <row r="256" spans="1:16" s="504" customFormat="1" ht="31.5" x14ac:dyDescent="0.25">
      <c r="A256" s="513"/>
      <c r="B256" s="444" t="s">
        <v>929</v>
      </c>
      <c r="C256" s="550"/>
      <c r="D256" s="548"/>
      <c r="E256" s="548">
        <v>-383</v>
      </c>
      <c r="F256" s="546"/>
      <c r="G256" s="548"/>
      <c r="H256" s="545">
        <f t="shared" si="117"/>
        <v>-383</v>
      </c>
      <c r="I256" s="578">
        <v>383</v>
      </c>
      <c r="J256" s="549"/>
      <c r="K256" s="549"/>
      <c r="L256" s="545">
        <f t="shared" si="118"/>
        <v>383</v>
      </c>
      <c r="M256" s="544">
        <f t="shared" si="119"/>
        <v>0</v>
      </c>
      <c r="N256" s="544"/>
      <c r="O256" s="544">
        <f t="shared" si="120"/>
        <v>0</v>
      </c>
    </row>
    <row r="257" spans="1:16" s="504" customFormat="1" ht="31.5" x14ac:dyDescent="0.25">
      <c r="A257" s="513"/>
      <c r="B257" s="444" t="s">
        <v>928</v>
      </c>
      <c r="C257" s="550"/>
      <c r="D257" s="548"/>
      <c r="E257" s="548">
        <v>2635</v>
      </c>
      <c r="F257" s="546"/>
      <c r="G257" s="548"/>
      <c r="H257" s="545">
        <f t="shared" si="117"/>
        <v>2635</v>
      </c>
      <c r="I257" s="578"/>
      <c r="J257" s="549"/>
      <c r="K257" s="549"/>
      <c r="L257" s="545">
        <f t="shared" si="118"/>
        <v>0</v>
      </c>
      <c r="M257" s="544">
        <f t="shared" si="119"/>
        <v>2635</v>
      </c>
      <c r="N257" s="544"/>
      <c r="O257" s="544">
        <f t="shared" si="120"/>
        <v>2635</v>
      </c>
    </row>
    <row r="258" spans="1:16" ht="47.25" x14ac:dyDescent="0.25">
      <c r="A258" s="513"/>
      <c r="B258" s="444" t="s">
        <v>1240</v>
      </c>
      <c r="C258" s="550"/>
      <c r="D258" s="548"/>
      <c r="E258" s="548">
        <v>1270</v>
      </c>
      <c r="F258" s="546"/>
      <c r="G258" s="548"/>
      <c r="H258" s="545">
        <f t="shared" si="117"/>
        <v>1270</v>
      </c>
      <c r="I258" s="578"/>
      <c r="J258" s="549"/>
      <c r="K258" s="549"/>
      <c r="L258" s="545">
        <f t="shared" si="118"/>
        <v>0</v>
      </c>
      <c r="M258" s="544">
        <f t="shared" si="119"/>
        <v>1270</v>
      </c>
      <c r="N258" s="544"/>
      <c r="O258" s="544">
        <f t="shared" si="120"/>
        <v>1270</v>
      </c>
      <c r="P258" s="504"/>
    </row>
    <row r="259" spans="1:16" x14ac:dyDescent="0.25">
      <c r="A259" s="513"/>
      <c r="B259" s="498" t="s">
        <v>141</v>
      </c>
      <c r="C259" s="550"/>
      <c r="D259" s="548"/>
      <c r="E259" s="548"/>
      <c r="F259" s="546"/>
      <c r="G259" s="548"/>
      <c r="H259" s="545"/>
      <c r="I259" s="578"/>
      <c r="J259" s="549"/>
      <c r="K259" s="549"/>
      <c r="L259" s="545"/>
      <c r="M259" s="544"/>
      <c r="N259" s="544"/>
      <c r="O259" s="544"/>
      <c r="P259" s="504"/>
    </row>
    <row r="260" spans="1:16" x14ac:dyDescent="0.25">
      <c r="A260" s="513"/>
      <c r="B260" s="444" t="s">
        <v>1235</v>
      </c>
      <c r="C260" s="550">
        <v>511</v>
      </c>
      <c r="D260" s="548">
        <v>175</v>
      </c>
      <c r="E260" s="548"/>
      <c r="F260" s="546"/>
      <c r="G260" s="548"/>
      <c r="H260" s="545">
        <f t="shared" si="117"/>
        <v>686</v>
      </c>
      <c r="I260" s="578"/>
      <c r="J260" s="549"/>
      <c r="K260" s="549"/>
      <c r="L260" s="545">
        <f t="shared" si="118"/>
        <v>0</v>
      </c>
      <c r="M260" s="544">
        <f t="shared" si="119"/>
        <v>686</v>
      </c>
      <c r="N260" s="544"/>
      <c r="O260" s="544">
        <f t="shared" si="120"/>
        <v>686</v>
      </c>
      <c r="P260" s="504"/>
    </row>
    <row r="261" spans="1:16" x14ac:dyDescent="0.25">
      <c r="A261" s="513"/>
      <c r="B261" s="444" t="s">
        <v>1188</v>
      </c>
      <c r="C261" s="550"/>
      <c r="D261" s="548"/>
      <c r="E261" s="548">
        <v>250</v>
      </c>
      <c r="F261" s="546"/>
      <c r="G261" s="548"/>
      <c r="H261" s="545">
        <f t="shared" si="117"/>
        <v>250</v>
      </c>
      <c r="I261" s="578"/>
      <c r="J261" s="549"/>
      <c r="K261" s="549"/>
      <c r="L261" s="545">
        <f t="shared" si="118"/>
        <v>0</v>
      </c>
      <c r="M261" s="544">
        <f t="shared" si="119"/>
        <v>250</v>
      </c>
      <c r="N261" s="544"/>
      <c r="O261" s="544">
        <f t="shared" si="120"/>
        <v>250</v>
      </c>
      <c r="P261" s="504"/>
    </row>
    <row r="262" spans="1:16" ht="32.25" thickBot="1" x14ac:dyDescent="0.3">
      <c r="A262" s="513"/>
      <c r="B262" s="444" t="s">
        <v>1190</v>
      </c>
      <c r="C262" s="550"/>
      <c r="D262" s="548"/>
      <c r="E262" s="548">
        <v>150</v>
      </c>
      <c r="F262" s="546"/>
      <c r="G262" s="548"/>
      <c r="H262" s="545">
        <f t="shared" si="117"/>
        <v>150</v>
      </c>
      <c r="I262" s="578"/>
      <c r="J262" s="549"/>
      <c r="K262" s="549"/>
      <c r="L262" s="545">
        <f t="shared" si="118"/>
        <v>0</v>
      </c>
      <c r="M262" s="544">
        <f t="shared" si="119"/>
        <v>150</v>
      </c>
      <c r="N262" s="544"/>
      <c r="O262" s="544">
        <f t="shared" si="120"/>
        <v>150</v>
      </c>
      <c r="P262" s="504"/>
    </row>
    <row r="263" spans="1:16" s="504" customFormat="1" ht="17.25" thickTop="1" thickBot="1" x14ac:dyDescent="0.3">
      <c r="A263" s="478"/>
      <c r="B263" s="477" t="s">
        <v>430</v>
      </c>
      <c r="C263" s="476">
        <f>+C250+C254+C260+C255+C261+C256+C257+C262+C258</f>
        <v>54854</v>
      </c>
      <c r="D263" s="476">
        <f t="shared" ref="D263:O263" si="121">+D250+D254+D260+D255+D261+D256+D257+D262+D258</f>
        <v>10785</v>
      </c>
      <c r="E263" s="476">
        <f t="shared" si="121"/>
        <v>22108</v>
      </c>
      <c r="F263" s="476">
        <f t="shared" si="121"/>
        <v>0</v>
      </c>
      <c r="G263" s="476">
        <f t="shared" si="121"/>
        <v>0</v>
      </c>
      <c r="H263" s="476">
        <f t="shared" si="121"/>
        <v>87747</v>
      </c>
      <c r="I263" s="476">
        <f t="shared" si="121"/>
        <v>383</v>
      </c>
      <c r="J263" s="476">
        <f t="shared" si="121"/>
        <v>0</v>
      </c>
      <c r="K263" s="476">
        <f t="shared" si="121"/>
        <v>0</v>
      </c>
      <c r="L263" s="476">
        <f t="shared" si="121"/>
        <v>383</v>
      </c>
      <c r="M263" s="476">
        <f t="shared" si="121"/>
        <v>88130</v>
      </c>
      <c r="N263" s="476">
        <f t="shared" si="121"/>
        <v>0</v>
      </c>
      <c r="O263" s="476">
        <f t="shared" si="121"/>
        <v>88130</v>
      </c>
      <c r="P263" s="430">
        <f>O264+O265</f>
        <v>88130</v>
      </c>
    </row>
    <row r="264" spans="1:16" s="504" customFormat="1" ht="17.25" thickTop="1" thickBot="1" x14ac:dyDescent="0.3">
      <c r="A264" s="478"/>
      <c r="B264" s="477" t="s">
        <v>429</v>
      </c>
      <c r="C264" s="476">
        <f>+C251+C254+C255+C256+C257+C258</f>
        <v>53936</v>
      </c>
      <c r="D264" s="476">
        <f t="shared" ref="D264:O264" si="122">+D251+D254+D255+D256+D257+D258</f>
        <v>10471</v>
      </c>
      <c r="E264" s="476">
        <f t="shared" si="122"/>
        <v>21653</v>
      </c>
      <c r="F264" s="476">
        <f t="shared" si="122"/>
        <v>0</v>
      </c>
      <c r="G264" s="476">
        <f t="shared" si="122"/>
        <v>0</v>
      </c>
      <c r="H264" s="476">
        <f t="shared" si="122"/>
        <v>86060</v>
      </c>
      <c r="I264" s="476">
        <f t="shared" si="122"/>
        <v>383</v>
      </c>
      <c r="J264" s="476">
        <f t="shared" si="122"/>
        <v>0</v>
      </c>
      <c r="K264" s="476">
        <f t="shared" si="122"/>
        <v>0</v>
      </c>
      <c r="L264" s="476">
        <f t="shared" si="122"/>
        <v>383</v>
      </c>
      <c r="M264" s="476">
        <f t="shared" si="122"/>
        <v>86443</v>
      </c>
      <c r="N264" s="476">
        <f t="shared" si="122"/>
        <v>0</v>
      </c>
      <c r="O264" s="476">
        <f t="shared" si="122"/>
        <v>86443</v>
      </c>
      <c r="P264" s="475"/>
    </row>
    <row r="265" spans="1:16" s="504" customFormat="1" ht="17.25" thickTop="1" thickBot="1" x14ac:dyDescent="0.3">
      <c r="A265" s="478"/>
      <c r="B265" s="477" t="s">
        <v>428</v>
      </c>
      <c r="C265" s="476">
        <f>+C252+C260+C261+C262</f>
        <v>918</v>
      </c>
      <c r="D265" s="476">
        <f t="shared" ref="D265:O265" si="123">+D252+D260+D261+D262</f>
        <v>314</v>
      </c>
      <c r="E265" s="476">
        <f t="shared" si="123"/>
        <v>455</v>
      </c>
      <c r="F265" s="476">
        <f t="shared" si="123"/>
        <v>0</v>
      </c>
      <c r="G265" s="476">
        <f t="shared" si="123"/>
        <v>0</v>
      </c>
      <c r="H265" s="476">
        <f t="shared" si="123"/>
        <v>1687</v>
      </c>
      <c r="I265" s="476">
        <f t="shared" si="123"/>
        <v>0</v>
      </c>
      <c r="J265" s="476">
        <f t="shared" si="123"/>
        <v>0</v>
      </c>
      <c r="K265" s="476">
        <f t="shared" si="123"/>
        <v>0</v>
      </c>
      <c r="L265" s="476">
        <f t="shared" si="123"/>
        <v>0</v>
      </c>
      <c r="M265" s="476">
        <f t="shared" si="123"/>
        <v>1687</v>
      </c>
      <c r="N265" s="476">
        <f t="shared" si="123"/>
        <v>0</v>
      </c>
      <c r="O265" s="476">
        <f t="shared" si="123"/>
        <v>1687</v>
      </c>
      <c r="P265" s="475"/>
    </row>
    <row r="266" spans="1:16" s="504" customFormat="1" ht="16.5" thickTop="1" x14ac:dyDescent="0.25">
      <c r="A266" s="497" t="s">
        <v>8</v>
      </c>
      <c r="B266" s="453" t="s">
        <v>450</v>
      </c>
      <c r="C266" s="499"/>
      <c r="D266" s="494"/>
      <c r="E266" s="494"/>
      <c r="F266" s="500"/>
      <c r="G266" s="494"/>
      <c r="H266" s="491"/>
      <c r="I266" s="493"/>
      <c r="J266" s="492"/>
      <c r="K266" s="492"/>
      <c r="L266" s="491"/>
      <c r="M266" s="491"/>
      <c r="N266" s="491"/>
      <c r="O266" s="491"/>
      <c r="P266" s="475"/>
    </row>
    <row r="267" spans="1:16" s="504" customFormat="1" x14ac:dyDescent="0.25">
      <c r="A267" s="503"/>
      <c r="B267" s="453" t="s">
        <v>389</v>
      </c>
      <c r="C267" s="499">
        <v>191634</v>
      </c>
      <c r="D267" s="494">
        <v>40707</v>
      </c>
      <c r="E267" s="494">
        <v>67724</v>
      </c>
      <c r="F267" s="492"/>
      <c r="G267" s="494"/>
      <c r="H267" s="491">
        <f>SUM(C267:G267)</f>
        <v>300065</v>
      </c>
      <c r="I267" s="493"/>
      <c r="J267" s="492"/>
      <c r="K267" s="492"/>
      <c r="L267" s="491">
        <f>SUM(I267:K267)</f>
        <v>0</v>
      </c>
      <c r="M267" s="490">
        <f>SUM(H267+L267)</f>
        <v>300065</v>
      </c>
      <c r="N267" s="490"/>
      <c r="O267" s="490">
        <f>SUM(M267+N267)</f>
        <v>300065</v>
      </c>
      <c r="P267" s="475"/>
    </row>
    <row r="268" spans="1:16" s="504" customFormat="1" x14ac:dyDescent="0.25">
      <c r="A268" s="531"/>
      <c r="B268" s="498" t="s">
        <v>432</v>
      </c>
      <c r="C268" s="530">
        <v>190178</v>
      </c>
      <c r="D268" s="511">
        <v>40209</v>
      </c>
      <c r="E268" s="511">
        <v>67669</v>
      </c>
      <c r="F268" s="507"/>
      <c r="G268" s="511"/>
      <c r="H268" s="506">
        <f>SUM(C268:G268)</f>
        <v>298056</v>
      </c>
      <c r="I268" s="508"/>
      <c r="J268" s="507"/>
      <c r="K268" s="507"/>
      <c r="L268" s="506">
        <f>SUM(I268:K268)</f>
        <v>0</v>
      </c>
      <c r="M268" s="505">
        <f>SUM(H268+L268)</f>
        <v>298056</v>
      </c>
      <c r="N268" s="505"/>
      <c r="O268" s="505">
        <f>SUM(M268+N268)</f>
        <v>298056</v>
      </c>
    </row>
    <row r="269" spans="1:16" s="504" customFormat="1" x14ac:dyDescent="0.25">
      <c r="A269" s="531"/>
      <c r="B269" s="498" t="s">
        <v>431</v>
      </c>
      <c r="C269" s="530">
        <v>1456</v>
      </c>
      <c r="D269" s="511">
        <v>498</v>
      </c>
      <c r="E269" s="511">
        <v>55</v>
      </c>
      <c r="F269" s="507"/>
      <c r="G269" s="511"/>
      <c r="H269" s="506">
        <f>SUM(C269:G269)</f>
        <v>2009</v>
      </c>
      <c r="I269" s="508"/>
      <c r="J269" s="507"/>
      <c r="K269" s="507"/>
      <c r="L269" s="506">
        <f>SUM(I269:K269)</f>
        <v>0</v>
      </c>
      <c r="M269" s="505">
        <f>SUM(H269+L269)</f>
        <v>2009</v>
      </c>
      <c r="N269" s="505"/>
      <c r="O269" s="505">
        <f>SUM(M269+N269)</f>
        <v>2009</v>
      </c>
    </row>
    <row r="270" spans="1:16" s="504" customFormat="1" x14ac:dyDescent="0.25">
      <c r="A270" s="531"/>
      <c r="B270" s="498" t="s">
        <v>140</v>
      </c>
      <c r="C270" s="530"/>
      <c r="D270" s="511"/>
      <c r="E270" s="511"/>
      <c r="F270" s="507"/>
      <c r="G270" s="511"/>
      <c r="H270" s="506"/>
      <c r="I270" s="508"/>
      <c r="J270" s="507"/>
      <c r="K270" s="507"/>
      <c r="L270" s="506"/>
      <c r="M270" s="505"/>
      <c r="N270" s="505"/>
      <c r="O270" s="505"/>
    </row>
    <row r="271" spans="1:16" s="504" customFormat="1" ht="31.5" x14ac:dyDescent="0.25">
      <c r="A271" s="531"/>
      <c r="B271" s="444" t="s">
        <v>628</v>
      </c>
      <c r="C271" s="550">
        <v>4741</v>
      </c>
      <c r="D271" s="548">
        <v>925</v>
      </c>
      <c r="E271" s="548"/>
      <c r="F271" s="549"/>
      <c r="G271" s="548"/>
      <c r="H271" s="545">
        <f t="shared" ref="H271:H276" si="124">SUM(C271:G271)</f>
        <v>5666</v>
      </c>
      <c r="I271" s="578"/>
      <c r="J271" s="549"/>
      <c r="K271" s="549"/>
      <c r="L271" s="545">
        <f t="shared" ref="L271:L276" si="125">SUM(I271:K271)</f>
        <v>0</v>
      </c>
      <c r="M271" s="544">
        <f t="shared" ref="M271:M276" si="126">SUM(H271+L271)</f>
        <v>5666</v>
      </c>
      <c r="N271" s="505"/>
      <c r="O271" s="544">
        <f t="shared" ref="O271:O276" si="127">SUM(M271+N271)</f>
        <v>5666</v>
      </c>
    </row>
    <row r="272" spans="1:16" s="504" customFormat="1" ht="31.5" x14ac:dyDescent="0.25">
      <c r="A272" s="531"/>
      <c r="B272" s="444" t="s">
        <v>929</v>
      </c>
      <c r="C272" s="550"/>
      <c r="D272" s="548"/>
      <c r="E272" s="548">
        <v>-948</v>
      </c>
      <c r="F272" s="549"/>
      <c r="G272" s="548"/>
      <c r="H272" s="545">
        <f t="shared" si="124"/>
        <v>-948</v>
      </c>
      <c r="I272" s="578">
        <v>948</v>
      </c>
      <c r="J272" s="549"/>
      <c r="K272" s="549"/>
      <c r="L272" s="545">
        <f t="shared" si="125"/>
        <v>948</v>
      </c>
      <c r="M272" s="544">
        <f t="shared" si="126"/>
        <v>0</v>
      </c>
      <c r="N272" s="505"/>
      <c r="O272" s="544">
        <f t="shared" si="127"/>
        <v>0</v>
      </c>
    </row>
    <row r="273" spans="1:16" ht="31.5" x14ac:dyDescent="0.25">
      <c r="A273" s="531"/>
      <c r="B273" s="453" t="s">
        <v>928</v>
      </c>
      <c r="C273" s="550"/>
      <c r="D273" s="548"/>
      <c r="E273" s="548">
        <v>5975</v>
      </c>
      <c r="F273" s="549"/>
      <c r="G273" s="548"/>
      <c r="H273" s="545">
        <f t="shared" si="124"/>
        <v>5975</v>
      </c>
      <c r="I273" s="578"/>
      <c r="J273" s="549"/>
      <c r="K273" s="549"/>
      <c r="L273" s="545">
        <f t="shared" si="125"/>
        <v>0</v>
      </c>
      <c r="M273" s="545">
        <f t="shared" si="126"/>
        <v>5975</v>
      </c>
      <c r="N273" s="506"/>
      <c r="O273" s="545">
        <f t="shared" si="127"/>
        <v>5975</v>
      </c>
      <c r="P273" s="504"/>
    </row>
    <row r="274" spans="1:16" ht="47.25" x14ac:dyDescent="0.25">
      <c r="A274" s="531"/>
      <c r="B274" s="453" t="s">
        <v>1240</v>
      </c>
      <c r="C274" s="550"/>
      <c r="D274" s="548"/>
      <c r="E274" s="548">
        <v>5969</v>
      </c>
      <c r="F274" s="549"/>
      <c r="G274" s="548"/>
      <c r="H274" s="545">
        <f t="shared" si="124"/>
        <v>5969</v>
      </c>
      <c r="I274" s="578"/>
      <c r="J274" s="549"/>
      <c r="K274" s="549"/>
      <c r="L274" s="545">
        <f t="shared" si="125"/>
        <v>0</v>
      </c>
      <c r="M274" s="545">
        <f t="shared" si="126"/>
        <v>5969</v>
      </c>
      <c r="N274" s="506"/>
      <c r="O274" s="545">
        <f t="shared" si="127"/>
        <v>5969</v>
      </c>
      <c r="P274" s="504"/>
    </row>
    <row r="275" spans="1:16" x14ac:dyDescent="0.25">
      <c r="A275" s="531"/>
      <c r="B275" s="498" t="s">
        <v>141</v>
      </c>
      <c r="C275" s="550"/>
      <c r="D275" s="548"/>
      <c r="E275" s="548"/>
      <c r="F275" s="549"/>
      <c r="G275" s="548"/>
      <c r="H275" s="545"/>
      <c r="I275" s="578"/>
      <c r="J275" s="549"/>
      <c r="K275" s="549"/>
      <c r="L275" s="545"/>
      <c r="M275" s="544"/>
      <c r="N275" s="505"/>
      <c r="O275" s="544"/>
      <c r="P275" s="504"/>
    </row>
    <row r="276" spans="1:16" ht="16.5" thickBot="1" x14ac:dyDescent="0.3">
      <c r="A276" s="531"/>
      <c r="B276" s="444" t="s">
        <v>1235</v>
      </c>
      <c r="C276" s="550">
        <v>1967</v>
      </c>
      <c r="D276" s="548">
        <v>673</v>
      </c>
      <c r="E276" s="548"/>
      <c r="F276" s="549"/>
      <c r="G276" s="548"/>
      <c r="H276" s="545">
        <f t="shared" si="124"/>
        <v>2640</v>
      </c>
      <c r="I276" s="578"/>
      <c r="J276" s="549"/>
      <c r="K276" s="549"/>
      <c r="L276" s="545">
        <f t="shared" si="125"/>
        <v>0</v>
      </c>
      <c r="M276" s="544">
        <f t="shared" si="126"/>
        <v>2640</v>
      </c>
      <c r="N276" s="505"/>
      <c r="O276" s="544">
        <f t="shared" si="127"/>
        <v>2640</v>
      </c>
      <c r="P276" s="504"/>
    </row>
    <row r="277" spans="1:16" ht="17.25" thickTop="1" thickBot="1" x14ac:dyDescent="0.3">
      <c r="A277" s="478"/>
      <c r="B277" s="477" t="s">
        <v>430</v>
      </c>
      <c r="C277" s="476">
        <f>+C267+C271+C276+C272+C273+C274</f>
        <v>198342</v>
      </c>
      <c r="D277" s="476">
        <f t="shared" ref="D277:O277" si="128">+D267+D271+D276+D272+D273+D274</f>
        <v>42305</v>
      </c>
      <c r="E277" s="476">
        <f t="shared" si="128"/>
        <v>78720</v>
      </c>
      <c r="F277" s="476">
        <f t="shared" si="128"/>
        <v>0</v>
      </c>
      <c r="G277" s="476">
        <f t="shared" si="128"/>
        <v>0</v>
      </c>
      <c r="H277" s="476">
        <f t="shared" si="128"/>
        <v>319367</v>
      </c>
      <c r="I277" s="476">
        <f t="shared" si="128"/>
        <v>948</v>
      </c>
      <c r="J277" s="476">
        <f t="shared" si="128"/>
        <v>0</v>
      </c>
      <c r="K277" s="476">
        <f t="shared" si="128"/>
        <v>0</v>
      </c>
      <c r="L277" s="476">
        <f t="shared" si="128"/>
        <v>948</v>
      </c>
      <c r="M277" s="476">
        <f t="shared" si="128"/>
        <v>320315</v>
      </c>
      <c r="N277" s="476">
        <f t="shared" si="128"/>
        <v>0</v>
      </c>
      <c r="O277" s="476">
        <f t="shared" si="128"/>
        <v>320315</v>
      </c>
      <c r="P277" s="430">
        <f>O278+O279</f>
        <v>320315</v>
      </c>
    </row>
    <row r="278" spans="1:16" s="504" customFormat="1" ht="17.25" thickTop="1" thickBot="1" x14ac:dyDescent="0.3">
      <c r="A278" s="478"/>
      <c r="B278" s="477" t="s">
        <v>429</v>
      </c>
      <c r="C278" s="476">
        <f t="shared" ref="C278:O278" si="129">+C268+C271+C272+C273+C274</f>
        <v>194919</v>
      </c>
      <c r="D278" s="476">
        <f t="shared" si="129"/>
        <v>41134</v>
      </c>
      <c r="E278" s="476">
        <f t="shared" si="129"/>
        <v>78665</v>
      </c>
      <c r="F278" s="476">
        <f t="shared" si="129"/>
        <v>0</v>
      </c>
      <c r="G278" s="476">
        <f t="shared" si="129"/>
        <v>0</v>
      </c>
      <c r="H278" s="476">
        <f t="shared" si="129"/>
        <v>314718</v>
      </c>
      <c r="I278" s="476">
        <f t="shared" si="129"/>
        <v>948</v>
      </c>
      <c r="J278" s="476">
        <f t="shared" si="129"/>
        <v>0</v>
      </c>
      <c r="K278" s="476">
        <f t="shared" si="129"/>
        <v>0</v>
      </c>
      <c r="L278" s="476">
        <f t="shared" si="129"/>
        <v>948</v>
      </c>
      <c r="M278" s="476">
        <f t="shared" si="129"/>
        <v>315666</v>
      </c>
      <c r="N278" s="476">
        <f t="shared" si="129"/>
        <v>0</v>
      </c>
      <c r="O278" s="476">
        <f t="shared" si="129"/>
        <v>315666</v>
      </c>
      <c r="P278" s="475"/>
    </row>
    <row r="279" spans="1:16" s="504" customFormat="1" ht="17.25" thickTop="1" thickBot="1" x14ac:dyDescent="0.3">
      <c r="A279" s="478"/>
      <c r="B279" s="477" t="s">
        <v>428</v>
      </c>
      <c r="C279" s="476">
        <f>+C269+C276</f>
        <v>3423</v>
      </c>
      <c r="D279" s="476">
        <f t="shared" ref="D279:O279" si="130">+D269+D276</f>
        <v>1171</v>
      </c>
      <c r="E279" s="476">
        <f t="shared" si="130"/>
        <v>55</v>
      </c>
      <c r="F279" s="476">
        <f t="shared" si="130"/>
        <v>0</v>
      </c>
      <c r="G279" s="476">
        <f t="shared" si="130"/>
        <v>0</v>
      </c>
      <c r="H279" s="476">
        <f t="shared" si="130"/>
        <v>4649</v>
      </c>
      <c r="I279" s="476">
        <f t="shared" si="130"/>
        <v>0</v>
      </c>
      <c r="J279" s="476">
        <f t="shared" si="130"/>
        <v>0</v>
      </c>
      <c r="K279" s="476">
        <f t="shared" si="130"/>
        <v>0</v>
      </c>
      <c r="L279" s="476">
        <f t="shared" si="130"/>
        <v>0</v>
      </c>
      <c r="M279" s="476">
        <f t="shared" si="130"/>
        <v>4649</v>
      </c>
      <c r="N279" s="476">
        <f t="shared" si="130"/>
        <v>0</v>
      </c>
      <c r="O279" s="476">
        <f t="shared" si="130"/>
        <v>4649</v>
      </c>
      <c r="P279" s="475"/>
    </row>
    <row r="280" spans="1:16" s="504" customFormat="1" ht="16.5" thickTop="1" x14ac:dyDescent="0.25">
      <c r="A280" s="497" t="s">
        <v>9</v>
      </c>
      <c r="B280" s="453" t="s">
        <v>449</v>
      </c>
      <c r="C280" s="499"/>
      <c r="D280" s="494"/>
      <c r="E280" s="494"/>
      <c r="F280" s="500"/>
      <c r="G280" s="494"/>
      <c r="H280" s="491"/>
      <c r="I280" s="493"/>
      <c r="J280" s="492"/>
      <c r="K280" s="492"/>
      <c r="L280" s="491"/>
      <c r="M280" s="491"/>
      <c r="N280" s="491"/>
      <c r="O280" s="491"/>
      <c r="P280" s="475"/>
    </row>
    <row r="281" spans="1:16" s="504" customFormat="1" x14ac:dyDescent="0.25">
      <c r="A281" s="497"/>
      <c r="B281" s="444" t="s">
        <v>389</v>
      </c>
      <c r="C281" s="499">
        <v>126164</v>
      </c>
      <c r="D281" s="494">
        <v>26979</v>
      </c>
      <c r="E281" s="494">
        <v>60569</v>
      </c>
      <c r="F281" s="500"/>
      <c r="G281" s="494"/>
      <c r="H281" s="491">
        <f>SUM(C281:G281)</f>
        <v>213712</v>
      </c>
      <c r="I281" s="493"/>
      <c r="J281" s="492"/>
      <c r="K281" s="492"/>
      <c r="L281" s="491">
        <f>SUM(I281:K281)</f>
        <v>0</v>
      </c>
      <c r="M281" s="490">
        <f>SUM(H281+L281)</f>
        <v>213712</v>
      </c>
      <c r="N281" s="490"/>
      <c r="O281" s="490">
        <f>SUM(M281+N281)</f>
        <v>213712</v>
      </c>
      <c r="P281" s="475"/>
    </row>
    <row r="282" spans="1:16" s="504" customFormat="1" x14ac:dyDescent="0.25">
      <c r="A282" s="513"/>
      <c r="B282" s="498" t="s">
        <v>432</v>
      </c>
      <c r="C282" s="530">
        <v>125219</v>
      </c>
      <c r="D282" s="511">
        <v>26655</v>
      </c>
      <c r="E282" s="511">
        <v>60514</v>
      </c>
      <c r="F282" s="522"/>
      <c r="G282" s="511"/>
      <c r="H282" s="506">
        <f>SUM(C282:G282)</f>
        <v>212388</v>
      </c>
      <c r="I282" s="508"/>
      <c r="J282" s="507"/>
      <c r="K282" s="507"/>
      <c r="L282" s="506">
        <f>SUM(I282:K282)</f>
        <v>0</v>
      </c>
      <c r="M282" s="505">
        <f>SUM(H282+L282)</f>
        <v>212388</v>
      </c>
      <c r="N282" s="505"/>
      <c r="O282" s="505">
        <f>SUM(M282+N282)</f>
        <v>212388</v>
      </c>
    </row>
    <row r="283" spans="1:16" s="504" customFormat="1" x14ac:dyDescent="0.25">
      <c r="A283" s="513"/>
      <c r="B283" s="498" t="s">
        <v>431</v>
      </c>
      <c r="C283" s="530">
        <v>945</v>
      </c>
      <c r="D283" s="511">
        <v>324</v>
      </c>
      <c r="E283" s="511">
        <v>55</v>
      </c>
      <c r="F283" s="522"/>
      <c r="G283" s="511"/>
      <c r="H283" s="506">
        <f>SUM(C283:G283)</f>
        <v>1324</v>
      </c>
      <c r="I283" s="508"/>
      <c r="J283" s="507"/>
      <c r="K283" s="507"/>
      <c r="L283" s="506">
        <f>SUM(I283:K283)</f>
        <v>0</v>
      </c>
      <c r="M283" s="505">
        <f>SUM(H283+L283)</f>
        <v>1324</v>
      </c>
      <c r="N283" s="505"/>
      <c r="O283" s="505">
        <f>SUM(M283+N283)</f>
        <v>1324</v>
      </c>
    </row>
    <row r="284" spans="1:16" s="504" customFormat="1" x14ac:dyDescent="0.25">
      <c r="A284" s="513"/>
      <c r="B284" s="498" t="s">
        <v>140</v>
      </c>
      <c r="C284" s="530"/>
      <c r="D284" s="511"/>
      <c r="E284" s="511"/>
      <c r="F284" s="522"/>
      <c r="G284" s="511"/>
      <c r="H284" s="506"/>
      <c r="I284" s="508"/>
      <c r="J284" s="507"/>
      <c r="K284" s="507"/>
      <c r="L284" s="506"/>
      <c r="M284" s="505"/>
      <c r="N284" s="505"/>
      <c r="O284" s="505"/>
    </row>
    <row r="285" spans="1:16" s="504" customFormat="1" ht="31.5" x14ac:dyDescent="0.25">
      <c r="A285" s="513"/>
      <c r="B285" s="444" t="s">
        <v>1168</v>
      </c>
      <c r="C285" s="550">
        <v>57</v>
      </c>
      <c r="D285" s="548">
        <v>11</v>
      </c>
      <c r="E285" s="548"/>
      <c r="F285" s="546"/>
      <c r="G285" s="511"/>
      <c r="H285" s="545">
        <f t="shared" ref="H285:H291" si="131">SUM(C285:G285)</f>
        <v>68</v>
      </c>
      <c r="I285" s="508"/>
      <c r="J285" s="507"/>
      <c r="K285" s="507"/>
      <c r="L285" s="545">
        <f t="shared" ref="L285:L291" si="132">SUM(I285:K285)</f>
        <v>0</v>
      </c>
      <c r="M285" s="544">
        <f t="shared" ref="M285:M291" si="133">SUM(H285+L285)</f>
        <v>68</v>
      </c>
      <c r="N285" s="505"/>
      <c r="O285" s="544">
        <f t="shared" ref="O285:O291" si="134">SUM(M285+N285)</f>
        <v>68</v>
      </c>
    </row>
    <row r="286" spans="1:16" s="504" customFormat="1" ht="31.5" x14ac:dyDescent="0.25">
      <c r="A286" s="513"/>
      <c r="B286" s="444" t="s">
        <v>628</v>
      </c>
      <c r="C286" s="550">
        <v>483</v>
      </c>
      <c r="D286" s="548">
        <v>94</v>
      </c>
      <c r="E286" s="548"/>
      <c r="F286" s="546"/>
      <c r="G286" s="511"/>
      <c r="H286" s="545">
        <f t="shared" si="131"/>
        <v>577</v>
      </c>
      <c r="I286" s="508"/>
      <c r="J286" s="507"/>
      <c r="K286" s="507"/>
      <c r="L286" s="545">
        <f t="shared" si="132"/>
        <v>0</v>
      </c>
      <c r="M286" s="544">
        <f t="shared" si="133"/>
        <v>577</v>
      </c>
      <c r="N286" s="505"/>
      <c r="O286" s="544">
        <f t="shared" si="134"/>
        <v>577</v>
      </c>
    </row>
    <row r="287" spans="1:16" ht="31.5" x14ac:dyDescent="0.25">
      <c r="A287" s="513"/>
      <c r="B287" s="444" t="s">
        <v>928</v>
      </c>
      <c r="C287" s="550"/>
      <c r="D287" s="548"/>
      <c r="E287" s="548">
        <v>2436</v>
      </c>
      <c r="F287" s="546"/>
      <c r="G287" s="511"/>
      <c r="H287" s="545">
        <f t="shared" si="131"/>
        <v>2436</v>
      </c>
      <c r="I287" s="508"/>
      <c r="J287" s="507"/>
      <c r="K287" s="507"/>
      <c r="L287" s="545">
        <f t="shared" si="132"/>
        <v>0</v>
      </c>
      <c r="M287" s="544">
        <f t="shared" si="133"/>
        <v>2436</v>
      </c>
      <c r="N287" s="505"/>
      <c r="O287" s="544">
        <f t="shared" si="134"/>
        <v>2436</v>
      </c>
      <c r="P287" s="504"/>
    </row>
    <row r="288" spans="1:16" ht="47.25" x14ac:dyDescent="0.25">
      <c r="A288" s="513"/>
      <c r="B288" s="444" t="s">
        <v>1240</v>
      </c>
      <c r="C288" s="550"/>
      <c r="D288" s="548"/>
      <c r="E288" s="548">
        <v>5461</v>
      </c>
      <c r="F288" s="546"/>
      <c r="G288" s="511"/>
      <c r="H288" s="545">
        <f t="shared" si="131"/>
        <v>5461</v>
      </c>
      <c r="I288" s="508"/>
      <c r="J288" s="507"/>
      <c r="K288" s="507"/>
      <c r="L288" s="545">
        <f t="shared" si="132"/>
        <v>0</v>
      </c>
      <c r="M288" s="544">
        <f t="shared" si="133"/>
        <v>5461</v>
      </c>
      <c r="N288" s="505"/>
      <c r="O288" s="544">
        <f t="shared" si="134"/>
        <v>5461</v>
      </c>
      <c r="P288" s="504"/>
    </row>
    <row r="289" spans="1:16" x14ac:dyDescent="0.25">
      <c r="A289" s="513"/>
      <c r="B289" s="498" t="s">
        <v>141</v>
      </c>
      <c r="C289" s="550"/>
      <c r="D289" s="548"/>
      <c r="E289" s="548"/>
      <c r="F289" s="546"/>
      <c r="G289" s="511"/>
      <c r="H289" s="545"/>
      <c r="I289" s="508"/>
      <c r="J289" s="507"/>
      <c r="K289" s="507"/>
      <c r="L289" s="545"/>
      <c r="M289" s="544"/>
      <c r="N289" s="505"/>
      <c r="O289" s="544"/>
      <c r="P289" s="504"/>
    </row>
    <row r="290" spans="1:16" ht="47.25" x14ac:dyDescent="0.25">
      <c r="A290" s="513"/>
      <c r="B290" s="444" t="s">
        <v>1244</v>
      </c>
      <c r="C290" s="550"/>
      <c r="D290" s="548"/>
      <c r="E290" s="548">
        <v>50</v>
      </c>
      <c r="F290" s="546"/>
      <c r="G290" s="511"/>
      <c r="H290" s="545">
        <f t="shared" si="131"/>
        <v>50</v>
      </c>
      <c r="I290" s="508"/>
      <c r="J290" s="507"/>
      <c r="K290" s="507"/>
      <c r="L290" s="545">
        <f t="shared" si="132"/>
        <v>0</v>
      </c>
      <c r="M290" s="544">
        <f t="shared" si="133"/>
        <v>50</v>
      </c>
      <c r="N290" s="505"/>
      <c r="O290" s="544">
        <f t="shared" si="134"/>
        <v>50</v>
      </c>
      <c r="P290" s="504"/>
    </row>
    <row r="291" spans="1:16" ht="16.5" thickBot="1" x14ac:dyDescent="0.3">
      <c r="A291" s="513"/>
      <c r="B291" s="444" t="s">
        <v>1235</v>
      </c>
      <c r="C291" s="550">
        <v>1270</v>
      </c>
      <c r="D291" s="548">
        <v>435</v>
      </c>
      <c r="E291" s="548"/>
      <c r="F291" s="546"/>
      <c r="G291" s="511"/>
      <c r="H291" s="545">
        <f t="shared" si="131"/>
        <v>1705</v>
      </c>
      <c r="I291" s="508"/>
      <c r="J291" s="507"/>
      <c r="K291" s="507"/>
      <c r="L291" s="545">
        <f t="shared" si="132"/>
        <v>0</v>
      </c>
      <c r="M291" s="544">
        <f t="shared" si="133"/>
        <v>1705</v>
      </c>
      <c r="N291" s="505"/>
      <c r="O291" s="544">
        <f t="shared" si="134"/>
        <v>1705</v>
      </c>
      <c r="P291" s="504"/>
    </row>
    <row r="292" spans="1:16" s="504" customFormat="1" ht="17.25" thickTop="1" thickBot="1" x14ac:dyDescent="0.3">
      <c r="A292" s="478"/>
      <c r="B292" s="477" t="s">
        <v>430</v>
      </c>
      <c r="C292" s="476">
        <f>+C281+C285+C286+C290+C291+C287+C288</f>
        <v>127974</v>
      </c>
      <c r="D292" s="476">
        <f t="shared" ref="D292:O292" si="135">+D281+D285+D286+D290+D291+D287+D288</f>
        <v>27519</v>
      </c>
      <c r="E292" s="476">
        <f t="shared" si="135"/>
        <v>68516</v>
      </c>
      <c r="F292" s="476">
        <f t="shared" si="135"/>
        <v>0</v>
      </c>
      <c r="G292" s="476">
        <f t="shared" si="135"/>
        <v>0</v>
      </c>
      <c r="H292" s="476">
        <f t="shared" si="135"/>
        <v>224009</v>
      </c>
      <c r="I292" s="476">
        <f t="shared" si="135"/>
        <v>0</v>
      </c>
      <c r="J292" s="476">
        <f t="shared" si="135"/>
        <v>0</v>
      </c>
      <c r="K292" s="476">
        <f t="shared" si="135"/>
        <v>0</v>
      </c>
      <c r="L292" s="476">
        <f t="shared" si="135"/>
        <v>0</v>
      </c>
      <c r="M292" s="476">
        <f t="shared" si="135"/>
        <v>224009</v>
      </c>
      <c r="N292" s="476">
        <f t="shared" si="135"/>
        <v>0</v>
      </c>
      <c r="O292" s="476">
        <f t="shared" si="135"/>
        <v>224009</v>
      </c>
      <c r="P292" s="430">
        <f>O293+O294</f>
        <v>224009</v>
      </c>
    </row>
    <row r="293" spans="1:16" s="504" customFormat="1" ht="17.25" thickTop="1" thickBot="1" x14ac:dyDescent="0.3">
      <c r="A293" s="478"/>
      <c r="B293" s="477" t="s">
        <v>429</v>
      </c>
      <c r="C293" s="476">
        <f>+C282+C285+C286+C287+C288</f>
        <v>125759</v>
      </c>
      <c r="D293" s="476">
        <f t="shared" ref="D293:O293" si="136">+D282+D285+D286+D287+D288</f>
        <v>26760</v>
      </c>
      <c r="E293" s="476">
        <f t="shared" si="136"/>
        <v>68411</v>
      </c>
      <c r="F293" s="476">
        <f t="shared" si="136"/>
        <v>0</v>
      </c>
      <c r="G293" s="476">
        <f t="shared" si="136"/>
        <v>0</v>
      </c>
      <c r="H293" s="476">
        <f t="shared" si="136"/>
        <v>220930</v>
      </c>
      <c r="I293" s="476">
        <f t="shared" si="136"/>
        <v>0</v>
      </c>
      <c r="J293" s="476">
        <f t="shared" si="136"/>
        <v>0</v>
      </c>
      <c r="K293" s="476">
        <f t="shared" si="136"/>
        <v>0</v>
      </c>
      <c r="L293" s="476">
        <f t="shared" si="136"/>
        <v>0</v>
      </c>
      <c r="M293" s="476">
        <f t="shared" si="136"/>
        <v>220930</v>
      </c>
      <c r="N293" s="476">
        <f t="shared" si="136"/>
        <v>0</v>
      </c>
      <c r="O293" s="476">
        <f t="shared" si="136"/>
        <v>220930</v>
      </c>
      <c r="P293" s="475"/>
    </row>
    <row r="294" spans="1:16" s="504" customFormat="1" ht="17.25" thickTop="1" thickBot="1" x14ac:dyDescent="0.3">
      <c r="A294" s="478"/>
      <c r="B294" s="477" t="s">
        <v>428</v>
      </c>
      <c r="C294" s="476">
        <f t="shared" ref="C294:O294" si="137">+C283+C290+C291</f>
        <v>2215</v>
      </c>
      <c r="D294" s="476">
        <f t="shared" si="137"/>
        <v>759</v>
      </c>
      <c r="E294" s="476">
        <f t="shared" si="137"/>
        <v>105</v>
      </c>
      <c r="F294" s="476">
        <f t="shared" si="137"/>
        <v>0</v>
      </c>
      <c r="G294" s="476">
        <f t="shared" si="137"/>
        <v>0</v>
      </c>
      <c r="H294" s="476">
        <f t="shared" si="137"/>
        <v>3079</v>
      </c>
      <c r="I294" s="476">
        <f t="shared" si="137"/>
        <v>0</v>
      </c>
      <c r="J294" s="476">
        <f t="shared" si="137"/>
        <v>0</v>
      </c>
      <c r="K294" s="476">
        <f t="shared" si="137"/>
        <v>0</v>
      </c>
      <c r="L294" s="476">
        <f t="shared" si="137"/>
        <v>0</v>
      </c>
      <c r="M294" s="476">
        <f t="shared" si="137"/>
        <v>3079</v>
      </c>
      <c r="N294" s="476">
        <f t="shared" si="137"/>
        <v>0</v>
      </c>
      <c r="O294" s="476">
        <f t="shared" si="137"/>
        <v>3079</v>
      </c>
      <c r="P294" s="475"/>
    </row>
    <row r="295" spans="1:16" s="504" customFormat="1" ht="16.5" thickTop="1" x14ac:dyDescent="0.25">
      <c r="A295" s="487" t="s">
        <v>10</v>
      </c>
      <c r="B295" s="542" t="s">
        <v>448</v>
      </c>
      <c r="C295" s="485"/>
      <c r="D295" s="484"/>
      <c r="E295" s="484"/>
      <c r="F295" s="482"/>
      <c r="G295" s="484"/>
      <c r="H295" s="481"/>
      <c r="I295" s="483"/>
      <c r="J295" s="482"/>
      <c r="K295" s="482"/>
      <c r="L295" s="481"/>
      <c r="M295" s="481"/>
      <c r="N295" s="481"/>
      <c r="O295" s="481"/>
      <c r="P295" s="475"/>
    </row>
    <row r="296" spans="1:16" s="504" customFormat="1" x14ac:dyDescent="0.25">
      <c r="A296" s="503"/>
      <c r="B296" s="453" t="s">
        <v>389</v>
      </c>
      <c r="C296" s="499">
        <v>157628</v>
      </c>
      <c r="D296" s="494">
        <v>33419</v>
      </c>
      <c r="E296" s="494">
        <v>52339</v>
      </c>
      <c r="F296" s="492"/>
      <c r="G296" s="494"/>
      <c r="H296" s="491">
        <f>SUM(C296:G296)</f>
        <v>243386</v>
      </c>
      <c r="I296" s="493"/>
      <c r="J296" s="492"/>
      <c r="K296" s="492"/>
      <c r="L296" s="491">
        <f>SUM(I296:K296)</f>
        <v>0</v>
      </c>
      <c r="M296" s="490">
        <f>SUM(H296+L296)</f>
        <v>243386</v>
      </c>
      <c r="N296" s="490"/>
      <c r="O296" s="490">
        <f>SUM(M296+N296)</f>
        <v>243386</v>
      </c>
      <c r="P296" s="475"/>
    </row>
    <row r="297" spans="1:16" s="504" customFormat="1" x14ac:dyDescent="0.25">
      <c r="A297" s="513"/>
      <c r="B297" s="498" t="s">
        <v>432</v>
      </c>
      <c r="C297" s="530">
        <v>156435</v>
      </c>
      <c r="D297" s="511">
        <v>33011</v>
      </c>
      <c r="E297" s="511">
        <v>52284</v>
      </c>
      <c r="F297" s="507"/>
      <c r="G297" s="511"/>
      <c r="H297" s="506">
        <f>SUM(C297:G297)</f>
        <v>241730</v>
      </c>
      <c r="I297" s="508"/>
      <c r="J297" s="507"/>
      <c r="K297" s="507"/>
      <c r="L297" s="506">
        <f>SUM(I297:K297)</f>
        <v>0</v>
      </c>
      <c r="M297" s="505">
        <f>SUM(H297+L297)</f>
        <v>241730</v>
      </c>
      <c r="N297" s="505"/>
      <c r="O297" s="505">
        <f>SUM(M297+N297)</f>
        <v>241730</v>
      </c>
    </row>
    <row r="298" spans="1:16" s="504" customFormat="1" x14ac:dyDescent="0.25">
      <c r="A298" s="513"/>
      <c r="B298" s="498" t="s">
        <v>431</v>
      </c>
      <c r="C298" s="530">
        <v>1193</v>
      </c>
      <c r="D298" s="511">
        <v>408</v>
      </c>
      <c r="E298" s="511">
        <v>55</v>
      </c>
      <c r="F298" s="507"/>
      <c r="G298" s="511"/>
      <c r="H298" s="506">
        <f>SUM(C298:G298)</f>
        <v>1656</v>
      </c>
      <c r="I298" s="508"/>
      <c r="J298" s="507"/>
      <c r="K298" s="507"/>
      <c r="L298" s="506">
        <f>SUM(I298:K298)</f>
        <v>0</v>
      </c>
      <c r="M298" s="505">
        <f>SUM(H298+L298)</f>
        <v>1656</v>
      </c>
      <c r="N298" s="505"/>
      <c r="O298" s="505">
        <f>SUM(M298+N298)</f>
        <v>1656</v>
      </c>
    </row>
    <row r="299" spans="1:16" s="504" customFormat="1" x14ac:dyDescent="0.25">
      <c r="A299" s="513"/>
      <c r="B299" s="498" t="s">
        <v>140</v>
      </c>
      <c r="C299" s="530"/>
      <c r="D299" s="511"/>
      <c r="E299" s="511"/>
      <c r="F299" s="507"/>
      <c r="G299" s="511"/>
      <c r="H299" s="506"/>
      <c r="I299" s="508"/>
      <c r="J299" s="507"/>
      <c r="K299" s="507"/>
      <c r="L299" s="506"/>
      <c r="M299" s="505"/>
      <c r="N299" s="505"/>
      <c r="O299" s="505"/>
    </row>
    <row r="300" spans="1:16" s="504" customFormat="1" ht="31.5" x14ac:dyDescent="0.25">
      <c r="A300" s="513"/>
      <c r="B300" s="444" t="s">
        <v>1168</v>
      </c>
      <c r="C300" s="550">
        <v>85</v>
      </c>
      <c r="D300" s="548">
        <v>16</v>
      </c>
      <c r="E300" s="548"/>
      <c r="F300" s="549"/>
      <c r="G300" s="511"/>
      <c r="H300" s="545">
        <f t="shared" ref="H300:H307" si="138">SUM(C300:G300)</f>
        <v>101</v>
      </c>
      <c r="I300" s="508"/>
      <c r="J300" s="507"/>
      <c r="K300" s="507"/>
      <c r="L300" s="545">
        <f t="shared" ref="L300:L307" si="139">SUM(I300:K300)</f>
        <v>0</v>
      </c>
      <c r="M300" s="544">
        <f t="shared" ref="M300:M307" si="140">SUM(H300+L300)</f>
        <v>101</v>
      </c>
      <c r="N300" s="505"/>
      <c r="O300" s="544">
        <f t="shared" ref="O300:O307" si="141">SUM(M300+N300)</f>
        <v>101</v>
      </c>
    </row>
    <row r="301" spans="1:16" s="504" customFormat="1" ht="31.5" x14ac:dyDescent="0.25">
      <c r="A301" s="531"/>
      <c r="B301" s="453" t="s">
        <v>628</v>
      </c>
      <c r="C301" s="550">
        <v>3488</v>
      </c>
      <c r="D301" s="548">
        <v>680</v>
      </c>
      <c r="E301" s="548"/>
      <c r="F301" s="549"/>
      <c r="G301" s="511"/>
      <c r="H301" s="545">
        <f t="shared" si="138"/>
        <v>4168</v>
      </c>
      <c r="I301" s="508"/>
      <c r="J301" s="507"/>
      <c r="K301" s="507"/>
      <c r="L301" s="545">
        <f t="shared" si="139"/>
        <v>0</v>
      </c>
      <c r="M301" s="545">
        <f t="shared" si="140"/>
        <v>4168</v>
      </c>
      <c r="N301" s="506"/>
      <c r="O301" s="545">
        <f t="shared" si="141"/>
        <v>4168</v>
      </c>
    </row>
    <row r="302" spans="1:16" s="504" customFormat="1" ht="31.5" x14ac:dyDescent="0.25">
      <c r="A302" s="531"/>
      <c r="B302" s="453" t="s">
        <v>929</v>
      </c>
      <c r="C302" s="550"/>
      <c r="D302" s="548"/>
      <c r="E302" s="548">
        <v>-17</v>
      </c>
      <c r="F302" s="549"/>
      <c r="G302" s="511"/>
      <c r="H302" s="545">
        <f t="shared" si="138"/>
        <v>-17</v>
      </c>
      <c r="I302" s="578">
        <v>17</v>
      </c>
      <c r="J302" s="507"/>
      <c r="K302" s="507"/>
      <c r="L302" s="545">
        <f t="shared" si="139"/>
        <v>17</v>
      </c>
      <c r="M302" s="545">
        <f t="shared" si="140"/>
        <v>0</v>
      </c>
      <c r="N302" s="506"/>
      <c r="O302" s="545">
        <f t="shared" si="141"/>
        <v>0</v>
      </c>
    </row>
    <row r="303" spans="1:16" ht="31.5" x14ac:dyDescent="0.25">
      <c r="A303" s="513"/>
      <c r="B303" s="444" t="s">
        <v>928</v>
      </c>
      <c r="C303" s="550"/>
      <c r="D303" s="548"/>
      <c r="E303" s="548">
        <v>667</v>
      </c>
      <c r="F303" s="549"/>
      <c r="G303" s="511"/>
      <c r="H303" s="545">
        <f t="shared" si="138"/>
        <v>667</v>
      </c>
      <c r="I303" s="508"/>
      <c r="J303" s="507"/>
      <c r="K303" s="507"/>
      <c r="L303" s="545">
        <f t="shared" si="139"/>
        <v>0</v>
      </c>
      <c r="M303" s="544">
        <f t="shared" si="140"/>
        <v>667</v>
      </c>
      <c r="N303" s="505"/>
      <c r="O303" s="544">
        <f t="shared" si="141"/>
        <v>667</v>
      </c>
      <c r="P303" s="504"/>
    </row>
    <row r="304" spans="1:16" ht="47.25" x14ac:dyDescent="0.25">
      <c r="A304" s="513"/>
      <c r="B304" s="444" t="s">
        <v>1240</v>
      </c>
      <c r="C304" s="550"/>
      <c r="D304" s="548"/>
      <c r="E304" s="548">
        <v>7493</v>
      </c>
      <c r="F304" s="549"/>
      <c r="G304" s="511"/>
      <c r="H304" s="545">
        <f t="shared" si="138"/>
        <v>7493</v>
      </c>
      <c r="I304" s="508"/>
      <c r="J304" s="507"/>
      <c r="K304" s="507"/>
      <c r="L304" s="545">
        <f t="shared" si="139"/>
        <v>0</v>
      </c>
      <c r="M304" s="544">
        <f t="shared" si="140"/>
        <v>7493</v>
      </c>
      <c r="N304" s="505"/>
      <c r="O304" s="544">
        <f t="shared" si="141"/>
        <v>7493</v>
      </c>
      <c r="P304" s="504"/>
    </row>
    <row r="305" spans="1:16" x14ac:dyDescent="0.25">
      <c r="A305" s="513"/>
      <c r="B305" s="498" t="s">
        <v>141</v>
      </c>
      <c r="C305" s="550"/>
      <c r="D305" s="548"/>
      <c r="E305" s="548"/>
      <c r="F305" s="549"/>
      <c r="G305" s="511"/>
      <c r="H305" s="545"/>
      <c r="I305" s="508"/>
      <c r="J305" s="507"/>
      <c r="K305" s="507"/>
      <c r="L305" s="545"/>
      <c r="M305" s="544"/>
      <c r="N305" s="505"/>
      <c r="O305" s="544"/>
      <c r="P305" s="504"/>
    </row>
    <row r="306" spans="1:16" x14ac:dyDescent="0.25">
      <c r="A306" s="513"/>
      <c r="B306" s="444" t="s">
        <v>1235</v>
      </c>
      <c r="C306" s="550">
        <v>1616</v>
      </c>
      <c r="D306" s="548">
        <v>553</v>
      </c>
      <c r="E306" s="548"/>
      <c r="F306" s="549"/>
      <c r="G306" s="511"/>
      <c r="H306" s="545">
        <f t="shared" si="138"/>
        <v>2169</v>
      </c>
      <c r="I306" s="508"/>
      <c r="J306" s="507"/>
      <c r="K306" s="507"/>
      <c r="L306" s="545">
        <f t="shared" si="139"/>
        <v>0</v>
      </c>
      <c r="M306" s="544">
        <f t="shared" si="140"/>
        <v>2169</v>
      </c>
      <c r="N306" s="505"/>
      <c r="O306" s="544">
        <f t="shared" si="141"/>
        <v>2169</v>
      </c>
      <c r="P306" s="504"/>
    </row>
    <row r="307" spans="1:16" ht="32.25" thickBot="1" x14ac:dyDescent="0.3">
      <c r="A307" s="513"/>
      <c r="B307" s="444" t="s">
        <v>1192</v>
      </c>
      <c r="C307" s="550"/>
      <c r="D307" s="548"/>
      <c r="E307" s="548">
        <v>250</v>
      </c>
      <c r="F307" s="549"/>
      <c r="G307" s="511"/>
      <c r="H307" s="545">
        <f t="shared" si="138"/>
        <v>250</v>
      </c>
      <c r="I307" s="508"/>
      <c r="J307" s="507"/>
      <c r="K307" s="507"/>
      <c r="L307" s="545">
        <f t="shared" si="139"/>
        <v>0</v>
      </c>
      <c r="M307" s="544">
        <f t="shared" si="140"/>
        <v>250</v>
      </c>
      <c r="N307" s="505"/>
      <c r="O307" s="544">
        <f t="shared" si="141"/>
        <v>250</v>
      </c>
      <c r="P307" s="504"/>
    </row>
    <row r="308" spans="1:16" s="504" customFormat="1" ht="17.25" thickTop="1" thickBot="1" x14ac:dyDescent="0.3">
      <c r="A308" s="478"/>
      <c r="B308" s="477" t="s">
        <v>430</v>
      </c>
      <c r="C308" s="476">
        <f>+C296+C300+C301+C306+C307+C302+C303+C304</f>
        <v>162817</v>
      </c>
      <c r="D308" s="476">
        <f t="shared" ref="D308:O308" si="142">+D296+D300+D301+D306+D307+D302+D303+D304</f>
        <v>34668</v>
      </c>
      <c r="E308" s="476">
        <f t="shared" si="142"/>
        <v>60732</v>
      </c>
      <c r="F308" s="476">
        <f t="shared" si="142"/>
        <v>0</v>
      </c>
      <c r="G308" s="476">
        <f t="shared" si="142"/>
        <v>0</v>
      </c>
      <c r="H308" s="476">
        <f t="shared" si="142"/>
        <v>258217</v>
      </c>
      <c r="I308" s="476">
        <f t="shared" si="142"/>
        <v>17</v>
      </c>
      <c r="J308" s="476">
        <f t="shared" si="142"/>
        <v>0</v>
      </c>
      <c r="K308" s="476">
        <f t="shared" si="142"/>
        <v>0</v>
      </c>
      <c r="L308" s="476">
        <f t="shared" si="142"/>
        <v>17</v>
      </c>
      <c r="M308" s="476">
        <f t="shared" si="142"/>
        <v>258234</v>
      </c>
      <c r="N308" s="476">
        <f t="shared" si="142"/>
        <v>0</v>
      </c>
      <c r="O308" s="476">
        <f t="shared" si="142"/>
        <v>258234</v>
      </c>
      <c r="P308" s="430">
        <f>O309+O310</f>
        <v>258234</v>
      </c>
    </row>
    <row r="309" spans="1:16" s="504" customFormat="1" ht="17.25" thickTop="1" thickBot="1" x14ac:dyDescent="0.3">
      <c r="A309" s="478"/>
      <c r="B309" s="477" t="s">
        <v>429</v>
      </c>
      <c r="C309" s="476">
        <f>+C297+C300+C301+C302+C303+C304</f>
        <v>160008</v>
      </c>
      <c r="D309" s="476">
        <f t="shared" ref="D309:O309" si="143">+D297+D300+D301+D302+D303+D304</f>
        <v>33707</v>
      </c>
      <c r="E309" s="476">
        <f t="shared" si="143"/>
        <v>60427</v>
      </c>
      <c r="F309" s="476">
        <f t="shared" si="143"/>
        <v>0</v>
      </c>
      <c r="G309" s="476">
        <f t="shared" si="143"/>
        <v>0</v>
      </c>
      <c r="H309" s="476">
        <f t="shared" si="143"/>
        <v>254142</v>
      </c>
      <c r="I309" s="476">
        <f t="shared" si="143"/>
        <v>17</v>
      </c>
      <c r="J309" s="476">
        <f t="shared" si="143"/>
        <v>0</v>
      </c>
      <c r="K309" s="476">
        <f t="shared" si="143"/>
        <v>0</v>
      </c>
      <c r="L309" s="476">
        <f t="shared" si="143"/>
        <v>17</v>
      </c>
      <c r="M309" s="476">
        <f t="shared" si="143"/>
        <v>254159</v>
      </c>
      <c r="N309" s="476">
        <f t="shared" si="143"/>
        <v>0</v>
      </c>
      <c r="O309" s="476">
        <f t="shared" si="143"/>
        <v>254159</v>
      </c>
      <c r="P309" s="475"/>
    </row>
    <row r="310" spans="1:16" s="504" customFormat="1" ht="17.25" thickTop="1" thickBot="1" x14ac:dyDescent="0.3">
      <c r="A310" s="478"/>
      <c r="B310" s="477" t="s">
        <v>428</v>
      </c>
      <c r="C310" s="476">
        <f>+C298+C306+C307</f>
        <v>2809</v>
      </c>
      <c r="D310" s="476">
        <f t="shared" ref="D310:O310" si="144">+D298+D306+D307</f>
        <v>961</v>
      </c>
      <c r="E310" s="476">
        <f t="shared" si="144"/>
        <v>305</v>
      </c>
      <c r="F310" s="476">
        <f t="shared" si="144"/>
        <v>0</v>
      </c>
      <c r="G310" s="476">
        <f t="shared" si="144"/>
        <v>0</v>
      </c>
      <c r="H310" s="476">
        <f t="shared" si="144"/>
        <v>4075</v>
      </c>
      <c r="I310" s="476">
        <f t="shared" si="144"/>
        <v>0</v>
      </c>
      <c r="J310" s="476">
        <f t="shared" si="144"/>
        <v>0</v>
      </c>
      <c r="K310" s="476">
        <f t="shared" si="144"/>
        <v>0</v>
      </c>
      <c r="L310" s="476">
        <f t="shared" si="144"/>
        <v>0</v>
      </c>
      <c r="M310" s="476">
        <f t="shared" si="144"/>
        <v>4075</v>
      </c>
      <c r="N310" s="476">
        <f t="shared" si="144"/>
        <v>0</v>
      </c>
      <c r="O310" s="476">
        <f t="shared" si="144"/>
        <v>4075</v>
      </c>
      <c r="P310" s="475"/>
    </row>
    <row r="311" spans="1:16" s="504" customFormat="1" ht="17.25" thickTop="1" thickBot="1" x14ac:dyDescent="0.3">
      <c r="A311" s="478"/>
      <c r="B311" s="477" t="s">
        <v>447</v>
      </c>
      <c r="C311" s="476">
        <f t="shared" ref="C311:O311" si="145">SUM(C140+C154+C170+C186+C201+C215+C230+C246+C263+C277+C292+C308)</f>
        <v>1783259</v>
      </c>
      <c r="D311" s="476">
        <f t="shared" si="145"/>
        <v>379971</v>
      </c>
      <c r="E311" s="476">
        <f t="shared" si="145"/>
        <v>798267</v>
      </c>
      <c r="F311" s="476">
        <f t="shared" si="145"/>
        <v>0</v>
      </c>
      <c r="G311" s="476">
        <f t="shared" si="145"/>
        <v>0</v>
      </c>
      <c r="H311" s="476">
        <f t="shared" si="145"/>
        <v>2961497</v>
      </c>
      <c r="I311" s="476">
        <f t="shared" si="145"/>
        <v>4009</v>
      </c>
      <c r="J311" s="476">
        <f t="shared" si="145"/>
        <v>0</v>
      </c>
      <c r="K311" s="476">
        <f t="shared" si="145"/>
        <v>0</v>
      </c>
      <c r="L311" s="476">
        <f t="shared" si="145"/>
        <v>4009</v>
      </c>
      <c r="M311" s="476">
        <f t="shared" si="145"/>
        <v>2965506</v>
      </c>
      <c r="N311" s="476">
        <f t="shared" si="145"/>
        <v>0</v>
      </c>
      <c r="O311" s="476">
        <f t="shared" si="145"/>
        <v>2965506</v>
      </c>
      <c r="P311" s="475"/>
    </row>
    <row r="312" spans="1:16" s="504" customFormat="1" ht="17.25" thickTop="1" thickBot="1" x14ac:dyDescent="0.3">
      <c r="A312" s="478"/>
      <c r="B312" s="477" t="s">
        <v>446</v>
      </c>
      <c r="C312" s="476">
        <f t="shared" ref="C312:O312" si="146">SUM(C38+C126+C311)</f>
        <v>2770082</v>
      </c>
      <c r="D312" s="476">
        <f t="shared" si="146"/>
        <v>584782</v>
      </c>
      <c r="E312" s="476">
        <f t="shared" si="146"/>
        <v>1110012</v>
      </c>
      <c r="F312" s="476">
        <f t="shared" si="146"/>
        <v>0</v>
      </c>
      <c r="G312" s="476">
        <f t="shared" si="146"/>
        <v>0</v>
      </c>
      <c r="H312" s="476">
        <f t="shared" si="146"/>
        <v>4464876</v>
      </c>
      <c r="I312" s="476">
        <f t="shared" si="146"/>
        <v>24254</v>
      </c>
      <c r="J312" s="476">
        <f t="shared" si="146"/>
        <v>0</v>
      </c>
      <c r="K312" s="476">
        <f t="shared" si="146"/>
        <v>0</v>
      </c>
      <c r="L312" s="476">
        <f t="shared" si="146"/>
        <v>24254</v>
      </c>
      <c r="M312" s="476">
        <f t="shared" si="146"/>
        <v>4489130</v>
      </c>
      <c r="N312" s="476">
        <f t="shared" si="146"/>
        <v>0</v>
      </c>
      <c r="O312" s="476">
        <f t="shared" si="146"/>
        <v>4489130</v>
      </c>
      <c r="P312" s="475"/>
    </row>
    <row r="313" spans="1:16" s="504" customFormat="1" ht="16.5" thickTop="1" x14ac:dyDescent="0.25">
      <c r="A313" s="497" t="s">
        <v>11</v>
      </c>
      <c r="B313" s="453" t="s">
        <v>414</v>
      </c>
      <c r="C313" s="499"/>
      <c r="D313" s="494"/>
      <c r="E313" s="494"/>
      <c r="F313" s="500"/>
      <c r="G313" s="494"/>
      <c r="H313" s="491"/>
      <c r="I313" s="493"/>
      <c r="J313" s="492"/>
      <c r="K313" s="492"/>
      <c r="L313" s="491"/>
      <c r="M313" s="491"/>
      <c r="N313" s="491"/>
      <c r="O313" s="491"/>
      <c r="P313" s="475"/>
    </row>
    <row r="314" spans="1:16" s="504" customFormat="1" x14ac:dyDescent="0.25">
      <c r="A314" s="497"/>
      <c r="B314" s="444" t="s">
        <v>389</v>
      </c>
      <c r="C314" s="499">
        <v>649811</v>
      </c>
      <c r="D314" s="494">
        <v>136229</v>
      </c>
      <c r="E314" s="494">
        <v>450230</v>
      </c>
      <c r="F314" s="500"/>
      <c r="G314" s="494"/>
      <c r="H314" s="491">
        <f>SUM(C314:G314)</f>
        <v>1236270</v>
      </c>
      <c r="I314" s="493"/>
      <c r="J314" s="492"/>
      <c r="K314" s="492"/>
      <c r="L314" s="491">
        <f>SUM(I314:K314)</f>
        <v>0</v>
      </c>
      <c r="M314" s="490">
        <f>SUM(H314+L314)</f>
        <v>1236270</v>
      </c>
      <c r="N314" s="490"/>
      <c r="O314" s="490">
        <f>SUM(M314+N314)</f>
        <v>1236270</v>
      </c>
      <c r="P314" s="475"/>
    </row>
    <row r="315" spans="1:16" s="504" customFormat="1" x14ac:dyDescent="0.25">
      <c r="A315" s="513"/>
      <c r="B315" s="498" t="s">
        <v>432</v>
      </c>
      <c r="C315" s="530">
        <v>646010</v>
      </c>
      <c r="D315" s="511">
        <v>134929</v>
      </c>
      <c r="E315" s="511">
        <v>450120</v>
      </c>
      <c r="F315" s="522"/>
      <c r="G315" s="511"/>
      <c r="H315" s="506">
        <f>SUM(C315:G315)</f>
        <v>1231059</v>
      </c>
      <c r="I315" s="508"/>
      <c r="J315" s="507"/>
      <c r="K315" s="507"/>
      <c r="L315" s="506">
        <f>SUM(I315:K315)</f>
        <v>0</v>
      </c>
      <c r="M315" s="505">
        <f>SUM(H315+L315)</f>
        <v>1231059</v>
      </c>
      <c r="N315" s="505"/>
      <c r="O315" s="505">
        <f>SUM(M315+N315)</f>
        <v>1231059</v>
      </c>
    </row>
    <row r="316" spans="1:16" s="504" customFormat="1" x14ac:dyDescent="0.25">
      <c r="A316" s="513"/>
      <c r="B316" s="498" t="s">
        <v>431</v>
      </c>
      <c r="C316" s="530">
        <v>3801</v>
      </c>
      <c r="D316" s="511">
        <v>1300</v>
      </c>
      <c r="E316" s="511">
        <v>110</v>
      </c>
      <c r="F316" s="522"/>
      <c r="G316" s="511"/>
      <c r="H316" s="506">
        <f>SUM(C316:G316)</f>
        <v>5211</v>
      </c>
      <c r="I316" s="508"/>
      <c r="J316" s="507"/>
      <c r="K316" s="507"/>
      <c r="L316" s="506">
        <f>SUM(I316:K316)</f>
        <v>0</v>
      </c>
      <c r="M316" s="505">
        <f>SUM(H316+L316)</f>
        <v>5211</v>
      </c>
      <c r="N316" s="505"/>
      <c r="O316" s="505">
        <f>SUM(M316+N316)</f>
        <v>5211</v>
      </c>
    </row>
    <row r="317" spans="1:16" s="504" customFormat="1" x14ac:dyDescent="0.25">
      <c r="A317" s="513"/>
      <c r="B317" s="498" t="s">
        <v>140</v>
      </c>
      <c r="C317" s="530"/>
      <c r="D317" s="511"/>
      <c r="E317" s="511"/>
      <c r="F317" s="522"/>
      <c r="G317" s="511"/>
      <c r="H317" s="506"/>
      <c r="I317" s="508"/>
      <c r="J317" s="507"/>
      <c r="K317" s="507"/>
      <c r="L317" s="506"/>
      <c r="M317" s="505"/>
      <c r="N317" s="505"/>
      <c r="O317" s="505"/>
    </row>
    <row r="318" spans="1:16" ht="31.5" x14ac:dyDescent="0.25">
      <c r="A318" s="513"/>
      <c r="B318" s="444" t="s">
        <v>1168</v>
      </c>
      <c r="C318" s="550">
        <v>1059</v>
      </c>
      <c r="D318" s="548">
        <v>206</v>
      </c>
      <c r="E318" s="548"/>
      <c r="F318" s="546"/>
      <c r="G318" s="511"/>
      <c r="H318" s="545">
        <f t="shared" ref="H318:H323" si="147">SUM(C318:G318)</f>
        <v>1265</v>
      </c>
      <c r="I318" s="508"/>
      <c r="J318" s="507"/>
      <c r="K318" s="507"/>
      <c r="L318" s="545">
        <f t="shared" ref="L318:L323" si="148">SUM(I318:K318)</f>
        <v>0</v>
      </c>
      <c r="M318" s="544">
        <f t="shared" ref="M318:M323" si="149">SUM(H318+L318)</f>
        <v>1265</v>
      </c>
      <c r="N318" s="505"/>
      <c r="O318" s="544">
        <f t="shared" ref="O318:O323" si="150">SUM(M318+N318)</f>
        <v>1265</v>
      </c>
      <c r="P318" s="504"/>
    </row>
    <row r="319" spans="1:16" ht="47.25" x14ac:dyDescent="0.25">
      <c r="A319" s="513"/>
      <c r="B319" s="444" t="s">
        <v>1236</v>
      </c>
      <c r="C319" s="550">
        <v>20256</v>
      </c>
      <c r="D319" s="548">
        <v>3950</v>
      </c>
      <c r="E319" s="548"/>
      <c r="F319" s="546"/>
      <c r="G319" s="511"/>
      <c r="H319" s="545">
        <f t="shared" si="147"/>
        <v>24206</v>
      </c>
      <c r="I319" s="508"/>
      <c r="J319" s="507"/>
      <c r="K319" s="507"/>
      <c r="L319" s="545">
        <f t="shared" si="148"/>
        <v>0</v>
      </c>
      <c r="M319" s="544">
        <f t="shared" si="149"/>
        <v>24206</v>
      </c>
      <c r="N319" s="505"/>
      <c r="O319" s="544">
        <f t="shared" si="150"/>
        <v>24206</v>
      </c>
      <c r="P319" s="504"/>
    </row>
    <row r="320" spans="1:16" ht="47.25" x14ac:dyDescent="0.25">
      <c r="A320" s="513"/>
      <c r="B320" s="444" t="s">
        <v>1245</v>
      </c>
      <c r="C320" s="550">
        <v>2202</v>
      </c>
      <c r="D320" s="548">
        <v>429</v>
      </c>
      <c r="E320" s="548"/>
      <c r="F320" s="546"/>
      <c r="G320" s="511"/>
      <c r="H320" s="545">
        <f t="shared" si="147"/>
        <v>2631</v>
      </c>
      <c r="I320" s="508"/>
      <c r="J320" s="507"/>
      <c r="K320" s="507"/>
      <c r="L320" s="545">
        <f t="shared" si="148"/>
        <v>0</v>
      </c>
      <c r="M320" s="544">
        <f t="shared" si="149"/>
        <v>2631</v>
      </c>
      <c r="N320" s="505"/>
      <c r="O320" s="544">
        <f t="shared" si="150"/>
        <v>2631</v>
      </c>
      <c r="P320" s="504"/>
    </row>
    <row r="321" spans="1:16" ht="31.5" x14ac:dyDescent="0.25">
      <c r="A321" s="513"/>
      <c r="B321" s="444" t="s">
        <v>929</v>
      </c>
      <c r="C321" s="550"/>
      <c r="D321" s="548"/>
      <c r="E321" s="548">
        <v>-3194</v>
      </c>
      <c r="F321" s="546"/>
      <c r="G321" s="511"/>
      <c r="H321" s="545">
        <f t="shared" si="147"/>
        <v>-3194</v>
      </c>
      <c r="I321" s="578">
        <v>3194</v>
      </c>
      <c r="J321" s="507"/>
      <c r="K321" s="507"/>
      <c r="L321" s="545">
        <f t="shared" si="148"/>
        <v>3194</v>
      </c>
      <c r="M321" s="544">
        <f t="shared" si="149"/>
        <v>0</v>
      </c>
      <c r="N321" s="505"/>
      <c r="O321" s="544">
        <f t="shared" si="150"/>
        <v>0</v>
      </c>
      <c r="P321" s="504"/>
    </row>
    <row r="322" spans="1:16" x14ac:dyDescent="0.25">
      <c r="A322" s="513"/>
      <c r="B322" s="498" t="s">
        <v>141</v>
      </c>
      <c r="C322" s="550"/>
      <c r="D322" s="548"/>
      <c r="E322" s="548"/>
      <c r="F322" s="546"/>
      <c r="G322" s="511"/>
      <c r="H322" s="545"/>
      <c r="I322" s="508"/>
      <c r="J322" s="507"/>
      <c r="K322" s="507"/>
      <c r="L322" s="545"/>
      <c r="M322" s="544"/>
      <c r="N322" s="505"/>
      <c r="O322" s="544"/>
      <c r="P322" s="504"/>
    </row>
    <row r="323" spans="1:16" ht="16.5" thickBot="1" x14ac:dyDescent="0.3">
      <c r="A323" s="513"/>
      <c r="B323" s="444" t="s">
        <v>1235</v>
      </c>
      <c r="C323" s="550">
        <v>10264</v>
      </c>
      <c r="D323" s="548">
        <v>3513</v>
      </c>
      <c r="E323" s="548"/>
      <c r="F323" s="546"/>
      <c r="G323" s="511"/>
      <c r="H323" s="545">
        <f t="shared" si="147"/>
        <v>13777</v>
      </c>
      <c r="I323" s="508"/>
      <c r="J323" s="507"/>
      <c r="K323" s="507"/>
      <c r="L323" s="545">
        <f t="shared" si="148"/>
        <v>0</v>
      </c>
      <c r="M323" s="544">
        <f t="shared" si="149"/>
        <v>13777</v>
      </c>
      <c r="N323" s="505"/>
      <c r="O323" s="544">
        <f t="shared" si="150"/>
        <v>13777</v>
      </c>
      <c r="P323" s="504"/>
    </row>
    <row r="324" spans="1:16" ht="17.25" thickTop="1" thickBot="1" x14ac:dyDescent="0.3">
      <c r="A324" s="478"/>
      <c r="B324" s="477" t="s">
        <v>430</v>
      </c>
      <c r="C324" s="476">
        <f>+C314+C318+C319+C323+C320+C321</f>
        <v>683592</v>
      </c>
      <c r="D324" s="476">
        <f t="shared" ref="D324:O324" si="151">+D314+D318+D319+D323+D320+D321</f>
        <v>144327</v>
      </c>
      <c r="E324" s="476">
        <f t="shared" si="151"/>
        <v>447036</v>
      </c>
      <c r="F324" s="476">
        <f t="shared" si="151"/>
        <v>0</v>
      </c>
      <c r="G324" s="476">
        <f t="shared" si="151"/>
        <v>0</v>
      </c>
      <c r="H324" s="476">
        <f t="shared" si="151"/>
        <v>1274955</v>
      </c>
      <c r="I324" s="476">
        <f t="shared" si="151"/>
        <v>3194</v>
      </c>
      <c r="J324" s="476">
        <f t="shared" si="151"/>
        <v>0</v>
      </c>
      <c r="K324" s="476">
        <f t="shared" si="151"/>
        <v>0</v>
      </c>
      <c r="L324" s="476">
        <f t="shared" si="151"/>
        <v>3194</v>
      </c>
      <c r="M324" s="476">
        <f t="shared" si="151"/>
        <v>1278149</v>
      </c>
      <c r="N324" s="476">
        <f t="shared" si="151"/>
        <v>0</v>
      </c>
      <c r="O324" s="476">
        <f t="shared" si="151"/>
        <v>1278149</v>
      </c>
      <c r="P324" s="430">
        <f>O325+O326</f>
        <v>1278149</v>
      </c>
    </row>
    <row r="325" spans="1:16" s="504" customFormat="1" ht="17.25" thickTop="1" thickBot="1" x14ac:dyDescent="0.3">
      <c r="A325" s="478"/>
      <c r="B325" s="477" t="s">
        <v>429</v>
      </c>
      <c r="C325" s="476">
        <f>+C315+C318+C319+C320+C321</f>
        <v>669527</v>
      </c>
      <c r="D325" s="476">
        <f t="shared" ref="D325:O325" si="152">+D315+D318+D319+D320+D321</f>
        <v>139514</v>
      </c>
      <c r="E325" s="476">
        <f t="shared" si="152"/>
        <v>446926</v>
      </c>
      <c r="F325" s="476">
        <f t="shared" si="152"/>
        <v>0</v>
      </c>
      <c r="G325" s="476">
        <f t="shared" si="152"/>
        <v>0</v>
      </c>
      <c r="H325" s="476">
        <f t="shared" si="152"/>
        <v>1255967</v>
      </c>
      <c r="I325" s="476">
        <f t="shared" si="152"/>
        <v>3194</v>
      </c>
      <c r="J325" s="476">
        <f t="shared" si="152"/>
        <v>0</v>
      </c>
      <c r="K325" s="476">
        <f t="shared" si="152"/>
        <v>0</v>
      </c>
      <c r="L325" s="476">
        <f t="shared" si="152"/>
        <v>3194</v>
      </c>
      <c r="M325" s="476">
        <f t="shared" si="152"/>
        <v>1259161</v>
      </c>
      <c r="N325" s="476">
        <f t="shared" si="152"/>
        <v>0</v>
      </c>
      <c r="O325" s="476">
        <f t="shared" si="152"/>
        <v>1259161</v>
      </c>
      <c r="P325" s="475"/>
    </row>
    <row r="326" spans="1:16" s="504" customFormat="1" ht="17.25" thickTop="1" thickBot="1" x14ac:dyDescent="0.3">
      <c r="A326" s="478"/>
      <c r="B326" s="477" t="s">
        <v>428</v>
      </c>
      <c r="C326" s="476">
        <f>+C316+C323</f>
        <v>14065</v>
      </c>
      <c r="D326" s="476">
        <f t="shared" ref="D326:O326" si="153">+D316+D323</f>
        <v>4813</v>
      </c>
      <c r="E326" s="476">
        <f t="shared" si="153"/>
        <v>110</v>
      </c>
      <c r="F326" s="476">
        <f t="shared" si="153"/>
        <v>0</v>
      </c>
      <c r="G326" s="476">
        <f t="shared" si="153"/>
        <v>0</v>
      </c>
      <c r="H326" s="476">
        <f t="shared" si="153"/>
        <v>18988</v>
      </c>
      <c r="I326" s="476">
        <f t="shared" si="153"/>
        <v>0</v>
      </c>
      <c r="J326" s="476">
        <f t="shared" si="153"/>
        <v>0</v>
      </c>
      <c r="K326" s="476">
        <f t="shared" si="153"/>
        <v>0</v>
      </c>
      <c r="L326" s="476">
        <f t="shared" si="153"/>
        <v>0</v>
      </c>
      <c r="M326" s="476">
        <f t="shared" si="153"/>
        <v>18988</v>
      </c>
      <c r="N326" s="476">
        <f t="shared" si="153"/>
        <v>0</v>
      </c>
      <c r="O326" s="476">
        <f t="shared" si="153"/>
        <v>18988</v>
      </c>
      <c r="P326" s="475"/>
    </row>
    <row r="327" spans="1:16" s="504" customFormat="1" ht="32.25" thickTop="1" x14ac:dyDescent="0.25">
      <c r="A327" s="487" t="s">
        <v>12</v>
      </c>
      <c r="B327" s="542" t="s">
        <v>499</v>
      </c>
      <c r="C327" s="485"/>
      <c r="D327" s="484"/>
      <c r="E327" s="484"/>
      <c r="F327" s="482"/>
      <c r="G327" s="484"/>
      <c r="H327" s="481"/>
      <c r="I327" s="483"/>
      <c r="J327" s="482"/>
      <c r="K327" s="482"/>
      <c r="L327" s="481"/>
      <c r="M327" s="481"/>
      <c r="N327" s="481"/>
      <c r="O327" s="481"/>
      <c r="P327" s="475"/>
    </row>
    <row r="328" spans="1:16" s="504" customFormat="1" x14ac:dyDescent="0.25">
      <c r="A328" s="503"/>
      <c r="B328" s="453" t="s">
        <v>389</v>
      </c>
      <c r="C328" s="499">
        <v>185524</v>
      </c>
      <c r="D328" s="494">
        <v>39079</v>
      </c>
      <c r="E328" s="494">
        <v>213348</v>
      </c>
      <c r="F328" s="492"/>
      <c r="G328" s="494"/>
      <c r="H328" s="491">
        <f>SUM(C328:G328)</f>
        <v>437951</v>
      </c>
      <c r="I328" s="493"/>
      <c r="J328" s="492"/>
      <c r="K328" s="492"/>
      <c r="L328" s="491">
        <f>SUM(I328:K328)</f>
        <v>0</v>
      </c>
      <c r="M328" s="491">
        <f>SUM(H328+L328)</f>
        <v>437951</v>
      </c>
      <c r="N328" s="491"/>
      <c r="O328" s="491">
        <f>SUM(M328+N328)</f>
        <v>437951</v>
      </c>
      <c r="P328" s="475"/>
    </row>
    <row r="329" spans="1:16" s="504" customFormat="1" x14ac:dyDescent="0.25">
      <c r="A329" s="513"/>
      <c r="B329" s="498" t="s">
        <v>432</v>
      </c>
      <c r="C329" s="530">
        <v>184032</v>
      </c>
      <c r="D329" s="511">
        <v>38569</v>
      </c>
      <c r="E329" s="511">
        <v>213293</v>
      </c>
      <c r="F329" s="522"/>
      <c r="G329" s="511"/>
      <c r="H329" s="506">
        <f>SUM(C329:G329)</f>
        <v>435894</v>
      </c>
      <c r="I329" s="508"/>
      <c r="J329" s="507"/>
      <c r="K329" s="507"/>
      <c r="L329" s="506">
        <f>SUM(I329:K329)</f>
        <v>0</v>
      </c>
      <c r="M329" s="505">
        <f>SUM(H329+L329)</f>
        <v>435894</v>
      </c>
      <c r="N329" s="505"/>
      <c r="O329" s="505">
        <f>SUM(M329+N329)</f>
        <v>435894</v>
      </c>
    </row>
    <row r="330" spans="1:16" s="504" customFormat="1" x14ac:dyDescent="0.25">
      <c r="A330" s="513"/>
      <c r="B330" s="498" t="s">
        <v>431</v>
      </c>
      <c r="C330" s="530">
        <v>1492</v>
      </c>
      <c r="D330" s="511">
        <v>510</v>
      </c>
      <c r="E330" s="511">
        <v>55</v>
      </c>
      <c r="F330" s="522"/>
      <c r="G330" s="511"/>
      <c r="H330" s="506">
        <f>SUM(C330:G330)</f>
        <v>2057</v>
      </c>
      <c r="I330" s="508"/>
      <c r="J330" s="507"/>
      <c r="K330" s="507"/>
      <c r="L330" s="506">
        <f>SUM(I330:K330)</f>
        <v>0</v>
      </c>
      <c r="M330" s="505">
        <f>SUM(H330+L330)</f>
        <v>2057</v>
      </c>
      <c r="N330" s="505"/>
      <c r="O330" s="505">
        <f>SUM(M330+N330)</f>
        <v>2057</v>
      </c>
    </row>
    <row r="331" spans="1:16" s="504" customFormat="1" x14ac:dyDescent="0.25">
      <c r="A331" s="513"/>
      <c r="B331" s="498" t="s">
        <v>140</v>
      </c>
      <c r="C331" s="530"/>
      <c r="D331" s="511"/>
      <c r="E331" s="511"/>
      <c r="F331" s="522"/>
      <c r="G331" s="511"/>
      <c r="H331" s="506"/>
      <c r="I331" s="508"/>
      <c r="J331" s="507"/>
      <c r="K331" s="507"/>
      <c r="L331" s="506"/>
      <c r="M331" s="505"/>
      <c r="N331" s="505"/>
      <c r="O331" s="505"/>
    </row>
    <row r="332" spans="1:16" s="504" customFormat="1" ht="31.5" x14ac:dyDescent="0.25">
      <c r="A332" s="513"/>
      <c r="B332" s="444" t="s">
        <v>1168</v>
      </c>
      <c r="C332" s="550">
        <v>570</v>
      </c>
      <c r="D332" s="548">
        <v>111</v>
      </c>
      <c r="E332" s="548"/>
      <c r="F332" s="546"/>
      <c r="G332" s="511"/>
      <c r="H332" s="545">
        <f t="shared" ref="H332:H338" si="154">SUM(C332:G332)</f>
        <v>681</v>
      </c>
      <c r="I332" s="508"/>
      <c r="J332" s="507"/>
      <c r="K332" s="507"/>
      <c r="L332" s="545">
        <f t="shared" ref="L332:L338" si="155">SUM(I332:K332)</f>
        <v>0</v>
      </c>
      <c r="M332" s="544">
        <f t="shared" ref="M332:M338" si="156">SUM(H332+L332)</f>
        <v>681</v>
      </c>
      <c r="N332" s="505"/>
      <c r="O332" s="544">
        <f t="shared" ref="O332:O338" si="157">SUM(M332+N332)</f>
        <v>681</v>
      </c>
    </row>
    <row r="333" spans="1:16" s="504" customFormat="1" ht="47.25" x14ac:dyDescent="0.25">
      <c r="A333" s="513"/>
      <c r="B333" s="444" t="s">
        <v>1236</v>
      </c>
      <c r="C333" s="550">
        <v>14000</v>
      </c>
      <c r="D333" s="548">
        <v>2730</v>
      </c>
      <c r="E333" s="548"/>
      <c r="F333" s="546"/>
      <c r="G333" s="511"/>
      <c r="H333" s="545">
        <f t="shared" si="154"/>
        <v>16730</v>
      </c>
      <c r="I333" s="508"/>
      <c r="J333" s="507"/>
      <c r="K333" s="507"/>
      <c r="L333" s="545">
        <f t="shared" si="155"/>
        <v>0</v>
      </c>
      <c r="M333" s="544">
        <f t="shared" si="156"/>
        <v>16730</v>
      </c>
      <c r="N333" s="505"/>
      <c r="O333" s="544">
        <f t="shared" si="157"/>
        <v>16730</v>
      </c>
    </row>
    <row r="334" spans="1:16" s="504" customFormat="1" ht="31.5" x14ac:dyDescent="0.25">
      <c r="A334" s="513"/>
      <c r="B334" s="444" t="s">
        <v>929</v>
      </c>
      <c r="C334" s="550"/>
      <c r="D334" s="548"/>
      <c r="E334" s="548">
        <v>-71</v>
      </c>
      <c r="F334" s="546"/>
      <c r="G334" s="511"/>
      <c r="H334" s="545">
        <f t="shared" si="154"/>
        <v>-71</v>
      </c>
      <c r="I334" s="578">
        <v>71</v>
      </c>
      <c r="J334" s="507"/>
      <c r="K334" s="507"/>
      <c r="L334" s="545">
        <f t="shared" si="155"/>
        <v>71</v>
      </c>
      <c r="M334" s="544">
        <f t="shared" si="156"/>
        <v>0</v>
      </c>
      <c r="N334" s="505"/>
      <c r="O334" s="544">
        <f t="shared" si="157"/>
        <v>0</v>
      </c>
    </row>
    <row r="335" spans="1:16" ht="47.25" x14ac:dyDescent="0.25">
      <c r="A335" s="513"/>
      <c r="B335" s="444" t="s">
        <v>1194</v>
      </c>
      <c r="C335" s="550"/>
      <c r="D335" s="548"/>
      <c r="E335" s="548">
        <v>10000</v>
      </c>
      <c r="F335" s="546"/>
      <c r="G335" s="511"/>
      <c r="H335" s="545">
        <f t="shared" si="154"/>
        <v>10000</v>
      </c>
      <c r="I335" s="508"/>
      <c r="J335" s="507"/>
      <c r="K335" s="507"/>
      <c r="L335" s="545">
        <f t="shared" si="155"/>
        <v>0</v>
      </c>
      <c r="M335" s="544">
        <f t="shared" si="156"/>
        <v>10000</v>
      </c>
      <c r="N335" s="505"/>
      <c r="O335" s="544">
        <f t="shared" si="157"/>
        <v>10000</v>
      </c>
      <c r="P335" s="504"/>
    </row>
    <row r="336" spans="1:16" ht="31.5" x14ac:dyDescent="0.25">
      <c r="A336" s="513"/>
      <c r="B336" s="444" t="s">
        <v>1175</v>
      </c>
      <c r="C336" s="550">
        <v>-7678</v>
      </c>
      <c r="D336" s="548">
        <v>-1497</v>
      </c>
      <c r="E336" s="548"/>
      <c r="F336" s="546"/>
      <c r="G336" s="511"/>
      <c r="H336" s="545">
        <f t="shared" si="154"/>
        <v>-9175</v>
      </c>
      <c r="I336" s="508"/>
      <c r="J336" s="507"/>
      <c r="K336" s="507"/>
      <c r="L336" s="545">
        <f t="shared" si="155"/>
        <v>0</v>
      </c>
      <c r="M336" s="544">
        <f t="shared" si="156"/>
        <v>-9175</v>
      </c>
      <c r="N336" s="505"/>
      <c r="O336" s="544">
        <f t="shared" si="157"/>
        <v>-9175</v>
      </c>
      <c r="P336" s="504"/>
    </row>
    <row r="337" spans="1:16" x14ac:dyDescent="0.25">
      <c r="A337" s="513"/>
      <c r="B337" s="498" t="s">
        <v>141</v>
      </c>
      <c r="C337" s="550"/>
      <c r="D337" s="548"/>
      <c r="E337" s="548"/>
      <c r="F337" s="546"/>
      <c r="G337" s="511"/>
      <c r="H337" s="545"/>
      <c r="I337" s="508"/>
      <c r="J337" s="507"/>
      <c r="K337" s="507"/>
      <c r="L337" s="545"/>
      <c r="M337" s="544"/>
      <c r="N337" s="505"/>
      <c r="O337" s="544"/>
      <c r="P337" s="504"/>
    </row>
    <row r="338" spans="1:16" ht="16.5" thickBot="1" x14ac:dyDescent="0.3">
      <c r="A338" s="513"/>
      <c r="B338" s="444" t="s">
        <v>1235</v>
      </c>
      <c r="C338" s="550">
        <v>2062</v>
      </c>
      <c r="D338" s="548">
        <v>705</v>
      </c>
      <c r="E338" s="548"/>
      <c r="F338" s="546"/>
      <c r="G338" s="511"/>
      <c r="H338" s="545">
        <f t="shared" si="154"/>
        <v>2767</v>
      </c>
      <c r="I338" s="508"/>
      <c r="J338" s="507"/>
      <c r="K338" s="507"/>
      <c r="L338" s="545">
        <f t="shared" si="155"/>
        <v>0</v>
      </c>
      <c r="M338" s="544">
        <f t="shared" si="156"/>
        <v>2767</v>
      </c>
      <c r="N338" s="505"/>
      <c r="O338" s="544">
        <f t="shared" si="157"/>
        <v>2767</v>
      </c>
      <c r="P338" s="504"/>
    </row>
    <row r="339" spans="1:16" ht="17.25" thickTop="1" thickBot="1" x14ac:dyDescent="0.3">
      <c r="A339" s="478"/>
      <c r="B339" s="477" t="s">
        <v>430</v>
      </c>
      <c r="C339" s="476">
        <f>+C328+C332+C333+C338+C334+C335+C336</f>
        <v>194478</v>
      </c>
      <c r="D339" s="476">
        <f t="shared" ref="D339:O339" si="158">+D328+D332+D333+D338+D334+D335+D336</f>
        <v>41128</v>
      </c>
      <c r="E339" s="476">
        <f t="shared" si="158"/>
        <v>223277</v>
      </c>
      <c r="F339" s="476">
        <f t="shared" si="158"/>
        <v>0</v>
      </c>
      <c r="G339" s="476">
        <f t="shared" si="158"/>
        <v>0</v>
      </c>
      <c r="H339" s="476">
        <f t="shared" si="158"/>
        <v>458883</v>
      </c>
      <c r="I339" s="476">
        <f t="shared" si="158"/>
        <v>71</v>
      </c>
      <c r="J339" s="476">
        <f t="shared" si="158"/>
        <v>0</v>
      </c>
      <c r="K339" s="476">
        <f t="shared" si="158"/>
        <v>0</v>
      </c>
      <c r="L339" s="476">
        <f t="shared" si="158"/>
        <v>71</v>
      </c>
      <c r="M339" s="476">
        <f t="shared" si="158"/>
        <v>458954</v>
      </c>
      <c r="N339" s="476">
        <f t="shared" si="158"/>
        <v>0</v>
      </c>
      <c r="O339" s="476">
        <f t="shared" si="158"/>
        <v>458954</v>
      </c>
      <c r="P339" s="430">
        <f>O340+O341</f>
        <v>458954</v>
      </c>
    </row>
    <row r="340" spans="1:16" s="504" customFormat="1" ht="17.25" thickTop="1" thickBot="1" x14ac:dyDescent="0.3">
      <c r="A340" s="478"/>
      <c r="B340" s="477" t="s">
        <v>429</v>
      </c>
      <c r="C340" s="476">
        <f t="shared" ref="C340:O340" si="159">+C329+C332+C333+C334+C335+C336</f>
        <v>190924</v>
      </c>
      <c r="D340" s="476">
        <f t="shared" si="159"/>
        <v>39913</v>
      </c>
      <c r="E340" s="476">
        <f t="shared" si="159"/>
        <v>223222</v>
      </c>
      <c r="F340" s="476">
        <f t="shared" si="159"/>
        <v>0</v>
      </c>
      <c r="G340" s="476">
        <f t="shared" si="159"/>
        <v>0</v>
      </c>
      <c r="H340" s="476">
        <f t="shared" si="159"/>
        <v>454059</v>
      </c>
      <c r="I340" s="476">
        <f t="shared" si="159"/>
        <v>71</v>
      </c>
      <c r="J340" s="476">
        <f t="shared" si="159"/>
        <v>0</v>
      </c>
      <c r="K340" s="476">
        <f t="shared" si="159"/>
        <v>0</v>
      </c>
      <c r="L340" s="476">
        <f t="shared" si="159"/>
        <v>71</v>
      </c>
      <c r="M340" s="476">
        <f t="shared" si="159"/>
        <v>454130</v>
      </c>
      <c r="N340" s="476">
        <f t="shared" si="159"/>
        <v>0</v>
      </c>
      <c r="O340" s="476">
        <f t="shared" si="159"/>
        <v>454130</v>
      </c>
      <c r="P340" s="475"/>
    </row>
    <row r="341" spans="1:16" s="504" customFormat="1" ht="17.25" thickTop="1" thickBot="1" x14ac:dyDescent="0.3">
      <c r="A341" s="478"/>
      <c r="B341" s="477" t="s">
        <v>428</v>
      </c>
      <c r="C341" s="476">
        <f>+C330+C338</f>
        <v>3554</v>
      </c>
      <c r="D341" s="476">
        <f t="shared" ref="D341:O341" si="160">+D330+D338</f>
        <v>1215</v>
      </c>
      <c r="E341" s="476">
        <f t="shared" si="160"/>
        <v>55</v>
      </c>
      <c r="F341" s="476">
        <f t="shared" si="160"/>
        <v>0</v>
      </c>
      <c r="G341" s="476">
        <f t="shared" si="160"/>
        <v>0</v>
      </c>
      <c r="H341" s="476">
        <f t="shared" si="160"/>
        <v>4824</v>
      </c>
      <c r="I341" s="476">
        <f t="shared" si="160"/>
        <v>0</v>
      </c>
      <c r="J341" s="476">
        <f t="shared" si="160"/>
        <v>0</v>
      </c>
      <c r="K341" s="476">
        <f t="shared" si="160"/>
        <v>0</v>
      </c>
      <c r="L341" s="476">
        <f t="shared" si="160"/>
        <v>0</v>
      </c>
      <c r="M341" s="476">
        <f t="shared" si="160"/>
        <v>4824</v>
      </c>
      <c r="N341" s="476">
        <f t="shared" si="160"/>
        <v>0</v>
      </c>
      <c r="O341" s="476">
        <f t="shared" si="160"/>
        <v>4824</v>
      </c>
      <c r="P341" s="475"/>
    </row>
    <row r="342" spans="1:16" s="504" customFormat="1" ht="16.5" thickTop="1" x14ac:dyDescent="0.25">
      <c r="A342" s="497" t="s">
        <v>13</v>
      </c>
      <c r="B342" s="453" t="s">
        <v>427</v>
      </c>
      <c r="C342" s="499"/>
      <c r="D342" s="494"/>
      <c r="E342" s="494"/>
      <c r="F342" s="500"/>
      <c r="G342" s="494"/>
      <c r="H342" s="491"/>
      <c r="I342" s="493"/>
      <c r="J342" s="492"/>
      <c r="K342" s="492"/>
      <c r="L342" s="491"/>
      <c r="M342" s="491"/>
      <c r="N342" s="491"/>
      <c r="O342" s="491"/>
      <c r="P342" s="475"/>
    </row>
    <row r="343" spans="1:16" s="504" customFormat="1" x14ac:dyDescent="0.25">
      <c r="A343" s="497"/>
      <c r="B343" s="444" t="s">
        <v>389</v>
      </c>
      <c r="C343" s="499">
        <v>167569</v>
      </c>
      <c r="D343" s="494">
        <v>34661</v>
      </c>
      <c r="E343" s="494">
        <v>97529</v>
      </c>
      <c r="F343" s="500"/>
      <c r="G343" s="494"/>
      <c r="H343" s="491">
        <f>SUM(C343:G343)</f>
        <v>299759</v>
      </c>
      <c r="I343" s="493">
        <v>4888</v>
      </c>
      <c r="J343" s="492"/>
      <c r="K343" s="492"/>
      <c r="L343" s="491">
        <f>SUM(I343:K343)</f>
        <v>4888</v>
      </c>
      <c r="M343" s="490">
        <f>SUM(H343+L343)</f>
        <v>304647</v>
      </c>
      <c r="N343" s="490"/>
      <c r="O343" s="490">
        <f>SUM(M343+N343)</f>
        <v>304647</v>
      </c>
      <c r="P343" s="475"/>
    </row>
    <row r="344" spans="1:16" s="504" customFormat="1" x14ac:dyDescent="0.25">
      <c r="A344" s="513"/>
      <c r="B344" s="498" t="s">
        <v>432</v>
      </c>
      <c r="C344" s="530">
        <v>166341</v>
      </c>
      <c r="D344" s="511">
        <v>34240</v>
      </c>
      <c r="E344" s="511">
        <v>97474</v>
      </c>
      <c r="F344" s="522"/>
      <c r="G344" s="511"/>
      <c r="H344" s="506">
        <f>SUM(C344:G344)</f>
        <v>298055</v>
      </c>
      <c r="I344" s="508">
        <v>4888</v>
      </c>
      <c r="J344" s="507"/>
      <c r="K344" s="507"/>
      <c r="L344" s="506">
        <f>SUM(I344:K344)</f>
        <v>4888</v>
      </c>
      <c r="M344" s="505">
        <f>SUM(H344+L344)</f>
        <v>302943</v>
      </c>
      <c r="N344" s="505"/>
      <c r="O344" s="505">
        <f>SUM(M344+N344)</f>
        <v>302943</v>
      </c>
    </row>
    <row r="345" spans="1:16" s="504" customFormat="1" x14ac:dyDescent="0.25">
      <c r="A345" s="513"/>
      <c r="B345" s="498" t="s">
        <v>431</v>
      </c>
      <c r="C345" s="530">
        <v>1228</v>
      </c>
      <c r="D345" s="511">
        <v>421</v>
      </c>
      <c r="E345" s="511">
        <v>55</v>
      </c>
      <c r="F345" s="522"/>
      <c r="G345" s="511"/>
      <c r="H345" s="506">
        <f>SUM(C345:G345)</f>
        <v>1704</v>
      </c>
      <c r="I345" s="508"/>
      <c r="J345" s="507"/>
      <c r="K345" s="507"/>
      <c r="L345" s="506">
        <f>SUM(I345:K345)</f>
        <v>0</v>
      </c>
      <c r="M345" s="505">
        <f>SUM(H345+L345)</f>
        <v>1704</v>
      </c>
      <c r="N345" s="505"/>
      <c r="O345" s="505">
        <f>SUM(M345+N345)</f>
        <v>1704</v>
      </c>
    </row>
    <row r="346" spans="1:16" s="504" customFormat="1" x14ac:dyDescent="0.25">
      <c r="A346" s="513"/>
      <c r="B346" s="498" t="s">
        <v>140</v>
      </c>
      <c r="C346" s="530"/>
      <c r="D346" s="511"/>
      <c r="E346" s="511"/>
      <c r="F346" s="522"/>
      <c r="G346" s="511"/>
      <c r="H346" s="506"/>
      <c r="I346" s="508"/>
      <c r="J346" s="507"/>
      <c r="K346" s="507"/>
      <c r="L346" s="506"/>
      <c r="M346" s="505"/>
      <c r="N346" s="505"/>
      <c r="O346" s="505"/>
    </row>
    <row r="347" spans="1:16" s="504" customFormat="1" ht="31.5" x14ac:dyDescent="0.25">
      <c r="A347" s="513"/>
      <c r="B347" s="444" t="s">
        <v>1231</v>
      </c>
      <c r="C347" s="550">
        <v>412</v>
      </c>
      <c r="D347" s="548">
        <v>80</v>
      </c>
      <c r="E347" s="548"/>
      <c r="F347" s="546"/>
      <c r="G347" s="511"/>
      <c r="H347" s="545">
        <f t="shared" ref="H347:H353" si="161">SUM(C347:G347)</f>
        <v>492</v>
      </c>
      <c r="I347" s="508"/>
      <c r="J347" s="507"/>
      <c r="K347" s="507"/>
      <c r="L347" s="545">
        <f t="shared" ref="L347:L353" si="162">SUM(I347:K347)</f>
        <v>0</v>
      </c>
      <c r="M347" s="544">
        <f t="shared" ref="M347:M353" si="163">SUM(H347+L347)</f>
        <v>492</v>
      </c>
      <c r="N347" s="505"/>
      <c r="O347" s="544">
        <f t="shared" ref="O347:O353" si="164">SUM(M347+N347)</f>
        <v>492</v>
      </c>
    </row>
    <row r="348" spans="1:16" s="504" customFormat="1" ht="47.25" x14ac:dyDescent="0.25">
      <c r="A348" s="513"/>
      <c r="B348" s="444" t="s">
        <v>1236</v>
      </c>
      <c r="C348" s="550">
        <v>8801</v>
      </c>
      <c r="D348" s="548">
        <v>1716</v>
      </c>
      <c r="E348" s="548"/>
      <c r="F348" s="546"/>
      <c r="G348" s="511"/>
      <c r="H348" s="545">
        <f t="shared" si="161"/>
        <v>10517</v>
      </c>
      <c r="I348" s="508"/>
      <c r="J348" s="507"/>
      <c r="K348" s="507"/>
      <c r="L348" s="545">
        <f t="shared" si="162"/>
        <v>0</v>
      </c>
      <c r="M348" s="544">
        <f t="shared" si="163"/>
        <v>10517</v>
      </c>
      <c r="N348" s="505"/>
      <c r="O348" s="544">
        <f t="shared" si="164"/>
        <v>10517</v>
      </c>
    </row>
    <row r="349" spans="1:16" s="504" customFormat="1" ht="47.25" x14ac:dyDescent="0.25">
      <c r="A349" s="513"/>
      <c r="B349" s="444" t="s">
        <v>1195</v>
      </c>
      <c r="C349" s="550"/>
      <c r="D349" s="548"/>
      <c r="E349" s="548">
        <v>381</v>
      </c>
      <c r="F349" s="546"/>
      <c r="G349" s="511"/>
      <c r="H349" s="545">
        <f t="shared" si="161"/>
        <v>381</v>
      </c>
      <c r="I349" s="578"/>
      <c r="J349" s="507"/>
      <c r="K349" s="549"/>
      <c r="L349" s="545">
        <f t="shared" si="162"/>
        <v>0</v>
      </c>
      <c r="M349" s="544">
        <f t="shared" si="163"/>
        <v>381</v>
      </c>
      <c r="N349" s="505"/>
      <c r="O349" s="544">
        <f t="shared" si="164"/>
        <v>381</v>
      </c>
    </row>
    <row r="350" spans="1:16" ht="31.5" x14ac:dyDescent="0.25">
      <c r="A350" s="513"/>
      <c r="B350" s="444" t="s">
        <v>928</v>
      </c>
      <c r="C350" s="550">
        <v>56534</v>
      </c>
      <c r="D350" s="548">
        <v>11445</v>
      </c>
      <c r="E350" s="548">
        <v>70466</v>
      </c>
      <c r="F350" s="546">
        <v>63194</v>
      </c>
      <c r="G350" s="511"/>
      <c r="H350" s="545">
        <f t="shared" si="161"/>
        <v>201639</v>
      </c>
      <c r="I350" s="578">
        <v>9123</v>
      </c>
      <c r="J350" s="507"/>
      <c r="K350" s="549"/>
      <c r="L350" s="545">
        <f t="shared" si="162"/>
        <v>9123</v>
      </c>
      <c r="M350" s="544">
        <f t="shared" si="163"/>
        <v>210762</v>
      </c>
      <c r="N350" s="505"/>
      <c r="O350" s="544">
        <f t="shared" si="164"/>
        <v>210762</v>
      </c>
      <c r="P350" s="504"/>
    </row>
    <row r="351" spans="1:16" x14ac:dyDescent="0.25">
      <c r="A351" s="531"/>
      <c r="B351" s="502" t="s">
        <v>141</v>
      </c>
      <c r="C351" s="550"/>
      <c r="D351" s="548"/>
      <c r="E351" s="548"/>
      <c r="F351" s="549"/>
      <c r="G351" s="511"/>
      <c r="H351" s="545"/>
      <c r="I351" s="508"/>
      <c r="J351" s="507"/>
      <c r="K351" s="507"/>
      <c r="L351" s="545"/>
      <c r="M351" s="545"/>
      <c r="N351" s="506"/>
      <c r="O351" s="545"/>
      <c r="P351" s="504"/>
    </row>
    <row r="352" spans="1:16" ht="78.75" x14ac:dyDescent="0.25">
      <c r="A352" s="531"/>
      <c r="B352" s="453" t="s">
        <v>1246</v>
      </c>
      <c r="C352" s="550"/>
      <c r="D352" s="548"/>
      <c r="E352" s="548">
        <v>50</v>
      </c>
      <c r="F352" s="549"/>
      <c r="G352" s="511"/>
      <c r="H352" s="545">
        <f t="shared" si="161"/>
        <v>50</v>
      </c>
      <c r="I352" s="508"/>
      <c r="J352" s="507"/>
      <c r="K352" s="507"/>
      <c r="L352" s="545">
        <f t="shared" si="162"/>
        <v>0</v>
      </c>
      <c r="M352" s="545">
        <f t="shared" si="163"/>
        <v>50</v>
      </c>
      <c r="N352" s="506"/>
      <c r="O352" s="545">
        <f t="shared" si="164"/>
        <v>50</v>
      </c>
      <c r="P352" s="504"/>
    </row>
    <row r="353" spans="1:16" ht="16.5" thickBot="1" x14ac:dyDescent="0.3">
      <c r="A353" s="513"/>
      <c r="B353" s="444" t="s">
        <v>1235</v>
      </c>
      <c r="C353" s="550">
        <v>1768</v>
      </c>
      <c r="D353" s="548">
        <v>604</v>
      </c>
      <c r="E353" s="548"/>
      <c r="F353" s="546"/>
      <c r="G353" s="511"/>
      <c r="H353" s="545">
        <f t="shared" si="161"/>
        <v>2372</v>
      </c>
      <c r="I353" s="508"/>
      <c r="J353" s="507"/>
      <c r="K353" s="507"/>
      <c r="L353" s="545">
        <f t="shared" si="162"/>
        <v>0</v>
      </c>
      <c r="M353" s="544">
        <f t="shared" si="163"/>
        <v>2372</v>
      </c>
      <c r="N353" s="505"/>
      <c r="O353" s="544">
        <f t="shared" si="164"/>
        <v>2372</v>
      </c>
      <c r="P353" s="504"/>
    </row>
    <row r="354" spans="1:16" ht="17.25" thickTop="1" thickBot="1" x14ac:dyDescent="0.3">
      <c r="A354" s="478"/>
      <c r="B354" s="477" t="s">
        <v>430</v>
      </c>
      <c r="C354" s="476">
        <f>+C343+C347+C348+C352+C353+C349+C350</f>
        <v>235084</v>
      </c>
      <c r="D354" s="476">
        <f t="shared" ref="D354:O354" si="165">+D343+D347+D348+D352+D353+D349+D350</f>
        <v>48506</v>
      </c>
      <c r="E354" s="476">
        <f t="shared" si="165"/>
        <v>168426</v>
      </c>
      <c r="F354" s="476">
        <f t="shared" si="165"/>
        <v>63194</v>
      </c>
      <c r="G354" s="476">
        <f t="shared" si="165"/>
        <v>0</v>
      </c>
      <c r="H354" s="476">
        <f t="shared" si="165"/>
        <v>515210</v>
      </c>
      <c r="I354" s="476">
        <f t="shared" si="165"/>
        <v>14011</v>
      </c>
      <c r="J354" s="476">
        <f t="shared" si="165"/>
        <v>0</v>
      </c>
      <c r="K354" s="476">
        <f t="shared" si="165"/>
        <v>0</v>
      </c>
      <c r="L354" s="476">
        <f t="shared" si="165"/>
        <v>14011</v>
      </c>
      <c r="M354" s="476">
        <f t="shared" si="165"/>
        <v>529221</v>
      </c>
      <c r="N354" s="476">
        <f t="shared" si="165"/>
        <v>0</v>
      </c>
      <c r="O354" s="476">
        <f t="shared" si="165"/>
        <v>529221</v>
      </c>
      <c r="P354" s="430">
        <f>O355+O356</f>
        <v>529221</v>
      </c>
    </row>
    <row r="355" spans="1:16" s="504" customFormat="1" ht="17.25" thickTop="1" thickBot="1" x14ac:dyDescent="0.3">
      <c r="A355" s="478"/>
      <c r="B355" s="477" t="s">
        <v>429</v>
      </c>
      <c r="C355" s="476">
        <f>+C344+C347+C348+C349+C350</f>
        <v>232088</v>
      </c>
      <c r="D355" s="476">
        <f t="shared" ref="D355:O355" si="166">+D344+D347+D348+D349+D350</f>
        <v>47481</v>
      </c>
      <c r="E355" s="476">
        <f t="shared" si="166"/>
        <v>168321</v>
      </c>
      <c r="F355" s="476">
        <f t="shared" si="166"/>
        <v>63194</v>
      </c>
      <c r="G355" s="476">
        <f t="shared" si="166"/>
        <v>0</v>
      </c>
      <c r="H355" s="476">
        <f t="shared" si="166"/>
        <v>511084</v>
      </c>
      <c r="I355" s="476">
        <f t="shared" si="166"/>
        <v>14011</v>
      </c>
      <c r="J355" s="476">
        <f t="shared" si="166"/>
        <v>0</v>
      </c>
      <c r="K355" s="476">
        <f t="shared" si="166"/>
        <v>0</v>
      </c>
      <c r="L355" s="476">
        <f t="shared" si="166"/>
        <v>14011</v>
      </c>
      <c r="M355" s="476">
        <f t="shared" si="166"/>
        <v>525095</v>
      </c>
      <c r="N355" s="476">
        <f t="shared" si="166"/>
        <v>0</v>
      </c>
      <c r="O355" s="476">
        <f t="shared" si="166"/>
        <v>525095</v>
      </c>
      <c r="P355" s="475"/>
    </row>
    <row r="356" spans="1:16" s="504" customFormat="1" ht="17.25" thickTop="1" thickBot="1" x14ac:dyDescent="0.3">
      <c r="A356" s="478"/>
      <c r="B356" s="477" t="s">
        <v>428</v>
      </c>
      <c r="C356" s="476">
        <f>+C345+C352+C353</f>
        <v>2996</v>
      </c>
      <c r="D356" s="476">
        <f t="shared" ref="D356:O356" si="167">+D345+D352+D353</f>
        <v>1025</v>
      </c>
      <c r="E356" s="476">
        <f t="shared" si="167"/>
        <v>105</v>
      </c>
      <c r="F356" s="476">
        <f t="shared" si="167"/>
        <v>0</v>
      </c>
      <c r="G356" s="476">
        <f t="shared" si="167"/>
        <v>0</v>
      </c>
      <c r="H356" s="476">
        <f t="shared" si="167"/>
        <v>4126</v>
      </c>
      <c r="I356" s="476">
        <f t="shared" si="167"/>
        <v>0</v>
      </c>
      <c r="J356" s="476">
        <f t="shared" si="167"/>
        <v>0</v>
      </c>
      <c r="K356" s="476">
        <f t="shared" si="167"/>
        <v>0</v>
      </c>
      <c r="L356" s="476">
        <f t="shared" si="167"/>
        <v>0</v>
      </c>
      <c r="M356" s="476">
        <f t="shared" si="167"/>
        <v>4126</v>
      </c>
      <c r="N356" s="476">
        <f t="shared" si="167"/>
        <v>0</v>
      </c>
      <c r="O356" s="476">
        <f t="shared" si="167"/>
        <v>4126</v>
      </c>
      <c r="P356" s="475"/>
    </row>
    <row r="357" spans="1:16" s="504" customFormat="1" ht="17.25" thickTop="1" thickBot="1" x14ac:dyDescent="0.3">
      <c r="A357" s="478"/>
      <c r="B357" s="477" t="s">
        <v>445</v>
      </c>
      <c r="C357" s="476">
        <f t="shared" ref="C357:O357" si="168">SUM(C324+C339+C354)</f>
        <v>1113154</v>
      </c>
      <c r="D357" s="476">
        <f t="shared" si="168"/>
        <v>233961</v>
      </c>
      <c r="E357" s="476">
        <f t="shared" si="168"/>
        <v>838739</v>
      </c>
      <c r="F357" s="476">
        <f t="shared" si="168"/>
        <v>63194</v>
      </c>
      <c r="G357" s="476">
        <f t="shared" si="168"/>
        <v>0</v>
      </c>
      <c r="H357" s="476">
        <f t="shared" si="168"/>
        <v>2249048</v>
      </c>
      <c r="I357" s="476">
        <f t="shared" si="168"/>
        <v>17276</v>
      </c>
      <c r="J357" s="476">
        <f t="shared" si="168"/>
        <v>0</v>
      </c>
      <c r="K357" s="476">
        <f t="shared" si="168"/>
        <v>0</v>
      </c>
      <c r="L357" s="476">
        <f t="shared" si="168"/>
        <v>17276</v>
      </c>
      <c r="M357" s="476">
        <f t="shared" si="168"/>
        <v>2266324</v>
      </c>
      <c r="N357" s="476">
        <f t="shared" si="168"/>
        <v>0</v>
      </c>
      <c r="O357" s="476">
        <f t="shared" si="168"/>
        <v>2266324</v>
      </c>
      <c r="P357" s="475"/>
    </row>
    <row r="358" spans="1:16" s="504" customFormat="1" ht="16.5" thickTop="1" x14ac:dyDescent="0.25">
      <c r="A358" s="487" t="s">
        <v>14</v>
      </c>
      <c r="B358" s="541" t="s">
        <v>444</v>
      </c>
      <c r="C358" s="540"/>
      <c r="D358" s="538"/>
      <c r="E358" s="538"/>
      <c r="F358" s="537"/>
      <c r="G358" s="538"/>
      <c r="H358" s="536"/>
      <c r="I358" s="539"/>
      <c r="J358" s="538"/>
      <c r="K358" s="537"/>
      <c r="L358" s="536"/>
      <c r="M358" s="536"/>
      <c r="N358" s="536"/>
      <c r="O358" s="536"/>
      <c r="P358" s="475"/>
    </row>
    <row r="359" spans="1:16" s="504" customFormat="1" x14ac:dyDescent="0.25">
      <c r="A359" s="497"/>
      <c r="B359" s="535" t="s">
        <v>389</v>
      </c>
      <c r="C359" s="496">
        <v>208618</v>
      </c>
      <c r="D359" s="514">
        <v>43511</v>
      </c>
      <c r="E359" s="514">
        <v>1049005</v>
      </c>
      <c r="F359" s="514"/>
      <c r="G359" s="514"/>
      <c r="H359" s="491">
        <f>SUM(C359:G359)</f>
        <v>1301134</v>
      </c>
      <c r="I359" s="493"/>
      <c r="J359" s="492"/>
      <c r="K359" s="492"/>
      <c r="L359" s="491">
        <f>SUM(I359:K359)</f>
        <v>0</v>
      </c>
      <c r="M359" s="490">
        <f>SUM(H359+L359)</f>
        <v>1301134</v>
      </c>
      <c r="N359" s="490"/>
      <c r="O359" s="490">
        <f>SUM(M359+N359)</f>
        <v>1301134</v>
      </c>
      <c r="P359" s="475"/>
    </row>
    <row r="360" spans="1:16" s="504" customFormat="1" x14ac:dyDescent="0.25">
      <c r="A360" s="513"/>
      <c r="B360" s="498" t="s">
        <v>432</v>
      </c>
      <c r="C360" s="512">
        <v>207078</v>
      </c>
      <c r="D360" s="509">
        <v>42984</v>
      </c>
      <c r="E360" s="509">
        <v>1048895</v>
      </c>
      <c r="F360" s="509"/>
      <c r="G360" s="509"/>
      <c r="H360" s="506">
        <f>SUM(C360:G360)</f>
        <v>1298957</v>
      </c>
      <c r="I360" s="508"/>
      <c r="J360" s="507"/>
      <c r="K360" s="507"/>
      <c r="L360" s="506">
        <f>SUM(I360:K360)</f>
        <v>0</v>
      </c>
      <c r="M360" s="505">
        <f>SUM(H360+L360)</f>
        <v>1298957</v>
      </c>
      <c r="N360" s="505"/>
      <c r="O360" s="505">
        <f>SUM(M360+N360)</f>
        <v>1298957</v>
      </c>
    </row>
    <row r="361" spans="1:16" s="504" customFormat="1" x14ac:dyDescent="0.25">
      <c r="A361" s="513"/>
      <c r="B361" s="498" t="s">
        <v>431</v>
      </c>
      <c r="C361" s="512">
        <v>1540</v>
      </c>
      <c r="D361" s="509">
        <v>527</v>
      </c>
      <c r="E361" s="509">
        <v>110</v>
      </c>
      <c r="F361" s="525"/>
      <c r="G361" s="509"/>
      <c r="H361" s="506">
        <f>SUM(C361:G361)</f>
        <v>2177</v>
      </c>
      <c r="I361" s="508"/>
      <c r="J361" s="507"/>
      <c r="K361" s="507"/>
      <c r="L361" s="506">
        <f>SUM(I361:K361)</f>
        <v>0</v>
      </c>
      <c r="M361" s="505">
        <f>SUM(H361+L361)</f>
        <v>2177</v>
      </c>
      <c r="N361" s="505"/>
      <c r="O361" s="505">
        <f>SUM(M361+N361)</f>
        <v>2177</v>
      </c>
    </row>
    <row r="362" spans="1:16" s="504" customFormat="1" x14ac:dyDescent="0.25">
      <c r="A362" s="497"/>
      <c r="B362" s="498" t="s">
        <v>140</v>
      </c>
      <c r="C362" s="499"/>
      <c r="D362" s="494"/>
      <c r="E362" s="494"/>
      <c r="F362" s="492"/>
      <c r="G362" s="494"/>
      <c r="H362" s="491"/>
      <c r="I362" s="493"/>
      <c r="J362" s="492"/>
      <c r="K362" s="492"/>
      <c r="L362" s="491"/>
      <c r="M362" s="490"/>
      <c r="N362" s="490"/>
      <c r="O362" s="490"/>
      <c r="P362" s="475"/>
    </row>
    <row r="363" spans="1:16" s="504" customFormat="1" ht="31.5" x14ac:dyDescent="0.25">
      <c r="A363" s="497"/>
      <c r="B363" s="444" t="s">
        <v>1168</v>
      </c>
      <c r="C363" s="501">
        <v>347</v>
      </c>
      <c r="D363" s="495">
        <v>67</v>
      </c>
      <c r="E363" s="494"/>
      <c r="F363" s="500"/>
      <c r="G363" s="495"/>
      <c r="H363" s="491">
        <f t="shared" ref="H363:H372" si="169">SUM(C363:G363)</f>
        <v>414</v>
      </c>
      <c r="I363" s="493"/>
      <c r="J363" s="492"/>
      <c r="K363" s="492"/>
      <c r="L363" s="491">
        <f t="shared" ref="L363:L372" si="170">SUM(I363:K363)</f>
        <v>0</v>
      </c>
      <c r="M363" s="490">
        <f t="shared" ref="M363:M372" si="171">SUM(H363+L363)</f>
        <v>414</v>
      </c>
      <c r="N363" s="490"/>
      <c r="O363" s="490">
        <f t="shared" ref="O363:O372" si="172">SUM(M363+N363)</f>
        <v>414</v>
      </c>
      <c r="P363" s="475"/>
    </row>
    <row r="364" spans="1:16" s="504" customFormat="1" x14ac:dyDescent="0.25">
      <c r="A364" s="497"/>
      <c r="B364" s="441" t="s">
        <v>629</v>
      </c>
      <c r="C364" s="501">
        <v>9500</v>
      </c>
      <c r="D364" s="495">
        <v>1667</v>
      </c>
      <c r="E364" s="494"/>
      <c r="F364" s="500"/>
      <c r="G364" s="495"/>
      <c r="H364" s="491">
        <f t="shared" si="169"/>
        <v>11167</v>
      </c>
      <c r="I364" s="493"/>
      <c r="J364" s="492"/>
      <c r="K364" s="492"/>
      <c r="L364" s="491">
        <f t="shared" si="170"/>
        <v>0</v>
      </c>
      <c r="M364" s="490">
        <f t="shared" si="171"/>
        <v>11167</v>
      </c>
      <c r="N364" s="490"/>
      <c r="O364" s="490">
        <f t="shared" si="172"/>
        <v>11167</v>
      </c>
      <c r="P364" s="475"/>
    </row>
    <row r="365" spans="1:16" s="504" customFormat="1" x14ac:dyDescent="0.25">
      <c r="A365" s="497"/>
      <c r="B365" s="444" t="s">
        <v>631</v>
      </c>
      <c r="C365" s="501">
        <v>-135</v>
      </c>
      <c r="D365" s="495">
        <v>-26</v>
      </c>
      <c r="E365" s="494"/>
      <c r="F365" s="500"/>
      <c r="G365" s="495"/>
      <c r="H365" s="491">
        <f t="shared" si="169"/>
        <v>-161</v>
      </c>
      <c r="I365" s="493"/>
      <c r="J365" s="492"/>
      <c r="K365" s="492"/>
      <c r="L365" s="491">
        <f t="shared" si="170"/>
        <v>0</v>
      </c>
      <c r="M365" s="490">
        <f t="shared" si="171"/>
        <v>-161</v>
      </c>
      <c r="N365" s="490"/>
      <c r="O365" s="490">
        <f t="shared" si="172"/>
        <v>-161</v>
      </c>
      <c r="P365" s="475"/>
    </row>
    <row r="366" spans="1:16" ht="31.5" x14ac:dyDescent="0.25">
      <c r="A366" s="497"/>
      <c r="B366" s="444" t="s">
        <v>628</v>
      </c>
      <c r="C366" s="501">
        <v>1707</v>
      </c>
      <c r="D366" s="495">
        <v>333</v>
      </c>
      <c r="E366" s="494"/>
      <c r="F366" s="500"/>
      <c r="G366" s="495"/>
      <c r="H366" s="491">
        <f t="shared" si="169"/>
        <v>2040</v>
      </c>
      <c r="I366" s="493"/>
      <c r="J366" s="492"/>
      <c r="K366" s="492"/>
      <c r="L366" s="491">
        <f t="shared" si="170"/>
        <v>0</v>
      </c>
      <c r="M366" s="490">
        <f t="shared" si="171"/>
        <v>2040</v>
      </c>
      <c r="N366" s="490"/>
      <c r="O366" s="490">
        <f t="shared" si="172"/>
        <v>2040</v>
      </c>
    </row>
    <row r="367" spans="1:16" ht="47.25" x14ac:dyDescent="0.25">
      <c r="A367" s="497"/>
      <c r="B367" s="444" t="s">
        <v>1232</v>
      </c>
      <c r="C367" s="501">
        <v>3100</v>
      </c>
      <c r="D367" s="495">
        <v>605</v>
      </c>
      <c r="E367" s="494"/>
      <c r="F367" s="500"/>
      <c r="G367" s="495"/>
      <c r="H367" s="491">
        <f t="shared" si="169"/>
        <v>3705</v>
      </c>
      <c r="I367" s="493"/>
      <c r="J367" s="492"/>
      <c r="K367" s="492"/>
      <c r="L367" s="491">
        <f t="shared" si="170"/>
        <v>0</v>
      </c>
      <c r="M367" s="490">
        <f t="shared" si="171"/>
        <v>3705</v>
      </c>
      <c r="N367" s="490"/>
      <c r="O367" s="490">
        <f t="shared" si="172"/>
        <v>3705</v>
      </c>
    </row>
    <row r="368" spans="1:16" ht="47.25" x14ac:dyDescent="0.25">
      <c r="A368" s="497"/>
      <c r="B368" s="444" t="s">
        <v>1195</v>
      </c>
      <c r="C368" s="501"/>
      <c r="D368" s="495"/>
      <c r="E368" s="494">
        <v>2891</v>
      </c>
      <c r="F368" s="500"/>
      <c r="G368" s="495"/>
      <c r="H368" s="491">
        <f t="shared" si="169"/>
        <v>2891</v>
      </c>
      <c r="I368" s="493"/>
      <c r="J368" s="492"/>
      <c r="K368" s="492"/>
      <c r="L368" s="491">
        <f t="shared" si="170"/>
        <v>0</v>
      </c>
      <c r="M368" s="490">
        <f t="shared" si="171"/>
        <v>2891</v>
      </c>
      <c r="N368" s="490"/>
      <c r="O368" s="490">
        <f t="shared" si="172"/>
        <v>2891</v>
      </c>
    </row>
    <row r="369" spans="1:16" ht="31.5" x14ac:dyDescent="0.25">
      <c r="A369" s="497"/>
      <c r="B369" s="444" t="s">
        <v>929</v>
      </c>
      <c r="C369" s="501">
        <v>-1651</v>
      </c>
      <c r="D369" s="495">
        <v>-322</v>
      </c>
      <c r="E369" s="494">
        <v>1961</v>
      </c>
      <c r="F369" s="500"/>
      <c r="G369" s="495"/>
      <c r="H369" s="491">
        <f t="shared" si="169"/>
        <v>-12</v>
      </c>
      <c r="I369" s="493">
        <v>12</v>
      </c>
      <c r="J369" s="492"/>
      <c r="K369" s="492"/>
      <c r="L369" s="491">
        <f t="shared" si="170"/>
        <v>12</v>
      </c>
      <c r="M369" s="490">
        <f t="shared" si="171"/>
        <v>0</v>
      </c>
      <c r="N369" s="490"/>
      <c r="O369" s="490">
        <f t="shared" si="172"/>
        <v>0</v>
      </c>
    </row>
    <row r="370" spans="1:16" ht="47.25" x14ac:dyDescent="0.25">
      <c r="A370" s="497"/>
      <c r="B370" s="444" t="s">
        <v>1240</v>
      </c>
      <c r="C370" s="501"/>
      <c r="D370" s="495"/>
      <c r="E370" s="494">
        <v>90000</v>
      </c>
      <c r="F370" s="500"/>
      <c r="G370" s="495"/>
      <c r="H370" s="491">
        <f t="shared" si="169"/>
        <v>90000</v>
      </c>
      <c r="I370" s="493"/>
      <c r="J370" s="492"/>
      <c r="K370" s="492"/>
      <c r="L370" s="491">
        <f t="shared" si="170"/>
        <v>0</v>
      </c>
      <c r="M370" s="490">
        <f t="shared" si="171"/>
        <v>90000</v>
      </c>
      <c r="N370" s="490"/>
      <c r="O370" s="490">
        <f t="shared" si="172"/>
        <v>90000</v>
      </c>
    </row>
    <row r="371" spans="1:16" x14ac:dyDescent="0.25">
      <c r="A371" s="497"/>
      <c r="B371" s="442" t="s">
        <v>141</v>
      </c>
      <c r="C371" s="501"/>
      <c r="D371" s="495"/>
      <c r="E371" s="494"/>
      <c r="F371" s="500"/>
      <c r="G371" s="495"/>
      <c r="H371" s="491"/>
      <c r="I371" s="493"/>
      <c r="J371" s="492"/>
      <c r="K371" s="492"/>
      <c r="L371" s="491"/>
      <c r="M371" s="490"/>
      <c r="N371" s="490"/>
      <c r="O371" s="490"/>
    </row>
    <row r="372" spans="1:16" s="504" customFormat="1" ht="16.5" thickBot="1" x14ac:dyDescent="0.3">
      <c r="A372" s="497"/>
      <c r="B372" s="444" t="s">
        <v>1235</v>
      </c>
      <c r="C372" s="501">
        <v>2029</v>
      </c>
      <c r="D372" s="495">
        <v>695</v>
      </c>
      <c r="E372" s="494"/>
      <c r="F372" s="500"/>
      <c r="G372" s="495"/>
      <c r="H372" s="491">
        <f t="shared" si="169"/>
        <v>2724</v>
      </c>
      <c r="I372" s="493"/>
      <c r="J372" s="492"/>
      <c r="K372" s="492"/>
      <c r="L372" s="491">
        <f t="shared" si="170"/>
        <v>0</v>
      </c>
      <c r="M372" s="490">
        <f t="shared" si="171"/>
        <v>2724</v>
      </c>
      <c r="N372" s="490"/>
      <c r="O372" s="490">
        <f t="shared" si="172"/>
        <v>2724</v>
      </c>
      <c r="P372" s="475"/>
    </row>
    <row r="373" spans="1:16" s="504" customFormat="1" ht="17.25" thickTop="1" thickBot="1" x14ac:dyDescent="0.3">
      <c r="A373" s="478"/>
      <c r="B373" s="477" t="s">
        <v>430</v>
      </c>
      <c r="C373" s="476">
        <f>+C359+C363+C364+C365+C372+C366+C367+C368+C369+C370</f>
        <v>223515</v>
      </c>
      <c r="D373" s="476">
        <f t="shared" ref="D373:O373" si="173">+D359+D363+D364+D365+D372+D366+D367+D368+D369+D370</f>
        <v>46530</v>
      </c>
      <c r="E373" s="476">
        <f t="shared" si="173"/>
        <v>1143857</v>
      </c>
      <c r="F373" s="476">
        <f t="shared" si="173"/>
        <v>0</v>
      </c>
      <c r="G373" s="476">
        <f t="shared" si="173"/>
        <v>0</v>
      </c>
      <c r="H373" s="476">
        <f t="shared" si="173"/>
        <v>1413902</v>
      </c>
      <c r="I373" s="476">
        <f t="shared" si="173"/>
        <v>12</v>
      </c>
      <c r="J373" s="476">
        <f t="shared" si="173"/>
        <v>0</v>
      </c>
      <c r="K373" s="476">
        <f t="shared" si="173"/>
        <v>0</v>
      </c>
      <c r="L373" s="476">
        <f t="shared" si="173"/>
        <v>12</v>
      </c>
      <c r="M373" s="476">
        <f t="shared" si="173"/>
        <v>1413914</v>
      </c>
      <c r="N373" s="476">
        <f t="shared" si="173"/>
        <v>0</v>
      </c>
      <c r="O373" s="476">
        <f t="shared" si="173"/>
        <v>1413914</v>
      </c>
      <c r="P373" s="430">
        <f>O374+O375</f>
        <v>1413914</v>
      </c>
    </row>
    <row r="374" spans="1:16" ht="17.25" thickTop="1" thickBot="1" x14ac:dyDescent="0.3">
      <c r="A374" s="478"/>
      <c r="B374" s="477" t="s">
        <v>429</v>
      </c>
      <c r="C374" s="476">
        <f t="shared" ref="C374:O374" si="174">++C360+C363+C364+C365+C366+C367+C368+C369+C370</f>
        <v>219946</v>
      </c>
      <c r="D374" s="476">
        <f t="shared" si="174"/>
        <v>45308</v>
      </c>
      <c r="E374" s="476">
        <f t="shared" si="174"/>
        <v>1143747</v>
      </c>
      <c r="F374" s="476">
        <f t="shared" si="174"/>
        <v>0</v>
      </c>
      <c r="G374" s="476">
        <f t="shared" si="174"/>
        <v>0</v>
      </c>
      <c r="H374" s="476">
        <f t="shared" si="174"/>
        <v>1409001</v>
      </c>
      <c r="I374" s="476">
        <f t="shared" si="174"/>
        <v>12</v>
      </c>
      <c r="J374" s="476">
        <f t="shared" si="174"/>
        <v>0</v>
      </c>
      <c r="K374" s="476">
        <f t="shared" si="174"/>
        <v>0</v>
      </c>
      <c r="L374" s="476">
        <f t="shared" si="174"/>
        <v>12</v>
      </c>
      <c r="M374" s="476">
        <f t="shared" si="174"/>
        <v>1409013</v>
      </c>
      <c r="N374" s="476">
        <f t="shared" si="174"/>
        <v>0</v>
      </c>
      <c r="O374" s="476">
        <f t="shared" si="174"/>
        <v>1409013</v>
      </c>
    </row>
    <row r="375" spans="1:16" ht="17.25" thickTop="1" thickBot="1" x14ac:dyDescent="0.3">
      <c r="A375" s="478"/>
      <c r="B375" s="477" t="s">
        <v>428</v>
      </c>
      <c r="C375" s="476">
        <f>+C361+C372</f>
        <v>3569</v>
      </c>
      <c r="D375" s="476">
        <f t="shared" ref="D375:O375" si="175">+D361+D372</f>
        <v>1222</v>
      </c>
      <c r="E375" s="476">
        <f t="shared" si="175"/>
        <v>110</v>
      </c>
      <c r="F375" s="476">
        <f t="shared" si="175"/>
        <v>0</v>
      </c>
      <c r="G375" s="476">
        <f t="shared" si="175"/>
        <v>0</v>
      </c>
      <c r="H375" s="476">
        <f t="shared" si="175"/>
        <v>4901</v>
      </c>
      <c r="I375" s="476">
        <f t="shared" si="175"/>
        <v>0</v>
      </c>
      <c r="J375" s="476">
        <f t="shared" si="175"/>
        <v>0</v>
      </c>
      <c r="K375" s="476">
        <f t="shared" si="175"/>
        <v>0</v>
      </c>
      <c r="L375" s="476">
        <f t="shared" si="175"/>
        <v>0</v>
      </c>
      <c r="M375" s="476">
        <f t="shared" si="175"/>
        <v>4901</v>
      </c>
      <c r="N375" s="476">
        <f t="shared" si="175"/>
        <v>0</v>
      </c>
      <c r="O375" s="476">
        <f t="shared" si="175"/>
        <v>4901</v>
      </c>
    </row>
    <row r="376" spans="1:16" ht="16.5" thickTop="1" x14ac:dyDescent="0.25">
      <c r="A376" s="487" t="s">
        <v>15</v>
      </c>
      <c r="B376" s="542" t="s">
        <v>443</v>
      </c>
      <c r="C376" s="485"/>
      <c r="D376" s="484"/>
      <c r="E376" s="484"/>
      <c r="F376" s="482"/>
      <c r="G376" s="484"/>
      <c r="H376" s="481"/>
      <c r="I376" s="483"/>
      <c r="J376" s="482"/>
      <c r="K376" s="482"/>
      <c r="L376" s="481"/>
      <c r="M376" s="481"/>
      <c r="N376" s="481"/>
      <c r="O376" s="481"/>
    </row>
    <row r="377" spans="1:16" x14ac:dyDescent="0.25">
      <c r="A377" s="503"/>
      <c r="B377" s="453" t="s">
        <v>389</v>
      </c>
      <c r="C377" s="499">
        <v>46083</v>
      </c>
      <c r="D377" s="494">
        <v>9034</v>
      </c>
      <c r="E377" s="494">
        <v>35572</v>
      </c>
      <c r="F377" s="492"/>
      <c r="G377" s="494"/>
      <c r="H377" s="491">
        <f>SUM(C377:G377)</f>
        <v>90689</v>
      </c>
      <c r="I377" s="493"/>
      <c r="J377" s="492">
        <v>4791</v>
      </c>
      <c r="K377" s="492"/>
      <c r="L377" s="491">
        <f>SUM(I377:K377)</f>
        <v>4791</v>
      </c>
      <c r="M377" s="491">
        <f>SUM(H377+L377)</f>
        <v>95480</v>
      </c>
      <c r="N377" s="491"/>
      <c r="O377" s="491">
        <f>SUM(M377+N377)</f>
        <v>95480</v>
      </c>
    </row>
    <row r="378" spans="1:16" x14ac:dyDescent="0.25">
      <c r="A378" s="513"/>
      <c r="B378" s="498" t="s">
        <v>438</v>
      </c>
      <c r="C378" s="512">
        <v>46083</v>
      </c>
      <c r="D378" s="509">
        <v>9034</v>
      </c>
      <c r="E378" s="511">
        <v>35572</v>
      </c>
      <c r="F378" s="510"/>
      <c r="G378" s="509"/>
      <c r="H378" s="506">
        <f>SUM(C378:G378)</f>
        <v>90689</v>
      </c>
      <c r="I378" s="508"/>
      <c r="J378" s="507">
        <v>4791</v>
      </c>
      <c r="K378" s="507"/>
      <c r="L378" s="506">
        <f>SUM(I378:K378)</f>
        <v>4791</v>
      </c>
      <c r="M378" s="505">
        <f>SUM(H378+L378)</f>
        <v>95480</v>
      </c>
      <c r="N378" s="505"/>
      <c r="O378" s="505">
        <f>SUM(M378+N378)</f>
        <v>95480</v>
      </c>
      <c r="P378" s="504"/>
    </row>
    <row r="379" spans="1:16" x14ac:dyDescent="0.25">
      <c r="A379" s="513"/>
      <c r="B379" s="498" t="s">
        <v>141</v>
      </c>
      <c r="C379" s="512"/>
      <c r="D379" s="509"/>
      <c r="E379" s="511"/>
      <c r="F379" s="510"/>
      <c r="G379" s="509"/>
      <c r="H379" s="506"/>
      <c r="I379" s="508"/>
      <c r="J379" s="507"/>
      <c r="K379" s="507"/>
      <c r="L379" s="506"/>
      <c r="M379" s="505"/>
      <c r="N379" s="505"/>
      <c r="O379" s="505"/>
      <c r="P379" s="504"/>
    </row>
    <row r="380" spans="1:16" ht="31.5" x14ac:dyDescent="0.25">
      <c r="A380" s="513"/>
      <c r="B380" s="444" t="s">
        <v>1247</v>
      </c>
      <c r="C380" s="660">
        <v>15</v>
      </c>
      <c r="D380" s="661">
        <v>3</v>
      </c>
      <c r="E380" s="548"/>
      <c r="F380" s="662"/>
      <c r="G380" s="661"/>
      <c r="H380" s="545">
        <f t="shared" ref="H380:H385" si="176">SUM(C380:G380)</f>
        <v>18</v>
      </c>
      <c r="I380" s="578"/>
      <c r="J380" s="549"/>
      <c r="K380" s="549"/>
      <c r="L380" s="545">
        <f t="shared" ref="L380:L383" si="177">SUM(I380:K380)</f>
        <v>0</v>
      </c>
      <c r="M380" s="544">
        <f t="shared" ref="M380:M383" si="178">SUM(H380+L380)</f>
        <v>18</v>
      </c>
      <c r="N380" s="544"/>
      <c r="O380" s="544">
        <f t="shared" ref="O380:O385" si="179">SUM(M380+N380)</f>
        <v>18</v>
      </c>
      <c r="P380" s="504"/>
    </row>
    <row r="381" spans="1:16" ht="31.5" x14ac:dyDescent="0.25">
      <c r="A381" s="513"/>
      <c r="B381" s="454" t="s">
        <v>1197</v>
      </c>
      <c r="C381" s="660">
        <v>1051</v>
      </c>
      <c r="D381" s="661">
        <v>205</v>
      </c>
      <c r="E381" s="548"/>
      <c r="F381" s="662"/>
      <c r="G381" s="661"/>
      <c r="H381" s="545">
        <f t="shared" si="176"/>
        <v>1256</v>
      </c>
      <c r="I381" s="578"/>
      <c r="J381" s="549"/>
      <c r="K381" s="549"/>
      <c r="L381" s="545">
        <f t="shared" si="177"/>
        <v>0</v>
      </c>
      <c r="M381" s="544">
        <f t="shared" si="178"/>
        <v>1256</v>
      </c>
      <c r="N381" s="544"/>
      <c r="O381" s="544">
        <f t="shared" si="179"/>
        <v>1256</v>
      </c>
      <c r="P381" s="504"/>
    </row>
    <row r="382" spans="1:16" ht="110.25" x14ac:dyDescent="0.25">
      <c r="A382" s="513"/>
      <c r="B382" s="444" t="s">
        <v>1248</v>
      </c>
      <c r="C382" s="660"/>
      <c r="D382" s="661"/>
      <c r="E382" s="548">
        <v>1248</v>
      </c>
      <c r="F382" s="662"/>
      <c r="G382" s="661"/>
      <c r="H382" s="545">
        <f t="shared" si="176"/>
        <v>1248</v>
      </c>
      <c r="I382" s="578"/>
      <c r="J382" s="549"/>
      <c r="K382" s="549"/>
      <c r="L382" s="545">
        <f t="shared" si="177"/>
        <v>0</v>
      </c>
      <c r="M382" s="544">
        <f t="shared" si="178"/>
        <v>1248</v>
      </c>
      <c r="N382" s="544"/>
      <c r="O382" s="544">
        <f t="shared" si="179"/>
        <v>1248</v>
      </c>
      <c r="P382" s="504"/>
    </row>
    <row r="383" spans="1:16" x14ac:dyDescent="0.25">
      <c r="A383" s="513"/>
      <c r="B383" s="444" t="s">
        <v>1235</v>
      </c>
      <c r="C383" s="660">
        <v>384</v>
      </c>
      <c r="D383" s="661">
        <v>132</v>
      </c>
      <c r="E383" s="548"/>
      <c r="F383" s="662"/>
      <c r="G383" s="661"/>
      <c r="H383" s="545">
        <f t="shared" si="176"/>
        <v>516</v>
      </c>
      <c r="I383" s="578"/>
      <c r="J383" s="549"/>
      <c r="K383" s="549"/>
      <c r="L383" s="545">
        <f t="shared" si="177"/>
        <v>0</v>
      </c>
      <c r="M383" s="544">
        <f t="shared" si="178"/>
        <v>516</v>
      </c>
      <c r="N383" s="544"/>
      <c r="O383" s="544">
        <f t="shared" si="179"/>
        <v>516</v>
      </c>
      <c r="P383" s="504"/>
    </row>
    <row r="384" spans="1:16" ht="47.25" x14ac:dyDescent="0.25">
      <c r="A384" s="513"/>
      <c r="B384" s="444" t="s">
        <v>1195</v>
      </c>
      <c r="C384" s="660"/>
      <c r="D384" s="661"/>
      <c r="E384" s="548">
        <v>1321</v>
      </c>
      <c r="F384" s="662"/>
      <c r="G384" s="661"/>
      <c r="H384" s="545">
        <f t="shared" si="176"/>
        <v>1321</v>
      </c>
      <c r="I384" s="578"/>
      <c r="J384" s="549"/>
      <c r="K384" s="549"/>
      <c r="L384" s="545">
        <f>SUM(I384:K384)</f>
        <v>0</v>
      </c>
      <c r="M384" s="544">
        <f>SUM(H384+L384)</f>
        <v>1321</v>
      </c>
      <c r="N384" s="544"/>
      <c r="O384" s="544">
        <f t="shared" si="179"/>
        <v>1321</v>
      </c>
      <c r="P384" s="504"/>
    </row>
    <row r="385" spans="1:16" ht="32.25" thickBot="1" x14ac:dyDescent="0.3">
      <c r="A385" s="513"/>
      <c r="B385" s="454" t="s">
        <v>929</v>
      </c>
      <c r="C385" s="660"/>
      <c r="D385" s="661"/>
      <c r="E385" s="548">
        <v>-471</v>
      </c>
      <c r="F385" s="662"/>
      <c r="G385" s="661"/>
      <c r="H385" s="545">
        <f t="shared" si="176"/>
        <v>-471</v>
      </c>
      <c r="I385" s="578">
        <v>471</v>
      </c>
      <c r="J385" s="549"/>
      <c r="K385" s="549"/>
      <c r="L385" s="545">
        <f>SUM(I385:K385)</f>
        <v>471</v>
      </c>
      <c r="M385" s="544">
        <f>SUM(H385+L385)</f>
        <v>0</v>
      </c>
      <c r="N385" s="544"/>
      <c r="O385" s="544">
        <f t="shared" si="179"/>
        <v>0</v>
      </c>
      <c r="P385" s="504"/>
    </row>
    <row r="386" spans="1:16" ht="17.25" thickTop="1" thickBot="1" x14ac:dyDescent="0.3">
      <c r="A386" s="478"/>
      <c r="B386" s="534" t="s">
        <v>430</v>
      </c>
      <c r="C386" s="479">
        <f>+C377+C380+C381+C382+C383+C384+C385</f>
        <v>47533</v>
      </c>
      <c r="D386" s="479">
        <f t="shared" ref="D386:O386" si="180">+D377+D380+D381+D382+D383+D384+D385</f>
        <v>9374</v>
      </c>
      <c r="E386" s="479">
        <f t="shared" si="180"/>
        <v>37670</v>
      </c>
      <c r="F386" s="479">
        <f t="shared" si="180"/>
        <v>0</v>
      </c>
      <c r="G386" s="479">
        <f t="shared" si="180"/>
        <v>0</v>
      </c>
      <c r="H386" s="479">
        <f t="shared" si="180"/>
        <v>94577</v>
      </c>
      <c r="I386" s="479">
        <f t="shared" si="180"/>
        <v>471</v>
      </c>
      <c r="J386" s="479">
        <f t="shared" si="180"/>
        <v>4791</v>
      </c>
      <c r="K386" s="479">
        <f t="shared" si="180"/>
        <v>0</v>
      </c>
      <c r="L386" s="479">
        <f t="shared" si="180"/>
        <v>5262</v>
      </c>
      <c r="M386" s="479">
        <f t="shared" si="180"/>
        <v>99839</v>
      </c>
      <c r="N386" s="479">
        <f t="shared" si="180"/>
        <v>0</v>
      </c>
      <c r="O386" s="479">
        <f t="shared" si="180"/>
        <v>99839</v>
      </c>
    </row>
    <row r="387" spans="1:16" s="504" customFormat="1" ht="17.25" thickTop="1" thickBot="1" x14ac:dyDescent="0.3">
      <c r="A387" s="478"/>
      <c r="B387" s="477" t="s">
        <v>437</v>
      </c>
      <c r="C387" s="476">
        <f>+C378+C380+C381+C382+C383+C384+C385</f>
        <v>47533</v>
      </c>
      <c r="D387" s="476">
        <f t="shared" ref="D387:O387" si="181">+D378+D380+D381+D382+D383+D384+D385</f>
        <v>9374</v>
      </c>
      <c r="E387" s="476">
        <f t="shared" si="181"/>
        <v>37670</v>
      </c>
      <c r="F387" s="476">
        <f t="shared" si="181"/>
        <v>0</v>
      </c>
      <c r="G387" s="476">
        <f t="shared" si="181"/>
        <v>0</v>
      </c>
      <c r="H387" s="476">
        <f t="shared" si="181"/>
        <v>94577</v>
      </c>
      <c r="I387" s="476">
        <f t="shared" si="181"/>
        <v>471</v>
      </c>
      <c r="J387" s="476">
        <f t="shared" si="181"/>
        <v>4791</v>
      </c>
      <c r="K387" s="476">
        <f t="shared" si="181"/>
        <v>0</v>
      </c>
      <c r="L387" s="476">
        <f t="shared" si="181"/>
        <v>5262</v>
      </c>
      <c r="M387" s="476">
        <f t="shared" si="181"/>
        <v>99839</v>
      </c>
      <c r="N387" s="476">
        <f t="shared" si="181"/>
        <v>0</v>
      </c>
      <c r="O387" s="476">
        <f t="shared" si="181"/>
        <v>99839</v>
      </c>
      <c r="P387" s="475"/>
    </row>
    <row r="388" spans="1:16" s="504" customFormat="1" ht="16.5" thickTop="1" x14ac:dyDescent="0.25">
      <c r="A388" s="497" t="s">
        <v>16</v>
      </c>
      <c r="B388" s="519" t="s">
        <v>442</v>
      </c>
      <c r="C388" s="496"/>
      <c r="D388" s="514"/>
      <c r="E388" s="494"/>
      <c r="F388" s="515"/>
      <c r="G388" s="514"/>
      <c r="H388" s="491"/>
      <c r="I388" s="517"/>
      <c r="J388" s="515"/>
      <c r="K388" s="515"/>
      <c r="L388" s="491"/>
      <c r="M388" s="516"/>
      <c r="N388" s="516"/>
      <c r="O388" s="516"/>
      <c r="P388" s="475"/>
    </row>
    <row r="389" spans="1:16" s="504" customFormat="1" x14ac:dyDescent="0.25">
      <c r="A389" s="497"/>
      <c r="B389" s="444" t="s">
        <v>389</v>
      </c>
      <c r="C389" s="496">
        <v>243484</v>
      </c>
      <c r="D389" s="514">
        <v>51547</v>
      </c>
      <c r="E389" s="494">
        <v>94454</v>
      </c>
      <c r="F389" s="515"/>
      <c r="G389" s="514"/>
      <c r="H389" s="491">
        <f>SUM(C389:G389)</f>
        <v>389485</v>
      </c>
      <c r="I389" s="493"/>
      <c r="J389" s="492"/>
      <c r="K389" s="527"/>
      <c r="L389" s="491">
        <f>SUM(I389:K389)</f>
        <v>0</v>
      </c>
      <c r="M389" s="490">
        <f>SUM(H389+L389)</f>
        <v>389485</v>
      </c>
      <c r="N389" s="490"/>
      <c r="O389" s="490">
        <f>SUM(M389+N389)</f>
        <v>389485</v>
      </c>
      <c r="P389" s="475"/>
    </row>
    <row r="390" spans="1:16" s="504" customFormat="1" x14ac:dyDescent="0.25">
      <c r="A390" s="513"/>
      <c r="B390" s="498" t="s">
        <v>432</v>
      </c>
      <c r="C390" s="512">
        <v>241979</v>
      </c>
      <c r="D390" s="509">
        <v>51032</v>
      </c>
      <c r="E390" s="511">
        <v>91899</v>
      </c>
      <c r="F390" s="510"/>
      <c r="G390" s="529"/>
      <c r="H390" s="532">
        <f>SUM(C390:G390)</f>
        <v>384910</v>
      </c>
      <c r="I390" s="508"/>
      <c r="J390" s="507"/>
      <c r="K390" s="529"/>
      <c r="L390" s="506">
        <f>SUM(I390:K390)</f>
        <v>0</v>
      </c>
      <c r="M390" s="505">
        <f>SUM(H390+L390)</f>
        <v>384910</v>
      </c>
      <c r="N390" s="505"/>
      <c r="O390" s="505">
        <f>SUM(M390+N390)</f>
        <v>384910</v>
      </c>
    </row>
    <row r="391" spans="1:16" s="504" customFormat="1" x14ac:dyDescent="0.25">
      <c r="A391" s="513"/>
      <c r="B391" s="498" t="s">
        <v>431</v>
      </c>
      <c r="C391" s="512">
        <v>1505</v>
      </c>
      <c r="D391" s="509">
        <v>515</v>
      </c>
      <c r="E391" s="511">
        <v>2555</v>
      </c>
      <c r="F391" s="510"/>
      <c r="G391" s="533"/>
      <c r="H391" s="532">
        <f>SUM(C391:G391)</f>
        <v>4575</v>
      </c>
      <c r="I391" s="508"/>
      <c r="J391" s="507"/>
      <c r="K391" s="529"/>
      <c r="L391" s="506">
        <f>SUM(I391:K391)</f>
        <v>0</v>
      </c>
      <c r="M391" s="505">
        <f>SUM(H391+L391)</f>
        <v>4575</v>
      </c>
      <c r="N391" s="505"/>
      <c r="O391" s="505">
        <f>SUM(M391+N391)</f>
        <v>4575</v>
      </c>
    </row>
    <row r="392" spans="1:16" s="504" customFormat="1" x14ac:dyDescent="0.25">
      <c r="A392" s="513"/>
      <c r="B392" s="498" t="s">
        <v>140</v>
      </c>
      <c r="C392" s="512"/>
      <c r="D392" s="509"/>
      <c r="E392" s="511"/>
      <c r="F392" s="510"/>
      <c r="G392" s="533"/>
      <c r="H392" s="532"/>
      <c r="I392" s="508"/>
      <c r="J392" s="507"/>
      <c r="K392" s="529"/>
      <c r="L392" s="506"/>
      <c r="M392" s="505"/>
      <c r="N392" s="505"/>
      <c r="O392" s="505"/>
    </row>
    <row r="393" spans="1:16" s="504" customFormat="1" ht="31.5" x14ac:dyDescent="0.25">
      <c r="A393" s="513"/>
      <c r="B393" s="444" t="s">
        <v>1168</v>
      </c>
      <c r="C393" s="660">
        <v>240</v>
      </c>
      <c r="D393" s="661">
        <v>47</v>
      </c>
      <c r="E393" s="548"/>
      <c r="F393" s="662"/>
      <c r="G393" s="663"/>
      <c r="H393" s="664">
        <f t="shared" ref="H393:H403" si="182">SUM(C393:G393)</f>
        <v>287</v>
      </c>
      <c r="I393" s="578"/>
      <c r="J393" s="549"/>
      <c r="K393" s="665"/>
      <c r="L393" s="545">
        <f t="shared" ref="L393:L403" si="183">SUM(I393:K393)</f>
        <v>0</v>
      </c>
      <c r="M393" s="544">
        <f t="shared" ref="M393:M403" si="184">SUM(H393+L393)</f>
        <v>287</v>
      </c>
      <c r="N393" s="544"/>
      <c r="O393" s="544">
        <f t="shared" ref="O393:O403" si="185">SUM(M393+N393)</f>
        <v>287</v>
      </c>
    </row>
    <row r="394" spans="1:16" s="504" customFormat="1" ht="31.5" x14ac:dyDescent="0.25">
      <c r="A394" s="513"/>
      <c r="B394" s="454" t="s">
        <v>1197</v>
      </c>
      <c r="C394" s="660">
        <v>6752</v>
      </c>
      <c r="D394" s="661">
        <v>1317</v>
      </c>
      <c r="E394" s="548"/>
      <c r="F394" s="662"/>
      <c r="G394" s="663"/>
      <c r="H394" s="664">
        <f t="shared" si="182"/>
        <v>8069</v>
      </c>
      <c r="I394" s="578"/>
      <c r="J394" s="549"/>
      <c r="K394" s="665"/>
      <c r="L394" s="545">
        <f t="shared" si="183"/>
        <v>0</v>
      </c>
      <c r="M394" s="544">
        <f t="shared" si="184"/>
        <v>8069</v>
      </c>
      <c r="N394" s="544"/>
      <c r="O394" s="544">
        <f t="shared" si="185"/>
        <v>8069</v>
      </c>
    </row>
    <row r="395" spans="1:16" s="504" customFormat="1" ht="31.5" x14ac:dyDescent="0.25">
      <c r="A395" s="551"/>
      <c r="B395" s="454" t="s">
        <v>630</v>
      </c>
      <c r="C395" s="660"/>
      <c r="D395" s="661"/>
      <c r="E395" s="548">
        <f>17409+25000</f>
        <v>42409</v>
      </c>
      <c r="F395" s="662"/>
      <c r="G395" s="663"/>
      <c r="H395" s="664">
        <f t="shared" si="182"/>
        <v>42409</v>
      </c>
      <c r="I395" s="578">
        <v>192</v>
      </c>
      <c r="J395" s="549"/>
      <c r="K395" s="665"/>
      <c r="L395" s="545">
        <f t="shared" si="183"/>
        <v>192</v>
      </c>
      <c r="M395" s="544">
        <f t="shared" si="184"/>
        <v>42601</v>
      </c>
      <c r="N395" s="544"/>
      <c r="O395" s="544">
        <f t="shared" si="185"/>
        <v>42601</v>
      </c>
      <c r="P395" s="543"/>
    </row>
    <row r="396" spans="1:16" s="504" customFormat="1" ht="31.5" x14ac:dyDescent="0.25">
      <c r="A396" s="551"/>
      <c r="B396" s="444" t="s">
        <v>628</v>
      </c>
      <c r="C396" s="660">
        <v>542</v>
      </c>
      <c r="D396" s="661">
        <v>106</v>
      </c>
      <c r="E396" s="548"/>
      <c r="F396" s="662"/>
      <c r="G396" s="663"/>
      <c r="H396" s="664">
        <f t="shared" si="182"/>
        <v>648</v>
      </c>
      <c r="I396" s="578"/>
      <c r="J396" s="549"/>
      <c r="K396" s="665"/>
      <c r="L396" s="545">
        <f t="shared" si="183"/>
        <v>0</v>
      </c>
      <c r="M396" s="544">
        <f>SUM(H396+L396)</f>
        <v>648</v>
      </c>
      <c r="N396" s="544"/>
      <c r="O396" s="544">
        <f>SUM(M396+N396)</f>
        <v>648</v>
      </c>
      <c r="P396" s="543"/>
    </row>
    <row r="397" spans="1:16" s="504" customFormat="1" ht="47.25" x14ac:dyDescent="0.25">
      <c r="A397" s="577"/>
      <c r="B397" s="453" t="s">
        <v>1195</v>
      </c>
      <c r="C397" s="550"/>
      <c r="D397" s="548"/>
      <c r="E397" s="548">
        <v>1270</v>
      </c>
      <c r="F397" s="549"/>
      <c r="G397" s="665"/>
      <c r="H397" s="664">
        <f t="shared" si="182"/>
        <v>1270</v>
      </c>
      <c r="I397" s="578"/>
      <c r="J397" s="549"/>
      <c r="K397" s="665"/>
      <c r="L397" s="545">
        <f t="shared" si="183"/>
        <v>0</v>
      </c>
      <c r="M397" s="545">
        <f>SUM(H397+L397)</f>
        <v>1270</v>
      </c>
      <c r="N397" s="545"/>
      <c r="O397" s="545">
        <f>SUM(M397+N397)</f>
        <v>1270</v>
      </c>
      <c r="P397" s="543"/>
    </row>
    <row r="398" spans="1:16" ht="31.5" x14ac:dyDescent="0.25">
      <c r="A398" s="577"/>
      <c r="B398" s="453" t="s">
        <v>929</v>
      </c>
      <c r="C398" s="550"/>
      <c r="D398" s="548"/>
      <c r="E398" s="548">
        <v>-1159</v>
      </c>
      <c r="F398" s="549"/>
      <c r="G398" s="665"/>
      <c r="H398" s="664">
        <f t="shared" si="182"/>
        <v>-1159</v>
      </c>
      <c r="I398" s="578">
        <v>1159</v>
      </c>
      <c r="J398" s="549"/>
      <c r="K398" s="665"/>
      <c r="L398" s="545">
        <f t="shared" si="183"/>
        <v>1159</v>
      </c>
      <c r="M398" s="545">
        <f>SUM(H398+L398)</f>
        <v>0</v>
      </c>
      <c r="N398" s="545"/>
      <c r="O398" s="545">
        <f>SUM(M398+N398)</f>
        <v>0</v>
      </c>
      <c r="P398" s="543"/>
    </row>
    <row r="399" spans="1:16" x14ac:dyDescent="0.25">
      <c r="A399" s="513"/>
      <c r="B399" s="498" t="s">
        <v>141</v>
      </c>
      <c r="C399" s="660"/>
      <c r="D399" s="661"/>
      <c r="E399" s="548"/>
      <c r="F399" s="662"/>
      <c r="G399" s="663"/>
      <c r="H399" s="664"/>
      <c r="I399" s="578"/>
      <c r="J399" s="549"/>
      <c r="K399" s="665"/>
      <c r="L399" s="545"/>
      <c r="M399" s="544"/>
      <c r="N399" s="544"/>
      <c r="O399" s="544"/>
      <c r="P399" s="504"/>
    </row>
    <row r="400" spans="1:16" ht="15.75" customHeight="1" x14ac:dyDescent="0.25">
      <c r="A400" s="513"/>
      <c r="B400" s="444" t="s">
        <v>1199</v>
      </c>
      <c r="C400" s="660"/>
      <c r="D400" s="661"/>
      <c r="E400" s="548">
        <v>50</v>
      </c>
      <c r="F400" s="662"/>
      <c r="G400" s="663"/>
      <c r="H400" s="664">
        <f t="shared" si="182"/>
        <v>50</v>
      </c>
      <c r="I400" s="578"/>
      <c r="J400" s="549"/>
      <c r="K400" s="665"/>
      <c r="L400" s="545">
        <f t="shared" si="183"/>
        <v>0</v>
      </c>
      <c r="M400" s="544">
        <f t="shared" si="184"/>
        <v>50</v>
      </c>
      <c r="N400" s="544"/>
      <c r="O400" s="544">
        <f t="shared" si="185"/>
        <v>50</v>
      </c>
      <c r="P400" s="504"/>
    </row>
    <row r="401" spans="1:16" ht="47.25" x14ac:dyDescent="0.25">
      <c r="A401" s="513"/>
      <c r="B401" s="444" t="s">
        <v>1249</v>
      </c>
      <c r="C401" s="660"/>
      <c r="D401" s="661"/>
      <c r="E401" s="548">
        <v>50</v>
      </c>
      <c r="F401" s="662"/>
      <c r="G401" s="663"/>
      <c r="H401" s="664">
        <f t="shared" si="182"/>
        <v>50</v>
      </c>
      <c r="I401" s="578"/>
      <c r="J401" s="549"/>
      <c r="K401" s="665"/>
      <c r="L401" s="545">
        <f t="shared" si="183"/>
        <v>0</v>
      </c>
      <c r="M401" s="544">
        <f t="shared" si="184"/>
        <v>50</v>
      </c>
      <c r="N401" s="544"/>
      <c r="O401" s="544">
        <f t="shared" si="185"/>
        <v>50</v>
      </c>
      <c r="P401" s="504"/>
    </row>
    <row r="402" spans="1:16" s="504" customFormat="1" x14ac:dyDescent="0.25">
      <c r="A402" s="513"/>
      <c r="B402" s="444" t="s">
        <v>1235</v>
      </c>
      <c r="C402" s="660">
        <v>3019</v>
      </c>
      <c r="D402" s="661">
        <v>1035</v>
      </c>
      <c r="E402" s="548"/>
      <c r="F402" s="662"/>
      <c r="G402" s="663"/>
      <c r="H402" s="664">
        <f t="shared" si="182"/>
        <v>4054</v>
      </c>
      <c r="I402" s="578"/>
      <c r="J402" s="549"/>
      <c r="K402" s="665"/>
      <c r="L402" s="545">
        <f t="shared" si="183"/>
        <v>0</v>
      </c>
      <c r="M402" s="544">
        <f t="shared" si="184"/>
        <v>4054</v>
      </c>
      <c r="N402" s="544"/>
      <c r="O402" s="544">
        <f t="shared" si="185"/>
        <v>4054</v>
      </c>
    </row>
    <row r="403" spans="1:16" s="504" customFormat="1" ht="32.25" thickBot="1" x14ac:dyDescent="0.3">
      <c r="A403" s="513"/>
      <c r="B403" s="444" t="s">
        <v>928</v>
      </c>
      <c r="C403" s="660"/>
      <c r="D403" s="661"/>
      <c r="E403" s="548">
        <v>38368</v>
      </c>
      <c r="F403" s="662"/>
      <c r="G403" s="663"/>
      <c r="H403" s="664">
        <f t="shared" si="182"/>
        <v>38368</v>
      </c>
      <c r="I403" s="578"/>
      <c r="J403" s="549"/>
      <c r="K403" s="665"/>
      <c r="L403" s="545">
        <f t="shared" si="183"/>
        <v>0</v>
      </c>
      <c r="M403" s="544">
        <f t="shared" si="184"/>
        <v>38368</v>
      </c>
      <c r="N403" s="544"/>
      <c r="O403" s="544">
        <f t="shared" si="185"/>
        <v>38368</v>
      </c>
    </row>
    <row r="404" spans="1:16" s="504" customFormat="1" ht="17.25" thickTop="1" thickBot="1" x14ac:dyDescent="0.3">
      <c r="A404" s="478"/>
      <c r="B404" s="477" t="s">
        <v>430</v>
      </c>
      <c r="C404" s="476">
        <f>+C389+C393+C394+C395+C400+C401+C402+C396+C397+C398+C403</f>
        <v>254037</v>
      </c>
      <c r="D404" s="476">
        <f t="shared" ref="D404:O404" si="186">+D389+D393+D394+D395+D400+D401+D402+D396+D397+D398+D403</f>
        <v>54052</v>
      </c>
      <c r="E404" s="476">
        <f t="shared" si="186"/>
        <v>175442</v>
      </c>
      <c r="F404" s="476">
        <f t="shared" si="186"/>
        <v>0</v>
      </c>
      <c r="G404" s="476">
        <f t="shared" si="186"/>
        <v>0</v>
      </c>
      <c r="H404" s="476">
        <f t="shared" si="186"/>
        <v>483531</v>
      </c>
      <c r="I404" s="476">
        <f t="shared" si="186"/>
        <v>1351</v>
      </c>
      <c r="J404" s="476">
        <f t="shared" si="186"/>
        <v>0</v>
      </c>
      <c r="K404" s="476">
        <f t="shared" si="186"/>
        <v>0</v>
      </c>
      <c r="L404" s="476">
        <f t="shared" si="186"/>
        <v>1351</v>
      </c>
      <c r="M404" s="476">
        <f t="shared" si="186"/>
        <v>484882</v>
      </c>
      <c r="N404" s="476">
        <f t="shared" si="186"/>
        <v>0</v>
      </c>
      <c r="O404" s="476">
        <f t="shared" si="186"/>
        <v>484882</v>
      </c>
      <c r="P404" s="430">
        <f>O405+O406</f>
        <v>484882</v>
      </c>
    </row>
    <row r="405" spans="1:16" s="504" customFormat="1" ht="17.25" thickTop="1" thickBot="1" x14ac:dyDescent="0.3">
      <c r="A405" s="478"/>
      <c r="B405" s="477" t="s">
        <v>429</v>
      </c>
      <c r="C405" s="476">
        <f>+C390+C393+C394+C395+C396+C397+C398</f>
        <v>249513</v>
      </c>
      <c r="D405" s="476">
        <f t="shared" ref="D405:O405" si="187">+D390+D393+D394+D395+D396+D397+D398</f>
        <v>52502</v>
      </c>
      <c r="E405" s="476">
        <f t="shared" si="187"/>
        <v>134419</v>
      </c>
      <c r="F405" s="476">
        <f t="shared" si="187"/>
        <v>0</v>
      </c>
      <c r="G405" s="476">
        <f t="shared" si="187"/>
        <v>0</v>
      </c>
      <c r="H405" s="476">
        <f t="shared" si="187"/>
        <v>436434</v>
      </c>
      <c r="I405" s="476">
        <f t="shared" si="187"/>
        <v>1351</v>
      </c>
      <c r="J405" s="476">
        <f t="shared" si="187"/>
        <v>0</v>
      </c>
      <c r="K405" s="476">
        <f t="shared" si="187"/>
        <v>0</v>
      </c>
      <c r="L405" s="476">
        <f t="shared" si="187"/>
        <v>1351</v>
      </c>
      <c r="M405" s="476">
        <f t="shared" si="187"/>
        <v>437785</v>
      </c>
      <c r="N405" s="476">
        <f t="shared" si="187"/>
        <v>0</v>
      </c>
      <c r="O405" s="476">
        <f t="shared" si="187"/>
        <v>437785</v>
      </c>
      <c r="P405" s="475"/>
    </row>
    <row r="406" spans="1:16" s="504" customFormat="1" ht="17.25" thickTop="1" thickBot="1" x14ac:dyDescent="0.3">
      <c r="A406" s="478"/>
      <c r="B406" s="477" t="s">
        <v>428</v>
      </c>
      <c r="C406" s="476">
        <f t="shared" ref="C406:O406" si="188">+C391+C400+C401+C402+C403</f>
        <v>4524</v>
      </c>
      <c r="D406" s="476">
        <f t="shared" si="188"/>
        <v>1550</v>
      </c>
      <c r="E406" s="476">
        <f t="shared" si="188"/>
        <v>41023</v>
      </c>
      <c r="F406" s="476">
        <f t="shared" si="188"/>
        <v>0</v>
      </c>
      <c r="G406" s="476">
        <f t="shared" si="188"/>
        <v>0</v>
      </c>
      <c r="H406" s="476">
        <f t="shared" si="188"/>
        <v>47097</v>
      </c>
      <c r="I406" s="476">
        <f t="shared" si="188"/>
        <v>0</v>
      </c>
      <c r="J406" s="476">
        <f t="shared" si="188"/>
        <v>0</v>
      </c>
      <c r="K406" s="476">
        <f t="shared" si="188"/>
        <v>0</v>
      </c>
      <c r="L406" s="476">
        <f t="shared" si="188"/>
        <v>0</v>
      </c>
      <c r="M406" s="476">
        <f t="shared" si="188"/>
        <v>47097</v>
      </c>
      <c r="N406" s="476">
        <f t="shared" si="188"/>
        <v>0</v>
      </c>
      <c r="O406" s="476">
        <f t="shared" si="188"/>
        <v>47097</v>
      </c>
      <c r="P406" s="475"/>
    </row>
    <row r="407" spans="1:16" s="543" customFormat="1" ht="16.5" thickTop="1" x14ac:dyDescent="0.25">
      <c r="A407" s="497" t="s">
        <v>17</v>
      </c>
      <c r="B407" s="519" t="s">
        <v>441</v>
      </c>
      <c r="C407" s="496"/>
      <c r="D407" s="514"/>
      <c r="E407" s="494"/>
      <c r="F407" s="515"/>
      <c r="G407" s="514"/>
      <c r="H407" s="491"/>
      <c r="I407" s="517"/>
      <c r="J407" s="515"/>
      <c r="K407" s="515"/>
      <c r="L407" s="491"/>
      <c r="M407" s="516"/>
      <c r="N407" s="516"/>
      <c r="O407" s="516"/>
      <c r="P407" s="475"/>
    </row>
    <row r="408" spans="1:16" s="543" customFormat="1" x14ac:dyDescent="0.25">
      <c r="A408" s="497"/>
      <c r="B408" s="444" t="s">
        <v>389</v>
      </c>
      <c r="C408" s="496">
        <v>376744</v>
      </c>
      <c r="D408" s="514">
        <v>78252</v>
      </c>
      <c r="E408" s="494">
        <v>595639</v>
      </c>
      <c r="F408" s="515"/>
      <c r="G408" s="514"/>
      <c r="H408" s="491">
        <f>SUM(C408:G408)</f>
        <v>1050635</v>
      </c>
      <c r="I408" s="493"/>
      <c r="J408" s="492"/>
      <c r="K408" s="492"/>
      <c r="L408" s="491">
        <f>SUM(I408:K408)</f>
        <v>0</v>
      </c>
      <c r="M408" s="490">
        <f>SUM(H408+L408)</f>
        <v>1050635</v>
      </c>
      <c r="N408" s="490"/>
      <c r="O408" s="490">
        <f>SUM(M408+N408)</f>
        <v>1050635</v>
      </c>
      <c r="P408" s="430"/>
    </row>
    <row r="409" spans="1:16" s="543" customFormat="1" x14ac:dyDescent="0.25">
      <c r="A409" s="513"/>
      <c r="B409" s="498" t="s">
        <v>432</v>
      </c>
      <c r="C409" s="512">
        <v>374574</v>
      </c>
      <c r="D409" s="509">
        <v>77585</v>
      </c>
      <c r="E409" s="511">
        <v>592967</v>
      </c>
      <c r="F409" s="510"/>
      <c r="G409" s="509"/>
      <c r="H409" s="506">
        <f>SUM(C409:G409)</f>
        <v>1045126</v>
      </c>
      <c r="I409" s="508"/>
      <c r="J409" s="507"/>
      <c r="K409" s="507"/>
      <c r="L409" s="506">
        <f>SUM(I409:K409)</f>
        <v>0</v>
      </c>
      <c r="M409" s="505">
        <f>SUM(H409+L409)</f>
        <v>1045126</v>
      </c>
      <c r="N409" s="505"/>
      <c r="O409" s="505">
        <f>SUM(M409+N409)</f>
        <v>1045126</v>
      </c>
      <c r="P409" s="504"/>
    </row>
    <row r="410" spans="1:16" s="504" customFormat="1" x14ac:dyDescent="0.25">
      <c r="A410" s="523"/>
      <c r="B410" s="498" t="s">
        <v>431</v>
      </c>
      <c r="C410" s="526">
        <v>2170</v>
      </c>
      <c r="D410" s="524">
        <v>667</v>
      </c>
      <c r="E410" s="521">
        <v>2672</v>
      </c>
      <c r="F410" s="525"/>
      <c r="G410" s="524"/>
      <c r="H410" s="490">
        <f>SUM(C410:G410)</f>
        <v>5509</v>
      </c>
      <c r="I410" s="528"/>
      <c r="J410" s="500"/>
      <c r="K410" s="500"/>
      <c r="L410" s="490">
        <f>SUM(I410:K410)</f>
        <v>0</v>
      </c>
      <c r="M410" s="490">
        <f>SUM(H410+L410)</f>
        <v>5509</v>
      </c>
      <c r="N410" s="490"/>
      <c r="O410" s="490">
        <f>SUM(M410+N410)</f>
        <v>5509</v>
      </c>
    </row>
    <row r="411" spans="1:16" s="504" customFormat="1" x14ac:dyDescent="0.25">
      <c r="A411" s="531"/>
      <c r="B411" s="502" t="s">
        <v>140</v>
      </c>
      <c r="C411" s="508"/>
      <c r="D411" s="511"/>
      <c r="E411" s="511"/>
      <c r="F411" s="511"/>
      <c r="G411" s="508"/>
      <c r="H411" s="490">
        <f t="shared" ref="H411:H422" si="189">SUM(C411:G411)</f>
        <v>0</v>
      </c>
      <c r="I411" s="493"/>
      <c r="J411" s="494"/>
      <c r="K411" s="493"/>
      <c r="L411" s="490">
        <f t="shared" ref="L411:L422" si="190">SUM(I411:K411)</f>
        <v>0</v>
      </c>
      <c r="M411" s="490">
        <f t="shared" ref="M411:M422" si="191">SUM(H411+L411)</f>
        <v>0</v>
      </c>
      <c r="N411" s="490"/>
      <c r="O411" s="490">
        <f t="shared" ref="O411:O422" si="192">SUM(M411+N411)</f>
        <v>0</v>
      </c>
    </row>
    <row r="412" spans="1:16" s="504" customFormat="1" ht="31.5" x14ac:dyDescent="0.25">
      <c r="A412" s="577"/>
      <c r="B412" s="444" t="s">
        <v>1168</v>
      </c>
      <c r="C412" s="578">
        <v>567</v>
      </c>
      <c r="D412" s="548">
        <v>110</v>
      </c>
      <c r="E412" s="548"/>
      <c r="F412" s="548"/>
      <c r="G412" s="578"/>
      <c r="H412" s="544">
        <f t="shared" si="189"/>
        <v>677</v>
      </c>
      <c r="I412" s="578"/>
      <c r="J412" s="548"/>
      <c r="K412" s="578"/>
      <c r="L412" s="544">
        <f t="shared" si="190"/>
        <v>0</v>
      </c>
      <c r="M412" s="544">
        <f t="shared" si="191"/>
        <v>677</v>
      </c>
      <c r="N412" s="544"/>
      <c r="O412" s="544">
        <f t="shared" si="192"/>
        <v>677</v>
      </c>
      <c r="P412" s="543"/>
    </row>
    <row r="413" spans="1:16" s="504" customFormat="1" ht="31.5" x14ac:dyDescent="0.25">
      <c r="A413" s="577"/>
      <c r="B413" s="454" t="s">
        <v>1197</v>
      </c>
      <c r="C413" s="578">
        <v>6819</v>
      </c>
      <c r="D413" s="548">
        <v>1329</v>
      </c>
      <c r="E413" s="548"/>
      <c r="F413" s="548"/>
      <c r="G413" s="578"/>
      <c r="H413" s="544">
        <f t="shared" si="189"/>
        <v>8148</v>
      </c>
      <c r="I413" s="578"/>
      <c r="J413" s="548"/>
      <c r="K413" s="578"/>
      <c r="L413" s="544">
        <f t="shared" si="190"/>
        <v>0</v>
      </c>
      <c r="M413" s="544">
        <f t="shared" si="191"/>
        <v>8148</v>
      </c>
      <c r="N413" s="544"/>
      <c r="O413" s="544">
        <f t="shared" si="192"/>
        <v>8148</v>
      </c>
      <c r="P413" s="543"/>
    </row>
    <row r="414" spans="1:16" s="504" customFormat="1" ht="31.5" x14ac:dyDescent="0.25">
      <c r="A414" s="577"/>
      <c r="B414" s="444" t="s">
        <v>628</v>
      </c>
      <c r="C414" s="578">
        <v>361</v>
      </c>
      <c r="D414" s="548">
        <v>70</v>
      </c>
      <c r="E414" s="548"/>
      <c r="F414" s="548"/>
      <c r="G414" s="578"/>
      <c r="H414" s="544">
        <f t="shared" si="189"/>
        <v>431</v>
      </c>
      <c r="I414" s="578"/>
      <c r="J414" s="548"/>
      <c r="K414" s="578"/>
      <c r="L414" s="544">
        <f t="shared" si="190"/>
        <v>0</v>
      </c>
      <c r="M414" s="544">
        <f t="shared" si="191"/>
        <v>431</v>
      </c>
      <c r="N414" s="544"/>
      <c r="O414" s="544">
        <f t="shared" si="192"/>
        <v>431</v>
      </c>
      <c r="P414" s="543"/>
    </row>
    <row r="415" spans="1:16" s="504" customFormat="1" ht="47.25" x14ac:dyDescent="0.25">
      <c r="A415" s="577"/>
      <c r="B415" s="444" t="s">
        <v>1195</v>
      </c>
      <c r="C415" s="578"/>
      <c r="D415" s="548"/>
      <c r="E415" s="548">
        <v>2489</v>
      </c>
      <c r="F415" s="548"/>
      <c r="G415" s="578"/>
      <c r="H415" s="544">
        <f t="shared" si="189"/>
        <v>2489</v>
      </c>
      <c r="I415" s="578"/>
      <c r="J415" s="548"/>
      <c r="K415" s="578"/>
      <c r="L415" s="544">
        <f t="shared" si="190"/>
        <v>0</v>
      </c>
      <c r="M415" s="544">
        <f t="shared" si="191"/>
        <v>2489</v>
      </c>
      <c r="N415" s="544"/>
      <c r="O415" s="544">
        <f t="shared" si="192"/>
        <v>2489</v>
      </c>
      <c r="P415" s="543"/>
    </row>
    <row r="416" spans="1:16" s="504" customFormat="1" ht="31.5" x14ac:dyDescent="0.25">
      <c r="A416" s="577"/>
      <c r="B416" s="444" t="s">
        <v>929</v>
      </c>
      <c r="C416" s="578"/>
      <c r="D416" s="548"/>
      <c r="E416" s="548">
        <v>-17865</v>
      </c>
      <c r="F416" s="548"/>
      <c r="G416" s="578">
        <v>20</v>
      </c>
      <c r="H416" s="544">
        <f t="shared" si="189"/>
        <v>-17845</v>
      </c>
      <c r="I416" s="578">
        <v>17845</v>
      </c>
      <c r="J416" s="548"/>
      <c r="K416" s="578"/>
      <c r="L416" s="544">
        <f t="shared" si="190"/>
        <v>17845</v>
      </c>
      <c r="M416" s="544">
        <f t="shared" si="191"/>
        <v>0</v>
      </c>
      <c r="N416" s="544"/>
      <c r="O416" s="544">
        <f t="shared" si="192"/>
        <v>0</v>
      </c>
      <c r="P416" s="543"/>
    </row>
    <row r="417" spans="1:16" s="504" customFormat="1" ht="31.5" x14ac:dyDescent="0.25">
      <c r="A417" s="577"/>
      <c r="B417" s="444" t="s">
        <v>1175</v>
      </c>
      <c r="C417" s="578">
        <v>-13732</v>
      </c>
      <c r="D417" s="548">
        <v>-2678</v>
      </c>
      <c r="E417" s="548"/>
      <c r="F417" s="548"/>
      <c r="G417" s="578"/>
      <c r="H417" s="544">
        <f t="shared" si="189"/>
        <v>-16410</v>
      </c>
      <c r="I417" s="578"/>
      <c r="J417" s="548"/>
      <c r="K417" s="578"/>
      <c r="L417" s="544">
        <f t="shared" si="190"/>
        <v>0</v>
      </c>
      <c r="M417" s="544">
        <f t="shared" si="191"/>
        <v>-16410</v>
      </c>
      <c r="N417" s="544"/>
      <c r="O417" s="544">
        <f t="shared" si="192"/>
        <v>-16410</v>
      </c>
      <c r="P417" s="543"/>
    </row>
    <row r="418" spans="1:16" ht="31.5" x14ac:dyDescent="0.25">
      <c r="A418" s="577"/>
      <c r="B418" s="444" t="s">
        <v>928</v>
      </c>
      <c r="C418" s="578"/>
      <c r="D418" s="548"/>
      <c r="E418" s="548">
        <v>1033</v>
      </c>
      <c r="F418" s="548"/>
      <c r="G418" s="578"/>
      <c r="H418" s="544">
        <f t="shared" si="189"/>
        <v>1033</v>
      </c>
      <c r="I418" s="578"/>
      <c r="J418" s="548"/>
      <c r="K418" s="578"/>
      <c r="L418" s="544">
        <f t="shared" si="190"/>
        <v>0</v>
      </c>
      <c r="M418" s="544">
        <f t="shared" si="191"/>
        <v>1033</v>
      </c>
      <c r="N418" s="544"/>
      <c r="O418" s="544">
        <f t="shared" si="192"/>
        <v>1033</v>
      </c>
      <c r="P418" s="543"/>
    </row>
    <row r="419" spans="1:16" x14ac:dyDescent="0.25">
      <c r="A419" s="531"/>
      <c r="B419" s="502" t="s">
        <v>141</v>
      </c>
      <c r="C419" s="508"/>
      <c r="D419" s="511"/>
      <c r="E419" s="511"/>
      <c r="F419" s="511"/>
      <c r="G419" s="508"/>
      <c r="H419" s="490">
        <f t="shared" si="189"/>
        <v>0</v>
      </c>
      <c r="I419" s="493"/>
      <c r="J419" s="494"/>
      <c r="K419" s="493"/>
      <c r="L419" s="490">
        <f t="shared" si="190"/>
        <v>0</v>
      </c>
      <c r="M419" s="490">
        <f t="shared" si="191"/>
        <v>0</v>
      </c>
      <c r="N419" s="490"/>
      <c r="O419" s="490">
        <f t="shared" si="192"/>
        <v>0</v>
      </c>
      <c r="P419" s="504"/>
    </row>
    <row r="420" spans="1:16" x14ac:dyDescent="0.25">
      <c r="A420" s="577"/>
      <c r="B420" s="444" t="s">
        <v>1235</v>
      </c>
      <c r="C420" s="578">
        <v>3780</v>
      </c>
      <c r="D420" s="548">
        <v>1293</v>
      </c>
      <c r="E420" s="548"/>
      <c r="F420" s="548"/>
      <c r="G420" s="578"/>
      <c r="H420" s="544">
        <f t="shared" si="189"/>
        <v>5073</v>
      </c>
      <c r="I420" s="578"/>
      <c r="J420" s="548"/>
      <c r="K420" s="578"/>
      <c r="L420" s="544">
        <f t="shared" si="190"/>
        <v>0</v>
      </c>
      <c r="M420" s="544">
        <f t="shared" si="191"/>
        <v>5073</v>
      </c>
      <c r="N420" s="544"/>
      <c r="O420" s="544">
        <f t="shared" si="192"/>
        <v>5073</v>
      </c>
      <c r="P420" s="543"/>
    </row>
    <row r="421" spans="1:16" ht="31.5" x14ac:dyDescent="0.25">
      <c r="A421" s="577"/>
      <c r="B421" s="453" t="s">
        <v>928</v>
      </c>
      <c r="C421" s="578">
        <v>2158</v>
      </c>
      <c r="D421" s="548">
        <v>421</v>
      </c>
      <c r="E421" s="548">
        <v>14000</v>
      </c>
      <c r="F421" s="548"/>
      <c r="G421" s="578"/>
      <c r="H421" s="545">
        <f t="shared" si="189"/>
        <v>16579</v>
      </c>
      <c r="I421" s="578"/>
      <c r="J421" s="548"/>
      <c r="K421" s="578"/>
      <c r="L421" s="545">
        <f t="shared" si="190"/>
        <v>0</v>
      </c>
      <c r="M421" s="545">
        <f t="shared" si="191"/>
        <v>16579</v>
      </c>
      <c r="N421" s="545"/>
      <c r="O421" s="545">
        <f t="shared" si="192"/>
        <v>16579</v>
      </c>
      <c r="P421" s="543"/>
    </row>
    <row r="422" spans="1:16" ht="63.75" thickBot="1" x14ac:dyDescent="0.3">
      <c r="A422" s="945"/>
      <c r="B422" s="946" t="s">
        <v>1201</v>
      </c>
      <c r="C422" s="943"/>
      <c r="D422" s="940"/>
      <c r="E422" s="940">
        <v>10000</v>
      </c>
      <c r="F422" s="940"/>
      <c r="G422" s="943"/>
      <c r="H422" s="942">
        <f t="shared" si="189"/>
        <v>10000</v>
      </c>
      <c r="I422" s="943"/>
      <c r="J422" s="940"/>
      <c r="K422" s="943"/>
      <c r="L422" s="942">
        <f t="shared" si="190"/>
        <v>0</v>
      </c>
      <c r="M422" s="942">
        <f t="shared" si="191"/>
        <v>10000</v>
      </c>
      <c r="N422" s="942"/>
      <c r="O422" s="942">
        <f t="shared" si="192"/>
        <v>10000</v>
      </c>
      <c r="P422" s="543"/>
    </row>
    <row r="423" spans="1:16" s="504" customFormat="1" ht="17.25" thickTop="1" thickBot="1" x14ac:dyDescent="0.3">
      <c r="A423" s="478"/>
      <c r="B423" s="477" t="s">
        <v>430</v>
      </c>
      <c r="C423" s="476">
        <f>+C408+C412+C413+C414+C420+C421+C422+C415+C416+C418+C417</f>
        <v>376697</v>
      </c>
      <c r="D423" s="476">
        <f t="shared" ref="D423:O423" si="193">+D408+D412+D413+D414+D420+D421+D422+D415+D416+D418+D417</f>
        <v>78797</v>
      </c>
      <c r="E423" s="476">
        <f t="shared" si="193"/>
        <v>605296</v>
      </c>
      <c r="F423" s="476">
        <f t="shared" si="193"/>
        <v>0</v>
      </c>
      <c r="G423" s="476">
        <f t="shared" si="193"/>
        <v>20</v>
      </c>
      <c r="H423" s="476">
        <f t="shared" si="193"/>
        <v>1060810</v>
      </c>
      <c r="I423" s="476">
        <f t="shared" si="193"/>
        <v>17845</v>
      </c>
      <c r="J423" s="476">
        <f t="shared" si="193"/>
        <v>0</v>
      </c>
      <c r="K423" s="476">
        <f t="shared" si="193"/>
        <v>0</v>
      </c>
      <c r="L423" s="476">
        <f t="shared" si="193"/>
        <v>17845</v>
      </c>
      <c r="M423" s="476">
        <f t="shared" si="193"/>
        <v>1078655</v>
      </c>
      <c r="N423" s="476">
        <f t="shared" si="193"/>
        <v>0</v>
      </c>
      <c r="O423" s="476">
        <f t="shared" si="193"/>
        <v>1078655</v>
      </c>
      <c r="P423" s="430">
        <f>O424+O425</f>
        <v>1078655</v>
      </c>
    </row>
    <row r="424" spans="1:16" s="504" customFormat="1" ht="17.25" thickTop="1" thickBot="1" x14ac:dyDescent="0.3">
      <c r="A424" s="478"/>
      <c r="B424" s="477" t="s">
        <v>429</v>
      </c>
      <c r="C424" s="476">
        <f t="shared" ref="C424:O424" si="194">+C409+C412+C413+C414+C415+C416+C418+C417</f>
        <v>368589</v>
      </c>
      <c r="D424" s="476">
        <f t="shared" si="194"/>
        <v>76416</v>
      </c>
      <c r="E424" s="476">
        <f t="shared" si="194"/>
        <v>578624</v>
      </c>
      <c r="F424" s="476">
        <f t="shared" si="194"/>
        <v>0</v>
      </c>
      <c r="G424" s="476">
        <f t="shared" si="194"/>
        <v>20</v>
      </c>
      <c r="H424" s="476">
        <f t="shared" si="194"/>
        <v>1023649</v>
      </c>
      <c r="I424" s="476">
        <f t="shared" si="194"/>
        <v>17845</v>
      </c>
      <c r="J424" s="476">
        <f t="shared" si="194"/>
        <v>0</v>
      </c>
      <c r="K424" s="476">
        <f t="shared" si="194"/>
        <v>0</v>
      </c>
      <c r="L424" s="476">
        <f t="shared" si="194"/>
        <v>17845</v>
      </c>
      <c r="M424" s="476">
        <f t="shared" si="194"/>
        <v>1041494</v>
      </c>
      <c r="N424" s="476">
        <f t="shared" si="194"/>
        <v>0</v>
      </c>
      <c r="O424" s="476">
        <f t="shared" si="194"/>
        <v>1041494</v>
      </c>
      <c r="P424" s="475"/>
    </row>
    <row r="425" spans="1:16" s="504" customFormat="1" ht="17.25" thickTop="1" thickBot="1" x14ac:dyDescent="0.3">
      <c r="A425" s="478"/>
      <c r="B425" s="477" t="s">
        <v>428</v>
      </c>
      <c r="C425" s="476">
        <f>+C410+C420+C421+C422</f>
        <v>8108</v>
      </c>
      <c r="D425" s="476">
        <f t="shared" ref="D425:O425" si="195">+D410+D420+D421+D422</f>
        <v>2381</v>
      </c>
      <c r="E425" s="476">
        <f t="shared" si="195"/>
        <v>26672</v>
      </c>
      <c r="F425" s="476">
        <f t="shared" si="195"/>
        <v>0</v>
      </c>
      <c r="G425" s="476">
        <f t="shared" si="195"/>
        <v>0</v>
      </c>
      <c r="H425" s="476">
        <f t="shared" si="195"/>
        <v>37161</v>
      </c>
      <c r="I425" s="476">
        <f t="shared" si="195"/>
        <v>0</v>
      </c>
      <c r="J425" s="476">
        <f t="shared" si="195"/>
        <v>0</v>
      </c>
      <c r="K425" s="476">
        <f t="shared" si="195"/>
        <v>0</v>
      </c>
      <c r="L425" s="476">
        <f t="shared" si="195"/>
        <v>0</v>
      </c>
      <c r="M425" s="476">
        <f t="shared" si="195"/>
        <v>37161</v>
      </c>
      <c r="N425" s="476">
        <f t="shared" si="195"/>
        <v>0</v>
      </c>
      <c r="O425" s="476">
        <f t="shared" si="195"/>
        <v>37161</v>
      </c>
      <c r="P425" s="475"/>
    </row>
    <row r="426" spans="1:16" s="543" customFormat="1" ht="16.5" thickTop="1" x14ac:dyDescent="0.25">
      <c r="A426" s="497" t="s">
        <v>18</v>
      </c>
      <c r="B426" s="519" t="s">
        <v>1202</v>
      </c>
      <c r="C426" s="496"/>
      <c r="D426" s="514"/>
      <c r="E426" s="494"/>
      <c r="F426" s="515"/>
      <c r="G426" s="514"/>
      <c r="H426" s="491"/>
      <c r="I426" s="517"/>
      <c r="J426" s="515"/>
      <c r="K426" s="515"/>
      <c r="L426" s="491"/>
      <c r="M426" s="516"/>
      <c r="N426" s="516"/>
      <c r="O426" s="516"/>
      <c r="P426" s="475"/>
    </row>
    <row r="427" spans="1:16" s="543" customFormat="1" x14ac:dyDescent="0.25">
      <c r="A427" s="503"/>
      <c r="B427" s="453" t="s">
        <v>24</v>
      </c>
      <c r="C427" s="499">
        <v>0</v>
      </c>
      <c r="D427" s="494">
        <v>0</v>
      </c>
      <c r="E427" s="494">
        <v>0</v>
      </c>
      <c r="F427" s="492"/>
      <c r="G427" s="494"/>
      <c r="H427" s="491">
        <f>SUM(C427:G427)</f>
        <v>0</v>
      </c>
      <c r="I427" s="493"/>
      <c r="J427" s="492"/>
      <c r="K427" s="492"/>
      <c r="L427" s="491">
        <f>SUM(I427:K427)</f>
        <v>0</v>
      </c>
      <c r="M427" s="490">
        <f>SUM(H427+L427)</f>
        <v>0</v>
      </c>
      <c r="N427" s="490"/>
      <c r="O427" s="490">
        <f>SUM(M427+N427)</f>
        <v>0</v>
      </c>
      <c r="P427" s="475"/>
    </row>
    <row r="428" spans="1:16" s="543" customFormat="1" x14ac:dyDescent="0.25">
      <c r="A428" s="531"/>
      <c r="B428" s="498" t="s">
        <v>438</v>
      </c>
      <c r="C428" s="530">
        <v>0</v>
      </c>
      <c r="D428" s="511">
        <v>0</v>
      </c>
      <c r="E428" s="511">
        <v>0</v>
      </c>
      <c r="F428" s="507"/>
      <c r="G428" s="529"/>
      <c r="H428" s="506">
        <f>SUM(C428:G428)</f>
        <v>0</v>
      </c>
      <c r="I428" s="508"/>
      <c r="J428" s="507"/>
      <c r="K428" s="529"/>
      <c r="L428" s="506">
        <f>SUM(I428:K428)</f>
        <v>0</v>
      </c>
      <c r="M428" s="505">
        <f>SUM(H428+L428)</f>
        <v>0</v>
      </c>
      <c r="N428" s="505"/>
      <c r="O428" s="505">
        <f>SUM(M428+N428)</f>
        <v>0</v>
      </c>
      <c r="P428" s="504"/>
    </row>
    <row r="429" spans="1:16" s="543" customFormat="1" x14ac:dyDescent="0.25">
      <c r="A429" s="531"/>
      <c r="B429" s="498" t="s">
        <v>141</v>
      </c>
      <c r="C429" s="530"/>
      <c r="D429" s="511"/>
      <c r="E429" s="511"/>
      <c r="F429" s="507"/>
      <c r="G429" s="529"/>
      <c r="H429" s="506"/>
      <c r="I429" s="508"/>
      <c r="J429" s="507"/>
      <c r="K429" s="529"/>
      <c r="L429" s="506"/>
      <c r="M429" s="505"/>
      <c r="N429" s="505"/>
      <c r="O429" s="505"/>
      <c r="P429" s="504"/>
    </row>
    <row r="430" spans="1:16" s="543" customFormat="1" ht="48" thickBot="1" x14ac:dyDescent="0.3">
      <c r="A430" s="531"/>
      <c r="B430" s="444" t="s">
        <v>1203</v>
      </c>
      <c r="C430" s="550">
        <v>4238</v>
      </c>
      <c r="D430" s="548">
        <v>803</v>
      </c>
      <c r="E430" s="548">
        <v>4801</v>
      </c>
      <c r="F430" s="549"/>
      <c r="G430" s="665"/>
      <c r="H430" s="545">
        <f t="shared" ref="H430" si="196">SUM(C430:G430)</f>
        <v>9842</v>
      </c>
      <c r="I430" s="578"/>
      <c r="J430" s="549"/>
      <c r="K430" s="665"/>
      <c r="L430" s="545">
        <f t="shared" ref="L430" si="197">SUM(I430:K430)</f>
        <v>0</v>
      </c>
      <c r="M430" s="544">
        <f t="shared" ref="M430" si="198">SUM(H430+L430)</f>
        <v>9842</v>
      </c>
      <c r="N430" s="544"/>
      <c r="O430" s="544">
        <f t="shared" ref="O430" si="199">SUM(M430+N430)</f>
        <v>9842</v>
      </c>
      <c r="P430" s="504"/>
    </row>
    <row r="431" spans="1:16" s="543" customFormat="1" ht="17.25" thickTop="1" thickBot="1" x14ac:dyDescent="0.3">
      <c r="A431" s="478"/>
      <c r="B431" s="477" t="s">
        <v>430</v>
      </c>
      <c r="C431" s="476">
        <f>+C427+C430</f>
        <v>4238</v>
      </c>
      <c r="D431" s="476">
        <f t="shared" ref="D431:O431" si="200">+D427+D430</f>
        <v>803</v>
      </c>
      <c r="E431" s="476">
        <f t="shared" si="200"/>
        <v>4801</v>
      </c>
      <c r="F431" s="476">
        <f t="shared" si="200"/>
        <v>0</v>
      </c>
      <c r="G431" s="476">
        <f t="shared" si="200"/>
        <v>0</v>
      </c>
      <c r="H431" s="476">
        <f t="shared" si="200"/>
        <v>9842</v>
      </c>
      <c r="I431" s="476">
        <f t="shared" si="200"/>
        <v>0</v>
      </c>
      <c r="J431" s="476">
        <f t="shared" si="200"/>
        <v>0</v>
      </c>
      <c r="K431" s="476">
        <f t="shared" si="200"/>
        <v>0</v>
      </c>
      <c r="L431" s="476">
        <f t="shared" si="200"/>
        <v>0</v>
      </c>
      <c r="M431" s="476">
        <f t="shared" si="200"/>
        <v>9842</v>
      </c>
      <c r="N431" s="476">
        <f t="shared" si="200"/>
        <v>0</v>
      </c>
      <c r="O431" s="476">
        <f t="shared" si="200"/>
        <v>9842</v>
      </c>
      <c r="P431" s="475"/>
    </row>
    <row r="432" spans="1:16" s="504" customFormat="1" ht="17.25" thickTop="1" thickBot="1" x14ac:dyDescent="0.3">
      <c r="A432" s="478"/>
      <c r="B432" s="477" t="s">
        <v>437</v>
      </c>
      <c r="C432" s="476">
        <f>+C428+C430</f>
        <v>4238</v>
      </c>
      <c r="D432" s="476">
        <f t="shared" ref="D432:O432" si="201">+D428+D430</f>
        <v>803</v>
      </c>
      <c r="E432" s="476">
        <f t="shared" si="201"/>
        <v>4801</v>
      </c>
      <c r="F432" s="476">
        <f t="shared" si="201"/>
        <v>0</v>
      </c>
      <c r="G432" s="476">
        <f t="shared" si="201"/>
        <v>0</v>
      </c>
      <c r="H432" s="476">
        <f t="shared" si="201"/>
        <v>9842</v>
      </c>
      <c r="I432" s="476">
        <f t="shared" si="201"/>
        <v>0</v>
      </c>
      <c r="J432" s="476">
        <f t="shared" si="201"/>
        <v>0</v>
      </c>
      <c r="K432" s="476">
        <f t="shared" si="201"/>
        <v>0</v>
      </c>
      <c r="L432" s="476">
        <f t="shared" si="201"/>
        <v>0</v>
      </c>
      <c r="M432" s="476">
        <f t="shared" si="201"/>
        <v>9842</v>
      </c>
      <c r="N432" s="476">
        <f t="shared" si="201"/>
        <v>0</v>
      </c>
      <c r="O432" s="476">
        <f t="shared" si="201"/>
        <v>9842</v>
      </c>
      <c r="P432" s="475"/>
    </row>
    <row r="433" spans="1:16" s="543" customFormat="1" ht="16.5" thickTop="1" x14ac:dyDescent="0.25">
      <c r="A433" s="497" t="s">
        <v>19</v>
      </c>
      <c r="B433" s="519" t="s">
        <v>440</v>
      </c>
      <c r="C433" s="496"/>
      <c r="D433" s="514"/>
      <c r="E433" s="494"/>
      <c r="F433" s="515"/>
      <c r="G433" s="514"/>
      <c r="H433" s="491"/>
      <c r="I433" s="517"/>
      <c r="J433" s="515"/>
      <c r="K433" s="515"/>
      <c r="L433" s="491"/>
      <c r="M433" s="516"/>
      <c r="N433" s="516"/>
      <c r="O433" s="516"/>
      <c r="P433" s="475"/>
    </row>
    <row r="434" spans="1:16" s="543" customFormat="1" x14ac:dyDescent="0.25">
      <c r="A434" s="503"/>
      <c r="B434" s="453" t="s">
        <v>389</v>
      </c>
      <c r="C434" s="499">
        <v>129418</v>
      </c>
      <c r="D434" s="494">
        <v>26989</v>
      </c>
      <c r="E434" s="494">
        <v>151033</v>
      </c>
      <c r="F434" s="492"/>
      <c r="G434" s="494"/>
      <c r="H434" s="491">
        <f>SUM(C434:G434)</f>
        <v>307440</v>
      </c>
      <c r="I434" s="493"/>
      <c r="J434" s="492"/>
      <c r="K434" s="492"/>
      <c r="L434" s="491">
        <f>SUM(I434:K434)</f>
        <v>0</v>
      </c>
      <c r="M434" s="490">
        <f>SUM(H434+L434)</f>
        <v>307440</v>
      </c>
      <c r="N434" s="490"/>
      <c r="O434" s="490">
        <f>SUM(M434+N434)</f>
        <v>307440</v>
      </c>
      <c r="P434" s="475"/>
    </row>
    <row r="435" spans="1:16" s="543" customFormat="1" x14ac:dyDescent="0.25">
      <c r="A435" s="531"/>
      <c r="B435" s="498" t="s">
        <v>438</v>
      </c>
      <c r="C435" s="530">
        <v>129418</v>
      </c>
      <c r="D435" s="511">
        <v>26989</v>
      </c>
      <c r="E435" s="511">
        <v>151033</v>
      </c>
      <c r="F435" s="507"/>
      <c r="G435" s="529"/>
      <c r="H435" s="506">
        <f>SUM(C435:G435)</f>
        <v>307440</v>
      </c>
      <c r="I435" s="508"/>
      <c r="J435" s="507"/>
      <c r="K435" s="529"/>
      <c r="L435" s="506">
        <f>SUM(I435:K435)</f>
        <v>0</v>
      </c>
      <c r="M435" s="505">
        <f>SUM(H435+L435)</f>
        <v>307440</v>
      </c>
      <c r="N435" s="505"/>
      <c r="O435" s="505">
        <f>SUM(M435+N435)</f>
        <v>307440</v>
      </c>
      <c r="P435" s="504"/>
    </row>
    <row r="436" spans="1:16" s="543" customFormat="1" x14ac:dyDescent="0.25">
      <c r="A436" s="531"/>
      <c r="B436" s="498" t="s">
        <v>141</v>
      </c>
      <c r="C436" s="530"/>
      <c r="D436" s="511"/>
      <c r="E436" s="511"/>
      <c r="F436" s="507"/>
      <c r="G436" s="529"/>
      <c r="H436" s="506"/>
      <c r="I436" s="508"/>
      <c r="J436" s="507"/>
      <c r="K436" s="529"/>
      <c r="L436" s="506"/>
      <c r="M436" s="505"/>
      <c r="N436" s="505"/>
      <c r="O436" s="505"/>
      <c r="P436" s="504"/>
    </row>
    <row r="437" spans="1:16" s="543" customFormat="1" ht="31.5" x14ac:dyDescent="0.25">
      <c r="A437" s="531"/>
      <c r="B437" s="454" t="s">
        <v>1197</v>
      </c>
      <c r="C437" s="550">
        <v>1918</v>
      </c>
      <c r="D437" s="548">
        <v>374</v>
      </c>
      <c r="E437" s="548"/>
      <c r="F437" s="549"/>
      <c r="G437" s="665"/>
      <c r="H437" s="545">
        <f t="shared" ref="H437:H441" si="202">SUM(C437:G437)</f>
        <v>2292</v>
      </c>
      <c r="I437" s="578"/>
      <c r="J437" s="549"/>
      <c r="K437" s="665"/>
      <c r="L437" s="545">
        <f t="shared" ref="L437:L440" si="203">SUM(I437:K437)</f>
        <v>0</v>
      </c>
      <c r="M437" s="544">
        <f t="shared" ref="M437:M440" si="204">SUM(H437+L437)</f>
        <v>2292</v>
      </c>
      <c r="N437" s="544"/>
      <c r="O437" s="544">
        <f t="shared" ref="O437:O441" si="205">SUM(M437+N437)</f>
        <v>2292</v>
      </c>
      <c r="P437" s="504"/>
    </row>
    <row r="438" spans="1:16" s="543" customFormat="1" x14ac:dyDescent="0.25">
      <c r="A438" s="531"/>
      <c r="B438" s="444" t="s">
        <v>1235</v>
      </c>
      <c r="C438" s="550">
        <v>944</v>
      </c>
      <c r="D438" s="548">
        <v>323</v>
      </c>
      <c r="E438" s="548"/>
      <c r="F438" s="549"/>
      <c r="G438" s="665"/>
      <c r="H438" s="545">
        <f t="shared" si="202"/>
        <v>1267</v>
      </c>
      <c r="I438" s="578"/>
      <c r="J438" s="549"/>
      <c r="K438" s="665"/>
      <c r="L438" s="545">
        <f t="shared" si="203"/>
        <v>0</v>
      </c>
      <c r="M438" s="544">
        <f t="shared" si="204"/>
        <v>1267</v>
      </c>
      <c r="N438" s="544"/>
      <c r="O438" s="544">
        <f t="shared" si="205"/>
        <v>1267</v>
      </c>
      <c r="P438" s="504"/>
    </row>
    <row r="439" spans="1:16" ht="47.25" x14ac:dyDescent="0.25">
      <c r="A439" s="531"/>
      <c r="B439" s="444" t="s">
        <v>1195</v>
      </c>
      <c r="C439" s="550"/>
      <c r="D439" s="548"/>
      <c r="E439" s="548">
        <v>914</v>
      </c>
      <c r="F439" s="549"/>
      <c r="G439" s="665"/>
      <c r="H439" s="545">
        <f t="shared" si="202"/>
        <v>914</v>
      </c>
      <c r="I439" s="578"/>
      <c r="J439" s="549"/>
      <c r="K439" s="665"/>
      <c r="L439" s="545">
        <f t="shared" si="203"/>
        <v>0</v>
      </c>
      <c r="M439" s="544">
        <f t="shared" si="204"/>
        <v>914</v>
      </c>
      <c r="N439" s="544"/>
      <c r="O439" s="544">
        <f t="shared" si="205"/>
        <v>914</v>
      </c>
      <c r="P439" s="504"/>
    </row>
    <row r="440" spans="1:16" ht="31.5" x14ac:dyDescent="0.25">
      <c r="A440" s="531"/>
      <c r="B440" s="444" t="s">
        <v>929</v>
      </c>
      <c r="C440" s="550"/>
      <c r="D440" s="548"/>
      <c r="E440" s="548">
        <v>-984</v>
      </c>
      <c r="F440" s="549"/>
      <c r="G440" s="665"/>
      <c r="H440" s="545">
        <f t="shared" si="202"/>
        <v>-984</v>
      </c>
      <c r="I440" s="578">
        <v>984</v>
      </c>
      <c r="J440" s="549"/>
      <c r="K440" s="665"/>
      <c r="L440" s="545">
        <f t="shared" si="203"/>
        <v>984</v>
      </c>
      <c r="M440" s="544">
        <f t="shared" si="204"/>
        <v>0</v>
      </c>
      <c r="N440" s="544"/>
      <c r="O440" s="544">
        <f t="shared" si="205"/>
        <v>0</v>
      </c>
      <c r="P440" s="504"/>
    </row>
    <row r="441" spans="1:16" ht="32.25" thickBot="1" x14ac:dyDescent="0.3">
      <c r="A441" s="531"/>
      <c r="B441" s="444" t="s">
        <v>928</v>
      </c>
      <c r="C441" s="550"/>
      <c r="D441" s="548"/>
      <c r="E441" s="548">
        <v>24385</v>
      </c>
      <c r="F441" s="549"/>
      <c r="G441" s="665"/>
      <c r="H441" s="545">
        <f t="shared" si="202"/>
        <v>24385</v>
      </c>
      <c r="I441" s="578"/>
      <c r="J441" s="549"/>
      <c r="K441" s="665"/>
      <c r="L441" s="545">
        <f>SUM(I441:K441)</f>
        <v>0</v>
      </c>
      <c r="M441" s="544">
        <f>SUM(H441+L441)</f>
        <v>24385</v>
      </c>
      <c r="N441" s="544"/>
      <c r="O441" s="544">
        <f t="shared" si="205"/>
        <v>24385</v>
      </c>
      <c r="P441" s="504"/>
    </row>
    <row r="442" spans="1:16" ht="17.25" thickTop="1" thickBot="1" x14ac:dyDescent="0.3">
      <c r="A442" s="478"/>
      <c r="B442" s="477" t="s">
        <v>430</v>
      </c>
      <c r="C442" s="476">
        <f>+C434+C437+C438+C439+C440+C441</f>
        <v>132280</v>
      </c>
      <c r="D442" s="476">
        <f t="shared" ref="D442:O442" si="206">+D434+D437+D438+D439+D440+D441</f>
        <v>27686</v>
      </c>
      <c r="E442" s="476">
        <f t="shared" si="206"/>
        <v>175348</v>
      </c>
      <c r="F442" s="476">
        <f t="shared" si="206"/>
        <v>0</v>
      </c>
      <c r="G442" s="476">
        <f t="shared" si="206"/>
        <v>0</v>
      </c>
      <c r="H442" s="476">
        <f t="shared" si="206"/>
        <v>335314</v>
      </c>
      <c r="I442" s="476">
        <f t="shared" si="206"/>
        <v>984</v>
      </c>
      <c r="J442" s="476">
        <f t="shared" si="206"/>
        <v>0</v>
      </c>
      <c r="K442" s="476">
        <f t="shared" si="206"/>
        <v>0</v>
      </c>
      <c r="L442" s="476">
        <f t="shared" si="206"/>
        <v>984</v>
      </c>
      <c r="M442" s="476">
        <f t="shared" si="206"/>
        <v>336298</v>
      </c>
      <c r="N442" s="476">
        <f t="shared" si="206"/>
        <v>0</v>
      </c>
      <c r="O442" s="476">
        <f t="shared" si="206"/>
        <v>336298</v>
      </c>
    </row>
    <row r="443" spans="1:16" ht="17.25" thickTop="1" thickBot="1" x14ac:dyDescent="0.3">
      <c r="A443" s="478"/>
      <c r="B443" s="477" t="s">
        <v>437</v>
      </c>
      <c r="C443" s="476">
        <f>+C435+C437+C438+C439+C440+C441</f>
        <v>132280</v>
      </c>
      <c r="D443" s="476">
        <f t="shared" ref="D443:O443" si="207">+D435+D437+D438+D439+D440+D441</f>
        <v>27686</v>
      </c>
      <c r="E443" s="476">
        <f t="shared" si="207"/>
        <v>175348</v>
      </c>
      <c r="F443" s="476">
        <f t="shared" si="207"/>
        <v>0</v>
      </c>
      <c r="G443" s="476">
        <f t="shared" si="207"/>
        <v>0</v>
      </c>
      <c r="H443" s="476">
        <f t="shared" si="207"/>
        <v>335314</v>
      </c>
      <c r="I443" s="476">
        <f t="shared" si="207"/>
        <v>984</v>
      </c>
      <c r="J443" s="476">
        <f t="shared" si="207"/>
        <v>0</v>
      </c>
      <c r="K443" s="476">
        <f t="shared" si="207"/>
        <v>0</v>
      </c>
      <c r="L443" s="476">
        <f t="shared" si="207"/>
        <v>984</v>
      </c>
      <c r="M443" s="476">
        <f t="shared" si="207"/>
        <v>336298</v>
      </c>
      <c r="N443" s="476">
        <f t="shared" si="207"/>
        <v>0</v>
      </c>
      <c r="O443" s="476">
        <f t="shared" si="207"/>
        <v>336298</v>
      </c>
    </row>
    <row r="444" spans="1:16" s="504" customFormat="1" ht="16.5" thickTop="1" x14ac:dyDescent="0.25">
      <c r="A444" s="497" t="s">
        <v>20</v>
      </c>
      <c r="B444" s="519" t="s">
        <v>439</v>
      </c>
      <c r="C444" s="496"/>
      <c r="D444" s="514"/>
      <c r="E444" s="494"/>
      <c r="F444" s="515"/>
      <c r="G444" s="514"/>
      <c r="H444" s="491"/>
      <c r="I444" s="517"/>
      <c r="J444" s="515"/>
      <c r="K444" s="515"/>
      <c r="L444" s="491"/>
      <c r="M444" s="516"/>
      <c r="N444" s="516"/>
      <c r="O444" s="516"/>
      <c r="P444" s="475"/>
    </row>
    <row r="445" spans="1:16" s="504" customFormat="1" x14ac:dyDescent="0.25">
      <c r="A445" s="497"/>
      <c r="B445" s="444" t="s">
        <v>389</v>
      </c>
      <c r="C445" s="496">
        <v>457002</v>
      </c>
      <c r="D445" s="514">
        <v>93268</v>
      </c>
      <c r="E445" s="494">
        <v>545408</v>
      </c>
      <c r="F445" s="515"/>
      <c r="G445" s="514"/>
      <c r="H445" s="491">
        <f>SUM(C445:G445)</f>
        <v>1095678</v>
      </c>
      <c r="I445" s="493">
        <v>12000</v>
      </c>
      <c r="J445" s="492"/>
      <c r="K445" s="492"/>
      <c r="L445" s="491">
        <f>SUM(I445:K445)</f>
        <v>12000</v>
      </c>
      <c r="M445" s="490">
        <f>SUM(H445+L445)</f>
        <v>1107678</v>
      </c>
      <c r="N445" s="490"/>
      <c r="O445" s="490">
        <f>SUM(M445+N445)</f>
        <v>1107678</v>
      </c>
      <c r="P445" s="475"/>
    </row>
    <row r="446" spans="1:16" s="504" customFormat="1" x14ac:dyDescent="0.25">
      <c r="A446" s="523"/>
      <c r="B446" s="498" t="s">
        <v>438</v>
      </c>
      <c r="C446" s="526">
        <v>457002</v>
      </c>
      <c r="D446" s="524">
        <v>93268</v>
      </c>
      <c r="E446" s="521">
        <v>545408</v>
      </c>
      <c r="F446" s="525"/>
      <c r="G446" s="524"/>
      <c r="H446" s="506">
        <f>SUM(C446:G446)</f>
        <v>1095678</v>
      </c>
      <c r="I446" s="508">
        <v>12000</v>
      </c>
      <c r="J446" s="507"/>
      <c r="K446" s="507"/>
      <c r="L446" s="506">
        <f>SUM(I446:K446)</f>
        <v>12000</v>
      </c>
      <c r="M446" s="505">
        <f>SUM(H446+L446)</f>
        <v>1107678</v>
      </c>
      <c r="N446" s="505"/>
      <c r="O446" s="505">
        <f>SUM(M446+N446)</f>
        <v>1107678</v>
      </c>
    </row>
    <row r="447" spans="1:16" s="504" customFormat="1" x14ac:dyDescent="0.25">
      <c r="A447" s="531"/>
      <c r="B447" s="498" t="s">
        <v>141</v>
      </c>
      <c r="C447" s="530"/>
      <c r="D447" s="511"/>
      <c r="E447" s="511"/>
      <c r="F447" s="507"/>
      <c r="G447" s="529"/>
      <c r="H447" s="506"/>
      <c r="I447" s="508"/>
      <c r="J447" s="507"/>
      <c r="K447" s="529"/>
      <c r="L447" s="506"/>
      <c r="M447" s="505"/>
      <c r="N447" s="505"/>
      <c r="O447" s="505"/>
    </row>
    <row r="448" spans="1:16" s="504" customFormat="1" ht="31.5" x14ac:dyDescent="0.25">
      <c r="A448" s="531"/>
      <c r="B448" s="453" t="s">
        <v>1168</v>
      </c>
      <c r="C448" s="550">
        <v>1165</v>
      </c>
      <c r="D448" s="548">
        <v>227</v>
      </c>
      <c r="E448" s="548"/>
      <c r="F448" s="549"/>
      <c r="G448" s="665"/>
      <c r="H448" s="545">
        <f t="shared" ref="H448:H456" si="208">SUM(C448:G448)</f>
        <v>1392</v>
      </c>
      <c r="I448" s="578"/>
      <c r="J448" s="549"/>
      <c r="K448" s="665"/>
      <c r="L448" s="545">
        <f t="shared" ref="L448:L456" si="209">SUM(I448:K448)</f>
        <v>0</v>
      </c>
      <c r="M448" s="545">
        <f t="shared" ref="M448:M456" si="210">SUM(H448+L448)</f>
        <v>1392</v>
      </c>
      <c r="N448" s="545"/>
      <c r="O448" s="545">
        <f t="shared" ref="O448:O456" si="211">SUM(M448+N448)</f>
        <v>1392</v>
      </c>
    </row>
    <row r="449" spans="1:16" s="504" customFormat="1" ht="31.5" x14ac:dyDescent="0.25">
      <c r="A449" s="531"/>
      <c r="B449" s="936" t="s">
        <v>1197</v>
      </c>
      <c r="C449" s="550">
        <v>6860</v>
      </c>
      <c r="D449" s="548">
        <v>1338</v>
      </c>
      <c r="E449" s="548"/>
      <c r="F449" s="549"/>
      <c r="G449" s="665"/>
      <c r="H449" s="545">
        <f t="shared" si="208"/>
        <v>8198</v>
      </c>
      <c r="I449" s="578"/>
      <c r="J449" s="549"/>
      <c r="K449" s="665"/>
      <c r="L449" s="545">
        <f t="shared" si="209"/>
        <v>0</v>
      </c>
      <c r="M449" s="545">
        <f t="shared" si="210"/>
        <v>8198</v>
      </c>
      <c r="N449" s="545"/>
      <c r="O449" s="545">
        <f t="shared" si="211"/>
        <v>8198</v>
      </c>
    </row>
    <row r="450" spans="1:16" s="504" customFormat="1" ht="63" x14ac:dyDescent="0.25">
      <c r="A450" s="531"/>
      <c r="B450" s="444" t="s">
        <v>1204</v>
      </c>
      <c r="C450" s="550"/>
      <c r="D450" s="548"/>
      <c r="E450" s="548">
        <v>1098</v>
      </c>
      <c r="F450" s="549"/>
      <c r="G450" s="665"/>
      <c r="H450" s="545">
        <f t="shared" si="208"/>
        <v>1098</v>
      </c>
      <c r="I450" s="578"/>
      <c r="J450" s="549"/>
      <c r="K450" s="665"/>
      <c r="L450" s="545">
        <f t="shared" si="209"/>
        <v>0</v>
      </c>
      <c r="M450" s="544">
        <f t="shared" si="210"/>
        <v>1098</v>
      </c>
      <c r="N450" s="544"/>
      <c r="O450" s="544">
        <f t="shared" si="211"/>
        <v>1098</v>
      </c>
    </row>
    <row r="451" spans="1:16" s="504" customFormat="1" x14ac:dyDescent="0.25">
      <c r="A451" s="531"/>
      <c r="B451" s="444" t="s">
        <v>1235</v>
      </c>
      <c r="C451" s="550">
        <v>3917</v>
      </c>
      <c r="D451" s="548">
        <v>1341</v>
      </c>
      <c r="E451" s="548"/>
      <c r="F451" s="549"/>
      <c r="G451" s="665"/>
      <c r="H451" s="545">
        <f t="shared" si="208"/>
        <v>5258</v>
      </c>
      <c r="I451" s="578"/>
      <c r="J451" s="549"/>
      <c r="K451" s="665"/>
      <c r="L451" s="545">
        <f t="shared" si="209"/>
        <v>0</v>
      </c>
      <c r="M451" s="544">
        <f t="shared" si="210"/>
        <v>5258</v>
      </c>
      <c r="N451" s="544"/>
      <c r="O451" s="544">
        <f t="shared" si="211"/>
        <v>5258</v>
      </c>
    </row>
    <row r="452" spans="1:16" s="504" customFormat="1" x14ac:dyDescent="0.25">
      <c r="A452" s="531"/>
      <c r="B452" s="444" t="s">
        <v>631</v>
      </c>
      <c r="C452" s="550">
        <v>135</v>
      </c>
      <c r="D452" s="548">
        <v>26</v>
      </c>
      <c r="E452" s="548"/>
      <c r="F452" s="549"/>
      <c r="G452" s="665"/>
      <c r="H452" s="545">
        <f t="shared" si="208"/>
        <v>161</v>
      </c>
      <c r="I452" s="578"/>
      <c r="J452" s="549"/>
      <c r="K452" s="665"/>
      <c r="L452" s="545">
        <f t="shared" si="209"/>
        <v>0</v>
      </c>
      <c r="M452" s="544">
        <f t="shared" si="210"/>
        <v>161</v>
      </c>
      <c r="N452" s="544"/>
      <c r="O452" s="544">
        <f t="shared" si="211"/>
        <v>161</v>
      </c>
    </row>
    <row r="453" spans="1:16" ht="47.25" x14ac:dyDescent="0.25">
      <c r="A453" s="531"/>
      <c r="B453" s="444" t="s">
        <v>1195</v>
      </c>
      <c r="C453" s="550"/>
      <c r="D453" s="548"/>
      <c r="E453" s="548">
        <v>1600</v>
      </c>
      <c r="F453" s="549"/>
      <c r="G453" s="665"/>
      <c r="H453" s="545">
        <f t="shared" si="208"/>
        <v>1600</v>
      </c>
      <c r="I453" s="578"/>
      <c r="J453" s="549"/>
      <c r="K453" s="665"/>
      <c r="L453" s="545">
        <f t="shared" si="209"/>
        <v>0</v>
      </c>
      <c r="M453" s="544">
        <f t="shared" si="210"/>
        <v>1600</v>
      </c>
      <c r="N453" s="544"/>
      <c r="O453" s="544">
        <f t="shared" si="211"/>
        <v>1600</v>
      </c>
      <c r="P453" s="504"/>
    </row>
    <row r="454" spans="1:16" ht="31.5" x14ac:dyDescent="0.25">
      <c r="A454" s="531"/>
      <c r="B454" s="444" t="s">
        <v>929</v>
      </c>
      <c r="C454" s="550"/>
      <c r="D454" s="548"/>
      <c r="E454" s="548">
        <v>-1139</v>
      </c>
      <c r="F454" s="549"/>
      <c r="G454" s="665"/>
      <c r="H454" s="545">
        <f t="shared" si="208"/>
        <v>-1139</v>
      </c>
      <c r="I454" s="578"/>
      <c r="J454" s="549">
        <v>1139</v>
      </c>
      <c r="K454" s="665"/>
      <c r="L454" s="545">
        <f t="shared" si="209"/>
        <v>1139</v>
      </c>
      <c r="M454" s="544">
        <f t="shared" si="210"/>
        <v>0</v>
      </c>
      <c r="N454" s="544"/>
      <c r="O454" s="544">
        <f t="shared" si="211"/>
        <v>0</v>
      </c>
      <c r="P454" s="504"/>
    </row>
    <row r="455" spans="1:16" ht="31.5" x14ac:dyDescent="0.25">
      <c r="A455" s="531"/>
      <c r="B455" s="444" t="s">
        <v>928</v>
      </c>
      <c r="C455" s="550"/>
      <c r="D455" s="548"/>
      <c r="E455" s="548">
        <v>21451</v>
      </c>
      <c r="F455" s="549"/>
      <c r="G455" s="665"/>
      <c r="H455" s="545">
        <f t="shared" si="208"/>
        <v>21451</v>
      </c>
      <c r="I455" s="578"/>
      <c r="J455" s="549"/>
      <c r="K455" s="665"/>
      <c r="L455" s="545">
        <f t="shared" si="209"/>
        <v>0</v>
      </c>
      <c r="M455" s="544">
        <f t="shared" si="210"/>
        <v>21451</v>
      </c>
      <c r="N455" s="544"/>
      <c r="O455" s="544">
        <f t="shared" si="211"/>
        <v>21451</v>
      </c>
      <c r="P455" s="504"/>
    </row>
    <row r="456" spans="1:16" ht="32.25" thickBot="1" x14ac:dyDescent="0.3">
      <c r="A456" s="531"/>
      <c r="B456" s="444" t="s">
        <v>1175</v>
      </c>
      <c r="C456" s="550">
        <v>-2209</v>
      </c>
      <c r="D456" s="548">
        <v>-431</v>
      </c>
      <c r="E456" s="548"/>
      <c r="F456" s="549"/>
      <c r="G456" s="665"/>
      <c r="H456" s="545">
        <f t="shared" si="208"/>
        <v>-2640</v>
      </c>
      <c r="I456" s="578"/>
      <c r="J456" s="549"/>
      <c r="K456" s="665"/>
      <c r="L456" s="545">
        <f t="shared" si="209"/>
        <v>0</v>
      </c>
      <c r="M456" s="544">
        <f t="shared" si="210"/>
        <v>-2640</v>
      </c>
      <c r="N456" s="544"/>
      <c r="O456" s="544">
        <f t="shared" si="211"/>
        <v>-2640</v>
      </c>
      <c r="P456" s="504"/>
    </row>
    <row r="457" spans="1:16" s="504" customFormat="1" ht="17.25" thickTop="1" thickBot="1" x14ac:dyDescent="0.3">
      <c r="A457" s="478"/>
      <c r="B457" s="477" t="s">
        <v>430</v>
      </c>
      <c r="C457" s="476">
        <f>+C445+C448+C449+C450+C451+C452+C453+C455+C454+C456</f>
        <v>466870</v>
      </c>
      <c r="D457" s="476">
        <f t="shared" ref="D457:O457" si="212">+D445+D448+D449+D450+D451+D452+D453+D455+D454+D456</f>
        <v>95769</v>
      </c>
      <c r="E457" s="476">
        <f t="shared" si="212"/>
        <v>568418</v>
      </c>
      <c r="F457" s="476">
        <f t="shared" si="212"/>
        <v>0</v>
      </c>
      <c r="G457" s="476">
        <f t="shared" si="212"/>
        <v>0</v>
      </c>
      <c r="H457" s="476">
        <f t="shared" si="212"/>
        <v>1131057</v>
      </c>
      <c r="I457" s="476">
        <f t="shared" si="212"/>
        <v>12000</v>
      </c>
      <c r="J457" s="476">
        <f t="shared" si="212"/>
        <v>1139</v>
      </c>
      <c r="K457" s="476">
        <f t="shared" si="212"/>
        <v>0</v>
      </c>
      <c r="L457" s="476">
        <f t="shared" si="212"/>
        <v>13139</v>
      </c>
      <c r="M457" s="476">
        <f t="shared" si="212"/>
        <v>1144196</v>
      </c>
      <c r="N457" s="476">
        <f t="shared" si="212"/>
        <v>0</v>
      </c>
      <c r="O457" s="476">
        <f t="shared" si="212"/>
        <v>1144196</v>
      </c>
      <c r="P457" s="475"/>
    </row>
    <row r="458" spans="1:16" s="504" customFormat="1" ht="17.25" thickTop="1" thickBot="1" x14ac:dyDescent="0.3">
      <c r="A458" s="478"/>
      <c r="B458" s="477" t="s">
        <v>437</v>
      </c>
      <c r="C458" s="476">
        <f>+C446+C448+C449+C450+C451+C452+C453+C455+C454+C456</f>
        <v>466870</v>
      </c>
      <c r="D458" s="476">
        <f t="shared" ref="D458:O458" si="213">+D446+D448+D449+D450+D451+D452+D453+D455+D454+D456</f>
        <v>95769</v>
      </c>
      <c r="E458" s="476">
        <f t="shared" si="213"/>
        <v>568418</v>
      </c>
      <c r="F458" s="476">
        <f t="shared" si="213"/>
        <v>0</v>
      </c>
      <c r="G458" s="476">
        <f t="shared" si="213"/>
        <v>0</v>
      </c>
      <c r="H458" s="476">
        <f t="shared" si="213"/>
        <v>1131057</v>
      </c>
      <c r="I458" s="476">
        <f t="shared" si="213"/>
        <v>12000</v>
      </c>
      <c r="J458" s="476">
        <f t="shared" si="213"/>
        <v>1139</v>
      </c>
      <c r="K458" s="476">
        <f t="shared" si="213"/>
        <v>0</v>
      </c>
      <c r="L458" s="476">
        <f t="shared" si="213"/>
        <v>13139</v>
      </c>
      <c r="M458" s="476">
        <f t="shared" si="213"/>
        <v>1144196</v>
      </c>
      <c r="N458" s="476">
        <f t="shared" si="213"/>
        <v>0</v>
      </c>
      <c r="O458" s="476">
        <f t="shared" si="213"/>
        <v>1144196</v>
      </c>
      <c r="P458" s="475"/>
    </row>
    <row r="459" spans="1:16" s="504" customFormat="1" ht="16.5" thickTop="1" x14ac:dyDescent="0.25">
      <c r="A459" s="497" t="s">
        <v>21</v>
      </c>
      <c r="B459" s="519" t="s">
        <v>926</v>
      </c>
      <c r="C459" s="496"/>
      <c r="D459" s="514"/>
      <c r="E459" s="494"/>
      <c r="F459" s="515"/>
      <c r="G459" s="514"/>
      <c r="H459" s="491"/>
      <c r="I459" s="517"/>
      <c r="J459" s="515"/>
      <c r="K459" s="515"/>
      <c r="L459" s="491"/>
      <c r="M459" s="516"/>
      <c r="N459" s="516"/>
      <c r="O459" s="516"/>
      <c r="P459" s="475"/>
    </row>
    <row r="460" spans="1:16" s="504" customFormat="1" x14ac:dyDescent="0.25">
      <c r="A460" s="531"/>
      <c r="B460" s="454" t="s">
        <v>389</v>
      </c>
      <c r="C460" s="550">
        <v>34051</v>
      </c>
      <c r="D460" s="548">
        <v>6575</v>
      </c>
      <c r="E460" s="548">
        <v>34175</v>
      </c>
      <c r="F460" s="549"/>
      <c r="G460" s="665"/>
      <c r="H460" s="545">
        <f t="shared" ref="H460:H463" si="214">SUM(C460:G460)</f>
        <v>74801</v>
      </c>
      <c r="I460" s="578"/>
      <c r="J460" s="549"/>
      <c r="K460" s="665"/>
      <c r="L460" s="545">
        <f t="shared" ref="L460:L463" si="215">SUM(I460:K460)</f>
        <v>0</v>
      </c>
      <c r="M460" s="544">
        <f t="shared" ref="M460:M463" si="216">SUM(H460+L460)</f>
        <v>74801</v>
      </c>
      <c r="N460" s="544"/>
      <c r="O460" s="544">
        <f t="shared" ref="O460:O463" si="217">SUM(M460+N460)</f>
        <v>74801</v>
      </c>
    </row>
    <row r="461" spans="1:16" s="504" customFormat="1" x14ac:dyDescent="0.25">
      <c r="A461" s="523"/>
      <c r="B461" s="498" t="s">
        <v>1205</v>
      </c>
      <c r="C461" s="526">
        <v>34051</v>
      </c>
      <c r="D461" s="524">
        <v>6575</v>
      </c>
      <c r="E461" s="521">
        <v>34175</v>
      </c>
      <c r="F461" s="525"/>
      <c r="G461" s="524"/>
      <c r="H461" s="506">
        <f t="shared" si="214"/>
        <v>74801</v>
      </c>
      <c r="I461" s="508"/>
      <c r="J461" s="507"/>
      <c r="K461" s="507"/>
      <c r="L461" s="506">
        <f t="shared" si="215"/>
        <v>0</v>
      </c>
      <c r="M461" s="505">
        <f t="shared" si="216"/>
        <v>74801</v>
      </c>
      <c r="N461" s="505"/>
      <c r="O461" s="505">
        <f t="shared" si="217"/>
        <v>74801</v>
      </c>
    </row>
    <row r="462" spans="1:16" s="504" customFormat="1" x14ac:dyDescent="0.25">
      <c r="A462" s="531"/>
      <c r="B462" s="498" t="s">
        <v>141</v>
      </c>
      <c r="C462" s="530"/>
      <c r="D462" s="511"/>
      <c r="E462" s="511"/>
      <c r="F462" s="507"/>
      <c r="G462" s="529"/>
      <c r="H462" s="506"/>
      <c r="I462" s="508"/>
      <c r="J462" s="507"/>
      <c r="K462" s="529"/>
      <c r="L462" s="506"/>
      <c r="M462" s="505"/>
      <c r="N462" s="505"/>
      <c r="O462" s="505"/>
    </row>
    <row r="463" spans="1:16" s="504" customFormat="1" ht="48" thickBot="1" x14ac:dyDescent="0.3">
      <c r="A463" s="531"/>
      <c r="B463" s="454" t="s">
        <v>1206</v>
      </c>
      <c r="C463" s="550"/>
      <c r="D463" s="548"/>
      <c r="E463" s="548">
        <v>2477</v>
      </c>
      <c r="F463" s="549"/>
      <c r="G463" s="665"/>
      <c r="H463" s="545">
        <f t="shared" si="214"/>
        <v>2477</v>
      </c>
      <c r="I463" s="578"/>
      <c r="J463" s="549"/>
      <c r="K463" s="665"/>
      <c r="L463" s="506">
        <f t="shared" si="215"/>
        <v>0</v>
      </c>
      <c r="M463" s="544">
        <f t="shared" si="216"/>
        <v>2477</v>
      </c>
      <c r="N463" s="544"/>
      <c r="O463" s="544">
        <f t="shared" si="217"/>
        <v>2477</v>
      </c>
    </row>
    <row r="464" spans="1:16" s="504" customFormat="1" ht="17.25" thickTop="1" thickBot="1" x14ac:dyDescent="0.3">
      <c r="A464" s="478"/>
      <c r="B464" s="477" t="s">
        <v>430</v>
      </c>
      <c r="C464" s="476">
        <f>+C460+C463</f>
        <v>34051</v>
      </c>
      <c r="D464" s="476">
        <f t="shared" ref="D464:O464" si="218">+D460+D463</f>
        <v>6575</v>
      </c>
      <c r="E464" s="476">
        <f t="shared" si="218"/>
        <v>36652</v>
      </c>
      <c r="F464" s="476">
        <f t="shared" si="218"/>
        <v>0</v>
      </c>
      <c r="G464" s="476">
        <f t="shared" si="218"/>
        <v>0</v>
      </c>
      <c r="H464" s="476">
        <f t="shared" si="218"/>
        <v>77278</v>
      </c>
      <c r="I464" s="476">
        <f t="shared" si="218"/>
        <v>0</v>
      </c>
      <c r="J464" s="476">
        <f t="shared" si="218"/>
        <v>0</v>
      </c>
      <c r="K464" s="476">
        <f t="shared" si="218"/>
        <v>0</v>
      </c>
      <c r="L464" s="476">
        <f t="shared" si="218"/>
        <v>0</v>
      </c>
      <c r="M464" s="476">
        <f t="shared" si="218"/>
        <v>77278</v>
      </c>
      <c r="N464" s="476">
        <f t="shared" si="218"/>
        <v>0</v>
      </c>
      <c r="O464" s="476">
        <f t="shared" si="218"/>
        <v>77278</v>
      </c>
      <c r="P464" s="475"/>
    </row>
    <row r="465" spans="1:16" ht="17.25" thickTop="1" thickBot="1" x14ac:dyDescent="0.3">
      <c r="A465" s="478"/>
      <c r="B465" s="477" t="s">
        <v>437</v>
      </c>
      <c r="C465" s="476">
        <f>+C461+C463</f>
        <v>34051</v>
      </c>
      <c r="D465" s="476">
        <f t="shared" ref="D465:O465" si="219">+D461+D463</f>
        <v>6575</v>
      </c>
      <c r="E465" s="476">
        <f t="shared" si="219"/>
        <v>36652</v>
      </c>
      <c r="F465" s="476">
        <f t="shared" si="219"/>
        <v>0</v>
      </c>
      <c r="G465" s="476">
        <f t="shared" si="219"/>
        <v>0</v>
      </c>
      <c r="H465" s="476">
        <f t="shared" si="219"/>
        <v>77278</v>
      </c>
      <c r="I465" s="476">
        <f t="shared" si="219"/>
        <v>0</v>
      </c>
      <c r="J465" s="476">
        <f t="shared" si="219"/>
        <v>0</v>
      </c>
      <c r="K465" s="476">
        <f t="shared" si="219"/>
        <v>0</v>
      </c>
      <c r="L465" s="476">
        <f t="shared" si="219"/>
        <v>0</v>
      </c>
      <c r="M465" s="476">
        <f t="shared" si="219"/>
        <v>77278</v>
      </c>
      <c r="N465" s="476">
        <f t="shared" si="219"/>
        <v>0</v>
      </c>
      <c r="O465" s="476">
        <f t="shared" si="219"/>
        <v>77278</v>
      </c>
    </row>
    <row r="466" spans="1:16" ht="16.5" thickTop="1" x14ac:dyDescent="0.25">
      <c r="A466" s="497" t="s">
        <v>885</v>
      </c>
      <c r="B466" s="519" t="s">
        <v>436</v>
      </c>
      <c r="C466" s="518"/>
      <c r="D466" s="494"/>
      <c r="E466" s="494"/>
      <c r="F466" s="492"/>
      <c r="G466" s="514"/>
      <c r="H466" s="491"/>
      <c r="I466" s="517"/>
      <c r="J466" s="515"/>
      <c r="K466" s="515"/>
      <c r="L466" s="491"/>
      <c r="M466" s="516"/>
      <c r="N466" s="516"/>
      <c r="O466" s="516"/>
    </row>
    <row r="467" spans="1:16" x14ac:dyDescent="0.25">
      <c r="A467" s="497"/>
      <c r="B467" s="444" t="s">
        <v>389</v>
      </c>
      <c r="C467" s="518">
        <v>83559</v>
      </c>
      <c r="D467" s="494">
        <v>16723</v>
      </c>
      <c r="E467" s="494">
        <v>109338</v>
      </c>
      <c r="F467" s="492"/>
      <c r="G467" s="514"/>
      <c r="H467" s="491">
        <f>SUM(C467:G467)</f>
        <v>209620</v>
      </c>
      <c r="I467" s="493"/>
      <c r="J467" s="492">
        <v>1784</v>
      </c>
      <c r="K467" s="492"/>
      <c r="L467" s="491">
        <f>SUM(I467:K467)</f>
        <v>1784</v>
      </c>
      <c r="M467" s="490">
        <f>SUM(H467+L467)</f>
        <v>211404</v>
      </c>
      <c r="N467" s="490"/>
      <c r="O467" s="490">
        <f>SUM(M467+N467)</f>
        <v>211404</v>
      </c>
    </row>
    <row r="468" spans="1:16" x14ac:dyDescent="0.25">
      <c r="A468" s="513"/>
      <c r="B468" s="498" t="s">
        <v>432</v>
      </c>
      <c r="C468" s="520">
        <v>82835</v>
      </c>
      <c r="D468" s="511">
        <v>16475</v>
      </c>
      <c r="E468" s="511">
        <v>88072</v>
      </c>
      <c r="F468" s="507"/>
      <c r="G468" s="509"/>
      <c r="H468" s="506">
        <f>SUM(C468:G468)</f>
        <v>187382</v>
      </c>
      <c r="I468" s="508"/>
      <c r="J468" s="507">
        <v>1784</v>
      </c>
      <c r="K468" s="507"/>
      <c r="L468" s="506">
        <f>SUM(I468:K468)</f>
        <v>1784</v>
      </c>
      <c r="M468" s="505">
        <f>SUM(H468+L468)</f>
        <v>189166</v>
      </c>
      <c r="N468" s="505"/>
      <c r="O468" s="505">
        <f>SUM(M468+N468)</f>
        <v>189166</v>
      </c>
      <c r="P468" s="504"/>
    </row>
    <row r="469" spans="1:16" s="504" customFormat="1" x14ac:dyDescent="0.25">
      <c r="A469" s="513"/>
      <c r="B469" s="498" t="s">
        <v>431</v>
      </c>
      <c r="C469" s="520">
        <v>724</v>
      </c>
      <c r="D469" s="511">
        <v>248</v>
      </c>
      <c r="E469" s="511">
        <v>21266</v>
      </c>
      <c r="F469" s="507"/>
      <c r="G469" s="509"/>
      <c r="H469" s="506">
        <f>SUM(C469:G469)</f>
        <v>22238</v>
      </c>
      <c r="I469" s="508"/>
      <c r="J469" s="507"/>
      <c r="K469" s="507"/>
      <c r="L469" s="506">
        <f>SUM(I469:K469)</f>
        <v>0</v>
      </c>
      <c r="M469" s="505">
        <f>SUM(H469+L469)</f>
        <v>22238</v>
      </c>
      <c r="N469" s="505"/>
      <c r="O469" s="505">
        <f>SUM(M469+N469)</f>
        <v>22238</v>
      </c>
    </row>
    <row r="470" spans="1:16" s="504" customFormat="1" x14ac:dyDescent="0.25">
      <c r="A470" s="513"/>
      <c r="B470" s="498" t="s">
        <v>140</v>
      </c>
      <c r="C470" s="520"/>
      <c r="D470" s="511"/>
      <c r="E470" s="511"/>
      <c r="F470" s="507"/>
      <c r="G470" s="509"/>
      <c r="H470" s="506"/>
      <c r="I470" s="508"/>
      <c r="J470" s="507"/>
      <c r="K470" s="507"/>
      <c r="L470" s="506"/>
      <c r="M470" s="505"/>
      <c r="N470" s="505"/>
      <c r="O470" s="505"/>
    </row>
    <row r="471" spans="1:16" s="504" customFormat="1" ht="31.5" x14ac:dyDescent="0.25">
      <c r="A471" s="513"/>
      <c r="B471" s="454" t="s">
        <v>1197</v>
      </c>
      <c r="C471" s="666">
        <v>1690</v>
      </c>
      <c r="D471" s="548">
        <v>330</v>
      </c>
      <c r="E471" s="548"/>
      <c r="F471" s="549"/>
      <c r="G471" s="661"/>
      <c r="H471" s="545">
        <f t="shared" ref="H471:H486" si="220">SUM(C471:G471)</f>
        <v>2020</v>
      </c>
      <c r="I471" s="578"/>
      <c r="J471" s="549"/>
      <c r="K471" s="549"/>
      <c r="L471" s="545">
        <f t="shared" ref="L471:L486" si="221">SUM(I471:K471)</f>
        <v>0</v>
      </c>
      <c r="M471" s="544">
        <f t="shared" ref="M471:M486" si="222">SUM(H471+L471)</f>
        <v>2020</v>
      </c>
      <c r="N471" s="544"/>
      <c r="O471" s="544">
        <f t="shared" ref="O471:O486" si="223">SUM(M471+N471)</f>
        <v>2020</v>
      </c>
    </row>
    <row r="472" spans="1:16" s="504" customFormat="1" ht="47.25" x14ac:dyDescent="0.25">
      <c r="A472" s="531"/>
      <c r="B472" s="453" t="s">
        <v>1195</v>
      </c>
      <c r="C472" s="944"/>
      <c r="D472" s="548"/>
      <c r="E472" s="548">
        <v>2448</v>
      </c>
      <c r="F472" s="549"/>
      <c r="G472" s="548"/>
      <c r="H472" s="545">
        <f t="shared" si="220"/>
        <v>2448</v>
      </c>
      <c r="I472" s="578"/>
      <c r="J472" s="549"/>
      <c r="K472" s="549"/>
      <c r="L472" s="545">
        <f t="shared" si="221"/>
        <v>0</v>
      </c>
      <c r="M472" s="545">
        <f t="shared" si="222"/>
        <v>2448</v>
      </c>
      <c r="N472" s="545"/>
      <c r="O472" s="545">
        <f t="shared" si="223"/>
        <v>2448</v>
      </c>
    </row>
    <row r="473" spans="1:16" s="504" customFormat="1" ht="31.5" x14ac:dyDescent="0.25">
      <c r="A473" s="531"/>
      <c r="B473" s="453" t="s">
        <v>929</v>
      </c>
      <c r="C473" s="944"/>
      <c r="D473" s="548"/>
      <c r="E473" s="548">
        <v>-11607</v>
      </c>
      <c r="F473" s="549"/>
      <c r="G473" s="548"/>
      <c r="H473" s="545">
        <f t="shared" si="220"/>
        <v>-11607</v>
      </c>
      <c r="I473" s="578">
        <v>11607</v>
      </c>
      <c r="J473" s="549"/>
      <c r="K473" s="549"/>
      <c r="L473" s="545">
        <f t="shared" si="221"/>
        <v>11607</v>
      </c>
      <c r="M473" s="545">
        <f t="shared" si="222"/>
        <v>0</v>
      </c>
      <c r="N473" s="545"/>
      <c r="O473" s="545">
        <f t="shared" si="223"/>
        <v>0</v>
      </c>
    </row>
    <row r="474" spans="1:16" s="504" customFormat="1" ht="47.25" x14ac:dyDescent="0.25">
      <c r="A474" s="513"/>
      <c r="B474" s="444" t="s">
        <v>1207</v>
      </c>
      <c r="C474" s="666">
        <v>740</v>
      </c>
      <c r="D474" s="548">
        <v>89</v>
      </c>
      <c r="E474" s="548"/>
      <c r="F474" s="549"/>
      <c r="G474" s="661"/>
      <c r="H474" s="545">
        <f t="shared" si="220"/>
        <v>829</v>
      </c>
      <c r="I474" s="578"/>
      <c r="J474" s="549"/>
      <c r="K474" s="549"/>
      <c r="L474" s="545">
        <f t="shared" si="221"/>
        <v>0</v>
      </c>
      <c r="M474" s="544">
        <f t="shared" si="222"/>
        <v>829</v>
      </c>
      <c r="N474" s="544"/>
      <c r="O474" s="544">
        <f t="shared" si="223"/>
        <v>829</v>
      </c>
    </row>
    <row r="475" spans="1:16" s="504" customFormat="1" x14ac:dyDescent="0.25">
      <c r="A475" s="513"/>
      <c r="B475" s="498" t="s">
        <v>141</v>
      </c>
      <c r="C475" s="666"/>
      <c r="D475" s="548"/>
      <c r="E475" s="548"/>
      <c r="F475" s="549"/>
      <c r="G475" s="661"/>
      <c r="H475" s="545"/>
      <c r="I475" s="578"/>
      <c r="J475" s="549"/>
      <c r="K475" s="549"/>
      <c r="L475" s="545"/>
      <c r="M475" s="544"/>
      <c r="N475" s="544"/>
      <c r="O475" s="544"/>
    </row>
    <row r="476" spans="1:16" s="504" customFormat="1" ht="47.25" x14ac:dyDescent="0.25">
      <c r="A476" s="513"/>
      <c r="B476" s="444" t="s">
        <v>1250</v>
      </c>
      <c r="C476" s="666"/>
      <c r="D476" s="548"/>
      <c r="E476" s="548">
        <v>100</v>
      </c>
      <c r="F476" s="549"/>
      <c r="G476" s="661"/>
      <c r="H476" s="545">
        <f t="shared" si="220"/>
        <v>100</v>
      </c>
      <c r="I476" s="578"/>
      <c r="J476" s="549"/>
      <c r="K476" s="549"/>
      <c r="L476" s="545">
        <f t="shared" si="221"/>
        <v>0</v>
      </c>
      <c r="M476" s="544">
        <f t="shared" si="222"/>
        <v>100</v>
      </c>
      <c r="N476" s="544"/>
      <c r="O476" s="544">
        <f t="shared" si="223"/>
        <v>100</v>
      </c>
    </row>
    <row r="477" spans="1:16" s="504" customFormat="1" ht="47.25" x14ac:dyDescent="0.25">
      <c r="A477" s="513"/>
      <c r="B477" s="444" t="s">
        <v>1209</v>
      </c>
      <c r="C477" s="666"/>
      <c r="D477" s="548"/>
      <c r="E477" s="548">
        <v>100</v>
      </c>
      <c r="F477" s="549"/>
      <c r="G477" s="661"/>
      <c r="H477" s="545">
        <f t="shared" si="220"/>
        <v>100</v>
      </c>
      <c r="I477" s="578"/>
      <c r="J477" s="549"/>
      <c r="K477" s="549"/>
      <c r="L477" s="545">
        <f t="shared" si="221"/>
        <v>0</v>
      </c>
      <c r="M477" s="544">
        <f t="shared" si="222"/>
        <v>100</v>
      </c>
      <c r="N477" s="544"/>
      <c r="O477" s="544">
        <f t="shared" si="223"/>
        <v>100</v>
      </c>
    </row>
    <row r="478" spans="1:16" s="504" customFormat="1" ht="47.25" x14ac:dyDescent="0.25">
      <c r="A478" s="513"/>
      <c r="B478" s="444" t="s">
        <v>1210</v>
      </c>
      <c r="C478" s="666"/>
      <c r="D478" s="548"/>
      <c r="E478" s="548">
        <v>200</v>
      </c>
      <c r="F478" s="549"/>
      <c r="G478" s="661"/>
      <c r="H478" s="545">
        <f t="shared" si="220"/>
        <v>200</v>
      </c>
      <c r="I478" s="578"/>
      <c r="J478" s="549"/>
      <c r="K478" s="549"/>
      <c r="L478" s="545">
        <f t="shared" si="221"/>
        <v>0</v>
      </c>
      <c r="M478" s="544">
        <f t="shared" si="222"/>
        <v>200</v>
      </c>
      <c r="N478" s="544"/>
      <c r="O478" s="544">
        <f t="shared" si="223"/>
        <v>200</v>
      </c>
    </row>
    <row r="479" spans="1:16" s="504" customFormat="1" ht="47.25" x14ac:dyDescent="0.25">
      <c r="A479" s="513"/>
      <c r="B479" s="444" t="s">
        <v>1211</v>
      </c>
      <c r="C479" s="666"/>
      <c r="D479" s="548"/>
      <c r="E479" s="548">
        <v>100</v>
      </c>
      <c r="F479" s="549"/>
      <c r="G479" s="661"/>
      <c r="H479" s="545">
        <f t="shared" si="220"/>
        <v>100</v>
      </c>
      <c r="I479" s="578"/>
      <c r="J479" s="549"/>
      <c r="K479" s="549"/>
      <c r="L479" s="545">
        <f t="shared" si="221"/>
        <v>0</v>
      </c>
      <c r="M479" s="544">
        <f t="shared" si="222"/>
        <v>100</v>
      </c>
      <c r="N479" s="544"/>
      <c r="O479" s="544">
        <f t="shared" si="223"/>
        <v>100</v>
      </c>
    </row>
    <row r="480" spans="1:16" s="504" customFormat="1" ht="94.5" x14ac:dyDescent="0.25">
      <c r="A480" s="513"/>
      <c r="B480" s="444" t="s">
        <v>1251</v>
      </c>
      <c r="C480" s="666"/>
      <c r="D480" s="548"/>
      <c r="E480" s="548">
        <v>300</v>
      </c>
      <c r="F480" s="549"/>
      <c r="G480" s="661"/>
      <c r="H480" s="545">
        <f t="shared" si="220"/>
        <v>300</v>
      </c>
      <c r="I480" s="578"/>
      <c r="J480" s="549"/>
      <c r="K480" s="549"/>
      <c r="L480" s="545">
        <f t="shared" si="221"/>
        <v>0</v>
      </c>
      <c r="M480" s="544">
        <f t="shared" si="222"/>
        <v>300</v>
      </c>
      <c r="N480" s="544"/>
      <c r="O480" s="544">
        <f t="shared" si="223"/>
        <v>300</v>
      </c>
    </row>
    <row r="481" spans="1:16" s="504" customFormat="1" ht="78.75" x14ac:dyDescent="0.25">
      <c r="A481" s="513"/>
      <c r="B481" s="444" t="s">
        <v>1252</v>
      </c>
      <c r="C481" s="666"/>
      <c r="D481" s="548"/>
      <c r="E481" s="548">
        <v>50</v>
      </c>
      <c r="F481" s="549"/>
      <c r="G481" s="661"/>
      <c r="H481" s="545">
        <f t="shared" si="220"/>
        <v>50</v>
      </c>
      <c r="I481" s="578"/>
      <c r="J481" s="549"/>
      <c r="K481" s="549"/>
      <c r="L481" s="545">
        <f t="shared" si="221"/>
        <v>0</v>
      </c>
      <c r="M481" s="544">
        <f t="shared" si="222"/>
        <v>50</v>
      </c>
      <c r="N481" s="544"/>
      <c r="O481" s="544">
        <f t="shared" si="223"/>
        <v>50</v>
      </c>
    </row>
    <row r="482" spans="1:16" s="504" customFormat="1" ht="78.75" x14ac:dyDescent="0.25">
      <c r="A482" s="531"/>
      <c r="B482" s="453" t="s">
        <v>1252</v>
      </c>
      <c r="C482" s="944"/>
      <c r="D482" s="548"/>
      <c r="E482" s="548">
        <v>50</v>
      </c>
      <c r="F482" s="549"/>
      <c r="G482" s="548"/>
      <c r="H482" s="545">
        <f t="shared" si="220"/>
        <v>50</v>
      </c>
      <c r="I482" s="578"/>
      <c r="J482" s="549"/>
      <c r="K482" s="549"/>
      <c r="L482" s="545">
        <f t="shared" si="221"/>
        <v>0</v>
      </c>
      <c r="M482" s="545">
        <f t="shared" si="222"/>
        <v>50</v>
      </c>
      <c r="N482" s="545"/>
      <c r="O482" s="545">
        <f t="shared" si="223"/>
        <v>50</v>
      </c>
    </row>
    <row r="483" spans="1:16" s="504" customFormat="1" ht="110.25" x14ac:dyDescent="0.25">
      <c r="A483" s="531"/>
      <c r="B483" s="453" t="s">
        <v>1253</v>
      </c>
      <c r="C483" s="944"/>
      <c r="D483" s="548"/>
      <c r="E483" s="548">
        <v>500</v>
      </c>
      <c r="F483" s="549"/>
      <c r="G483" s="548"/>
      <c r="H483" s="545">
        <f t="shared" si="220"/>
        <v>500</v>
      </c>
      <c r="I483" s="578"/>
      <c r="J483" s="549"/>
      <c r="K483" s="549"/>
      <c r="L483" s="545">
        <f t="shared" si="221"/>
        <v>0</v>
      </c>
      <c r="M483" s="545">
        <f t="shared" si="222"/>
        <v>500</v>
      </c>
      <c r="N483" s="545"/>
      <c r="O483" s="545">
        <f t="shared" si="223"/>
        <v>500</v>
      </c>
    </row>
    <row r="484" spans="1:16" s="504" customFormat="1" ht="63" x14ac:dyDescent="0.25">
      <c r="A484" s="513"/>
      <c r="B484" s="444" t="s">
        <v>1215</v>
      </c>
      <c r="C484" s="666"/>
      <c r="D484" s="548"/>
      <c r="E484" s="548">
        <v>400</v>
      </c>
      <c r="F484" s="549"/>
      <c r="G484" s="661"/>
      <c r="H484" s="545">
        <f t="shared" si="220"/>
        <v>400</v>
      </c>
      <c r="I484" s="578"/>
      <c r="J484" s="549"/>
      <c r="K484" s="549"/>
      <c r="L484" s="545">
        <f t="shared" si="221"/>
        <v>0</v>
      </c>
      <c r="M484" s="544">
        <f t="shared" si="222"/>
        <v>400</v>
      </c>
      <c r="N484" s="544"/>
      <c r="O484" s="544">
        <f t="shared" si="223"/>
        <v>400</v>
      </c>
    </row>
    <row r="485" spans="1:16" s="543" customFormat="1" x14ac:dyDescent="0.25">
      <c r="A485" s="551"/>
      <c r="B485" s="444" t="s">
        <v>1235</v>
      </c>
      <c r="C485" s="666">
        <v>1069</v>
      </c>
      <c r="D485" s="548">
        <v>365</v>
      </c>
      <c r="E485" s="548"/>
      <c r="F485" s="549"/>
      <c r="G485" s="661"/>
      <c r="H485" s="545">
        <f t="shared" si="220"/>
        <v>1434</v>
      </c>
      <c r="I485" s="578"/>
      <c r="J485" s="549"/>
      <c r="K485" s="549"/>
      <c r="L485" s="545">
        <f t="shared" si="221"/>
        <v>0</v>
      </c>
      <c r="M485" s="544">
        <f t="shared" si="222"/>
        <v>1434</v>
      </c>
      <c r="N485" s="544"/>
      <c r="O485" s="544">
        <f t="shared" si="223"/>
        <v>1434</v>
      </c>
    </row>
    <row r="486" spans="1:16" s="543" customFormat="1" ht="32.25" thickBot="1" x14ac:dyDescent="0.3">
      <c r="A486" s="513"/>
      <c r="B486" s="444" t="s">
        <v>928</v>
      </c>
      <c r="C486" s="666"/>
      <c r="D486" s="548"/>
      <c r="E486" s="548">
        <v>2260</v>
      </c>
      <c r="F486" s="549"/>
      <c r="G486" s="661"/>
      <c r="H486" s="545">
        <f t="shared" si="220"/>
        <v>2260</v>
      </c>
      <c r="I486" s="578"/>
      <c r="J486" s="549"/>
      <c r="K486" s="549"/>
      <c r="L486" s="545">
        <f t="shared" si="221"/>
        <v>0</v>
      </c>
      <c r="M486" s="544">
        <f t="shared" si="222"/>
        <v>2260</v>
      </c>
      <c r="N486" s="544"/>
      <c r="O486" s="544">
        <f t="shared" si="223"/>
        <v>2260</v>
      </c>
      <c r="P486" s="504"/>
    </row>
    <row r="487" spans="1:16" s="504" customFormat="1" ht="17.25" thickTop="1" thickBot="1" x14ac:dyDescent="0.3">
      <c r="A487" s="478"/>
      <c r="B487" s="477" t="s">
        <v>430</v>
      </c>
      <c r="C487" s="476">
        <f>+C467+C471+C472+C476+C485+C486+C484+C483+C482+C481+C480+C479+C478+C477+C473+C474</f>
        <v>87058</v>
      </c>
      <c r="D487" s="476">
        <f t="shared" ref="D487:O487" si="224">+D467+D471+D472+D476+D485+D486+D484+D483+D482+D481+D480+D479+D478+D477+D473+D474</f>
        <v>17507</v>
      </c>
      <c r="E487" s="476">
        <f t="shared" si="224"/>
        <v>104239</v>
      </c>
      <c r="F487" s="476">
        <f t="shared" si="224"/>
        <v>0</v>
      </c>
      <c r="G487" s="476">
        <f t="shared" si="224"/>
        <v>0</v>
      </c>
      <c r="H487" s="476">
        <f t="shared" si="224"/>
        <v>208804</v>
      </c>
      <c r="I487" s="476">
        <f t="shared" si="224"/>
        <v>11607</v>
      </c>
      <c r="J487" s="476">
        <f t="shared" si="224"/>
        <v>1784</v>
      </c>
      <c r="K487" s="476">
        <f t="shared" si="224"/>
        <v>0</v>
      </c>
      <c r="L487" s="476">
        <f t="shared" si="224"/>
        <v>13391</v>
      </c>
      <c r="M487" s="476">
        <f t="shared" si="224"/>
        <v>222195</v>
      </c>
      <c r="N487" s="476">
        <f t="shared" si="224"/>
        <v>0</v>
      </c>
      <c r="O487" s="476">
        <f t="shared" si="224"/>
        <v>222195</v>
      </c>
      <c r="P487" s="430">
        <f>O488+O489</f>
        <v>222195</v>
      </c>
    </row>
    <row r="488" spans="1:16" s="504" customFormat="1" ht="17.25" thickTop="1" thickBot="1" x14ac:dyDescent="0.3">
      <c r="A488" s="478"/>
      <c r="B488" s="477" t="s">
        <v>429</v>
      </c>
      <c r="C488" s="476">
        <f>+C468+C471+C472+C473+C474</f>
        <v>85265</v>
      </c>
      <c r="D488" s="476">
        <f t="shared" ref="D488:O488" si="225">+D468+D471+D472+D473+D474</f>
        <v>16894</v>
      </c>
      <c r="E488" s="476">
        <f t="shared" si="225"/>
        <v>78913</v>
      </c>
      <c r="F488" s="476">
        <f t="shared" si="225"/>
        <v>0</v>
      </c>
      <c r="G488" s="476">
        <f t="shared" si="225"/>
        <v>0</v>
      </c>
      <c r="H488" s="476">
        <f t="shared" si="225"/>
        <v>181072</v>
      </c>
      <c r="I488" s="476">
        <f t="shared" si="225"/>
        <v>11607</v>
      </c>
      <c r="J488" s="476">
        <f t="shared" si="225"/>
        <v>1784</v>
      </c>
      <c r="K488" s="476">
        <f t="shared" si="225"/>
        <v>0</v>
      </c>
      <c r="L488" s="476">
        <f t="shared" si="225"/>
        <v>13391</v>
      </c>
      <c r="M488" s="476">
        <f t="shared" si="225"/>
        <v>194463</v>
      </c>
      <c r="N488" s="476">
        <f t="shared" si="225"/>
        <v>0</v>
      </c>
      <c r="O488" s="476">
        <f t="shared" si="225"/>
        <v>194463</v>
      </c>
      <c r="P488" s="475"/>
    </row>
    <row r="489" spans="1:16" s="504" customFormat="1" ht="17.25" thickTop="1" thickBot="1" x14ac:dyDescent="0.3">
      <c r="A489" s="478"/>
      <c r="B489" s="477" t="s">
        <v>428</v>
      </c>
      <c r="C489" s="476">
        <f>+C469+C476+C485+C486+C477+C478+C479+C480+C481+C482+C483+C484</f>
        <v>1793</v>
      </c>
      <c r="D489" s="476">
        <f t="shared" ref="D489:O489" si="226">+D469+D476+D485+D486+D477+D478+D479+D480+D481+D482+D483+D484</f>
        <v>613</v>
      </c>
      <c r="E489" s="476">
        <f t="shared" si="226"/>
        <v>25326</v>
      </c>
      <c r="F489" s="476">
        <f t="shared" si="226"/>
        <v>0</v>
      </c>
      <c r="G489" s="476">
        <f t="shared" si="226"/>
        <v>0</v>
      </c>
      <c r="H489" s="476">
        <f t="shared" si="226"/>
        <v>27732</v>
      </c>
      <c r="I489" s="476">
        <f t="shared" si="226"/>
        <v>0</v>
      </c>
      <c r="J489" s="476">
        <f t="shared" si="226"/>
        <v>0</v>
      </c>
      <c r="K489" s="476">
        <f t="shared" si="226"/>
        <v>0</v>
      </c>
      <c r="L489" s="476">
        <f t="shared" si="226"/>
        <v>0</v>
      </c>
      <c r="M489" s="476">
        <f t="shared" si="226"/>
        <v>27732</v>
      </c>
      <c r="N489" s="476">
        <f t="shared" si="226"/>
        <v>0</v>
      </c>
      <c r="O489" s="476">
        <f t="shared" si="226"/>
        <v>27732</v>
      </c>
      <c r="P489" s="475"/>
    </row>
    <row r="490" spans="1:16" s="504" customFormat="1" ht="17.25" thickTop="1" thickBot="1" x14ac:dyDescent="0.3">
      <c r="A490" s="478"/>
      <c r="B490" s="477" t="s">
        <v>435</v>
      </c>
      <c r="C490" s="479">
        <f t="shared" ref="C490:O490" si="227">SUM(C386+C404+C423+C442+C457+C464+C487+C431)</f>
        <v>1402764</v>
      </c>
      <c r="D490" s="479">
        <f t="shared" si="227"/>
        <v>290563</v>
      </c>
      <c r="E490" s="479">
        <f t="shared" si="227"/>
        <v>1707866</v>
      </c>
      <c r="F490" s="479">
        <f t="shared" si="227"/>
        <v>0</v>
      </c>
      <c r="G490" s="479">
        <f t="shared" si="227"/>
        <v>20</v>
      </c>
      <c r="H490" s="479">
        <f t="shared" si="227"/>
        <v>3401213</v>
      </c>
      <c r="I490" s="479">
        <f t="shared" si="227"/>
        <v>44258</v>
      </c>
      <c r="J490" s="479">
        <f t="shared" si="227"/>
        <v>7714</v>
      </c>
      <c r="K490" s="479">
        <f t="shared" si="227"/>
        <v>0</v>
      </c>
      <c r="L490" s="479">
        <f t="shared" si="227"/>
        <v>51972</v>
      </c>
      <c r="M490" s="479">
        <f t="shared" si="227"/>
        <v>3453185</v>
      </c>
      <c r="N490" s="479">
        <f t="shared" si="227"/>
        <v>0</v>
      </c>
      <c r="O490" s="479">
        <f t="shared" si="227"/>
        <v>3453185</v>
      </c>
      <c r="P490" s="475"/>
    </row>
    <row r="491" spans="1:16" s="504" customFormat="1" ht="17.25" thickTop="1" thickBot="1" x14ac:dyDescent="0.3">
      <c r="A491" s="478"/>
      <c r="B491" s="477" t="s">
        <v>434</v>
      </c>
      <c r="C491" s="479">
        <f t="shared" ref="C491:O491" si="228">SUM(C312+C357+C373+C490)</f>
        <v>5509515</v>
      </c>
      <c r="D491" s="479">
        <f t="shared" si="228"/>
        <v>1155836</v>
      </c>
      <c r="E491" s="479">
        <f t="shared" si="228"/>
        <v>4800474</v>
      </c>
      <c r="F491" s="479">
        <f t="shared" si="228"/>
        <v>63194</v>
      </c>
      <c r="G491" s="479">
        <f t="shared" si="228"/>
        <v>20</v>
      </c>
      <c r="H491" s="479">
        <f t="shared" si="228"/>
        <v>11529039</v>
      </c>
      <c r="I491" s="479">
        <f t="shared" si="228"/>
        <v>85800</v>
      </c>
      <c r="J491" s="479">
        <f t="shared" si="228"/>
        <v>7714</v>
      </c>
      <c r="K491" s="479">
        <f t="shared" si="228"/>
        <v>0</v>
      </c>
      <c r="L491" s="479">
        <f t="shared" si="228"/>
        <v>93514</v>
      </c>
      <c r="M491" s="479">
        <f t="shared" si="228"/>
        <v>11622553</v>
      </c>
      <c r="N491" s="479">
        <f t="shared" si="228"/>
        <v>0</v>
      </c>
      <c r="O491" s="479">
        <f t="shared" si="228"/>
        <v>11622553</v>
      </c>
      <c r="P491" s="475"/>
    </row>
    <row r="492" spans="1:16" s="504" customFormat="1" ht="16.5" thickTop="1" x14ac:dyDescent="0.25">
      <c r="A492" s="497" t="s">
        <v>887</v>
      </c>
      <c r="B492" s="519" t="s">
        <v>433</v>
      </c>
      <c r="C492" s="518"/>
      <c r="D492" s="494"/>
      <c r="E492" s="494"/>
      <c r="F492" s="492"/>
      <c r="G492" s="514"/>
      <c r="H492" s="491"/>
      <c r="I492" s="517"/>
      <c r="J492" s="515"/>
      <c r="K492" s="515"/>
      <c r="L492" s="491"/>
      <c r="M492" s="516"/>
      <c r="N492" s="516"/>
      <c r="O492" s="516"/>
      <c r="P492" s="475"/>
    </row>
    <row r="493" spans="1:16" s="504" customFormat="1" x14ac:dyDescent="0.25">
      <c r="A493" s="497"/>
      <c r="B493" s="444" t="s">
        <v>389</v>
      </c>
      <c r="C493" s="496">
        <v>2015817</v>
      </c>
      <c r="D493" s="514">
        <v>417022</v>
      </c>
      <c r="E493" s="494">
        <v>416929</v>
      </c>
      <c r="F493" s="515">
        <v>10000</v>
      </c>
      <c r="G493" s="514"/>
      <c r="H493" s="491">
        <f>SUM(C493:G493)</f>
        <v>2859768</v>
      </c>
      <c r="I493" s="493">
        <v>227907</v>
      </c>
      <c r="J493" s="492">
        <v>20729</v>
      </c>
      <c r="K493" s="492"/>
      <c r="L493" s="491">
        <f>SUM(I493:K493)</f>
        <v>248636</v>
      </c>
      <c r="M493" s="490">
        <f>SUM(H493+L493)</f>
        <v>3108404</v>
      </c>
      <c r="N493" s="490"/>
      <c r="O493" s="490">
        <f>SUM(M493+N493)</f>
        <v>3108404</v>
      </c>
      <c r="P493" s="475"/>
    </row>
    <row r="494" spans="1:16" x14ac:dyDescent="0.25">
      <c r="A494" s="513"/>
      <c r="B494" s="498" t="s">
        <v>432</v>
      </c>
      <c r="C494" s="512">
        <v>938234</v>
      </c>
      <c r="D494" s="509">
        <v>196113</v>
      </c>
      <c r="E494" s="511">
        <v>215126</v>
      </c>
      <c r="F494" s="510">
        <v>10000</v>
      </c>
      <c r="G494" s="509"/>
      <c r="H494" s="506">
        <f>SUM(C494:G494)</f>
        <v>1359473</v>
      </c>
      <c r="I494" s="508">
        <v>125198</v>
      </c>
      <c r="J494" s="507">
        <v>12064</v>
      </c>
      <c r="K494" s="507"/>
      <c r="L494" s="506">
        <f>SUM(I494:K494)</f>
        <v>137262</v>
      </c>
      <c r="M494" s="505">
        <f>SUM(H494+L494)</f>
        <v>1496735</v>
      </c>
      <c r="N494" s="505"/>
      <c r="O494" s="505">
        <f>SUM(M494+N494)</f>
        <v>1496735</v>
      </c>
      <c r="P494" s="504"/>
    </row>
    <row r="495" spans="1:16" x14ac:dyDescent="0.25">
      <c r="A495" s="513"/>
      <c r="B495" s="498" t="s">
        <v>431</v>
      </c>
      <c r="C495" s="512">
        <v>458892</v>
      </c>
      <c r="D495" s="509">
        <v>94097</v>
      </c>
      <c r="E495" s="511">
        <v>34707</v>
      </c>
      <c r="F495" s="510"/>
      <c r="G495" s="509"/>
      <c r="H495" s="506">
        <f>SUM(C495:G495)</f>
        <v>587696</v>
      </c>
      <c r="I495" s="508"/>
      <c r="J495" s="507"/>
      <c r="K495" s="507"/>
      <c r="L495" s="506">
        <f>SUM(I495:K495)</f>
        <v>0</v>
      </c>
      <c r="M495" s="505">
        <f>SUM(H495+L495)</f>
        <v>587696</v>
      </c>
      <c r="N495" s="505"/>
      <c r="O495" s="505">
        <f>SUM(M495+N495)</f>
        <v>587696</v>
      </c>
      <c r="P495" s="504"/>
    </row>
    <row r="496" spans="1:16" x14ac:dyDescent="0.25">
      <c r="A496" s="513"/>
      <c r="B496" s="498" t="s">
        <v>501</v>
      </c>
      <c r="C496" s="512">
        <v>618691</v>
      </c>
      <c r="D496" s="509">
        <v>126812</v>
      </c>
      <c r="E496" s="511">
        <v>167096</v>
      </c>
      <c r="F496" s="510"/>
      <c r="G496" s="509"/>
      <c r="H496" s="506">
        <f>SUM(C496:G496)</f>
        <v>912599</v>
      </c>
      <c r="I496" s="508">
        <v>102709</v>
      </c>
      <c r="J496" s="507">
        <v>8665</v>
      </c>
      <c r="K496" s="507"/>
      <c r="L496" s="506">
        <f>SUM(I496:K496)</f>
        <v>111374</v>
      </c>
      <c r="M496" s="505">
        <f>SUM(H496+L496)</f>
        <v>1023973</v>
      </c>
      <c r="N496" s="505"/>
      <c r="O496" s="505">
        <f>SUM(M496+N496)</f>
        <v>1023973</v>
      </c>
      <c r="P496" s="504"/>
    </row>
    <row r="497" spans="1:16" x14ac:dyDescent="0.25">
      <c r="A497" s="513"/>
      <c r="B497" s="498" t="s">
        <v>140</v>
      </c>
      <c r="C497" s="512"/>
      <c r="D497" s="509"/>
      <c r="E497" s="511"/>
      <c r="F497" s="510"/>
      <c r="G497" s="509"/>
      <c r="H497" s="506"/>
      <c r="I497" s="508"/>
      <c r="J497" s="507"/>
      <c r="K497" s="507"/>
      <c r="L497" s="506"/>
      <c r="M497" s="505"/>
      <c r="N497" s="505"/>
      <c r="O497" s="505"/>
      <c r="P497" s="504"/>
    </row>
    <row r="498" spans="1:16" ht="31.5" x14ac:dyDescent="0.25">
      <c r="A498" s="513"/>
      <c r="B498" s="444" t="s">
        <v>1168</v>
      </c>
      <c r="C498" s="660">
        <v>938</v>
      </c>
      <c r="D498" s="661">
        <v>183</v>
      </c>
      <c r="E498" s="548"/>
      <c r="F498" s="662"/>
      <c r="G498" s="661"/>
      <c r="H498" s="545">
        <f t="shared" ref="H498:H505" si="229">SUM(C498:G498)</f>
        <v>1121</v>
      </c>
      <c r="I498" s="578"/>
      <c r="J498" s="549"/>
      <c r="K498" s="549"/>
      <c r="L498" s="545">
        <f t="shared" ref="L498:L505" si="230">SUM(I498:K498)</f>
        <v>0</v>
      </c>
      <c r="M498" s="544">
        <f t="shared" ref="M498:M505" si="231">SUM(H498+L498)</f>
        <v>1121</v>
      </c>
      <c r="N498" s="544"/>
      <c r="O498" s="544">
        <f t="shared" ref="O498:O505" si="232">SUM(M498+N498)</f>
        <v>1121</v>
      </c>
      <c r="P498" s="504"/>
    </row>
    <row r="499" spans="1:16" ht="31.5" x14ac:dyDescent="0.25">
      <c r="A499" s="513"/>
      <c r="B499" s="444" t="s">
        <v>1121</v>
      </c>
      <c r="C499" s="660"/>
      <c r="D499" s="661"/>
      <c r="E499" s="548"/>
      <c r="F499" s="662"/>
      <c r="G499" s="661"/>
      <c r="H499" s="545">
        <f t="shared" si="229"/>
        <v>0</v>
      </c>
      <c r="I499" s="578">
        <v>-37830</v>
      </c>
      <c r="J499" s="549"/>
      <c r="K499" s="549"/>
      <c r="L499" s="545">
        <f t="shared" si="230"/>
        <v>-37830</v>
      </c>
      <c r="M499" s="544">
        <f t="shared" si="231"/>
        <v>-37830</v>
      </c>
      <c r="N499" s="544"/>
      <c r="O499" s="544">
        <f t="shared" si="232"/>
        <v>-37830</v>
      </c>
      <c r="P499" s="504"/>
    </row>
    <row r="500" spans="1:16" ht="31.5" x14ac:dyDescent="0.25">
      <c r="A500" s="513"/>
      <c r="B500" s="444" t="s">
        <v>928</v>
      </c>
      <c r="C500" s="660">
        <v>260</v>
      </c>
      <c r="D500" s="661"/>
      <c r="E500" s="548">
        <f>2425+3159</f>
        <v>5584</v>
      </c>
      <c r="F500" s="662"/>
      <c r="G500" s="661"/>
      <c r="H500" s="545">
        <f t="shared" si="229"/>
        <v>5844</v>
      </c>
      <c r="I500" s="578"/>
      <c r="J500" s="549"/>
      <c r="K500" s="549"/>
      <c r="L500" s="545">
        <f t="shared" si="230"/>
        <v>0</v>
      </c>
      <c r="M500" s="544">
        <f t="shared" si="231"/>
        <v>5844</v>
      </c>
      <c r="N500" s="544"/>
      <c r="O500" s="544">
        <f t="shared" si="232"/>
        <v>5844</v>
      </c>
      <c r="P500" s="504"/>
    </row>
    <row r="501" spans="1:16" ht="31.5" x14ac:dyDescent="0.25">
      <c r="A501" s="513"/>
      <c r="B501" s="444" t="s">
        <v>929</v>
      </c>
      <c r="C501" s="660"/>
      <c r="D501" s="661"/>
      <c r="E501" s="548">
        <f>2328+873</f>
        <v>3201</v>
      </c>
      <c r="F501" s="662"/>
      <c r="G501" s="661"/>
      <c r="H501" s="545">
        <f t="shared" si="229"/>
        <v>3201</v>
      </c>
      <c r="I501" s="578">
        <v>-2328</v>
      </c>
      <c r="J501" s="549">
        <v>-873</v>
      </c>
      <c r="K501" s="549"/>
      <c r="L501" s="545">
        <f t="shared" si="230"/>
        <v>-3201</v>
      </c>
      <c r="M501" s="544">
        <f t="shared" si="231"/>
        <v>0</v>
      </c>
      <c r="N501" s="544"/>
      <c r="O501" s="544">
        <f t="shared" si="232"/>
        <v>0</v>
      </c>
      <c r="P501" s="504"/>
    </row>
    <row r="502" spans="1:16" s="504" customFormat="1" x14ac:dyDescent="0.25">
      <c r="A502" s="513"/>
      <c r="B502" s="498" t="s">
        <v>368</v>
      </c>
      <c r="C502" s="660"/>
      <c r="D502" s="661"/>
      <c r="E502" s="548"/>
      <c r="F502" s="662"/>
      <c r="G502" s="661"/>
      <c r="H502" s="545"/>
      <c r="I502" s="578"/>
      <c r="J502" s="549"/>
      <c r="K502" s="549"/>
      <c r="L502" s="545"/>
      <c r="M502" s="544"/>
      <c r="N502" s="544"/>
      <c r="O502" s="544"/>
    </row>
    <row r="503" spans="1:16" s="504" customFormat="1" ht="31.5" x14ac:dyDescent="0.25">
      <c r="A503" s="513"/>
      <c r="B503" s="454" t="s">
        <v>1121</v>
      </c>
      <c r="C503" s="660"/>
      <c r="D503" s="661"/>
      <c r="E503" s="548"/>
      <c r="F503" s="662"/>
      <c r="G503" s="661"/>
      <c r="H503" s="545">
        <f t="shared" ref="H503:H504" si="233">SUM(C503:G503)</f>
        <v>0</v>
      </c>
      <c r="I503" s="578">
        <v>-27170</v>
      </c>
      <c r="J503" s="549"/>
      <c r="K503" s="549"/>
      <c r="L503" s="545">
        <f t="shared" ref="L503:L504" si="234">SUM(I503:K503)</f>
        <v>-27170</v>
      </c>
      <c r="M503" s="544">
        <f t="shared" ref="M503:M504" si="235">SUM(H503+L503)</f>
        <v>-27170</v>
      </c>
      <c r="N503" s="544"/>
      <c r="O503" s="544">
        <f t="shared" ref="O503:O504" si="236">SUM(M503+N503)</f>
        <v>-27170</v>
      </c>
    </row>
    <row r="504" spans="1:16" s="504" customFormat="1" ht="31.5" x14ac:dyDescent="0.25">
      <c r="A504" s="531"/>
      <c r="B504" s="936" t="s">
        <v>928</v>
      </c>
      <c r="C504" s="550"/>
      <c r="D504" s="548"/>
      <c r="E504" s="548">
        <v>2268</v>
      </c>
      <c r="F504" s="549"/>
      <c r="G504" s="548"/>
      <c r="H504" s="545">
        <f t="shared" si="233"/>
        <v>2268</v>
      </c>
      <c r="I504" s="578"/>
      <c r="J504" s="549"/>
      <c r="K504" s="549"/>
      <c r="L504" s="545">
        <f t="shared" si="234"/>
        <v>0</v>
      </c>
      <c r="M504" s="545">
        <f t="shared" si="235"/>
        <v>2268</v>
      </c>
      <c r="N504" s="545"/>
      <c r="O504" s="545">
        <f t="shared" si="236"/>
        <v>2268</v>
      </c>
    </row>
    <row r="505" spans="1:16" s="504" customFormat="1" ht="32.25" thickBot="1" x14ac:dyDescent="0.3">
      <c r="A505" s="937"/>
      <c r="B505" s="938" t="s">
        <v>929</v>
      </c>
      <c r="C505" s="939"/>
      <c r="D505" s="940"/>
      <c r="E505" s="940">
        <f>1672+627</f>
        <v>2299</v>
      </c>
      <c r="F505" s="941"/>
      <c r="G505" s="940"/>
      <c r="H505" s="942">
        <f t="shared" si="229"/>
        <v>2299</v>
      </c>
      <c r="I505" s="943">
        <v>-1672</v>
      </c>
      <c r="J505" s="941">
        <v>-627</v>
      </c>
      <c r="K505" s="941"/>
      <c r="L505" s="942">
        <f t="shared" si="230"/>
        <v>-2299</v>
      </c>
      <c r="M505" s="942">
        <f t="shared" si="231"/>
        <v>0</v>
      </c>
      <c r="N505" s="942"/>
      <c r="O505" s="942">
        <f t="shared" si="232"/>
        <v>0</v>
      </c>
    </row>
    <row r="506" spans="1:16" s="504" customFormat="1" ht="17.25" thickTop="1" thickBot="1" x14ac:dyDescent="0.3">
      <c r="A506" s="478"/>
      <c r="B506" s="477" t="s">
        <v>430</v>
      </c>
      <c r="C506" s="476">
        <f>+C493+C498+C499+C500+C501+C503+C504+C505</f>
        <v>2017015</v>
      </c>
      <c r="D506" s="476">
        <f t="shared" ref="D506:N506" si="237">+D493+D498+D499+D500+D501+D503+D504+D505</f>
        <v>417205</v>
      </c>
      <c r="E506" s="476">
        <f t="shared" si="237"/>
        <v>430281</v>
      </c>
      <c r="F506" s="476">
        <f t="shared" si="237"/>
        <v>10000</v>
      </c>
      <c r="G506" s="476">
        <f t="shared" si="237"/>
        <v>0</v>
      </c>
      <c r="H506" s="476">
        <f t="shared" si="237"/>
        <v>2874501</v>
      </c>
      <c r="I506" s="476">
        <f t="shared" si="237"/>
        <v>158907</v>
      </c>
      <c r="J506" s="476">
        <f t="shared" si="237"/>
        <v>19229</v>
      </c>
      <c r="K506" s="476">
        <f t="shared" si="237"/>
        <v>0</v>
      </c>
      <c r="L506" s="476">
        <f t="shared" si="237"/>
        <v>178136</v>
      </c>
      <c r="M506" s="476">
        <f t="shared" si="237"/>
        <v>3052637</v>
      </c>
      <c r="N506" s="476">
        <f t="shared" si="237"/>
        <v>0</v>
      </c>
      <c r="O506" s="476">
        <f>+O493+O498+O499+O500+O501+O503+O504+O505</f>
        <v>3052637</v>
      </c>
      <c r="P506" s="489">
        <f>+O507+O508+O509</f>
        <v>3052637</v>
      </c>
    </row>
    <row r="507" spans="1:16" s="504" customFormat="1" ht="17.25" thickTop="1" thickBot="1" x14ac:dyDescent="0.3">
      <c r="A507" s="478"/>
      <c r="B507" s="477" t="s">
        <v>429</v>
      </c>
      <c r="C507" s="476">
        <f>+C494+C498+C499+C500+C501</f>
        <v>939432</v>
      </c>
      <c r="D507" s="476">
        <f t="shared" ref="D507:O507" si="238">+D494+D498+D499+D500+D501</f>
        <v>196296</v>
      </c>
      <c r="E507" s="476">
        <f t="shared" si="238"/>
        <v>223911</v>
      </c>
      <c r="F507" s="476">
        <f t="shared" si="238"/>
        <v>10000</v>
      </c>
      <c r="G507" s="476">
        <f t="shared" si="238"/>
        <v>0</v>
      </c>
      <c r="H507" s="476">
        <f t="shared" si="238"/>
        <v>1369639</v>
      </c>
      <c r="I507" s="476">
        <f t="shared" si="238"/>
        <v>85040</v>
      </c>
      <c r="J507" s="476">
        <f t="shared" si="238"/>
        <v>11191</v>
      </c>
      <c r="K507" s="476">
        <f t="shared" si="238"/>
        <v>0</v>
      </c>
      <c r="L507" s="476">
        <f t="shared" si="238"/>
        <v>96231</v>
      </c>
      <c r="M507" s="476">
        <f t="shared" si="238"/>
        <v>1465870</v>
      </c>
      <c r="N507" s="476">
        <f t="shared" si="238"/>
        <v>0</v>
      </c>
      <c r="O507" s="476">
        <f t="shared" si="238"/>
        <v>1465870</v>
      </c>
      <c r="P507" s="475"/>
    </row>
    <row r="508" spans="1:16" s="504" customFormat="1" ht="17.25" thickTop="1" thickBot="1" x14ac:dyDescent="0.3">
      <c r="A508" s="478"/>
      <c r="B508" s="477" t="s">
        <v>428</v>
      </c>
      <c r="C508" s="476">
        <f>+C495</f>
        <v>458892</v>
      </c>
      <c r="D508" s="476">
        <f t="shared" ref="D508:O508" si="239">+D495</f>
        <v>94097</v>
      </c>
      <c r="E508" s="476">
        <f t="shared" si="239"/>
        <v>34707</v>
      </c>
      <c r="F508" s="476">
        <f t="shared" si="239"/>
        <v>0</v>
      </c>
      <c r="G508" s="476">
        <f t="shared" si="239"/>
        <v>0</v>
      </c>
      <c r="H508" s="476">
        <f t="shared" si="239"/>
        <v>587696</v>
      </c>
      <c r="I508" s="476">
        <f t="shared" si="239"/>
        <v>0</v>
      </c>
      <c r="J508" s="476">
        <f t="shared" si="239"/>
        <v>0</v>
      </c>
      <c r="K508" s="476">
        <f t="shared" si="239"/>
        <v>0</v>
      </c>
      <c r="L508" s="476">
        <f t="shared" si="239"/>
        <v>0</v>
      </c>
      <c r="M508" s="476">
        <f t="shared" si="239"/>
        <v>587696</v>
      </c>
      <c r="N508" s="476">
        <f t="shared" si="239"/>
        <v>0</v>
      </c>
      <c r="O508" s="476">
        <f t="shared" si="239"/>
        <v>587696</v>
      </c>
      <c r="P508" s="475"/>
    </row>
    <row r="509" spans="1:16" s="488" customFormat="1" ht="33" thickTop="1" thickBot="1" x14ac:dyDescent="0.3">
      <c r="A509" s="478"/>
      <c r="B509" s="477" t="s">
        <v>500</v>
      </c>
      <c r="C509" s="476">
        <f>+C496+C503+C504+C505</f>
        <v>618691</v>
      </c>
      <c r="D509" s="476">
        <f t="shared" ref="D509:O509" si="240">+D496+D503+D504+D505</f>
        <v>126812</v>
      </c>
      <c r="E509" s="476">
        <f>+E496+E503+E504+E505</f>
        <v>171663</v>
      </c>
      <c r="F509" s="476">
        <f t="shared" si="240"/>
        <v>0</v>
      </c>
      <c r="G509" s="476">
        <f t="shared" si="240"/>
        <v>0</v>
      </c>
      <c r="H509" s="476">
        <f t="shared" si="240"/>
        <v>917166</v>
      </c>
      <c r="I509" s="476">
        <f t="shared" si="240"/>
        <v>73867</v>
      </c>
      <c r="J509" s="476">
        <f t="shared" si="240"/>
        <v>8038</v>
      </c>
      <c r="K509" s="476">
        <f t="shared" si="240"/>
        <v>0</v>
      </c>
      <c r="L509" s="476">
        <f t="shared" si="240"/>
        <v>81905</v>
      </c>
      <c r="M509" s="476">
        <f t="shared" si="240"/>
        <v>999071</v>
      </c>
      <c r="N509" s="476">
        <f t="shared" si="240"/>
        <v>0</v>
      </c>
      <c r="O509" s="476">
        <f t="shared" si="240"/>
        <v>999071</v>
      </c>
      <c r="P509" s="475"/>
    </row>
    <row r="510" spans="1:16" ht="17.25" thickTop="1" thickBot="1" x14ac:dyDescent="0.3">
      <c r="A510" s="478"/>
      <c r="B510" s="477" t="s">
        <v>425</v>
      </c>
      <c r="C510" s="479">
        <f t="shared" ref="C510:O510" si="241">SUM(C491+C506)</f>
        <v>7526530</v>
      </c>
      <c r="D510" s="479">
        <f t="shared" si="241"/>
        <v>1573041</v>
      </c>
      <c r="E510" s="479">
        <f t="shared" si="241"/>
        <v>5230755</v>
      </c>
      <c r="F510" s="479">
        <f t="shared" si="241"/>
        <v>73194</v>
      </c>
      <c r="G510" s="479">
        <f t="shared" si="241"/>
        <v>20</v>
      </c>
      <c r="H510" s="479">
        <f t="shared" si="241"/>
        <v>14403540</v>
      </c>
      <c r="I510" s="479">
        <f t="shared" si="241"/>
        <v>244707</v>
      </c>
      <c r="J510" s="479">
        <f t="shared" si="241"/>
        <v>26943</v>
      </c>
      <c r="K510" s="479">
        <f t="shared" si="241"/>
        <v>0</v>
      </c>
      <c r="L510" s="479">
        <f t="shared" si="241"/>
        <v>271650</v>
      </c>
      <c r="M510" s="479">
        <f t="shared" si="241"/>
        <v>14675190</v>
      </c>
      <c r="N510" s="479">
        <f t="shared" si="241"/>
        <v>0</v>
      </c>
      <c r="O510" s="479">
        <f t="shared" si="241"/>
        <v>14675190</v>
      </c>
      <c r="P510" s="488"/>
    </row>
    <row r="511" spans="1:16" ht="17.25" thickTop="1" thickBot="1" x14ac:dyDescent="0.3">
      <c r="A511" s="478"/>
      <c r="B511" s="477" t="s">
        <v>389</v>
      </c>
      <c r="C511" s="479">
        <f t="shared" ref="C511:O511" si="242">SUM(C8+C26+C40+C54+C68+C83+C97+C112+C128+C144+C158+C174+C190+C205+C219+C234+C250+C267+C281+C296+C314+C328+C343+C359+C377+C389+C408+C434+C445+C460+C467+C493+C427)</f>
        <v>7315351</v>
      </c>
      <c r="D511" s="479">
        <f t="shared" si="242"/>
        <v>1523397</v>
      </c>
      <c r="E511" s="479">
        <f t="shared" si="242"/>
        <v>4823474</v>
      </c>
      <c r="F511" s="479">
        <f t="shared" si="242"/>
        <v>10000</v>
      </c>
      <c r="G511" s="479">
        <f t="shared" si="242"/>
        <v>0</v>
      </c>
      <c r="H511" s="479">
        <f t="shared" si="242"/>
        <v>13672222</v>
      </c>
      <c r="I511" s="479">
        <f t="shared" si="242"/>
        <v>253087</v>
      </c>
      <c r="J511" s="479">
        <f t="shared" si="242"/>
        <v>27304</v>
      </c>
      <c r="K511" s="479">
        <f t="shared" si="242"/>
        <v>0</v>
      </c>
      <c r="L511" s="479">
        <f t="shared" si="242"/>
        <v>280391</v>
      </c>
      <c r="M511" s="479">
        <f t="shared" si="242"/>
        <v>13952613</v>
      </c>
      <c r="N511" s="479">
        <f t="shared" si="242"/>
        <v>0</v>
      </c>
      <c r="O511" s="479">
        <f t="shared" si="242"/>
        <v>13952613</v>
      </c>
      <c r="P511" s="488"/>
    </row>
    <row r="512" spans="1:16" ht="16.5" thickTop="1" x14ac:dyDescent="0.25">
      <c r="A512" s="487"/>
      <c r="B512" s="486" t="s">
        <v>140</v>
      </c>
      <c r="C512" s="485"/>
      <c r="D512" s="484"/>
      <c r="E512" s="484"/>
      <c r="F512" s="484"/>
      <c r="G512" s="484"/>
      <c r="H512" s="481"/>
      <c r="I512" s="483"/>
      <c r="J512" s="482"/>
      <c r="K512" s="482"/>
      <c r="L512" s="481"/>
      <c r="M512" s="481"/>
      <c r="N512" s="481"/>
      <c r="O512" s="481"/>
    </row>
    <row r="513" spans="1:16" s="488" customFormat="1" ht="31.5" x14ac:dyDescent="0.25">
      <c r="A513" s="667"/>
      <c r="B513" s="668" t="s">
        <v>1239</v>
      </c>
      <c r="C513" s="669">
        <f t="shared" ref="C513:O513" si="243">C12+C30+C44+C58+C72+C87+C101+C116+C132+C148+C162+C178+C194+C209+C223+C238+C254+C285+C300+C318+C332+C347+C363+C393+C412+C498</f>
        <v>9794</v>
      </c>
      <c r="D513" s="669">
        <f t="shared" si="243"/>
        <v>1910</v>
      </c>
      <c r="E513" s="669">
        <f t="shared" si="243"/>
        <v>0</v>
      </c>
      <c r="F513" s="669">
        <f t="shared" si="243"/>
        <v>0</v>
      </c>
      <c r="G513" s="670">
        <f t="shared" si="243"/>
        <v>0</v>
      </c>
      <c r="H513" s="671">
        <f t="shared" si="243"/>
        <v>11704</v>
      </c>
      <c r="I513" s="669">
        <f t="shared" si="243"/>
        <v>0</v>
      </c>
      <c r="J513" s="669">
        <f t="shared" si="243"/>
        <v>0</v>
      </c>
      <c r="K513" s="672">
        <f t="shared" si="243"/>
        <v>0</v>
      </c>
      <c r="L513" s="671">
        <f t="shared" si="243"/>
        <v>0</v>
      </c>
      <c r="M513" s="671">
        <f t="shared" si="243"/>
        <v>11704</v>
      </c>
      <c r="N513" s="671">
        <f t="shared" si="243"/>
        <v>0</v>
      </c>
      <c r="O513" s="671">
        <f t="shared" si="243"/>
        <v>11704</v>
      </c>
      <c r="P513" s="673"/>
    </row>
    <row r="514" spans="1:16" s="488" customFormat="1" ht="47.25" x14ac:dyDescent="0.25">
      <c r="A514" s="667"/>
      <c r="B514" s="668" t="s">
        <v>1236</v>
      </c>
      <c r="C514" s="669">
        <f t="shared" ref="C514:O514" si="244">C31+C45+C59+C73+C88+C102+C117+C319+C333+C348</f>
        <v>50673</v>
      </c>
      <c r="D514" s="669">
        <f t="shared" si="244"/>
        <v>9881</v>
      </c>
      <c r="E514" s="669">
        <f t="shared" si="244"/>
        <v>0</v>
      </c>
      <c r="F514" s="669">
        <f t="shared" si="244"/>
        <v>0</v>
      </c>
      <c r="G514" s="670">
        <f t="shared" si="244"/>
        <v>0</v>
      </c>
      <c r="H514" s="671">
        <f t="shared" si="244"/>
        <v>60554</v>
      </c>
      <c r="I514" s="669">
        <f t="shared" si="244"/>
        <v>0</v>
      </c>
      <c r="J514" s="669">
        <f t="shared" si="244"/>
        <v>0</v>
      </c>
      <c r="K514" s="672">
        <f t="shared" si="244"/>
        <v>0</v>
      </c>
      <c r="L514" s="671">
        <f t="shared" si="244"/>
        <v>0</v>
      </c>
      <c r="M514" s="671">
        <f t="shared" si="244"/>
        <v>60554</v>
      </c>
      <c r="N514" s="671">
        <f t="shared" si="244"/>
        <v>0</v>
      </c>
      <c r="O514" s="671">
        <f t="shared" si="244"/>
        <v>60554</v>
      </c>
      <c r="P514" s="673"/>
    </row>
    <row r="515" spans="1:16" ht="47.25" x14ac:dyDescent="0.25">
      <c r="A515" s="667"/>
      <c r="B515" s="668" t="s">
        <v>1245</v>
      </c>
      <c r="C515" s="669">
        <f t="shared" ref="C515:O515" si="245">C320</f>
        <v>2202</v>
      </c>
      <c r="D515" s="669">
        <f t="shared" si="245"/>
        <v>429</v>
      </c>
      <c r="E515" s="669">
        <f t="shared" si="245"/>
        <v>0</v>
      </c>
      <c r="F515" s="669">
        <f t="shared" si="245"/>
        <v>0</v>
      </c>
      <c r="G515" s="670">
        <f t="shared" si="245"/>
        <v>0</v>
      </c>
      <c r="H515" s="671">
        <f t="shared" si="245"/>
        <v>2631</v>
      </c>
      <c r="I515" s="669">
        <f t="shared" si="245"/>
        <v>0</v>
      </c>
      <c r="J515" s="669">
        <f t="shared" si="245"/>
        <v>0</v>
      </c>
      <c r="K515" s="672">
        <f t="shared" si="245"/>
        <v>0</v>
      </c>
      <c r="L515" s="671">
        <f t="shared" si="245"/>
        <v>0</v>
      </c>
      <c r="M515" s="671">
        <f t="shared" si="245"/>
        <v>2631</v>
      </c>
      <c r="N515" s="671">
        <f t="shared" si="245"/>
        <v>0</v>
      </c>
      <c r="O515" s="671">
        <f t="shared" si="245"/>
        <v>2631</v>
      </c>
      <c r="P515" s="673"/>
    </row>
    <row r="516" spans="1:16" s="673" customFormat="1" ht="31.5" x14ac:dyDescent="0.25">
      <c r="A516" s="667"/>
      <c r="B516" s="668" t="s">
        <v>1197</v>
      </c>
      <c r="C516" s="669">
        <f t="shared" ref="C516:O516" si="246">C394+C413+C471</f>
        <v>15261</v>
      </c>
      <c r="D516" s="669">
        <f t="shared" si="246"/>
        <v>2976</v>
      </c>
      <c r="E516" s="669">
        <f t="shared" si="246"/>
        <v>0</v>
      </c>
      <c r="F516" s="669">
        <f t="shared" si="246"/>
        <v>0</v>
      </c>
      <c r="G516" s="670">
        <f t="shared" si="246"/>
        <v>0</v>
      </c>
      <c r="H516" s="671">
        <f t="shared" si="246"/>
        <v>18237</v>
      </c>
      <c r="I516" s="669">
        <f t="shared" si="246"/>
        <v>0</v>
      </c>
      <c r="J516" s="669">
        <f t="shared" si="246"/>
        <v>0</v>
      </c>
      <c r="K516" s="672">
        <f t="shared" si="246"/>
        <v>0</v>
      </c>
      <c r="L516" s="671">
        <f t="shared" si="246"/>
        <v>0</v>
      </c>
      <c r="M516" s="671">
        <f t="shared" si="246"/>
        <v>18237</v>
      </c>
      <c r="N516" s="671">
        <f t="shared" si="246"/>
        <v>0</v>
      </c>
      <c r="O516" s="671">
        <f t="shared" si="246"/>
        <v>18237</v>
      </c>
    </row>
    <row r="517" spans="1:16" s="673" customFormat="1" ht="52.5" customHeight="1" x14ac:dyDescent="0.25">
      <c r="A517" s="667"/>
      <c r="B517" s="668" t="s">
        <v>630</v>
      </c>
      <c r="C517" s="669">
        <f t="shared" ref="C517:O517" si="247">C395</f>
        <v>0</v>
      </c>
      <c r="D517" s="669">
        <f t="shared" si="247"/>
        <v>0</v>
      </c>
      <c r="E517" s="669">
        <f t="shared" si="247"/>
        <v>42409</v>
      </c>
      <c r="F517" s="669">
        <f t="shared" si="247"/>
        <v>0</v>
      </c>
      <c r="G517" s="670">
        <f t="shared" si="247"/>
        <v>0</v>
      </c>
      <c r="H517" s="671">
        <f t="shared" si="247"/>
        <v>42409</v>
      </c>
      <c r="I517" s="669">
        <f t="shared" si="247"/>
        <v>192</v>
      </c>
      <c r="J517" s="669">
        <f t="shared" si="247"/>
        <v>0</v>
      </c>
      <c r="K517" s="672">
        <f t="shared" si="247"/>
        <v>0</v>
      </c>
      <c r="L517" s="671">
        <f t="shared" si="247"/>
        <v>192</v>
      </c>
      <c r="M517" s="671">
        <f t="shared" si="247"/>
        <v>42601</v>
      </c>
      <c r="N517" s="671">
        <f t="shared" si="247"/>
        <v>0</v>
      </c>
      <c r="O517" s="671">
        <f t="shared" si="247"/>
        <v>42601</v>
      </c>
    </row>
    <row r="518" spans="1:16" s="673" customFormat="1" ht="31.5" x14ac:dyDescent="0.25">
      <c r="A518" s="667"/>
      <c r="B518" s="668" t="s">
        <v>1254</v>
      </c>
      <c r="C518" s="669">
        <f t="shared" ref="C518:O518" si="248">C364</f>
        <v>9500</v>
      </c>
      <c r="D518" s="669">
        <f t="shared" si="248"/>
        <v>1667</v>
      </c>
      <c r="E518" s="669">
        <f t="shared" si="248"/>
        <v>0</v>
      </c>
      <c r="F518" s="669">
        <f t="shared" si="248"/>
        <v>0</v>
      </c>
      <c r="G518" s="670">
        <f t="shared" si="248"/>
        <v>0</v>
      </c>
      <c r="H518" s="671">
        <f t="shared" si="248"/>
        <v>11167</v>
      </c>
      <c r="I518" s="669">
        <f t="shared" si="248"/>
        <v>0</v>
      </c>
      <c r="J518" s="669">
        <f t="shared" si="248"/>
        <v>0</v>
      </c>
      <c r="K518" s="672">
        <f t="shared" si="248"/>
        <v>0</v>
      </c>
      <c r="L518" s="671">
        <f t="shared" si="248"/>
        <v>0</v>
      </c>
      <c r="M518" s="671">
        <f t="shared" si="248"/>
        <v>11167</v>
      </c>
      <c r="N518" s="671">
        <f t="shared" si="248"/>
        <v>0</v>
      </c>
      <c r="O518" s="671">
        <f t="shared" si="248"/>
        <v>11167</v>
      </c>
    </row>
    <row r="519" spans="1:16" s="673" customFormat="1" x14ac:dyDescent="0.25">
      <c r="A519" s="667"/>
      <c r="B519" s="668" t="s">
        <v>631</v>
      </c>
      <c r="C519" s="669">
        <f t="shared" ref="C519:O519" si="249">C365+C163</f>
        <v>58</v>
      </c>
      <c r="D519" s="669">
        <f t="shared" si="249"/>
        <v>12</v>
      </c>
      <c r="E519" s="669">
        <f t="shared" si="249"/>
        <v>0</v>
      </c>
      <c r="F519" s="669">
        <f t="shared" si="249"/>
        <v>0</v>
      </c>
      <c r="G519" s="670">
        <f t="shared" si="249"/>
        <v>0</v>
      </c>
      <c r="H519" s="671">
        <f t="shared" si="249"/>
        <v>70</v>
      </c>
      <c r="I519" s="669">
        <f t="shared" si="249"/>
        <v>0</v>
      </c>
      <c r="J519" s="669">
        <f t="shared" si="249"/>
        <v>0</v>
      </c>
      <c r="K519" s="672">
        <f t="shared" si="249"/>
        <v>0</v>
      </c>
      <c r="L519" s="671">
        <f t="shared" si="249"/>
        <v>0</v>
      </c>
      <c r="M519" s="671">
        <f t="shared" si="249"/>
        <v>70</v>
      </c>
      <c r="N519" s="671">
        <f t="shared" si="249"/>
        <v>0</v>
      </c>
      <c r="O519" s="671">
        <f t="shared" si="249"/>
        <v>70</v>
      </c>
    </row>
    <row r="520" spans="1:16" s="673" customFormat="1" ht="31.5" x14ac:dyDescent="0.25">
      <c r="A520" s="667"/>
      <c r="B520" s="668" t="s">
        <v>628</v>
      </c>
      <c r="C520" s="669">
        <f t="shared" ref="C520:O520" si="250">C13+C60+C74+C103+C118+C133+C149+C164+C179+C195+C210+C224+C239+C255+C271+C286+C301+C366+C396+C414</f>
        <v>37793</v>
      </c>
      <c r="D520" s="669">
        <f t="shared" si="250"/>
        <v>7372</v>
      </c>
      <c r="E520" s="669">
        <f t="shared" si="250"/>
        <v>0</v>
      </c>
      <c r="F520" s="669">
        <f t="shared" si="250"/>
        <v>0</v>
      </c>
      <c r="G520" s="670">
        <f t="shared" si="250"/>
        <v>0</v>
      </c>
      <c r="H520" s="671">
        <f t="shared" si="250"/>
        <v>45165</v>
      </c>
      <c r="I520" s="669">
        <f t="shared" si="250"/>
        <v>0</v>
      </c>
      <c r="J520" s="669">
        <f t="shared" si="250"/>
        <v>0</v>
      </c>
      <c r="K520" s="672">
        <f t="shared" si="250"/>
        <v>0</v>
      </c>
      <c r="L520" s="671">
        <f t="shared" si="250"/>
        <v>0</v>
      </c>
      <c r="M520" s="671">
        <f t="shared" si="250"/>
        <v>45165</v>
      </c>
      <c r="N520" s="671">
        <f t="shared" si="250"/>
        <v>0</v>
      </c>
      <c r="O520" s="671">
        <f t="shared" si="250"/>
        <v>45165</v>
      </c>
    </row>
    <row r="521" spans="1:16" s="673" customFormat="1" ht="63" x14ac:dyDescent="0.25">
      <c r="A521" s="667"/>
      <c r="B521" s="668" t="s">
        <v>1232</v>
      </c>
      <c r="C521" s="669">
        <f>C14+C367</f>
        <v>3300</v>
      </c>
      <c r="D521" s="669">
        <f t="shared" ref="D521:O521" si="251">D14+D367</f>
        <v>644</v>
      </c>
      <c r="E521" s="669">
        <f t="shared" si="251"/>
        <v>0</v>
      </c>
      <c r="F521" s="669">
        <f t="shared" si="251"/>
        <v>0</v>
      </c>
      <c r="G521" s="670">
        <f t="shared" si="251"/>
        <v>0</v>
      </c>
      <c r="H521" s="671">
        <f t="shared" si="251"/>
        <v>3944</v>
      </c>
      <c r="I521" s="669">
        <f t="shared" si="251"/>
        <v>0</v>
      </c>
      <c r="J521" s="669">
        <f t="shared" si="251"/>
        <v>0</v>
      </c>
      <c r="K521" s="672">
        <f t="shared" si="251"/>
        <v>0</v>
      </c>
      <c r="L521" s="671">
        <f t="shared" si="251"/>
        <v>0</v>
      </c>
      <c r="M521" s="671">
        <f t="shared" si="251"/>
        <v>3944</v>
      </c>
      <c r="N521" s="671">
        <f t="shared" si="251"/>
        <v>0</v>
      </c>
      <c r="O521" s="671">
        <f t="shared" si="251"/>
        <v>3944</v>
      </c>
    </row>
    <row r="522" spans="1:16" s="673" customFormat="1" ht="47.25" x14ac:dyDescent="0.25">
      <c r="A522" s="667"/>
      <c r="B522" s="668" t="s">
        <v>1195</v>
      </c>
      <c r="C522" s="669">
        <f t="shared" ref="C522:O522" si="252">C349+C368+C397+C415+C472</f>
        <v>0</v>
      </c>
      <c r="D522" s="669">
        <f t="shared" si="252"/>
        <v>0</v>
      </c>
      <c r="E522" s="669">
        <f t="shared" si="252"/>
        <v>9479</v>
      </c>
      <c r="F522" s="669">
        <f t="shared" si="252"/>
        <v>0</v>
      </c>
      <c r="G522" s="670">
        <f t="shared" si="252"/>
        <v>0</v>
      </c>
      <c r="H522" s="671">
        <f t="shared" si="252"/>
        <v>9479</v>
      </c>
      <c r="I522" s="669">
        <f t="shared" si="252"/>
        <v>0</v>
      </c>
      <c r="J522" s="669">
        <f t="shared" si="252"/>
        <v>0</v>
      </c>
      <c r="K522" s="672">
        <f t="shared" si="252"/>
        <v>0</v>
      </c>
      <c r="L522" s="671">
        <f t="shared" si="252"/>
        <v>0</v>
      </c>
      <c r="M522" s="671">
        <f t="shared" si="252"/>
        <v>9479</v>
      </c>
      <c r="N522" s="671">
        <f t="shared" si="252"/>
        <v>0</v>
      </c>
      <c r="O522" s="671">
        <f t="shared" si="252"/>
        <v>9479</v>
      </c>
    </row>
    <row r="523" spans="1:16" s="673" customFormat="1" ht="31.5" x14ac:dyDescent="0.25">
      <c r="A523" s="667"/>
      <c r="B523" s="935" t="s">
        <v>1121</v>
      </c>
      <c r="C523" s="669">
        <f>C499</f>
        <v>0</v>
      </c>
      <c r="D523" s="669">
        <f t="shared" ref="D523:O523" si="253">D499</f>
        <v>0</v>
      </c>
      <c r="E523" s="669">
        <f t="shared" si="253"/>
        <v>0</v>
      </c>
      <c r="F523" s="669">
        <f t="shared" si="253"/>
        <v>0</v>
      </c>
      <c r="G523" s="669">
        <f t="shared" si="253"/>
        <v>0</v>
      </c>
      <c r="H523" s="671">
        <f t="shared" si="253"/>
        <v>0</v>
      </c>
      <c r="I523" s="669">
        <f t="shared" si="253"/>
        <v>-37830</v>
      </c>
      <c r="J523" s="669">
        <f t="shared" si="253"/>
        <v>0</v>
      </c>
      <c r="K523" s="672">
        <f t="shared" si="253"/>
        <v>0</v>
      </c>
      <c r="L523" s="671">
        <f t="shared" si="253"/>
        <v>-37830</v>
      </c>
      <c r="M523" s="671">
        <f t="shared" si="253"/>
        <v>-37830</v>
      </c>
      <c r="N523" s="671">
        <f t="shared" si="253"/>
        <v>0</v>
      </c>
      <c r="O523" s="671">
        <f t="shared" si="253"/>
        <v>-37830</v>
      </c>
    </row>
    <row r="524" spans="1:16" s="673" customFormat="1" ht="31.5" x14ac:dyDescent="0.25">
      <c r="A524" s="667"/>
      <c r="B524" s="935" t="s">
        <v>929</v>
      </c>
      <c r="C524" s="669">
        <f>C15+C46+C61+C75+C89+C104+C119+C134+C150+C165+C180+C196+C211+C240+C256+C272+C302+C321+C334+C369+C398+C416+C473+C501</f>
        <v>-3744</v>
      </c>
      <c r="D524" s="669">
        <f t="shared" ref="D524:O524" si="254">D15+D46+D61+D75+D89+D104+D119+D134+D150+D165+D180+D196+D211+D240+D256+D272+D302+D321+D334+D369+D398+D416+D473+D501</f>
        <v>-726</v>
      </c>
      <c r="E524" s="669">
        <f t="shared" si="254"/>
        <v>-42199</v>
      </c>
      <c r="F524" s="669">
        <f t="shared" si="254"/>
        <v>0</v>
      </c>
      <c r="G524" s="669">
        <f t="shared" si="254"/>
        <v>20</v>
      </c>
      <c r="H524" s="671">
        <f t="shared" si="254"/>
        <v>-46649</v>
      </c>
      <c r="I524" s="669">
        <f t="shared" si="254"/>
        <v>47522</v>
      </c>
      <c r="J524" s="669">
        <f t="shared" si="254"/>
        <v>-873</v>
      </c>
      <c r="K524" s="672">
        <f t="shared" si="254"/>
        <v>0</v>
      </c>
      <c r="L524" s="671">
        <f t="shared" si="254"/>
        <v>46649</v>
      </c>
      <c r="M524" s="671">
        <f t="shared" si="254"/>
        <v>0</v>
      </c>
      <c r="N524" s="671">
        <f t="shared" si="254"/>
        <v>0</v>
      </c>
      <c r="O524" s="671">
        <f t="shared" si="254"/>
        <v>0</v>
      </c>
    </row>
    <row r="525" spans="1:16" s="673" customFormat="1" ht="31.5" x14ac:dyDescent="0.25">
      <c r="A525" s="667"/>
      <c r="B525" s="668" t="s">
        <v>928</v>
      </c>
      <c r="C525" s="669">
        <f>C16+C47+C105+C120+C135+C151+C166+C181+C197+C212+C225+C241+C257+C273+C287+C303+C350+C418+C500</f>
        <v>56794</v>
      </c>
      <c r="D525" s="669">
        <f t="shared" ref="D525:O525" si="255">D16+D47+D105+D120+D135+D151+D166+D181+D197+D212+D225+D241+D257+D273+D287+D303+D350+D418+D500</f>
        <v>11445</v>
      </c>
      <c r="E525" s="669">
        <f t="shared" si="255"/>
        <v>103651</v>
      </c>
      <c r="F525" s="669">
        <f t="shared" si="255"/>
        <v>63194</v>
      </c>
      <c r="G525" s="669">
        <f t="shared" si="255"/>
        <v>0</v>
      </c>
      <c r="H525" s="671">
        <f t="shared" si="255"/>
        <v>235084</v>
      </c>
      <c r="I525" s="669">
        <f t="shared" si="255"/>
        <v>9123</v>
      </c>
      <c r="J525" s="669">
        <f t="shared" si="255"/>
        <v>0</v>
      </c>
      <c r="K525" s="672">
        <f t="shared" si="255"/>
        <v>0</v>
      </c>
      <c r="L525" s="671">
        <f t="shared" si="255"/>
        <v>9123</v>
      </c>
      <c r="M525" s="671">
        <f t="shared" si="255"/>
        <v>244207</v>
      </c>
      <c r="N525" s="671">
        <f t="shared" si="255"/>
        <v>0</v>
      </c>
      <c r="O525" s="671">
        <f t="shared" si="255"/>
        <v>244207</v>
      </c>
    </row>
    <row r="526" spans="1:16" s="673" customFormat="1" ht="47.25" x14ac:dyDescent="0.25">
      <c r="A526" s="667"/>
      <c r="B526" s="668" t="s">
        <v>1179</v>
      </c>
      <c r="C526" s="669">
        <f t="shared" ref="C526:O526" si="256">C90</f>
        <v>0</v>
      </c>
      <c r="D526" s="669">
        <f t="shared" si="256"/>
        <v>0</v>
      </c>
      <c r="E526" s="669">
        <f t="shared" si="256"/>
        <v>639</v>
      </c>
      <c r="F526" s="669">
        <f t="shared" si="256"/>
        <v>0</v>
      </c>
      <c r="G526" s="670">
        <f t="shared" si="256"/>
        <v>0</v>
      </c>
      <c r="H526" s="671">
        <f t="shared" si="256"/>
        <v>639</v>
      </c>
      <c r="I526" s="669">
        <f t="shared" si="256"/>
        <v>0</v>
      </c>
      <c r="J526" s="669">
        <f t="shared" si="256"/>
        <v>0</v>
      </c>
      <c r="K526" s="672">
        <f t="shared" si="256"/>
        <v>0</v>
      </c>
      <c r="L526" s="671">
        <f t="shared" si="256"/>
        <v>0</v>
      </c>
      <c r="M526" s="671">
        <f t="shared" si="256"/>
        <v>639</v>
      </c>
      <c r="N526" s="671">
        <f t="shared" si="256"/>
        <v>0</v>
      </c>
      <c r="O526" s="671">
        <f t="shared" si="256"/>
        <v>639</v>
      </c>
    </row>
    <row r="527" spans="1:16" s="673" customFormat="1" ht="47.25" x14ac:dyDescent="0.25">
      <c r="A527" s="667"/>
      <c r="B527" s="668" t="s">
        <v>1255</v>
      </c>
      <c r="C527" s="669">
        <f t="shared" ref="C527:O527" si="257">C242</f>
        <v>0</v>
      </c>
      <c r="D527" s="669">
        <f t="shared" si="257"/>
        <v>0</v>
      </c>
      <c r="E527" s="669">
        <f t="shared" si="257"/>
        <v>2513</v>
      </c>
      <c r="F527" s="669">
        <f t="shared" si="257"/>
        <v>0</v>
      </c>
      <c r="G527" s="670">
        <f t="shared" si="257"/>
        <v>0</v>
      </c>
      <c r="H527" s="671">
        <f t="shared" si="257"/>
        <v>2513</v>
      </c>
      <c r="I527" s="669">
        <f t="shared" si="257"/>
        <v>0</v>
      </c>
      <c r="J527" s="669">
        <f t="shared" si="257"/>
        <v>0</v>
      </c>
      <c r="K527" s="672">
        <f t="shared" si="257"/>
        <v>0</v>
      </c>
      <c r="L527" s="671">
        <f t="shared" si="257"/>
        <v>0</v>
      </c>
      <c r="M527" s="671">
        <f t="shared" si="257"/>
        <v>2513</v>
      </c>
      <c r="N527" s="671">
        <f t="shared" si="257"/>
        <v>0</v>
      </c>
      <c r="O527" s="671">
        <f t="shared" si="257"/>
        <v>2513</v>
      </c>
    </row>
    <row r="528" spans="1:16" s="673" customFormat="1" ht="78.75" x14ac:dyDescent="0.25">
      <c r="A528" s="667"/>
      <c r="B528" s="668" t="s">
        <v>1256</v>
      </c>
      <c r="C528" s="669">
        <f t="shared" ref="C528:O528" si="258">C335</f>
        <v>0</v>
      </c>
      <c r="D528" s="669">
        <f t="shared" si="258"/>
        <v>0</v>
      </c>
      <c r="E528" s="669">
        <f t="shared" si="258"/>
        <v>10000</v>
      </c>
      <c r="F528" s="669">
        <f t="shared" si="258"/>
        <v>0</v>
      </c>
      <c r="G528" s="670">
        <f t="shared" si="258"/>
        <v>0</v>
      </c>
      <c r="H528" s="671">
        <f t="shared" si="258"/>
        <v>10000</v>
      </c>
      <c r="I528" s="669">
        <f t="shared" si="258"/>
        <v>0</v>
      </c>
      <c r="J528" s="669">
        <f t="shared" si="258"/>
        <v>0</v>
      </c>
      <c r="K528" s="672">
        <f t="shared" si="258"/>
        <v>0</v>
      </c>
      <c r="L528" s="671">
        <f t="shared" si="258"/>
        <v>0</v>
      </c>
      <c r="M528" s="671">
        <f t="shared" si="258"/>
        <v>10000</v>
      </c>
      <c r="N528" s="671">
        <f t="shared" si="258"/>
        <v>0</v>
      </c>
      <c r="O528" s="671">
        <f t="shared" si="258"/>
        <v>10000</v>
      </c>
    </row>
    <row r="529" spans="1:15" s="673" customFormat="1" ht="31.5" x14ac:dyDescent="0.25">
      <c r="A529" s="667"/>
      <c r="B529" s="668" t="s">
        <v>1175</v>
      </c>
      <c r="C529" s="669">
        <f t="shared" ref="C529:O529" si="259">C32+C243+C336+C417</f>
        <v>-43240</v>
      </c>
      <c r="D529" s="669">
        <f t="shared" si="259"/>
        <v>-8432</v>
      </c>
      <c r="E529" s="669">
        <f t="shared" si="259"/>
        <v>0</v>
      </c>
      <c r="F529" s="669">
        <f t="shared" si="259"/>
        <v>0</v>
      </c>
      <c r="G529" s="670">
        <f t="shared" si="259"/>
        <v>0</v>
      </c>
      <c r="H529" s="671">
        <f t="shared" si="259"/>
        <v>-51672</v>
      </c>
      <c r="I529" s="669">
        <f t="shared" si="259"/>
        <v>0</v>
      </c>
      <c r="J529" s="669">
        <f t="shared" si="259"/>
        <v>0</v>
      </c>
      <c r="K529" s="672">
        <f t="shared" si="259"/>
        <v>0</v>
      </c>
      <c r="L529" s="671">
        <f t="shared" si="259"/>
        <v>0</v>
      </c>
      <c r="M529" s="671">
        <f t="shared" si="259"/>
        <v>-51672</v>
      </c>
      <c r="N529" s="671">
        <f t="shared" si="259"/>
        <v>0</v>
      </c>
      <c r="O529" s="671">
        <f t="shared" si="259"/>
        <v>-51672</v>
      </c>
    </row>
    <row r="530" spans="1:15" s="673" customFormat="1" ht="47.25" x14ac:dyDescent="0.25">
      <c r="A530" s="667"/>
      <c r="B530" s="668" t="s">
        <v>1240</v>
      </c>
      <c r="C530" s="669">
        <f t="shared" ref="C530:O530" si="260">C136+C182+C167+C198+C304+C226+C258+C288+C274+C370</f>
        <v>0</v>
      </c>
      <c r="D530" s="669">
        <f t="shared" si="260"/>
        <v>0</v>
      </c>
      <c r="E530" s="669">
        <f t="shared" si="260"/>
        <v>140000</v>
      </c>
      <c r="F530" s="669">
        <f t="shared" si="260"/>
        <v>0</v>
      </c>
      <c r="G530" s="670">
        <f t="shared" si="260"/>
        <v>0</v>
      </c>
      <c r="H530" s="671">
        <f t="shared" si="260"/>
        <v>140000</v>
      </c>
      <c r="I530" s="669">
        <f t="shared" si="260"/>
        <v>0</v>
      </c>
      <c r="J530" s="669">
        <f t="shared" si="260"/>
        <v>0</v>
      </c>
      <c r="K530" s="672">
        <f t="shared" si="260"/>
        <v>0</v>
      </c>
      <c r="L530" s="671">
        <f t="shared" si="260"/>
        <v>0</v>
      </c>
      <c r="M530" s="671">
        <f t="shared" si="260"/>
        <v>140000</v>
      </c>
      <c r="N530" s="671">
        <f t="shared" si="260"/>
        <v>0</v>
      </c>
      <c r="O530" s="671">
        <f t="shared" si="260"/>
        <v>140000</v>
      </c>
    </row>
    <row r="531" spans="1:15" s="673" customFormat="1" ht="47.25" x14ac:dyDescent="0.25">
      <c r="A531" s="667"/>
      <c r="B531" s="668" t="s">
        <v>1207</v>
      </c>
      <c r="C531" s="669">
        <f t="shared" ref="C531:O531" si="261">C474</f>
        <v>740</v>
      </c>
      <c r="D531" s="669">
        <f t="shared" si="261"/>
        <v>89</v>
      </c>
      <c r="E531" s="669">
        <f t="shared" si="261"/>
        <v>0</v>
      </c>
      <c r="F531" s="669">
        <f t="shared" si="261"/>
        <v>0</v>
      </c>
      <c r="G531" s="670">
        <f t="shared" si="261"/>
        <v>0</v>
      </c>
      <c r="H531" s="671">
        <f t="shared" si="261"/>
        <v>829</v>
      </c>
      <c r="I531" s="669">
        <f t="shared" si="261"/>
        <v>0</v>
      </c>
      <c r="J531" s="669">
        <f t="shared" si="261"/>
        <v>0</v>
      </c>
      <c r="K531" s="672">
        <f t="shared" si="261"/>
        <v>0</v>
      </c>
      <c r="L531" s="671">
        <f t="shared" si="261"/>
        <v>0</v>
      </c>
      <c r="M531" s="671">
        <f t="shared" si="261"/>
        <v>829</v>
      </c>
      <c r="N531" s="671">
        <f t="shared" si="261"/>
        <v>0</v>
      </c>
      <c r="O531" s="671">
        <f t="shared" si="261"/>
        <v>829</v>
      </c>
    </row>
    <row r="532" spans="1:15" s="673" customFormat="1" x14ac:dyDescent="0.25">
      <c r="A532" s="667"/>
      <c r="B532" s="480" t="s">
        <v>141</v>
      </c>
      <c r="C532" s="669"/>
      <c r="D532" s="669"/>
      <c r="E532" s="669"/>
      <c r="F532" s="669"/>
      <c r="G532" s="670"/>
      <c r="H532" s="671"/>
      <c r="I532" s="669"/>
      <c r="J532" s="669"/>
      <c r="K532" s="672"/>
      <c r="L532" s="671"/>
      <c r="M532" s="671"/>
      <c r="N532" s="671"/>
      <c r="O532" s="671"/>
    </row>
    <row r="533" spans="1:15" s="673" customFormat="1" ht="31.5" x14ac:dyDescent="0.25">
      <c r="A533" s="667"/>
      <c r="B533" s="668" t="s">
        <v>1168</v>
      </c>
      <c r="C533" s="669">
        <f t="shared" ref="C533:O533" si="262">C380+C448</f>
        <v>1180</v>
      </c>
      <c r="D533" s="669">
        <f t="shared" si="262"/>
        <v>230</v>
      </c>
      <c r="E533" s="669">
        <f t="shared" si="262"/>
        <v>0</v>
      </c>
      <c r="F533" s="669">
        <f t="shared" si="262"/>
        <v>0</v>
      </c>
      <c r="G533" s="669">
        <f t="shared" si="262"/>
        <v>0</v>
      </c>
      <c r="H533" s="671">
        <f t="shared" si="262"/>
        <v>1410</v>
      </c>
      <c r="I533" s="671">
        <f t="shared" si="262"/>
        <v>0</v>
      </c>
      <c r="J533" s="671">
        <f t="shared" si="262"/>
        <v>0</v>
      </c>
      <c r="K533" s="671">
        <f t="shared" si="262"/>
        <v>0</v>
      </c>
      <c r="L533" s="671">
        <f t="shared" si="262"/>
        <v>0</v>
      </c>
      <c r="M533" s="671">
        <f t="shared" si="262"/>
        <v>1410</v>
      </c>
      <c r="N533" s="671">
        <f t="shared" si="262"/>
        <v>0</v>
      </c>
      <c r="O533" s="671">
        <f t="shared" si="262"/>
        <v>1410</v>
      </c>
    </row>
    <row r="534" spans="1:15" s="673" customFormat="1" ht="63" x14ac:dyDescent="0.25">
      <c r="A534" s="667"/>
      <c r="B534" s="668" t="s">
        <v>1220</v>
      </c>
      <c r="C534" s="669">
        <f t="shared" ref="C534:O534" si="263">+C430</f>
        <v>4238</v>
      </c>
      <c r="D534" s="669">
        <f t="shared" si="263"/>
        <v>803</v>
      </c>
      <c r="E534" s="669">
        <f t="shared" si="263"/>
        <v>4801</v>
      </c>
      <c r="F534" s="669">
        <f t="shared" si="263"/>
        <v>0</v>
      </c>
      <c r="G534" s="669">
        <f t="shared" si="263"/>
        <v>0</v>
      </c>
      <c r="H534" s="671">
        <f t="shared" si="263"/>
        <v>9842</v>
      </c>
      <c r="I534" s="671">
        <f t="shared" si="263"/>
        <v>0</v>
      </c>
      <c r="J534" s="671">
        <f t="shared" si="263"/>
        <v>0</v>
      </c>
      <c r="K534" s="671">
        <f t="shared" si="263"/>
        <v>0</v>
      </c>
      <c r="L534" s="671">
        <f t="shared" si="263"/>
        <v>0</v>
      </c>
      <c r="M534" s="671">
        <f t="shared" si="263"/>
        <v>9842</v>
      </c>
      <c r="N534" s="671">
        <f t="shared" si="263"/>
        <v>0</v>
      </c>
      <c r="O534" s="671">
        <f t="shared" si="263"/>
        <v>9842</v>
      </c>
    </row>
    <row r="535" spans="1:15" s="673" customFormat="1" ht="31.5" x14ac:dyDescent="0.25">
      <c r="A535" s="667"/>
      <c r="B535" s="668" t="s">
        <v>1197</v>
      </c>
      <c r="C535" s="669">
        <f t="shared" ref="C535:O535" si="264">C381+C437+C449</f>
        <v>9829</v>
      </c>
      <c r="D535" s="669">
        <f t="shared" si="264"/>
        <v>1917</v>
      </c>
      <c r="E535" s="669">
        <f t="shared" si="264"/>
        <v>0</v>
      </c>
      <c r="F535" s="669">
        <f t="shared" si="264"/>
        <v>0</v>
      </c>
      <c r="G535" s="669">
        <f t="shared" si="264"/>
        <v>0</v>
      </c>
      <c r="H535" s="671">
        <f t="shared" si="264"/>
        <v>11746</v>
      </c>
      <c r="I535" s="671">
        <f t="shared" si="264"/>
        <v>0</v>
      </c>
      <c r="J535" s="671">
        <f t="shared" si="264"/>
        <v>0</v>
      </c>
      <c r="K535" s="671">
        <f t="shared" si="264"/>
        <v>0</v>
      </c>
      <c r="L535" s="671">
        <f t="shared" si="264"/>
        <v>0</v>
      </c>
      <c r="M535" s="671">
        <f t="shared" si="264"/>
        <v>11746</v>
      </c>
      <c r="N535" s="671">
        <f t="shared" si="264"/>
        <v>0</v>
      </c>
      <c r="O535" s="671">
        <f t="shared" si="264"/>
        <v>11746</v>
      </c>
    </row>
    <row r="536" spans="1:15" s="673" customFormat="1" ht="47.25" x14ac:dyDescent="0.25">
      <c r="A536" s="667"/>
      <c r="B536" s="668" t="s">
        <v>1257</v>
      </c>
      <c r="C536" s="669">
        <f t="shared" ref="C536:O536" si="265">C18+C19</f>
        <v>0</v>
      </c>
      <c r="D536" s="669">
        <f t="shared" si="265"/>
        <v>0</v>
      </c>
      <c r="E536" s="669">
        <f t="shared" si="265"/>
        <v>600</v>
      </c>
      <c r="F536" s="669">
        <f t="shared" si="265"/>
        <v>0</v>
      </c>
      <c r="G536" s="669">
        <f t="shared" si="265"/>
        <v>0</v>
      </c>
      <c r="H536" s="671">
        <f t="shared" si="265"/>
        <v>600</v>
      </c>
      <c r="I536" s="671">
        <f t="shared" si="265"/>
        <v>0</v>
      </c>
      <c r="J536" s="671">
        <f t="shared" si="265"/>
        <v>0</v>
      </c>
      <c r="K536" s="671">
        <f t="shared" si="265"/>
        <v>0</v>
      </c>
      <c r="L536" s="671">
        <f t="shared" si="265"/>
        <v>0</v>
      </c>
      <c r="M536" s="671">
        <f t="shared" si="265"/>
        <v>600</v>
      </c>
      <c r="N536" s="671">
        <f t="shared" si="265"/>
        <v>0</v>
      </c>
      <c r="O536" s="671">
        <f t="shared" si="265"/>
        <v>600</v>
      </c>
    </row>
    <row r="537" spans="1:15" s="673" customFormat="1" x14ac:dyDescent="0.25">
      <c r="A537" s="667"/>
      <c r="B537" s="668" t="s">
        <v>632</v>
      </c>
      <c r="C537" s="669">
        <f t="shared" ref="C537:O537" si="266">C77+C290+C352+C400+C401+C476+C477+C478+C479+C480+C481+C482</f>
        <v>0</v>
      </c>
      <c r="D537" s="669">
        <f t="shared" si="266"/>
        <v>0</v>
      </c>
      <c r="E537" s="669">
        <f t="shared" si="266"/>
        <v>1160</v>
      </c>
      <c r="F537" s="669">
        <f t="shared" si="266"/>
        <v>0</v>
      </c>
      <c r="G537" s="669">
        <f t="shared" si="266"/>
        <v>0</v>
      </c>
      <c r="H537" s="671">
        <f t="shared" si="266"/>
        <v>1160</v>
      </c>
      <c r="I537" s="671">
        <f t="shared" si="266"/>
        <v>0</v>
      </c>
      <c r="J537" s="671">
        <f t="shared" si="266"/>
        <v>0</v>
      </c>
      <c r="K537" s="671">
        <f t="shared" si="266"/>
        <v>0</v>
      </c>
      <c r="L537" s="671">
        <f t="shared" si="266"/>
        <v>0</v>
      </c>
      <c r="M537" s="671">
        <f t="shared" si="266"/>
        <v>1160</v>
      </c>
      <c r="N537" s="671">
        <f t="shared" si="266"/>
        <v>0</v>
      </c>
      <c r="O537" s="671">
        <f t="shared" si="266"/>
        <v>1160</v>
      </c>
    </row>
    <row r="538" spans="1:15" s="673" customFormat="1" x14ac:dyDescent="0.25">
      <c r="A538" s="667"/>
      <c r="B538" s="668" t="s">
        <v>633</v>
      </c>
      <c r="C538" s="669">
        <f t="shared" ref="C538:O538" si="267">C138</f>
        <v>0</v>
      </c>
      <c r="D538" s="669">
        <f t="shared" si="267"/>
        <v>0</v>
      </c>
      <c r="E538" s="669">
        <f t="shared" si="267"/>
        <v>45</v>
      </c>
      <c r="F538" s="669">
        <f t="shared" si="267"/>
        <v>0</v>
      </c>
      <c r="G538" s="669">
        <f t="shared" si="267"/>
        <v>0</v>
      </c>
      <c r="H538" s="671">
        <f t="shared" si="267"/>
        <v>45</v>
      </c>
      <c r="I538" s="671">
        <f t="shared" si="267"/>
        <v>0</v>
      </c>
      <c r="J538" s="671">
        <f t="shared" si="267"/>
        <v>0</v>
      </c>
      <c r="K538" s="671">
        <f t="shared" si="267"/>
        <v>0</v>
      </c>
      <c r="L538" s="671">
        <f t="shared" si="267"/>
        <v>0</v>
      </c>
      <c r="M538" s="671">
        <f t="shared" si="267"/>
        <v>45</v>
      </c>
      <c r="N538" s="671">
        <f t="shared" si="267"/>
        <v>0</v>
      </c>
      <c r="O538" s="671">
        <f t="shared" si="267"/>
        <v>45</v>
      </c>
    </row>
    <row r="539" spans="1:15" s="673" customFormat="1" ht="31.5" x14ac:dyDescent="0.25">
      <c r="A539" s="667"/>
      <c r="B539" s="935" t="s">
        <v>1258</v>
      </c>
      <c r="C539" s="669">
        <f t="shared" ref="C539:O539" si="268">C483</f>
        <v>0</v>
      </c>
      <c r="D539" s="669">
        <f t="shared" si="268"/>
        <v>0</v>
      </c>
      <c r="E539" s="669">
        <f t="shared" si="268"/>
        <v>500</v>
      </c>
      <c r="F539" s="669">
        <f t="shared" si="268"/>
        <v>0</v>
      </c>
      <c r="G539" s="669">
        <f t="shared" si="268"/>
        <v>0</v>
      </c>
      <c r="H539" s="671">
        <f t="shared" si="268"/>
        <v>500</v>
      </c>
      <c r="I539" s="671">
        <f t="shared" si="268"/>
        <v>0</v>
      </c>
      <c r="J539" s="671">
        <f t="shared" si="268"/>
        <v>0</v>
      </c>
      <c r="K539" s="671">
        <f t="shared" si="268"/>
        <v>0</v>
      </c>
      <c r="L539" s="671">
        <f t="shared" si="268"/>
        <v>0</v>
      </c>
      <c r="M539" s="671">
        <f t="shared" si="268"/>
        <v>500</v>
      </c>
      <c r="N539" s="671">
        <f t="shared" si="268"/>
        <v>0</v>
      </c>
      <c r="O539" s="671">
        <f t="shared" si="268"/>
        <v>500</v>
      </c>
    </row>
    <row r="540" spans="1:15" s="673" customFormat="1" x14ac:dyDescent="0.25">
      <c r="A540" s="667"/>
      <c r="B540" s="935" t="s">
        <v>1259</v>
      </c>
      <c r="C540" s="669">
        <f t="shared" ref="C540:O540" si="269">C382</f>
        <v>0</v>
      </c>
      <c r="D540" s="669">
        <f t="shared" si="269"/>
        <v>0</v>
      </c>
      <c r="E540" s="669">
        <f t="shared" si="269"/>
        <v>1248</v>
      </c>
      <c r="F540" s="669">
        <f t="shared" si="269"/>
        <v>0</v>
      </c>
      <c r="G540" s="669">
        <f t="shared" si="269"/>
        <v>0</v>
      </c>
      <c r="H540" s="671">
        <f t="shared" si="269"/>
        <v>1248</v>
      </c>
      <c r="I540" s="671">
        <f t="shared" si="269"/>
        <v>0</v>
      </c>
      <c r="J540" s="671">
        <f t="shared" si="269"/>
        <v>0</v>
      </c>
      <c r="K540" s="671">
        <f t="shared" si="269"/>
        <v>0</v>
      </c>
      <c r="L540" s="671">
        <f t="shared" si="269"/>
        <v>0</v>
      </c>
      <c r="M540" s="671">
        <f t="shared" si="269"/>
        <v>1248</v>
      </c>
      <c r="N540" s="671">
        <f t="shared" si="269"/>
        <v>0</v>
      </c>
      <c r="O540" s="671">
        <f t="shared" si="269"/>
        <v>1248</v>
      </c>
    </row>
    <row r="541" spans="1:15" s="673" customFormat="1" ht="47.25" x14ac:dyDescent="0.25">
      <c r="A541" s="667"/>
      <c r="B541" s="668" t="s">
        <v>1260</v>
      </c>
      <c r="C541" s="669">
        <f t="shared" ref="C541:O541" si="270">C484</f>
        <v>0</v>
      </c>
      <c r="D541" s="669">
        <f t="shared" si="270"/>
        <v>0</v>
      </c>
      <c r="E541" s="669">
        <f t="shared" si="270"/>
        <v>400</v>
      </c>
      <c r="F541" s="669">
        <f t="shared" si="270"/>
        <v>0</v>
      </c>
      <c r="G541" s="669">
        <f t="shared" si="270"/>
        <v>0</v>
      </c>
      <c r="H541" s="671">
        <f t="shared" si="270"/>
        <v>400</v>
      </c>
      <c r="I541" s="671">
        <f t="shared" si="270"/>
        <v>0</v>
      </c>
      <c r="J541" s="671">
        <f t="shared" si="270"/>
        <v>0</v>
      </c>
      <c r="K541" s="671">
        <f t="shared" si="270"/>
        <v>0</v>
      </c>
      <c r="L541" s="671">
        <f t="shared" si="270"/>
        <v>0</v>
      </c>
      <c r="M541" s="671">
        <f t="shared" si="270"/>
        <v>400</v>
      </c>
      <c r="N541" s="671">
        <f t="shared" si="270"/>
        <v>0</v>
      </c>
      <c r="O541" s="671">
        <f t="shared" si="270"/>
        <v>400</v>
      </c>
    </row>
    <row r="542" spans="1:15" s="673" customFormat="1" ht="31.5" x14ac:dyDescent="0.25">
      <c r="A542" s="667"/>
      <c r="B542" s="668" t="s">
        <v>1261</v>
      </c>
      <c r="C542" s="669">
        <f t="shared" ref="C542:O542" si="271">C450</f>
        <v>0</v>
      </c>
      <c r="D542" s="669">
        <f t="shared" si="271"/>
        <v>0</v>
      </c>
      <c r="E542" s="669">
        <f t="shared" si="271"/>
        <v>1098</v>
      </c>
      <c r="F542" s="669">
        <f t="shared" si="271"/>
        <v>0</v>
      </c>
      <c r="G542" s="669">
        <f t="shared" si="271"/>
        <v>0</v>
      </c>
      <c r="H542" s="671">
        <f t="shared" si="271"/>
        <v>1098</v>
      </c>
      <c r="I542" s="671">
        <f t="shared" si="271"/>
        <v>0</v>
      </c>
      <c r="J542" s="671">
        <f t="shared" si="271"/>
        <v>0</v>
      </c>
      <c r="K542" s="671">
        <f t="shared" si="271"/>
        <v>0</v>
      </c>
      <c r="L542" s="671">
        <f t="shared" si="271"/>
        <v>0</v>
      </c>
      <c r="M542" s="671">
        <f t="shared" si="271"/>
        <v>1098</v>
      </c>
      <c r="N542" s="671">
        <f t="shared" si="271"/>
        <v>0</v>
      </c>
      <c r="O542" s="671">
        <f t="shared" si="271"/>
        <v>1098</v>
      </c>
    </row>
    <row r="543" spans="1:15" s="673" customFormat="1" x14ac:dyDescent="0.25">
      <c r="A543" s="667"/>
      <c r="B543" s="668" t="s">
        <v>1235</v>
      </c>
      <c r="C543" s="669">
        <f t="shared" ref="C543:O543" si="272">C20+C34+C49+C63+C78+C92+C107+C122+C139+C153+C169+C184+C200+C214+C228+C245+C260+C276+C291+C306+C323+C338+C353+C372+C383+C402+C420+C438+C451+C485</f>
        <v>56717</v>
      </c>
      <c r="D543" s="669">
        <f t="shared" si="272"/>
        <v>19411</v>
      </c>
      <c r="E543" s="669">
        <f t="shared" si="272"/>
        <v>0</v>
      </c>
      <c r="F543" s="669">
        <f t="shared" si="272"/>
        <v>0</v>
      </c>
      <c r="G543" s="669">
        <f t="shared" si="272"/>
        <v>0</v>
      </c>
      <c r="H543" s="671">
        <f t="shared" si="272"/>
        <v>76128</v>
      </c>
      <c r="I543" s="671">
        <f t="shared" si="272"/>
        <v>0</v>
      </c>
      <c r="J543" s="671">
        <f t="shared" si="272"/>
        <v>0</v>
      </c>
      <c r="K543" s="671">
        <f t="shared" si="272"/>
        <v>0</v>
      </c>
      <c r="L543" s="671">
        <f t="shared" si="272"/>
        <v>0</v>
      </c>
      <c r="M543" s="671">
        <f t="shared" si="272"/>
        <v>76128</v>
      </c>
      <c r="N543" s="671">
        <f t="shared" si="272"/>
        <v>0</v>
      </c>
      <c r="O543" s="671">
        <f t="shared" si="272"/>
        <v>76128</v>
      </c>
    </row>
    <row r="544" spans="1:15" s="673" customFormat="1" x14ac:dyDescent="0.25">
      <c r="A544" s="667"/>
      <c r="B544" s="668" t="s">
        <v>631</v>
      </c>
      <c r="C544" s="669">
        <f t="shared" ref="C544:O544" si="273">C452</f>
        <v>135</v>
      </c>
      <c r="D544" s="669">
        <f t="shared" si="273"/>
        <v>26</v>
      </c>
      <c r="E544" s="669">
        <f t="shared" si="273"/>
        <v>0</v>
      </c>
      <c r="F544" s="669">
        <f t="shared" si="273"/>
        <v>0</v>
      </c>
      <c r="G544" s="669">
        <f t="shared" si="273"/>
        <v>0</v>
      </c>
      <c r="H544" s="671">
        <f t="shared" si="273"/>
        <v>161</v>
      </c>
      <c r="I544" s="671">
        <f t="shared" si="273"/>
        <v>0</v>
      </c>
      <c r="J544" s="671">
        <f t="shared" si="273"/>
        <v>0</v>
      </c>
      <c r="K544" s="671">
        <f t="shared" si="273"/>
        <v>0</v>
      </c>
      <c r="L544" s="671">
        <f t="shared" si="273"/>
        <v>0</v>
      </c>
      <c r="M544" s="671">
        <f t="shared" si="273"/>
        <v>161</v>
      </c>
      <c r="N544" s="671">
        <f t="shared" si="273"/>
        <v>0</v>
      </c>
      <c r="O544" s="671">
        <f t="shared" si="273"/>
        <v>161</v>
      </c>
    </row>
    <row r="545" spans="1:16" s="673" customFormat="1" ht="47.25" x14ac:dyDescent="0.25">
      <c r="A545" s="667"/>
      <c r="B545" s="668" t="s">
        <v>1195</v>
      </c>
      <c r="C545" s="669">
        <f t="shared" ref="C545:O545" si="274">C384+C439+C453</f>
        <v>0</v>
      </c>
      <c r="D545" s="669">
        <f t="shared" si="274"/>
        <v>0</v>
      </c>
      <c r="E545" s="669">
        <f t="shared" si="274"/>
        <v>3835</v>
      </c>
      <c r="F545" s="669">
        <f t="shared" si="274"/>
        <v>0</v>
      </c>
      <c r="G545" s="669">
        <f t="shared" si="274"/>
        <v>0</v>
      </c>
      <c r="H545" s="671">
        <f t="shared" si="274"/>
        <v>3835</v>
      </c>
      <c r="I545" s="671">
        <f t="shared" si="274"/>
        <v>0</v>
      </c>
      <c r="J545" s="671">
        <f t="shared" si="274"/>
        <v>0</v>
      </c>
      <c r="K545" s="671">
        <f t="shared" si="274"/>
        <v>0</v>
      </c>
      <c r="L545" s="671">
        <f t="shared" si="274"/>
        <v>0</v>
      </c>
      <c r="M545" s="671">
        <f t="shared" si="274"/>
        <v>3835</v>
      </c>
      <c r="N545" s="671">
        <f t="shared" si="274"/>
        <v>0</v>
      </c>
      <c r="O545" s="671">
        <f t="shared" si="274"/>
        <v>3835</v>
      </c>
    </row>
    <row r="546" spans="1:16" s="673" customFormat="1" ht="31.5" x14ac:dyDescent="0.25">
      <c r="A546" s="667"/>
      <c r="B546" s="668" t="s">
        <v>929</v>
      </c>
      <c r="C546" s="669">
        <f t="shared" ref="C546:O546" si="275">C385+C440+C454</f>
        <v>0</v>
      </c>
      <c r="D546" s="669">
        <f t="shared" si="275"/>
        <v>0</v>
      </c>
      <c r="E546" s="669">
        <f t="shared" si="275"/>
        <v>-2594</v>
      </c>
      <c r="F546" s="669">
        <f t="shared" si="275"/>
        <v>0</v>
      </c>
      <c r="G546" s="669">
        <f t="shared" si="275"/>
        <v>0</v>
      </c>
      <c r="H546" s="671">
        <f t="shared" si="275"/>
        <v>-2594</v>
      </c>
      <c r="I546" s="671">
        <f t="shared" si="275"/>
        <v>1455</v>
      </c>
      <c r="J546" s="671">
        <f t="shared" si="275"/>
        <v>1139</v>
      </c>
      <c r="K546" s="671">
        <f t="shared" si="275"/>
        <v>0</v>
      </c>
      <c r="L546" s="671">
        <f t="shared" si="275"/>
        <v>2594</v>
      </c>
      <c r="M546" s="671">
        <f t="shared" si="275"/>
        <v>0</v>
      </c>
      <c r="N546" s="671">
        <f t="shared" si="275"/>
        <v>0</v>
      </c>
      <c r="O546" s="671">
        <f t="shared" si="275"/>
        <v>0</v>
      </c>
    </row>
    <row r="547" spans="1:16" s="673" customFormat="1" ht="31.5" x14ac:dyDescent="0.25">
      <c r="A547" s="667"/>
      <c r="B547" s="668" t="s">
        <v>928</v>
      </c>
      <c r="C547" s="669">
        <f t="shared" ref="C547:O547" si="276">C403+C421+C441+C455+C486</f>
        <v>2158</v>
      </c>
      <c r="D547" s="669">
        <f t="shared" si="276"/>
        <v>421</v>
      </c>
      <c r="E547" s="669">
        <f t="shared" si="276"/>
        <v>100464</v>
      </c>
      <c r="F547" s="669">
        <f t="shared" si="276"/>
        <v>0</v>
      </c>
      <c r="G547" s="669">
        <f t="shared" si="276"/>
        <v>0</v>
      </c>
      <c r="H547" s="671">
        <f t="shared" si="276"/>
        <v>103043</v>
      </c>
      <c r="I547" s="671">
        <f t="shared" si="276"/>
        <v>0</v>
      </c>
      <c r="J547" s="671">
        <f t="shared" si="276"/>
        <v>0</v>
      </c>
      <c r="K547" s="671">
        <f t="shared" si="276"/>
        <v>0</v>
      </c>
      <c r="L547" s="671">
        <f t="shared" si="276"/>
        <v>0</v>
      </c>
      <c r="M547" s="671">
        <f t="shared" si="276"/>
        <v>103043</v>
      </c>
      <c r="N547" s="671">
        <f t="shared" si="276"/>
        <v>0</v>
      </c>
      <c r="O547" s="671">
        <f t="shared" si="276"/>
        <v>103043</v>
      </c>
    </row>
    <row r="548" spans="1:16" s="673" customFormat="1" ht="78.75" x14ac:dyDescent="0.25">
      <c r="A548" s="667"/>
      <c r="B548" s="668" t="s">
        <v>1226</v>
      </c>
      <c r="C548" s="669">
        <f t="shared" ref="C548:O548" si="277">C21</f>
        <v>0</v>
      </c>
      <c r="D548" s="669">
        <f t="shared" si="277"/>
        <v>0</v>
      </c>
      <c r="E548" s="669">
        <f t="shared" si="277"/>
        <v>11038</v>
      </c>
      <c r="F548" s="669">
        <f t="shared" si="277"/>
        <v>0</v>
      </c>
      <c r="G548" s="669">
        <f t="shared" si="277"/>
        <v>0</v>
      </c>
      <c r="H548" s="671">
        <f t="shared" si="277"/>
        <v>11038</v>
      </c>
      <c r="I548" s="671">
        <f t="shared" si="277"/>
        <v>0</v>
      </c>
      <c r="J548" s="671">
        <f t="shared" si="277"/>
        <v>0</v>
      </c>
      <c r="K548" s="671">
        <f t="shared" si="277"/>
        <v>0</v>
      </c>
      <c r="L548" s="671">
        <f t="shared" si="277"/>
        <v>0</v>
      </c>
      <c r="M548" s="671">
        <f t="shared" si="277"/>
        <v>11038</v>
      </c>
      <c r="N548" s="671">
        <f t="shared" si="277"/>
        <v>0</v>
      </c>
      <c r="O548" s="671">
        <f t="shared" si="277"/>
        <v>11038</v>
      </c>
    </row>
    <row r="549" spans="1:16" s="673" customFormat="1" ht="47.25" x14ac:dyDescent="0.25">
      <c r="A549" s="667"/>
      <c r="B549" s="668" t="s">
        <v>1262</v>
      </c>
      <c r="C549" s="669">
        <f t="shared" ref="C549:O549" si="278">C185+C229+C261+C307</f>
        <v>0</v>
      </c>
      <c r="D549" s="669">
        <f t="shared" si="278"/>
        <v>0</v>
      </c>
      <c r="E549" s="669">
        <f t="shared" si="278"/>
        <v>1000</v>
      </c>
      <c r="F549" s="669">
        <f t="shared" si="278"/>
        <v>0</v>
      </c>
      <c r="G549" s="669">
        <f t="shared" si="278"/>
        <v>0</v>
      </c>
      <c r="H549" s="671">
        <f t="shared" si="278"/>
        <v>1000</v>
      </c>
      <c r="I549" s="671">
        <f t="shared" si="278"/>
        <v>0</v>
      </c>
      <c r="J549" s="671">
        <f t="shared" si="278"/>
        <v>0</v>
      </c>
      <c r="K549" s="671">
        <f t="shared" si="278"/>
        <v>0</v>
      </c>
      <c r="L549" s="671">
        <f t="shared" si="278"/>
        <v>0</v>
      </c>
      <c r="M549" s="671">
        <f t="shared" si="278"/>
        <v>1000</v>
      </c>
      <c r="N549" s="671">
        <f t="shared" si="278"/>
        <v>0</v>
      </c>
      <c r="O549" s="671">
        <f t="shared" si="278"/>
        <v>1000</v>
      </c>
    </row>
    <row r="550" spans="1:16" ht="31.5" x14ac:dyDescent="0.25">
      <c r="A550" s="667"/>
      <c r="B550" s="668" t="s">
        <v>1228</v>
      </c>
      <c r="C550" s="669">
        <f t="shared" ref="C550:O550" si="279">C262</f>
        <v>0</v>
      </c>
      <c r="D550" s="669">
        <f t="shared" si="279"/>
        <v>0</v>
      </c>
      <c r="E550" s="669">
        <f t="shared" si="279"/>
        <v>150</v>
      </c>
      <c r="F550" s="669">
        <f t="shared" si="279"/>
        <v>0</v>
      </c>
      <c r="G550" s="669">
        <f t="shared" si="279"/>
        <v>0</v>
      </c>
      <c r="H550" s="671">
        <f t="shared" si="279"/>
        <v>150</v>
      </c>
      <c r="I550" s="671">
        <f t="shared" si="279"/>
        <v>0</v>
      </c>
      <c r="J550" s="671">
        <f t="shared" si="279"/>
        <v>0</v>
      </c>
      <c r="K550" s="671">
        <f t="shared" si="279"/>
        <v>0</v>
      </c>
      <c r="L550" s="671">
        <f t="shared" si="279"/>
        <v>0</v>
      </c>
      <c r="M550" s="671">
        <f t="shared" si="279"/>
        <v>150</v>
      </c>
      <c r="N550" s="671">
        <f t="shared" si="279"/>
        <v>0</v>
      </c>
      <c r="O550" s="671">
        <f t="shared" si="279"/>
        <v>150</v>
      </c>
      <c r="P550" s="673"/>
    </row>
    <row r="551" spans="1:16" ht="63" x14ac:dyDescent="0.25">
      <c r="A551" s="667"/>
      <c r="B551" s="668" t="s">
        <v>1263</v>
      </c>
      <c r="C551" s="669">
        <f t="shared" ref="C551:O551" si="280">C463</f>
        <v>0</v>
      </c>
      <c r="D551" s="669">
        <f t="shared" si="280"/>
        <v>0</v>
      </c>
      <c r="E551" s="669">
        <f t="shared" si="280"/>
        <v>2477</v>
      </c>
      <c r="F551" s="669">
        <f t="shared" si="280"/>
        <v>0</v>
      </c>
      <c r="G551" s="669">
        <f t="shared" si="280"/>
        <v>0</v>
      </c>
      <c r="H551" s="671">
        <f t="shared" si="280"/>
        <v>2477</v>
      </c>
      <c r="I551" s="671">
        <f t="shared" si="280"/>
        <v>0</v>
      </c>
      <c r="J551" s="671">
        <f t="shared" si="280"/>
        <v>0</v>
      </c>
      <c r="K551" s="671">
        <f t="shared" si="280"/>
        <v>0</v>
      </c>
      <c r="L551" s="671">
        <f t="shared" si="280"/>
        <v>0</v>
      </c>
      <c r="M551" s="671">
        <f t="shared" si="280"/>
        <v>2477</v>
      </c>
      <c r="N551" s="671">
        <f t="shared" si="280"/>
        <v>0</v>
      </c>
      <c r="O551" s="671">
        <f t="shared" si="280"/>
        <v>2477</v>
      </c>
      <c r="P551" s="673"/>
    </row>
    <row r="552" spans="1:16" ht="31.5" x14ac:dyDescent="0.25">
      <c r="A552" s="667"/>
      <c r="B552" s="668" t="s">
        <v>1175</v>
      </c>
      <c r="C552" s="669">
        <f t="shared" ref="C552:O552" si="281">C456</f>
        <v>-2209</v>
      </c>
      <c r="D552" s="669">
        <f t="shared" si="281"/>
        <v>-431</v>
      </c>
      <c r="E552" s="669">
        <f t="shared" si="281"/>
        <v>0</v>
      </c>
      <c r="F552" s="669">
        <f t="shared" si="281"/>
        <v>0</v>
      </c>
      <c r="G552" s="669">
        <f t="shared" si="281"/>
        <v>0</v>
      </c>
      <c r="H552" s="671">
        <f t="shared" si="281"/>
        <v>-2640</v>
      </c>
      <c r="I552" s="671">
        <f t="shared" si="281"/>
        <v>0</v>
      </c>
      <c r="J552" s="671">
        <f t="shared" si="281"/>
        <v>0</v>
      </c>
      <c r="K552" s="671">
        <f t="shared" si="281"/>
        <v>0</v>
      </c>
      <c r="L552" s="671">
        <f t="shared" si="281"/>
        <v>0</v>
      </c>
      <c r="M552" s="671">
        <f t="shared" si="281"/>
        <v>-2640</v>
      </c>
      <c r="N552" s="671">
        <f t="shared" si="281"/>
        <v>0</v>
      </c>
      <c r="O552" s="671">
        <f t="shared" si="281"/>
        <v>-2640</v>
      </c>
      <c r="P552" s="673"/>
    </row>
    <row r="553" spans="1:16" ht="78.75" x14ac:dyDescent="0.25">
      <c r="A553" s="667"/>
      <c r="B553" s="668" t="s">
        <v>1230</v>
      </c>
      <c r="C553" s="669">
        <f t="shared" ref="C553:O553" si="282">C422</f>
        <v>0</v>
      </c>
      <c r="D553" s="669">
        <f t="shared" si="282"/>
        <v>0</v>
      </c>
      <c r="E553" s="669">
        <f t="shared" si="282"/>
        <v>10000</v>
      </c>
      <c r="F553" s="669">
        <f t="shared" si="282"/>
        <v>0</v>
      </c>
      <c r="G553" s="669">
        <f t="shared" si="282"/>
        <v>0</v>
      </c>
      <c r="H553" s="671">
        <f t="shared" si="282"/>
        <v>10000</v>
      </c>
      <c r="I553" s="671">
        <f t="shared" si="282"/>
        <v>0</v>
      </c>
      <c r="J553" s="671">
        <f t="shared" si="282"/>
        <v>0</v>
      </c>
      <c r="K553" s="671">
        <f t="shared" si="282"/>
        <v>0</v>
      </c>
      <c r="L553" s="671">
        <f t="shared" si="282"/>
        <v>0</v>
      </c>
      <c r="M553" s="671">
        <f t="shared" si="282"/>
        <v>10000</v>
      </c>
      <c r="N553" s="671">
        <f t="shared" si="282"/>
        <v>0</v>
      </c>
      <c r="O553" s="671">
        <f t="shared" si="282"/>
        <v>10000</v>
      </c>
      <c r="P553" s="673"/>
    </row>
    <row r="554" spans="1:16" x14ac:dyDescent="0.25">
      <c r="A554" s="667"/>
      <c r="B554" s="777" t="s">
        <v>368</v>
      </c>
      <c r="C554" s="669"/>
      <c r="D554" s="669"/>
      <c r="E554" s="669"/>
      <c r="F554" s="669"/>
      <c r="G554" s="669"/>
      <c r="H554" s="671"/>
      <c r="I554" s="671"/>
      <c r="J554" s="671"/>
      <c r="K554" s="671"/>
      <c r="L554" s="671"/>
      <c r="M554" s="671"/>
      <c r="N554" s="671"/>
      <c r="O554" s="671"/>
      <c r="P554" s="673"/>
    </row>
    <row r="555" spans="1:16" ht="31.5" x14ac:dyDescent="0.25">
      <c r="A555" s="667"/>
      <c r="B555" s="935" t="s">
        <v>1121</v>
      </c>
      <c r="C555" s="669">
        <f>SUM(C503)</f>
        <v>0</v>
      </c>
      <c r="D555" s="669">
        <f t="shared" ref="D555:O555" si="283">SUM(D503)</f>
        <v>0</v>
      </c>
      <c r="E555" s="669">
        <f t="shared" si="283"/>
        <v>0</v>
      </c>
      <c r="F555" s="669">
        <f t="shared" si="283"/>
        <v>0</v>
      </c>
      <c r="G555" s="669">
        <f t="shared" si="283"/>
        <v>0</v>
      </c>
      <c r="H555" s="671">
        <f t="shared" si="283"/>
        <v>0</v>
      </c>
      <c r="I555" s="671">
        <f t="shared" si="283"/>
        <v>-27170</v>
      </c>
      <c r="J555" s="671">
        <f t="shared" si="283"/>
        <v>0</v>
      </c>
      <c r="K555" s="671">
        <f t="shared" si="283"/>
        <v>0</v>
      </c>
      <c r="L555" s="671">
        <f t="shared" si="283"/>
        <v>-27170</v>
      </c>
      <c r="M555" s="671">
        <f t="shared" si="283"/>
        <v>-27170</v>
      </c>
      <c r="N555" s="671">
        <f t="shared" si="283"/>
        <v>0</v>
      </c>
      <c r="O555" s="671">
        <f t="shared" si="283"/>
        <v>-27170</v>
      </c>
      <c r="P555" s="673"/>
    </row>
    <row r="556" spans="1:16" ht="31.5" x14ac:dyDescent="0.25">
      <c r="A556" s="667"/>
      <c r="B556" s="935" t="s">
        <v>928</v>
      </c>
      <c r="C556" s="669">
        <f>C504</f>
        <v>0</v>
      </c>
      <c r="D556" s="669">
        <f t="shared" ref="D556:O557" si="284">D504</f>
        <v>0</v>
      </c>
      <c r="E556" s="669">
        <f t="shared" si="284"/>
        <v>2268</v>
      </c>
      <c r="F556" s="669">
        <f t="shared" si="284"/>
        <v>0</v>
      </c>
      <c r="G556" s="669">
        <f t="shared" si="284"/>
        <v>0</v>
      </c>
      <c r="H556" s="671">
        <f t="shared" si="284"/>
        <v>2268</v>
      </c>
      <c r="I556" s="671">
        <f t="shared" si="284"/>
        <v>0</v>
      </c>
      <c r="J556" s="671">
        <f t="shared" si="284"/>
        <v>0</v>
      </c>
      <c r="K556" s="671">
        <f t="shared" si="284"/>
        <v>0</v>
      </c>
      <c r="L556" s="671">
        <f t="shared" si="284"/>
        <v>0</v>
      </c>
      <c r="M556" s="671">
        <f t="shared" si="284"/>
        <v>2268</v>
      </c>
      <c r="N556" s="671">
        <f t="shared" si="284"/>
        <v>0</v>
      </c>
      <c r="O556" s="671">
        <f t="shared" si="284"/>
        <v>2268</v>
      </c>
      <c r="P556" s="673"/>
    </row>
    <row r="557" spans="1:16" ht="32.25" thickBot="1" x14ac:dyDescent="0.3">
      <c r="A557" s="667"/>
      <c r="B557" s="668" t="s">
        <v>929</v>
      </c>
      <c r="C557" s="669">
        <f>C505</f>
        <v>0</v>
      </c>
      <c r="D557" s="669">
        <f t="shared" si="284"/>
        <v>0</v>
      </c>
      <c r="E557" s="669">
        <f t="shared" si="284"/>
        <v>2299</v>
      </c>
      <c r="F557" s="669">
        <f t="shared" si="284"/>
        <v>0</v>
      </c>
      <c r="G557" s="669">
        <f t="shared" si="284"/>
        <v>0</v>
      </c>
      <c r="H557" s="671">
        <f t="shared" si="284"/>
        <v>2299</v>
      </c>
      <c r="I557" s="671">
        <f t="shared" si="284"/>
        <v>-1672</v>
      </c>
      <c r="J557" s="671">
        <f t="shared" si="284"/>
        <v>-627</v>
      </c>
      <c r="K557" s="671">
        <f t="shared" si="284"/>
        <v>0</v>
      </c>
      <c r="L557" s="671">
        <f t="shared" si="284"/>
        <v>-2299</v>
      </c>
      <c r="M557" s="671">
        <f t="shared" si="284"/>
        <v>0</v>
      </c>
      <c r="N557" s="671">
        <f t="shared" si="284"/>
        <v>0</v>
      </c>
      <c r="O557" s="671">
        <f t="shared" si="284"/>
        <v>0</v>
      </c>
      <c r="P557" s="673"/>
    </row>
    <row r="558" spans="1:16" ht="17.25" thickTop="1" thickBot="1" x14ac:dyDescent="0.3">
      <c r="A558" s="478"/>
      <c r="B558" s="477" t="s">
        <v>425</v>
      </c>
      <c r="C558" s="479">
        <f>SUM(C511:C557)</f>
        <v>7526530</v>
      </c>
      <c r="D558" s="479">
        <f t="shared" ref="D558:O558" si="285">SUM(D511:D557)</f>
        <v>1573041</v>
      </c>
      <c r="E558" s="479">
        <f t="shared" si="285"/>
        <v>5230755</v>
      </c>
      <c r="F558" s="479">
        <f t="shared" si="285"/>
        <v>73194</v>
      </c>
      <c r="G558" s="479">
        <f t="shared" si="285"/>
        <v>20</v>
      </c>
      <c r="H558" s="479">
        <f t="shared" si="285"/>
        <v>14403540</v>
      </c>
      <c r="I558" s="479">
        <f t="shared" si="285"/>
        <v>244707</v>
      </c>
      <c r="J558" s="479">
        <f t="shared" si="285"/>
        <v>26943</v>
      </c>
      <c r="K558" s="479">
        <f t="shared" si="285"/>
        <v>0</v>
      </c>
      <c r="L558" s="479">
        <f t="shared" si="285"/>
        <v>271650</v>
      </c>
      <c r="M558" s="479">
        <f t="shared" si="285"/>
        <v>14675190</v>
      </c>
      <c r="N558" s="479">
        <f t="shared" si="285"/>
        <v>0</v>
      </c>
      <c r="O558" s="479">
        <f t="shared" si="285"/>
        <v>14675190</v>
      </c>
      <c r="P558" s="430">
        <f>+O559+O560+O561</f>
        <v>14675190</v>
      </c>
    </row>
    <row r="559" spans="1:16" ht="17.25" thickTop="1" thickBot="1" x14ac:dyDescent="0.3">
      <c r="A559" s="478"/>
      <c r="B559" s="477" t="s">
        <v>429</v>
      </c>
      <c r="C559" s="476">
        <f t="shared" ref="C559:O559" si="286">SUM(C23+C36+C51+C65+C80+C94+C109+C124+C141+C155+C171+C187+C202+C216+C231+C247+C264+C278+C293+C309+C325+C340+C355+C374+C405+C424+C488+C507)</f>
        <v>5530502</v>
      </c>
      <c r="D559" s="476">
        <f t="shared" si="286"/>
        <v>1152976</v>
      </c>
      <c r="E559" s="476">
        <f t="shared" si="286"/>
        <v>4036188</v>
      </c>
      <c r="F559" s="476">
        <f t="shared" si="286"/>
        <v>73194</v>
      </c>
      <c r="G559" s="476">
        <f t="shared" si="286"/>
        <v>20</v>
      </c>
      <c r="H559" s="476">
        <f t="shared" si="286"/>
        <v>10792880</v>
      </c>
      <c r="I559" s="476">
        <f t="shared" si="286"/>
        <v>152410</v>
      </c>
      <c r="J559" s="476">
        <f t="shared" si="286"/>
        <v>12975</v>
      </c>
      <c r="K559" s="476">
        <f t="shared" si="286"/>
        <v>0</v>
      </c>
      <c r="L559" s="476">
        <f t="shared" si="286"/>
        <v>165385</v>
      </c>
      <c r="M559" s="476">
        <f t="shared" si="286"/>
        <v>10958265</v>
      </c>
      <c r="N559" s="476">
        <f t="shared" si="286"/>
        <v>0</v>
      </c>
      <c r="O559" s="476">
        <f t="shared" si="286"/>
        <v>10958265</v>
      </c>
    </row>
    <row r="560" spans="1:16" ht="17.25" thickTop="1" thickBot="1" x14ac:dyDescent="0.3">
      <c r="A560" s="478"/>
      <c r="B560" s="477" t="s">
        <v>428</v>
      </c>
      <c r="C560" s="476">
        <f t="shared" ref="C560:O560" si="287">SUM(C24+C37+C52+C66+C81+C95+C110+C125+C142+C156+C172+C188+C203+C217+C232+C248+C265+C279+C294+C310+C326+C341+C356+C375+C387+C406+C425+C443+C458+C489+C465+C508+C432)</f>
        <v>1377337</v>
      </c>
      <c r="D560" s="476">
        <f t="shared" si="287"/>
        <v>293253</v>
      </c>
      <c r="E560" s="476">
        <f t="shared" si="287"/>
        <v>1022904</v>
      </c>
      <c r="F560" s="476">
        <f t="shared" si="287"/>
        <v>0</v>
      </c>
      <c r="G560" s="476">
        <f t="shared" si="287"/>
        <v>0</v>
      </c>
      <c r="H560" s="476">
        <f t="shared" si="287"/>
        <v>2693494</v>
      </c>
      <c r="I560" s="476">
        <f t="shared" si="287"/>
        <v>18430</v>
      </c>
      <c r="J560" s="476">
        <f t="shared" si="287"/>
        <v>5930</v>
      </c>
      <c r="K560" s="476">
        <f t="shared" si="287"/>
        <v>0</v>
      </c>
      <c r="L560" s="476">
        <f t="shared" si="287"/>
        <v>24360</v>
      </c>
      <c r="M560" s="476">
        <f t="shared" si="287"/>
        <v>2717854</v>
      </c>
      <c r="N560" s="476">
        <f t="shared" si="287"/>
        <v>0</v>
      </c>
      <c r="O560" s="476">
        <f t="shared" si="287"/>
        <v>2717854</v>
      </c>
    </row>
    <row r="561" spans="1:15" ht="33" thickTop="1" thickBot="1" x14ac:dyDescent="0.3">
      <c r="A561" s="478"/>
      <c r="B561" s="477" t="s">
        <v>500</v>
      </c>
      <c r="C561" s="476">
        <f>SUM(C509)</f>
        <v>618691</v>
      </c>
      <c r="D561" s="476">
        <f t="shared" ref="D561:O561" si="288">SUM(D509)</f>
        <v>126812</v>
      </c>
      <c r="E561" s="476">
        <f t="shared" si="288"/>
        <v>171663</v>
      </c>
      <c r="F561" s="476">
        <f t="shared" si="288"/>
        <v>0</v>
      </c>
      <c r="G561" s="476">
        <f t="shared" si="288"/>
        <v>0</v>
      </c>
      <c r="H561" s="476">
        <f t="shared" si="288"/>
        <v>917166</v>
      </c>
      <c r="I561" s="476">
        <f t="shared" si="288"/>
        <v>73867</v>
      </c>
      <c r="J561" s="476">
        <f t="shared" si="288"/>
        <v>8038</v>
      </c>
      <c r="K561" s="476">
        <f t="shared" si="288"/>
        <v>0</v>
      </c>
      <c r="L561" s="476">
        <f t="shared" si="288"/>
        <v>81905</v>
      </c>
      <c r="M561" s="476">
        <f t="shared" si="288"/>
        <v>999071</v>
      </c>
      <c r="N561" s="476">
        <f t="shared" si="288"/>
        <v>0</v>
      </c>
      <c r="O561" s="476">
        <f t="shared" si="288"/>
        <v>999071</v>
      </c>
    </row>
    <row r="562" spans="1:15" ht="16.5" thickTop="1" x14ac:dyDescent="0.25"/>
    <row r="563" spans="1:15" x14ac:dyDescent="0.25">
      <c r="C563" s="430">
        <f t="shared" ref="C563:O563" si="289">SUM(C558-C511)</f>
        <v>211179</v>
      </c>
      <c r="D563" s="430">
        <f t="shared" si="289"/>
        <v>49644</v>
      </c>
      <c r="E563" s="430">
        <f t="shared" si="289"/>
        <v>407281</v>
      </c>
      <c r="F563" s="430">
        <f t="shared" si="289"/>
        <v>63194</v>
      </c>
      <c r="G563" s="430">
        <f t="shared" si="289"/>
        <v>20</v>
      </c>
      <c r="H563" s="430">
        <f t="shared" si="289"/>
        <v>731318</v>
      </c>
      <c r="I563" s="430">
        <f t="shared" si="289"/>
        <v>-8380</v>
      </c>
      <c r="J563" s="430">
        <f t="shared" si="289"/>
        <v>-361</v>
      </c>
      <c r="K563" s="430">
        <f t="shared" si="289"/>
        <v>0</v>
      </c>
      <c r="L563" s="430">
        <f t="shared" si="289"/>
        <v>-8741</v>
      </c>
      <c r="M563" s="430">
        <f t="shared" si="289"/>
        <v>722577</v>
      </c>
      <c r="N563" s="430">
        <f t="shared" si="289"/>
        <v>0</v>
      </c>
      <c r="O563" s="430">
        <f t="shared" si="289"/>
        <v>722577</v>
      </c>
    </row>
    <row r="566" spans="1:15" x14ac:dyDescent="0.25">
      <c r="B566" s="475" t="s">
        <v>1264</v>
      </c>
      <c r="C566" s="430">
        <f t="shared" ref="C566:O566" si="290">SUM(C9+C27+C41+C55+C69+C84+C98+C113+C129+C145+C159+C175+C191+C206+C220+C235+C251+C268+C282+C297+C315+C329+C344+C360+C390+C409+C468+C494)</f>
        <v>5391371</v>
      </c>
      <c r="D566" s="430">
        <f t="shared" si="290"/>
        <v>1125709</v>
      </c>
      <c r="E566" s="430">
        <f t="shared" si="290"/>
        <v>3769696</v>
      </c>
      <c r="F566" s="430">
        <f t="shared" si="290"/>
        <v>10000</v>
      </c>
      <c r="G566" s="430">
        <f t="shared" si="290"/>
        <v>0</v>
      </c>
      <c r="H566" s="430">
        <f t="shared" si="290"/>
        <v>10296776</v>
      </c>
      <c r="I566" s="430">
        <f t="shared" si="290"/>
        <v>133403</v>
      </c>
      <c r="J566" s="430">
        <f t="shared" si="290"/>
        <v>13848</v>
      </c>
      <c r="K566" s="430">
        <f t="shared" si="290"/>
        <v>0</v>
      </c>
      <c r="L566" s="430">
        <f t="shared" si="290"/>
        <v>147251</v>
      </c>
      <c r="M566" s="430">
        <f t="shared" si="290"/>
        <v>10444027</v>
      </c>
      <c r="N566" s="430">
        <f t="shared" si="290"/>
        <v>0</v>
      </c>
      <c r="O566" s="430">
        <f t="shared" si="290"/>
        <v>10444027</v>
      </c>
    </row>
    <row r="567" spans="1:15" x14ac:dyDescent="0.25">
      <c r="B567" s="475" t="s">
        <v>1265</v>
      </c>
      <c r="C567" s="430">
        <f t="shared" ref="C567:O567" si="291">SUM(C10+C28+C42+C56+C70+C85+C99+C114+C130+C146+C160+C176+C192+C207+C221+C236+C252+C269+C283+C298+C316+C330+C345+C361+C391+C410+C469+C495+C446+C435+C378)</f>
        <v>1271238</v>
      </c>
      <c r="D567" s="430">
        <f t="shared" si="291"/>
        <v>264301</v>
      </c>
      <c r="E567" s="430">
        <f t="shared" si="291"/>
        <v>852507</v>
      </c>
      <c r="F567" s="430">
        <f t="shared" si="291"/>
        <v>0</v>
      </c>
      <c r="G567" s="430">
        <f t="shared" si="291"/>
        <v>0</v>
      </c>
      <c r="H567" s="430">
        <f t="shared" si="291"/>
        <v>2388046</v>
      </c>
      <c r="I567" s="430">
        <f t="shared" si="291"/>
        <v>16975</v>
      </c>
      <c r="J567" s="430">
        <f t="shared" si="291"/>
        <v>4791</v>
      </c>
      <c r="K567" s="430">
        <f t="shared" si="291"/>
        <v>0</v>
      </c>
      <c r="L567" s="430">
        <f t="shared" si="291"/>
        <v>21766</v>
      </c>
      <c r="M567" s="430">
        <f t="shared" si="291"/>
        <v>2409812</v>
      </c>
      <c r="N567" s="430">
        <f t="shared" si="291"/>
        <v>0</v>
      </c>
      <c r="O567" s="430">
        <f t="shared" si="291"/>
        <v>2409812</v>
      </c>
    </row>
    <row r="568" spans="1:15" x14ac:dyDescent="0.25">
      <c r="B568" s="475" t="s">
        <v>1266</v>
      </c>
      <c r="C568" s="430">
        <f t="shared" ref="C568:O568" si="292">SUM(C496)</f>
        <v>618691</v>
      </c>
      <c r="D568" s="430">
        <f t="shared" si="292"/>
        <v>126812</v>
      </c>
      <c r="E568" s="430">
        <f t="shared" si="292"/>
        <v>167096</v>
      </c>
      <c r="F568" s="430">
        <f t="shared" si="292"/>
        <v>0</v>
      </c>
      <c r="G568" s="430">
        <f t="shared" si="292"/>
        <v>0</v>
      </c>
      <c r="H568" s="430">
        <f t="shared" si="292"/>
        <v>912599</v>
      </c>
      <c r="I568" s="430">
        <f t="shared" si="292"/>
        <v>102709</v>
      </c>
      <c r="J568" s="430">
        <f t="shared" si="292"/>
        <v>8665</v>
      </c>
      <c r="K568" s="430">
        <f t="shared" si="292"/>
        <v>0</v>
      </c>
      <c r="L568" s="430">
        <f t="shared" si="292"/>
        <v>111374</v>
      </c>
      <c r="M568" s="430">
        <f t="shared" si="292"/>
        <v>1023973</v>
      </c>
      <c r="N568" s="430">
        <f t="shared" si="292"/>
        <v>0</v>
      </c>
      <c r="O568" s="430">
        <f t="shared" si="292"/>
        <v>1023973</v>
      </c>
    </row>
    <row r="569" spans="1:15" x14ac:dyDescent="0.25">
      <c r="C569" s="430">
        <f>SUM(C566:C568)</f>
        <v>7281300</v>
      </c>
      <c r="D569" s="430">
        <f t="shared" ref="D569:O569" si="293">SUM(D566:D568)</f>
        <v>1516822</v>
      </c>
      <c r="E569" s="430">
        <f t="shared" si="293"/>
        <v>4789299</v>
      </c>
      <c r="F569" s="430">
        <f t="shared" si="293"/>
        <v>10000</v>
      </c>
      <c r="G569" s="430">
        <f t="shared" si="293"/>
        <v>0</v>
      </c>
      <c r="H569" s="430">
        <f t="shared" si="293"/>
        <v>13597421</v>
      </c>
      <c r="I569" s="430">
        <f t="shared" si="293"/>
        <v>253087</v>
      </c>
      <c r="J569" s="430">
        <f t="shared" si="293"/>
        <v>27304</v>
      </c>
      <c r="K569" s="430">
        <f t="shared" si="293"/>
        <v>0</v>
      </c>
      <c r="L569" s="430">
        <f t="shared" si="293"/>
        <v>280391</v>
      </c>
      <c r="M569" s="430">
        <f t="shared" si="293"/>
        <v>13877812</v>
      </c>
      <c r="N569" s="430">
        <f t="shared" si="293"/>
        <v>0</v>
      </c>
      <c r="O569" s="430">
        <f t="shared" si="293"/>
        <v>13877812</v>
      </c>
    </row>
    <row r="571" spans="1:15" x14ac:dyDescent="0.25">
      <c r="C571" s="430">
        <f t="shared" ref="C571:O571" si="294">SUM(C569-C511)</f>
        <v>-34051</v>
      </c>
      <c r="D571" s="430">
        <f t="shared" si="294"/>
        <v>-6575</v>
      </c>
      <c r="E571" s="430">
        <f t="shared" si="294"/>
        <v>-34175</v>
      </c>
      <c r="F571" s="430">
        <f t="shared" si="294"/>
        <v>0</v>
      </c>
      <c r="G571" s="430">
        <f t="shared" si="294"/>
        <v>0</v>
      </c>
      <c r="H571" s="430">
        <f t="shared" si="294"/>
        <v>-74801</v>
      </c>
      <c r="I571" s="430">
        <f t="shared" si="294"/>
        <v>0</v>
      </c>
      <c r="J571" s="430">
        <f t="shared" si="294"/>
        <v>0</v>
      </c>
      <c r="K571" s="430">
        <f t="shared" si="294"/>
        <v>0</v>
      </c>
      <c r="L571" s="430">
        <f t="shared" si="294"/>
        <v>0</v>
      </c>
      <c r="M571" s="430">
        <f t="shared" si="294"/>
        <v>-74801</v>
      </c>
      <c r="N571" s="430">
        <f t="shared" si="294"/>
        <v>0</v>
      </c>
      <c r="O571" s="430">
        <f t="shared" si="294"/>
        <v>-74801</v>
      </c>
    </row>
  </sheetData>
  <mergeCells count="1">
    <mergeCell ref="A1:O1"/>
  </mergeCells>
  <pageMargins left="0" right="0" top="0.55118110236220474" bottom="0.74803149606299213" header="0.31496062992125984" footer="0.31496062992125984"/>
  <pageSetup paperSize="9" scale="68" orientation="landscape" r:id="rId1"/>
  <headerFooter>
    <oddHeader>&amp;R&amp;"Times New Roman CE,Félkövér" &amp;11 7. melléklet a 23/2018.(X.15.) önkormányzati rendelethez&amp;12
&amp;"Times New Roman CE,Dőlt"&amp;10  8. melléklet
 a 3/2018.(II.8.) önkormányzati rendelethez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2102"/>
  <sheetViews>
    <sheetView topLeftCell="I1" workbookViewId="0">
      <selection activeCell="U18" sqref="U18"/>
    </sheetView>
  </sheetViews>
  <sheetFormatPr defaultColWidth="9" defaultRowHeight="15" x14ac:dyDescent="0.25"/>
  <cols>
    <col min="1" max="1" width="31.125" style="743" customWidth="1"/>
    <col min="2" max="2" width="15.125" style="743" customWidth="1"/>
    <col min="3" max="13" width="15.75" style="743" customWidth="1"/>
    <col min="14" max="15" width="15.5" style="743" bestFit="1" customWidth="1"/>
    <col min="16" max="16" width="12.5" style="743" bestFit="1" customWidth="1"/>
    <col min="17" max="17" width="12" style="743" bestFit="1" customWidth="1"/>
    <col min="18" max="19" width="13.375" style="743" bestFit="1" customWidth="1"/>
    <col min="20" max="16384" width="9" style="743"/>
  </cols>
  <sheetData>
    <row r="1" spans="1:19" ht="15.75" x14ac:dyDescent="0.25">
      <c r="A1" s="986" t="s">
        <v>956</v>
      </c>
      <c r="B1" s="986"/>
      <c r="C1" s="986"/>
      <c r="D1" s="986"/>
      <c r="E1" s="986"/>
      <c r="F1" s="986"/>
      <c r="G1" s="986"/>
      <c r="H1" s="986"/>
      <c r="I1" s="986"/>
      <c r="J1" s="986"/>
      <c r="K1" s="986"/>
      <c r="L1" s="986"/>
      <c r="M1" s="986"/>
      <c r="N1" s="986"/>
      <c r="O1" s="986"/>
      <c r="P1" s="986"/>
      <c r="Q1" s="986"/>
      <c r="R1" s="986"/>
      <c r="S1" s="986"/>
    </row>
    <row r="2" spans="1:19" ht="15.75" x14ac:dyDescent="0.25">
      <c r="B2" s="765"/>
      <c r="C2" s="765"/>
      <c r="D2" s="765"/>
      <c r="E2" s="765"/>
      <c r="F2" s="765"/>
      <c r="G2" s="765"/>
      <c r="H2" s="765"/>
      <c r="I2" s="765"/>
      <c r="J2" s="765"/>
      <c r="K2" s="765"/>
      <c r="L2" s="765"/>
      <c r="M2" s="765"/>
    </row>
    <row r="3" spans="1:19" ht="15.75" thickBot="1" x14ac:dyDescent="0.3"/>
    <row r="4" spans="1:19" ht="49.5" customHeight="1" thickTop="1" thickBot="1" x14ac:dyDescent="0.3">
      <c r="A4" s="741" t="s">
        <v>477</v>
      </c>
      <c r="B4" s="984" t="s">
        <v>938</v>
      </c>
      <c r="C4" s="985"/>
      <c r="D4" s="758" t="s">
        <v>939</v>
      </c>
      <c r="E4" s="759"/>
      <c r="F4" s="759"/>
      <c r="G4" s="918"/>
      <c r="H4" s="741"/>
      <c r="I4" s="741"/>
      <c r="J4" s="742" t="s">
        <v>1290</v>
      </c>
      <c r="K4" s="741"/>
      <c r="L4" s="742" t="s">
        <v>940</v>
      </c>
      <c r="M4" s="741"/>
      <c r="N4" s="742" t="s">
        <v>1291</v>
      </c>
      <c r="O4" s="741"/>
      <c r="P4" s="742" t="s">
        <v>1292</v>
      </c>
      <c r="Q4" s="741"/>
      <c r="R4" s="742" t="s">
        <v>1293</v>
      </c>
      <c r="S4" s="741"/>
    </row>
    <row r="5" spans="1:19" ht="17.25" thickTop="1" thickBot="1" x14ac:dyDescent="0.3">
      <c r="A5" s="744"/>
      <c r="B5" s="745" t="s">
        <v>941</v>
      </c>
      <c r="C5" s="745" t="s">
        <v>942</v>
      </c>
      <c r="D5" s="746" t="s">
        <v>943</v>
      </c>
      <c r="E5" s="746" t="s">
        <v>943</v>
      </c>
      <c r="F5" s="746" t="s">
        <v>944</v>
      </c>
      <c r="G5" s="746" t="s">
        <v>945</v>
      </c>
      <c r="H5" s="746" t="s">
        <v>946</v>
      </c>
      <c r="I5" s="746" t="s">
        <v>946</v>
      </c>
      <c r="J5" s="745" t="s">
        <v>947</v>
      </c>
      <c r="K5" s="745" t="s">
        <v>947</v>
      </c>
      <c r="L5" s="745" t="s">
        <v>948</v>
      </c>
      <c r="M5" s="745" t="s">
        <v>948</v>
      </c>
      <c r="N5" s="745" t="s">
        <v>1294</v>
      </c>
      <c r="O5" s="745" t="s">
        <v>1294</v>
      </c>
      <c r="P5" s="745" t="s">
        <v>1295</v>
      </c>
      <c r="Q5" s="745" t="s">
        <v>1295</v>
      </c>
      <c r="R5" s="745" t="s">
        <v>1296</v>
      </c>
      <c r="S5" s="745" t="s">
        <v>1296</v>
      </c>
    </row>
    <row r="6" spans="1:19" ht="16.5" thickTop="1" x14ac:dyDescent="0.25">
      <c r="A6" s="747" t="s">
        <v>463</v>
      </c>
      <c r="B6" s="926">
        <v>121.8</v>
      </c>
      <c r="C6" s="927">
        <v>121.8</v>
      </c>
      <c r="D6" s="927"/>
      <c r="E6" s="927">
        <f>C6+D6</f>
        <v>121.8</v>
      </c>
      <c r="F6" s="927">
        <v>3</v>
      </c>
      <c r="G6" s="927">
        <f>E6+F6</f>
        <v>124.8</v>
      </c>
      <c r="H6" s="927"/>
      <c r="I6" s="927">
        <f>E6+H6+F6</f>
        <v>124.8</v>
      </c>
      <c r="J6" s="927"/>
      <c r="K6" s="927">
        <f>I6+J6</f>
        <v>124.8</v>
      </c>
      <c r="L6" s="927"/>
      <c r="M6" s="927">
        <f>K6+L6</f>
        <v>124.8</v>
      </c>
      <c r="N6" s="927"/>
      <c r="O6" s="927">
        <f>M6+N6</f>
        <v>124.8</v>
      </c>
      <c r="P6" s="927"/>
      <c r="Q6" s="927">
        <f>O6+P6</f>
        <v>124.8</v>
      </c>
      <c r="R6" s="927"/>
      <c r="S6" s="927">
        <f>Q6+R6</f>
        <v>124.8</v>
      </c>
    </row>
    <row r="7" spans="1:19" ht="32.25" thickBot="1" x14ac:dyDescent="0.3">
      <c r="A7" s="748" t="s">
        <v>462</v>
      </c>
      <c r="B7" s="926">
        <v>25.5</v>
      </c>
      <c r="C7" s="927">
        <v>25.5</v>
      </c>
      <c r="D7" s="927"/>
      <c r="E7" s="927">
        <f>C7+D7</f>
        <v>25.5</v>
      </c>
      <c r="F7" s="927"/>
      <c r="G7" s="927">
        <f t="shared" ref="G7:G46" si="0">E7+F7</f>
        <v>25.5</v>
      </c>
      <c r="H7" s="927"/>
      <c r="I7" s="927">
        <f>E7+H7</f>
        <v>25.5</v>
      </c>
      <c r="J7" s="927"/>
      <c r="K7" s="927">
        <f>I7+J7</f>
        <v>25.5</v>
      </c>
      <c r="L7" s="927"/>
      <c r="M7" s="927">
        <f>K7+L7</f>
        <v>25.5</v>
      </c>
      <c r="N7" s="927"/>
      <c r="O7" s="927">
        <f>M7+N7</f>
        <v>25.5</v>
      </c>
      <c r="P7" s="927"/>
      <c r="Q7" s="927">
        <f>O7+P7</f>
        <v>25.5</v>
      </c>
      <c r="R7" s="927"/>
      <c r="S7" s="927">
        <f>Q7+R7</f>
        <v>25.5</v>
      </c>
    </row>
    <row r="8" spans="1:19" ht="17.25" thickTop="1" thickBot="1" x14ac:dyDescent="0.3">
      <c r="A8" s="744" t="s">
        <v>949</v>
      </c>
      <c r="B8" s="749">
        <f t="shared" ref="B8:M8" si="1">SUM(B6:B7)</f>
        <v>147.30000000000001</v>
      </c>
      <c r="C8" s="749">
        <f t="shared" si="1"/>
        <v>147.30000000000001</v>
      </c>
      <c r="D8" s="749">
        <f t="shared" si="1"/>
        <v>0</v>
      </c>
      <c r="E8" s="749">
        <f t="shared" si="1"/>
        <v>147.30000000000001</v>
      </c>
      <c r="F8" s="749">
        <f t="shared" si="1"/>
        <v>3</v>
      </c>
      <c r="G8" s="749">
        <f t="shared" si="0"/>
        <v>150.30000000000001</v>
      </c>
      <c r="H8" s="749">
        <f t="shared" si="1"/>
        <v>0</v>
      </c>
      <c r="I8" s="749">
        <f t="shared" si="1"/>
        <v>150.30000000000001</v>
      </c>
      <c r="J8" s="749">
        <f t="shared" si="1"/>
        <v>0</v>
      </c>
      <c r="K8" s="749">
        <f t="shared" si="1"/>
        <v>150.30000000000001</v>
      </c>
      <c r="L8" s="749">
        <f t="shared" si="1"/>
        <v>0</v>
      </c>
      <c r="M8" s="749">
        <f t="shared" si="1"/>
        <v>150.30000000000001</v>
      </c>
      <c r="N8" s="749">
        <f t="shared" ref="N8:S8" si="2">SUM(N6:N7)</f>
        <v>0</v>
      </c>
      <c r="O8" s="749">
        <f t="shared" si="2"/>
        <v>150.30000000000001</v>
      </c>
      <c r="P8" s="749">
        <f t="shared" si="2"/>
        <v>0</v>
      </c>
      <c r="Q8" s="749">
        <f t="shared" si="2"/>
        <v>150.30000000000001</v>
      </c>
      <c r="R8" s="749">
        <f t="shared" si="2"/>
        <v>0</v>
      </c>
      <c r="S8" s="749">
        <f t="shared" si="2"/>
        <v>150.30000000000001</v>
      </c>
    </row>
    <row r="9" spans="1:19" ht="16.5" thickTop="1" x14ac:dyDescent="0.25">
      <c r="A9" s="750" t="s">
        <v>460</v>
      </c>
      <c r="B9" s="926">
        <v>22.75</v>
      </c>
      <c r="C9" s="927">
        <v>22.75</v>
      </c>
      <c r="D9" s="927"/>
      <c r="E9" s="927">
        <f>C9+D9</f>
        <v>22.75</v>
      </c>
      <c r="F9" s="927"/>
      <c r="G9" s="927">
        <f t="shared" si="0"/>
        <v>22.75</v>
      </c>
      <c r="H9" s="927"/>
      <c r="I9" s="927">
        <f t="shared" ref="I9:I14" si="3">E9+H9</f>
        <v>22.75</v>
      </c>
      <c r="J9" s="927"/>
      <c r="K9" s="927">
        <f>I9+J9</f>
        <v>22.75</v>
      </c>
      <c r="L9" s="927"/>
      <c r="M9" s="927">
        <f>K9+L9</f>
        <v>22.75</v>
      </c>
      <c r="N9" s="927"/>
      <c r="O9" s="927">
        <f>M9+N9</f>
        <v>22.75</v>
      </c>
      <c r="P9" s="927"/>
      <c r="Q9" s="927">
        <f>O9+P9</f>
        <v>22.75</v>
      </c>
      <c r="R9" s="927"/>
      <c r="S9" s="927">
        <f>Q9+R9</f>
        <v>22.75</v>
      </c>
    </row>
    <row r="10" spans="1:19" ht="15.75" x14ac:dyDescent="0.25">
      <c r="A10" s="750" t="s">
        <v>418</v>
      </c>
      <c r="B10" s="926">
        <v>22.75</v>
      </c>
      <c r="C10" s="927">
        <v>22.75</v>
      </c>
      <c r="D10" s="927"/>
      <c r="E10" s="927">
        <f t="shared" ref="E10:E14" si="4">C10+D10</f>
        <v>22.75</v>
      </c>
      <c r="F10" s="927"/>
      <c r="G10" s="927">
        <f t="shared" si="0"/>
        <v>22.75</v>
      </c>
      <c r="H10" s="927"/>
      <c r="I10" s="927">
        <f t="shared" si="3"/>
        <v>22.75</v>
      </c>
      <c r="J10" s="927"/>
      <c r="K10" s="927">
        <f t="shared" ref="K10:K14" si="5">I10+J10</f>
        <v>22.75</v>
      </c>
      <c r="L10" s="927"/>
      <c r="M10" s="927">
        <f t="shared" ref="M10:M14" si="6">K10+L10</f>
        <v>22.75</v>
      </c>
      <c r="N10" s="927"/>
      <c r="O10" s="927">
        <f t="shared" ref="O10:O14" si="7">M10+N10</f>
        <v>22.75</v>
      </c>
      <c r="P10" s="927"/>
      <c r="Q10" s="927">
        <f t="shared" ref="Q10:Q14" si="8">O10+P10</f>
        <v>22.75</v>
      </c>
      <c r="R10" s="927"/>
      <c r="S10" s="927">
        <f t="shared" ref="S10:S14" si="9">Q10+R10</f>
        <v>22.75</v>
      </c>
    </row>
    <row r="11" spans="1:19" ht="15.75" x14ac:dyDescent="0.25">
      <c r="A11" s="750" t="s">
        <v>459</v>
      </c>
      <c r="B11" s="926">
        <v>22.75</v>
      </c>
      <c r="C11" s="927">
        <v>22.75</v>
      </c>
      <c r="D11" s="927"/>
      <c r="E11" s="927">
        <f t="shared" si="4"/>
        <v>22.75</v>
      </c>
      <c r="F11" s="927"/>
      <c r="G11" s="927">
        <f t="shared" si="0"/>
        <v>22.75</v>
      </c>
      <c r="H11" s="927"/>
      <c r="I11" s="927">
        <f t="shared" si="3"/>
        <v>22.75</v>
      </c>
      <c r="J11" s="927"/>
      <c r="K11" s="927">
        <f t="shared" si="5"/>
        <v>22.75</v>
      </c>
      <c r="L11" s="927"/>
      <c r="M11" s="927">
        <f t="shared" si="6"/>
        <v>22.75</v>
      </c>
      <c r="N11" s="927"/>
      <c r="O11" s="927">
        <f t="shared" si="7"/>
        <v>22.75</v>
      </c>
      <c r="P11" s="927"/>
      <c r="Q11" s="927">
        <f t="shared" si="8"/>
        <v>22.75</v>
      </c>
      <c r="R11" s="927"/>
      <c r="S11" s="927">
        <f t="shared" si="9"/>
        <v>22.75</v>
      </c>
    </row>
    <row r="12" spans="1:19" ht="15.75" x14ac:dyDescent="0.25">
      <c r="A12" s="750" t="s">
        <v>950</v>
      </c>
      <c r="B12" s="926">
        <v>13</v>
      </c>
      <c r="C12" s="927">
        <v>13</v>
      </c>
      <c r="D12" s="927"/>
      <c r="E12" s="927">
        <f t="shared" si="4"/>
        <v>13</v>
      </c>
      <c r="F12" s="927"/>
      <c r="G12" s="927">
        <f t="shared" si="0"/>
        <v>13</v>
      </c>
      <c r="H12" s="927"/>
      <c r="I12" s="927">
        <f t="shared" si="3"/>
        <v>13</v>
      </c>
      <c r="J12" s="927"/>
      <c r="K12" s="927">
        <f t="shared" si="5"/>
        <v>13</v>
      </c>
      <c r="L12" s="927"/>
      <c r="M12" s="927">
        <f t="shared" si="6"/>
        <v>13</v>
      </c>
      <c r="N12" s="927"/>
      <c r="O12" s="927">
        <f t="shared" si="7"/>
        <v>13</v>
      </c>
      <c r="P12" s="927"/>
      <c r="Q12" s="927">
        <f t="shared" si="8"/>
        <v>13</v>
      </c>
      <c r="R12" s="927"/>
      <c r="S12" s="927">
        <f t="shared" si="9"/>
        <v>13</v>
      </c>
    </row>
    <row r="13" spans="1:19" ht="15.75" x14ac:dyDescent="0.25">
      <c r="A13" s="750" t="s">
        <v>637</v>
      </c>
      <c r="B13" s="926">
        <v>27.75</v>
      </c>
      <c r="C13" s="927">
        <v>27.75</v>
      </c>
      <c r="D13" s="927"/>
      <c r="E13" s="927">
        <f t="shared" si="4"/>
        <v>27.75</v>
      </c>
      <c r="F13" s="927"/>
      <c r="G13" s="927">
        <f t="shared" si="0"/>
        <v>27.75</v>
      </c>
      <c r="H13" s="927"/>
      <c r="I13" s="927">
        <f t="shared" si="3"/>
        <v>27.75</v>
      </c>
      <c r="J13" s="927"/>
      <c r="K13" s="927">
        <f t="shared" si="5"/>
        <v>27.75</v>
      </c>
      <c r="L13" s="927"/>
      <c r="M13" s="927">
        <f t="shared" si="6"/>
        <v>27.75</v>
      </c>
      <c r="N13" s="927"/>
      <c r="O13" s="927">
        <f t="shared" si="7"/>
        <v>27.75</v>
      </c>
      <c r="P13" s="927"/>
      <c r="Q13" s="927">
        <f t="shared" si="8"/>
        <v>27.75</v>
      </c>
      <c r="R13" s="927"/>
      <c r="S13" s="927">
        <f t="shared" si="9"/>
        <v>27.75</v>
      </c>
    </row>
    <row r="14" spans="1:19" ht="16.5" thickBot="1" x14ac:dyDescent="0.3">
      <c r="A14" s="750" t="s">
        <v>934</v>
      </c>
      <c r="B14" s="926">
        <v>27.25</v>
      </c>
      <c r="C14" s="927">
        <v>27.25</v>
      </c>
      <c r="D14" s="927"/>
      <c r="E14" s="927">
        <f t="shared" si="4"/>
        <v>27.25</v>
      </c>
      <c r="F14" s="927"/>
      <c r="G14" s="927">
        <f t="shared" si="0"/>
        <v>27.25</v>
      </c>
      <c r="H14" s="927"/>
      <c r="I14" s="927">
        <f t="shared" si="3"/>
        <v>27.25</v>
      </c>
      <c r="J14" s="927"/>
      <c r="K14" s="927">
        <f t="shared" si="5"/>
        <v>27.25</v>
      </c>
      <c r="L14" s="927"/>
      <c r="M14" s="927">
        <f t="shared" si="6"/>
        <v>27.25</v>
      </c>
      <c r="N14" s="927"/>
      <c r="O14" s="927">
        <f t="shared" si="7"/>
        <v>27.25</v>
      </c>
      <c r="P14" s="927">
        <v>-4.5</v>
      </c>
      <c r="Q14" s="927">
        <f t="shared" si="8"/>
        <v>22.75</v>
      </c>
      <c r="R14" s="927"/>
      <c r="S14" s="927">
        <f t="shared" si="9"/>
        <v>22.75</v>
      </c>
    </row>
    <row r="15" spans="1:19" ht="17.25" thickTop="1" thickBot="1" x14ac:dyDescent="0.3">
      <c r="A15" s="744" t="s">
        <v>457</v>
      </c>
      <c r="B15" s="749">
        <f t="shared" ref="B15:S15" si="10">SUM(B9:B14)</f>
        <v>136.25</v>
      </c>
      <c r="C15" s="749">
        <f t="shared" si="10"/>
        <v>136.25</v>
      </c>
      <c r="D15" s="749">
        <f t="shared" si="10"/>
        <v>0</v>
      </c>
      <c r="E15" s="749">
        <f t="shared" si="10"/>
        <v>136.25</v>
      </c>
      <c r="F15" s="749">
        <f t="shared" si="10"/>
        <v>0</v>
      </c>
      <c r="G15" s="749">
        <f t="shared" si="0"/>
        <v>136.25</v>
      </c>
      <c r="H15" s="749">
        <f t="shared" si="10"/>
        <v>0</v>
      </c>
      <c r="I15" s="749">
        <f t="shared" si="10"/>
        <v>136.25</v>
      </c>
      <c r="J15" s="749">
        <f t="shared" si="10"/>
        <v>0</v>
      </c>
      <c r="K15" s="749">
        <f t="shared" si="10"/>
        <v>136.25</v>
      </c>
      <c r="L15" s="749">
        <f t="shared" si="10"/>
        <v>0</v>
      </c>
      <c r="M15" s="749">
        <f t="shared" si="10"/>
        <v>136.25</v>
      </c>
      <c r="N15" s="749">
        <f t="shared" si="10"/>
        <v>0</v>
      </c>
      <c r="O15" s="749">
        <f t="shared" si="10"/>
        <v>136.25</v>
      </c>
      <c r="P15" s="749">
        <f t="shared" si="10"/>
        <v>-4.5</v>
      </c>
      <c r="Q15" s="749">
        <f t="shared" si="10"/>
        <v>131.75</v>
      </c>
      <c r="R15" s="749">
        <f t="shared" si="10"/>
        <v>0</v>
      </c>
      <c r="S15" s="749">
        <f t="shared" si="10"/>
        <v>131.75</v>
      </c>
    </row>
    <row r="16" spans="1:19" ht="16.5" thickTop="1" x14ac:dyDescent="0.25">
      <c r="A16" s="750" t="s">
        <v>456</v>
      </c>
      <c r="B16" s="926">
        <v>46.75</v>
      </c>
      <c r="C16" s="927">
        <v>46.75</v>
      </c>
      <c r="D16" s="927"/>
      <c r="E16" s="927">
        <f>C16+D16</f>
        <v>46.75</v>
      </c>
      <c r="F16" s="927"/>
      <c r="G16" s="927">
        <f t="shared" si="0"/>
        <v>46.75</v>
      </c>
      <c r="H16" s="927"/>
      <c r="I16" s="927">
        <f t="shared" ref="I16:I27" si="11">E16+H16</f>
        <v>46.75</v>
      </c>
      <c r="J16" s="927"/>
      <c r="K16" s="927">
        <f>I16+J16</f>
        <v>46.75</v>
      </c>
      <c r="L16" s="927"/>
      <c r="M16" s="927">
        <f>K16+L16</f>
        <v>46.75</v>
      </c>
      <c r="N16" s="927"/>
      <c r="O16" s="927">
        <f>M16+N16</f>
        <v>46.75</v>
      </c>
      <c r="P16" s="927"/>
      <c r="Q16" s="927">
        <f>O16+P16</f>
        <v>46.75</v>
      </c>
      <c r="R16" s="927"/>
      <c r="S16" s="927">
        <f>Q16+R16</f>
        <v>46.75</v>
      </c>
    </row>
    <row r="17" spans="1:19" ht="15.75" x14ac:dyDescent="0.25">
      <c r="A17" s="750" t="s">
        <v>951</v>
      </c>
      <c r="B17" s="926">
        <v>49</v>
      </c>
      <c r="C17" s="927">
        <v>49</v>
      </c>
      <c r="D17" s="927"/>
      <c r="E17" s="927">
        <f t="shared" ref="E17:E27" si="12">C17+D17</f>
        <v>49</v>
      </c>
      <c r="F17" s="927"/>
      <c r="G17" s="927">
        <f t="shared" si="0"/>
        <v>49</v>
      </c>
      <c r="H17" s="927"/>
      <c r="I17" s="927">
        <f t="shared" si="11"/>
        <v>49</v>
      </c>
      <c r="J17" s="927"/>
      <c r="K17" s="927">
        <f t="shared" ref="K17:K27" si="13">I17+J17</f>
        <v>49</v>
      </c>
      <c r="L17" s="927"/>
      <c r="M17" s="927">
        <f t="shared" ref="M17:M27" si="14">K17+L17</f>
        <v>49</v>
      </c>
      <c r="N17" s="927"/>
      <c r="O17" s="927">
        <f t="shared" ref="O17:O27" si="15">M17+N17</f>
        <v>49</v>
      </c>
      <c r="P17" s="927"/>
      <c r="Q17" s="927">
        <f t="shared" ref="Q17:Q27" si="16">O17+P17</f>
        <v>49</v>
      </c>
      <c r="R17" s="927"/>
      <c r="S17" s="927">
        <f t="shared" ref="S17:S27" si="17">Q17+R17</f>
        <v>49</v>
      </c>
    </row>
    <row r="18" spans="1:19" ht="15.75" x14ac:dyDescent="0.25">
      <c r="A18" s="751" t="s">
        <v>936</v>
      </c>
      <c r="B18" s="926">
        <v>52</v>
      </c>
      <c r="C18" s="927">
        <v>53.5</v>
      </c>
      <c r="D18" s="927"/>
      <c r="E18" s="927">
        <f t="shared" si="12"/>
        <v>53.5</v>
      </c>
      <c r="F18" s="927"/>
      <c r="G18" s="927">
        <f t="shared" si="0"/>
        <v>53.5</v>
      </c>
      <c r="H18" s="927"/>
      <c r="I18" s="927">
        <f t="shared" si="11"/>
        <v>53.5</v>
      </c>
      <c r="J18" s="927"/>
      <c r="K18" s="927">
        <f t="shared" si="13"/>
        <v>53.5</v>
      </c>
      <c r="L18" s="927"/>
      <c r="M18" s="927">
        <f t="shared" si="14"/>
        <v>53.5</v>
      </c>
      <c r="N18" s="927"/>
      <c r="O18" s="927">
        <f t="shared" si="15"/>
        <v>53.5</v>
      </c>
      <c r="P18" s="927"/>
      <c r="Q18" s="927">
        <f t="shared" si="16"/>
        <v>53.5</v>
      </c>
      <c r="R18" s="927"/>
      <c r="S18" s="927">
        <f t="shared" si="17"/>
        <v>53.5</v>
      </c>
    </row>
    <row r="19" spans="1:19" ht="15.75" x14ac:dyDescent="0.25">
      <c r="A19" s="750" t="s">
        <v>455</v>
      </c>
      <c r="B19" s="926">
        <v>32</v>
      </c>
      <c r="C19" s="927">
        <v>33</v>
      </c>
      <c r="D19" s="927"/>
      <c r="E19" s="927">
        <f t="shared" si="12"/>
        <v>33</v>
      </c>
      <c r="F19" s="927"/>
      <c r="G19" s="927">
        <f t="shared" si="0"/>
        <v>33</v>
      </c>
      <c r="H19" s="927"/>
      <c r="I19" s="927">
        <f t="shared" si="11"/>
        <v>33</v>
      </c>
      <c r="J19" s="927"/>
      <c r="K19" s="927">
        <f t="shared" si="13"/>
        <v>33</v>
      </c>
      <c r="L19" s="927"/>
      <c r="M19" s="927">
        <f t="shared" si="14"/>
        <v>33</v>
      </c>
      <c r="N19" s="927"/>
      <c r="O19" s="927">
        <f t="shared" si="15"/>
        <v>33</v>
      </c>
      <c r="P19" s="927"/>
      <c r="Q19" s="927">
        <f t="shared" si="16"/>
        <v>33</v>
      </c>
      <c r="R19" s="927"/>
      <c r="S19" s="927">
        <f t="shared" si="17"/>
        <v>33</v>
      </c>
    </row>
    <row r="20" spans="1:19" ht="15.75" x14ac:dyDescent="0.25">
      <c r="A20" s="750" t="s">
        <v>454</v>
      </c>
      <c r="B20" s="926">
        <v>42</v>
      </c>
      <c r="C20" s="927">
        <v>43</v>
      </c>
      <c r="D20" s="927"/>
      <c r="E20" s="927">
        <f t="shared" si="12"/>
        <v>43</v>
      </c>
      <c r="F20" s="927"/>
      <c r="G20" s="927">
        <f t="shared" si="0"/>
        <v>43</v>
      </c>
      <c r="H20" s="927"/>
      <c r="I20" s="927">
        <f t="shared" si="11"/>
        <v>43</v>
      </c>
      <c r="J20" s="927"/>
      <c r="K20" s="927">
        <f t="shared" si="13"/>
        <v>43</v>
      </c>
      <c r="L20" s="927"/>
      <c r="M20" s="927">
        <f t="shared" si="14"/>
        <v>43</v>
      </c>
      <c r="N20" s="927"/>
      <c r="O20" s="927">
        <f t="shared" si="15"/>
        <v>43</v>
      </c>
      <c r="P20" s="927"/>
      <c r="Q20" s="927">
        <f t="shared" si="16"/>
        <v>43</v>
      </c>
      <c r="R20" s="927"/>
      <c r="S20" s="927">
        <f t="shared" si="17"/>
        <v>43</v>
      </c>
    </row>
    <row r="21" spans="1:19" ht="15.75" x14ac:dyDescent="0.25">
      <c r="A21" s="750" t="s">
        <v>453</v>
      </c>
      <c r="B21" s="926">
        <v>36</v>
      </c>
      <c r="C21" s="927">
        <v>36.5</v>
      </c>
      <c r="D21" s="927"/>
      <c r="E21" s="927">
        <f t="shared" si="12"/>
        <v>36.5</v>
      </c>
      <c r="F21" s="927"/>
      <c r="G21" s="927">
        <f t="shared" si="0"/>
        <v>36.5</v>
      </c>
      <c r="H21" s="927"/>
      <c r="I21" s="927">
        <f t="shared" si="11"/>
        <v>36.5</v>
      </c>
      <c r="J21" s="927"/>
      <c r="K21" s="927">
        <f t="shared" si="13"/>
        <v>36.5</v>
      </c>
      <c r="L21" s="927"/>
      <c r="M21" s="927">
        <f t="shared" si="14"/>
        <v>36.5</v>
      </c>
      <c r="N21" s="927"/>
      <c r="O21" s="927">
        <f t="shared" si="15"/>
        <v>36.5</v>
      </c>
      <c r="P21" s="927"/>
      <c r="Q21" s="927">
        <f t="shared" si="16"/>
        <v>36.5</v>
      </c>
      <c r="R21" s="927"/>
      <c r="S21" s="927">
        <f t="shared" si="17"/>
        <v>36.5</v>
      </c>
    </row>
    <row r="22" spans="1:19" ht="15.75" x14ac:dyDescent="0.25">
      <c r="A22" s="750" t="s">
        <v>452</v>
      </c>
      <c r="B22" s="926">
        <v>41</v>
      </c>
      <c r="C22" s="927">
        <v>41.5</v>
      </c>
      <c r="D22" s="927"/>
      <c r="E22" s="927">
        <f t="shared" si="12"/>
        <v>41.5</v>
      </c>
      <c r="F22" s="927"/>
      <c r="G22" s="927">
        <f t="shared" si="0"/>
        <v>41.5</v>
      </c>
      <c r="H22" s="927"/>
      <c r="I22" s="927">
        <f t="shared" si="11"/>
        <v>41.5</v>
      </c>
      <c r="J22" s="927"/>
      <c r="K22" s="927">
        <f t="shared" si="13"/>
        <v>41.5</v>
      </c>
      <c r="L22" s="927"/>
      <c r="M22" s="927">
        <f t="shared" si="14"/>
        <v>41.5</v>
      </c>
      <c r="N22" s="927"/>
      <c r="O22" s="927">
        <f t="shared" si="15"/>
        <v>41.5</v>
      </c>
      <c r="P22" s="927"/>
      <c r="Q22" s="927">
        <f t="shared" si="16"/>
        <v>41.5</v>
      </c>
      <c r="R22" s="927"/>
      <c r="S22" s="927">
        <f t="shared" si="17"/>
        <v>41.5</v>
      </c>
    </row>
    <row r="23" spans="1:19" ht="15.75" x14ac:dyDescent="0.25">
      <c r="A23" s="750" t="s">
        <v>497</v>
      </c>
      <c r="B23" s="926">
        <v>46</v>
      </c>
      <c r="C23" s="927">
        <v>46</v>
      </c>
      <c r="D23" s="927"/>
      <c r="E23" s="927">
        <f t="shared" si="12"/>
        <v>46</v>
      </c>
      <c r="F23" s="927"/>
      <c r="G23" s="927">
        <f t="shared" si="0"/>
        <v>46</v>
      </c>
      <c r="H23" s="927"/>
      <c r="I23" s="927">
        <f t="shared" si="11"/>
        <v>46</v>
      </c>
      <c r="J23" s="927"/>
      <c r="K23" s="927">
        <f t="shared" si="13"/>
        <v>46</v>
      </c>
      <c r="L23" s="927"/>
      <c r="M23" s="927">
        <f t="shared" si="14"/>
        <v>46</v>
      </c>
      <c r="N23" s="927"/>
      <c r="O23" s="927">
        <f t="shared" si="15"/>
        <v>46</v>
      </c>
      <c r="P23" s="927"/>
      <c r="Q23" s="927">
        <f t="shared" si="16"/>
        <v>46</v>
      </c>
      <c r="R23" s="927"/>
      <c r="S23" s="927">
        <f t="shared" si="17"/>
        <v>46</v>
      </c>
    </row>
    <row r="24" spans="1:19" ht="15.75" x14ac:dyDescent="0.25">
      <c r="A24" s="750" t="s">
        <v>451</v>
      </c>
      <c r="B24" s="926">
        <v>14.5</v>
      </c>
      <c r="C24" s="927">
        <v>15</v>
      </c>
      <c r="D24" s="927"/>
      <c r="E24" s="927">
        <f t="shared" si="12"/>
        <v>15</v>
      </c>
      <c r="F24" s="927"/>
      <c r="G24" s="927">
        <f t="shared" si="0"/>
        <v>15</v>
      </c>
      <c r="H24" s="927"/>
      <c r="I24" s="927">
        <f t="shared" si="11"/>
        <v>15</v>
      </c>
      <c r="J24" s="927"/>
      <c r="K24" s="927">
        <f t="shared" si="13"/>
        <v>15</v>
      </c>
      <c r="L24" s="927"/>
      <c r="M24" s="927">
        <f t="shared" si="14"/>
        <v>15</v>
      </c>
      <c r="N24" s="927"/>
      <c r="O24" s="927">
        <f t="shared" si="15"/>
        <v>15</v>
      </c>
      <c r="P24" s="927"/>
      <c r="Q24" s="927">
        <f t="shared" si="16"/>
        <v>15</v>
      </c>
      <c r="R24" s="927"/>
      <c r="S24" s="927">
        <f t="shared" si="17"/>
        <v>15</v>
      </c>
    </row>
    <row r="25" spans="1:19" ht="15.75" x14ac:dyDescent="0.25">
      <c r="A25" s="750" t="s">
        <v>498</v>
      </c>
      <c r="B25" s="926">
        <v>51.5</v>
      </c>
      <c r="C25" s="927">
        <v>53.5</v>
      </c>
      <c r="D25" s="927"/>
      <c r="E25" s="927">
        <f t="shared" si="12"/>
        <v>53.5</v>
      </c>
      <c r="F25" s="927"/>
      <c r="G25" s="927">
        <f t="shared" si="0"/>
        <v>53.5</v>
      </c>
      <c r="H25" s="927"/>
      <c r="I25" s="927">
        <f t="shared" si="11"/>
        <v>53.5</v>
      </c>
      <c r="J25" s="927"/>
      <c r="K25" s="927">
        <f t="shared" si="13"/>
        <v>53.5</v>
      </c>
      <c r="L25" s="927"/>
      <c r="M25" s="927">
        <f t="shared" si="14"/>
        <v>53.5</v>
      </c>
      <c r="N25" s="927"/>
      <c r="O25" s="927">
        <f t="shared" si="15"/>
        <v>53.5</v>
      </c>
      <c r="P25" s="927"/>
      <c r="Q25" s="927">
        <f t="shared" si="16"/>
        <v>53.5</v>
      </c>
      <c r="R25" s="927"/>
      <c r="S25" s="927">
        <f t="shared" si="17"/>
        <v>53.5</v>
      </c>
    </row>
    <row r="26" spans="1:19" ht="15.75" x14ac:dyDescent="0.25">
      <c r="A26" s="750" t="s">
        <v>449</v>
      </c>
      <c r="B26" s="926">
        <v>35.5</v>
      </c>
      <c r="C26" s="927">
        <v>35.5</v>
      </c>
      <c r="D26" s="927"/>
      <c r="E26" s="927">
        <f t="shared" si="12"/>
        <v>35.5</v>
      </c>
      <c r="F26" s="927"/>
      <c r="G26" s="927">
        <f t="shared" si="0"/>
        <v>35.5</v>
      </c>
      <c r="H26" s="927"/>
      <c r="I26" s="927">
        <f t="shared" si="11"/>
        <v>35.5</v>
      </c>
      <c r="J26" s="927"/>
      <c r="K26" s="927">
        <f t="shared" si="13"/>
        <v>35.5</v>
      </c>
      <c r="L26" s="927"/>
      <c r="M26" s="927">
        <f t="shared" si="14"/>
        <v>35.5</v>
      </c>
      <c r="N26" s="927"/>
      <c r="O26" s="927">
        <f t="shared" si="15"/>
        <v>35.5</v>
      </c>
      <c r="P26" s="927"/>
      <c r="Q26" s="927">
        <f t="shared" si="16"/>
        <v>35.5</v>
      </c>
      <c r="R26" s="927"/>
      <c r="S26" s="927">
        <f t="shared" si="17"/>
        <v>35.5</v>
      </c>
    </row>
    <row r="27" spans="1:19" ht="16.5" thickBot="1" x14ac:dyDescent="0.3">
      <c r="A27" s="750" t="s">
        <v>448</v>
      </c>
      <c r="B27" s="926">
        <v>43.5</v>
      </c>
      <c r="C27" s="927">
        <v>43.5</v>
      </c>
      <c r="D27" s="927"/>
      <c r="E27" s="927">
        <f t="shared" si="12"/>
        <v>43.5</v>
      </c>
      <c r="F27" s="927"/>
      <c r="G27" s="927">
        <f t="shared" si="0"/>
        <v>43.5</v>
      </c>
      <c r="H27" s="927"/>
      <c r="I27" s="927">
        <f t="shared" si="11"/>
        <v>43.5</v>
      </c>
      <c r="J27" s="927"/>
      <c r="K27" s="927">
        <f t="shared" si="13"/>
        <v>43.5</v>
      </c>
      <c r="L27" s="927"/>
      <c r="M27" s="927">
        <f t="shared" si="14"/>
        <v>43.5</v>
      </c>
      <c r="N27" s="927"/>
      <c r="O27" s="927">
        <f t="shared" si="15"/>
        <v>43.5</v>
      </c>
      <c r="P27" s="927"/>
      <c r="Q27" s="927">
        <f t="shared" si="16"/>
        <v>43.5</v>
      </c>
      <c r="R27" s="927"/>
      <c r="S27" s="927">
        <f t="shared" si="17"/>
        <v>43.5</v>
      </c>
    </row>
    <row r="28" spans="1:19" ht="17.25" thickTop="1" thickBot="1" x14ac:dyDescent="0.3">
      <c r="A28" s="744" t="s">
        <v>447</v>
      </c>
      <c r="B28" s="749">
        <f t="shared" ref="B28:S28" si="18">SUM(B16:B27)</f>
        <v>489.75</v>
      </c>
      <c r="C28" s="749">
        <f t="shared" si="18"/>
        <v>496.75</v>
      </c>
      <c r="D28" s="749">
        <f t="shared" si="18"/>
        <v>0</v>
      </c>
      <c r="E28" s="749">
        <f t="shared" si="18"/>
        <v>496.75</v>
      </c>
      <c r="F28" s="749">
        <f t="shared" si="18"/>
        <v>0</v>
      </c>
      <c r="G28" s="749">
        <f t="shared" si="0"/>
        <v>496.75</v>
      </c>
      <c r="H28" s="749">
        <f t="shared" si="18"/>
        <v>0</v>
      </c>
      <c r="I28" s="749">
        <f t="shared" si="18"/>
        <v>496.75</v>
      </c>
      <c r="J28" s="749">
        <f t="shared" si="18"/>
        <v>0</v>
      </c>
      <c r="K28" s="749">
        <f t="shared" si="18"/>
        <v>496.75</v>
      </c>
      <c r="L28" s="749">
        <f t="shared" si="18"/>
        <v>0</v>
      </c>
      <c r="M28" s="749">
        <f t="shared" si="18"/>
        <v>496.75</v>
      </c>
      <c r="N28" s="749">
        <f t="shared" si="18"/>
        <v>0</v>
      </c>
      <c r="O28" s="749">
        <f t="shared" si="18"/>
        <v>496.75</v>
      </c>
      <c r="P28" s="749">
        <f t="shared" si="18"/>
        <v>0</v>
      </c>
      <c r="Q28" s="749">
        <f t="shared" si="18"/>
        <v>496.75</v>
      </c>
      <c r="R28" s="749">
        <f t="shared" si="18"/>
        <v>0</v>
      </c>
      <c r="S28" s="749">
        <f t="shared" si="18"/>
        <v>496.75</v>
      </c>
    </row>
    <row r="29" spans="1:19" ht="17.25" thickTop="1" thickBot="1" x14ac:dyDescent="0.3">
      <c r="A29" s="744" t="s">
        <v>952</v>
      </c>
      <c r="B29" s="749">
        <f t="shared" ref="B29:S29" si="19">B28+B15+B8</f>
        <v>773.3</v>
      </c>
      <c r="C29" s="749">
        <f t="shared" si="19"/>
        <v>780.3</v>
      </c>
      <c r="D29" s="749">
        <f t="shared" si="19"/>
        <v>0</v>
      </c>
      <c r="E29" s="749">
        <f t="shared" si="19"/>
        <v>780.3</v>
      </c>
      <c r="F29" s="749">
        <f t="shared" si="19"/>
        <v>3</v>
      </c>
      <c r="G29" s="749">
        <f t="shared" si="0"/>
        <v>783.3</v>
      </c>
      <c r="H29" s="749">
        <f t="shared" si="19"/>
        <v>0</v>
      </c>
      <c r="I29" s="749">
        <f t="shared" si="19"/>
        <v>783.3</v>
      </c>
      <c r="J29" s="749">
        <f t="shared" si="19"/>
        <v>0</v>
      </c>
      <c r="K29" s="749">
        <f t="shared" si="19"/>
        <v>783.3</v>
      </c>
      <c r="L29" s="749">
        <f t="shared" si="19"/>
        <v>0</v>
      </c>
      <c r="M29" s="749">
        <f t="shared" si="19"/>
        <v>783.3</v>
      </c>
      <c r="N29" s="749">
        <f t="shared" si="19"/>
        <v>0</v>
      </c>
      <c r="O29" s="749">
        <f t="shared" si="19"/>
        <v>783.3</v>
      </c>
      <c r="P29" s="749">
        <f t="shared" si="19"/>
        <v>-4.5</v>
      </c>
      <c r="Q29" s="749">
        <f t="shared" si="19"/>
        <v>778.8</v>
      </c>
      <c r="R29" s="749">
        <f t="shared" si="19"/>
        <v>0</v>
      </c>
      <c r="S29" s="749">
        <f t="shared" si="19"/>
        <v>778.8</v>
      </c>
    </row>
    <row r="30" spans="1:19" ht="16.5" thickTop="1" x14ac:dyDescent="0.25">
      <c r="A30" s="750" t="s">
        <v>414</v>
      </c>
      <c r="B30" s="926">
        <v>215.5</v>
      </c>
      <c r="C30" s="927">
        <v>215.5</v>
      </c>
      <c r="D30" s="927"/>
      <c r="E30" s="927">
        <f>C30+D30</f>
        <v>215.5</v>
      </c>
      <c r="F30" s="927"/>
      <c r="G30" s="927">
        <f t="shared" si="0"/>
        <v>215.5</v>
      </c>
      <c r="H30" s="927"/>
      <c r="I30" s="927">
        <f>E30+H30</f>
        <v>215.5</v>
      </c>
      <c r="J30" s="927"/>
      <c r="K30" s="927">
        <f>I30+J30</f>
        <v>215.5</v>
      </c>
      <c r="L30" s="927"/>
      <c r="M30" s="927">
        <f>K30+L30</f>
        <v>215.5</v>
      </c>
      <c r="N30" s="927"/>
      <c r="O30" s="927">
        <f>M30+N30</f>
        <v>215.5</v>
      </c>
      <c r="P30" s="927"/>
      <c r="Q30" s="927">
        <f>O30+P30</f>
        <v>215.5</v>
      </c>
      <c r="R30" s="927"/>
      <c r="S30" s="927">
        <f>Q30+R30</f>
        <v>215.5</v>
      </c>
    </row>
    <row r="31" spans="1:19" ht="31.5" x14ac:dyDescent="0.25">
      <c r="A31" s="748" t="s">
        <v>499</v>
      </c>
      <c r="B31" s="926">
        <v>60</v>
      </c>
      <c r="C31" s="927">
        <v>60</v>
      </c>
      <c r="D31" s="927">
        <v>3</v>
      </c>
      <c r="E31" s="927">
        <f t="shared" ref="E31:E32" si="20">C31+D31</f>
        <v>63</v>
      </c>
      <c r="F31" s="927"/>
      <c r="G31" s="927">
        <f t="shared" si="0"/>
        <v>63</v>
      </c>
      <c r="H31" s="927"/>
      <c r="I31" s="927">
        <f>E31+H31</f>
        <v>63</v>
      </c>
      <c r="J31" s="927"/>
      <c r="K31" s="927">
        <f t="shared" ref="K31:K32" si="21">I31+J31</f>
        <v>63</v>
      </c>
      <c r="L31" s="927">
        <v>6</v>
      </c>
      <c r="M31" s="927">
        <f t="shared" ref="M31:M32" si="22">K31+L31</f>
        <v>69</v>
      </c>
      <c r="N31" s="927"/>
      <c r="O31" s="927">
        <f t="shared" ref="O31:O32" si="23">M31+N31</f>
        <v>69</v>
      </c>
      <c r="P31" s="927"/>
      <c r="Q31" s="927">
        <f t="shared" ref="Q31:Q32" si="24">O31+P31</f>
        <v>69</v>
      </c>
      <c r="R31" s="927"/>
      <c r="S31" s="927">
        <f t="shared" ref="S31:S32" si="25">Q31+R31</f>
        <v>69</v>
      </c>
    </row>
    <row r="32" spans="1:19" ht="16.5" thickBot="1" x14ac:dyDescent="0.3">
      <c r="A32" s="752" t="s">
        <v>427</v>
      </c>
      <c r="B32" s="926">
        <v>48</v>
      </c>
      <c r="C32" s="927">
        <v>48</v>
      </c>
      <c r="D32" s="927"/>
      <c r="E32" s="927">
        <f t="shared" si="20"/>
        <v>48</v>
      </c>
      <c r="F32" s="927"/>
      <c r="G32" s="927">
        <f t="shared" si="0"/>
        <v>48</v>
      </c>
      <c r="H32" s="927"/>
      <c r="I32" s="927">
        <f>E32+H32</f>
        <v>48</v>
      </c>
      <c r="J32" s="927"/>
      <c r="K32" s="927">
        <f t="shared" si="21"/>
        <v>48</v>
      </c>
      <c r="L32" s="927"/>
      <c r="M32" s="927">
        <f t="shared" si="22"/>
        <v>48</v>
      </c>
      <c r="N32" s="927"/>
      <c r="O32" s="927">
        <f t="shared" si="23"/>
        <v>48</v>
      </c>
      <c r="P32" s="927"/>
      <c r="Q32" s="927">
        <f t="shared" si="24"/>
        <v>48</v>
      </c>
      <c r="R32" s="927"/>
      <c r="S32" s="927">
        <f t="shared" si="25"/>
        <v>48</v>
      </c>
    </row>
    <row r="33" spans="1:19" ht="17.25" thickTop="1" thickBot="1" x14ac:dyDescent="0.3">
      <c r="A33" s="744" t="s">
        <v>445</v>
      </c>
      <c r="B33" s="749">
        <f t="shared" ref="B33:M33" si="26">SUM(B30:B32)</f>
        <v>323.5</v>
      </c>
      <c r="C33" s="749">
        <f t="shared" si="26"/>
        <v>323.5</v>
      </c>
      <c r="D33" s="749">
        <f t="shared" si="26"/>
        <v>3</v>
      </c>
      <c r="E33" s="749">
        <f t="shared" si="26"/>
        <v>326.5</v>
      </c>
      <c r="F33" s="749">
        <f t="shared" si="26"/>
        <v>0</v>
      </c>
      <c r="G33" s="749">
        <f t="shared" si="0"/>
        <v>326.5</v>
      </c>
      <c r="H33" s="749">
        <f t="shared" si="26"/>
        <v>0</v>
      </c>
      <c r="I33" s="749">
        <f t="shared" si="26"/>
        <v>326.5</v>
      </c>
      <c r="J33" s="749">
        <f t="shared" si="26"/>
        <v>0</v>
      </c>
      <c r="K33" s="749">
        <f t="shared" si="26"/>
        <v>326.5</v>
      </c>
      <c r="L33" s="749">
        <f t="shared" si="26"/>
        <v>6</v>
      </c>
      <c r="M33" s="749">
        <f t="shared" si="26"/>
        <v>332.5</v>
      </c>
      <c r="N33" s="749">
        <f t="shared" ref="N33:S33" si="27">SUM(N30:N32)</f>
        <v>0</v>
      </c>
      <c r="O33" s="749">
        <f t="shared" si="27"/>
        <v>332.5</v>
      </c>
      <c r="P33" s="749">
        <f t="shared" si="27"/>
        <v>0</v>
      </c>
      <c r="Q33" s="749">
        <f t="shared" si="27"/>
        <v>332.5</v>
      </c>
      <c r="R33" s="749">
        <f t="shared" si="27"/>
        <v>0</v>
      </c>
      <c r="S33" s="749">
        <f t="shared" si="27"/>
        <v>332.5</v>
      </c>
    </row>
    <row r="34" spans="1:19" ht="17.25" thickTop="1" thickBot="1" x14ac:dyDescent="0.3">
      <c r="A34" s="744" t="s">
        <v>953</v>
      </c>
      <c r="B34" s="749">
        <v>59.5</v>
      </c>
      <c r="C34" s="749">
        <v>59.5</v>
      </c>
      <c r="D34" s="749"/>
      <c r="E34" s="749">
        <f>C34+D34</f>
        <v>59.5</v>
      </c>
      <c r="F34" s="749"/>
      <c r="G34" s="749">
        <f t="shared" si="0"/>
        <v>59.5</v>
      </c>
      <c r="H34" s="749">
        <v>2</v>
      </c>
      <c r="I34" s="749">
        <f t="shared" ref="I34:I42" si="28">C34+H34</f>
        <v>61.5</v>
      </c>
      <c r="J34" s="749"/>
      <c r="K34" s="749">
        <f>I34+J34</f>
        <v>61.5</v>
      </c>
      <c r="L34" s="749"/>
      <c r="M34" s="749">
        <f>K34+L34</f>
        <v>61.5</v>
      </c>
      <c r="N34" s="749"/>
      <c r="O34" s="749">
        <f>M34+N34</f>
        <v>61.5</v>
      </c>
      <c r="P34" s="749"/>
      <c r="Q34" s="749">
        <f>O34+P34</f>
        <v>61.5</v>
      </c>
      <c r="R34" s="749"/>
      <c r="S34" s="749">
        <f>Q34+R34</f>
        <v>61.5</v>
      </c>
    </row>
    <row r="35" spans="1:19" ht="16.5" thickTop="1" x14ac:dyDescent="0.25">
      <c r="A35" s="750" t="s">
        <v>443</v>
      </c>
      <c r="B35" s="926">
        <v>12</v>
      </c>
      <c r="C35" s="927">
        <v>12</v>
      </c>
      <c r="D35" s="927"/>
      <c r="E35" s="927">
        <f>C35+D35</f>
        <v>12</v>
      </c>
      <c r="F35" s="927"/>
      <c r="G35" s="927">
        <f t="shared" si="0"/>
        <v>12</v>
      </c>
      <c r="H35" s="927"/>
      <c r="I35" s="927">
        <f t="shared" si="28"/>
        <v>12</v>
      </c>
      <c r="J35" s="927"/>
      <c r="K35" s="927">
        <f>I35+J35</f>
        <v>12</v>
      </c>
      <c r="L35" s="927"/>
      <c r="M35" s="927">
        <f>K35+L35</f>
        <v>12</v>
      </c>
      <c r="N35" s="927"/>
      <c r="O35" s="927">
        <f>M35+N35</f>
        <v>12</v>
      </c>
      <c r="P35" s="927"/>
      <c r="Q35" s="927">
        <f>O35+P35</f>
        <v>12</v>
      </c>
      <c r="R35" s="927"/>
      <c r="S35" s="927">
        <f>Q35+R35</f>
        <v>12</v>
      </c>
    </row>
    <row r="36" spans="1:19" ht="15.75" x14ac:dyDescent="0.25">
      <c r="A36" s="750" t="s">
        <v>442</v>
      </c>
      <c r="B36" s="926">
        <v>82</v>
      </c>
      <c r="C36" s="927">
        <v>82</v>
      </c>
      <c r="D36" s="927"/>
      <c r="E36" s="927">
        <f t="shared" ref="E36:E42" si="29">C36+D36</f>
        <v>82</v>
      </c>
      <c r="F36" s="927"/>
      <c r="G36" s="927">
        <f t="shared" si="0"/>
        <v>82</v>
      </c>
      <c r="H36" s="927"/>
      <c r="I36" s="927">
        <f t="shared" si="28"/>
        <v>82</v>
      </c>
      <c r="J36" s="927"/>
      <c r="K36" s="927">
        <f t="shared" ref="K36:K42" si="30">I36+J36</f>
        <v>82</v>
      </c>
      <c r="L36" s="927"/>
      <c r="M36" s="927">
        <f t="shared" ref="M36:M42" si="31">K36+L36</f>
        <v>82</v>
      </c>
      <c r="N36" s="927"/>
      <c r="O36" s="927">
        <f t="shared" ref="O36:O42" si="32">M36+N36</f>
        <v>82</v>
      </c>
      <c r="P36" s="927"/>
      <c r="Q36" s="927">
        <f t="shared" ref="Q36:Q42" si="33">O36+P36</f>
        <v>82</v>
      </c>
      <c r="R36" s="927"/>
      <c r="S36" s="927">
        <f t="shared" ref="S36:S42" si="34">Q36+R36</f>
        <v>82</v>
      </c>
    </row>
    <row r="37" spans="1:19" ht="15.75" x14ac:dyDescent="0.25">
      <c r="A37" s="750" t="s">
        <v>441</v>
      </c>
      <c r="B37" s="928">
        <v>103.63</v>
      </c>
      <c r="C37" s="929">
        <v>113.63</v>
      </c>
      <c r="D37" s="929"/>
      <c r="E37" s="927">
        <f t="shared" si="29"/>
        <v>113.63</v>
      </c>
      <c r="F37" s="927"/>
      <c r="G37" s="929">
        <f t="shared" si="0"/>
        <v>113.63</v>
      </c>
      <c r="H37" s="929"/>
      <c r="I37" s="927">
        <f t="shared" si="28"/>
        <v>113.63</v>
      </c>
      <c r="J37" s="929"/>
      <c r="K37" s="927">
        <f t="shared" si="30"/>
        <v>113.63</v>
      </c>
      <c r="L37" s="929"/>
      <c r="M37" s="927">
        <f t="shared" si="31"/>
        <v>113.63</v>
      </c>
      <c r="N37" s="929"/>
      <c r="O37" s="927">
        <f t="shared" si="32"/>
        <v>113.63</v>
      </c>
      <c r="P37" s="927"/>
      <c r="Q37" s="927">
        <f t="shared" si="33"/>
        <v>113.63</v>
      </c>
      <c r="R37" s="927"/>
      <c r="S37" s="927">
        <f t="shared" si="34"/>
        <v>113.63</v>
      </c>
    </row>
    <row r="38" spans="1:19" ht="31.5" x14ac:dyDescent="0.25">
      <c r="A38" s="748" t="s">
        <v>1202</v>
      </c>
      <c r="B38" s="928"/>
      <c r="C38" s="929"/>
      <c r="D38" s="929"/>
      <c r="E38" s="927">
        <f t="shared" si="29"/>
        <v>0</v>
      </c>
      <c r="F38" s="927"/>
      <c r="G38" s="929">
        <f t="shared" si="0"/>
        <v>0</v>
      </c>
      <c r="H38" s="929"/>
      <c r="I38" s="927">
        <f t="shared" si="28"/>
        <v>0</v>
      </c>
      <c r="J38" s="929"/>
      <c r="K38" s="927">
        <f t="shared" si="30"/>
        <v>0</v>
      </c>
      <c r="L38" s="929"/>
      <c r="M38" s="927">
        <f t="shared" si="31"/>
        <v>0</v>
      </c>
      <c r="N38" s="929"/>
      <c r="O38" s="927">
        <f t="shared" si="32"/>
        <v>0</v>
      </c>
      <c r="P38" s="927"/>
      <c r="Q38" s="927">
        <f t="shared" si="33"/>
        <v>0</v>
      </c>
      <c r="R38" s="927">
        <v>5</v>
      </c>
      <c r="S38" s="927">
        <f t="shared" si="34"/>
        <v>5</v>
      </c>
    </row>
    <row r="39" spans="1:19" ht="15.75" x14ac:dyDescent="0.25">
      <c r="A39" s="750" t="s">
        <v>440</v>
      </c>
      <c r="B39" s="926">
        <v>28</v>
      </c>
      <c r="C39" s="927">
        <v>28</v>
      </c>
      <c r="D39" s="927"/>
      <c r="E39" s="927">
        <f t="shared" si="29"/>
        <v>28</v>
      </c>
      <c r="F39" s="927"/>
      <c r="G39" s="927">
        <f t="shared" si="0"/>
        <v>28</v>
      </c>
      <c r="H39" s="927"/>
      <c r="I39" s="927">
        <f t="shared" si="28"/>
        <v>28</v>
      </c>
      <c r="J39" s="927"/>
      <c r="K39" s="927">
        <f t="shared" si="30"/>
        <v>28</v>
      </c>
      <c r="L39" s="927"/>
      <c r="M39" s="927">
        <f t="shared" si="31"/>
        <v>28</v>
      </c>
      <c r="N39" s="927"/>
      <c r="O39" s="927">
        <f t="shared" si="32"/>
        <v>28</v>
      </c>
      <c r="P39" s="927"/>
      <c r="Q39" s="927">
        <f t="shared" si="33"/>
        <v>28</v>
      </c>
      <c r="R39" s="927"/>
      <c r="S39" s="927">
        <f t="shared" si="34"/>
        <v>28</v>
      </c>
    </row>
    <row r="40" spans="1:19" ht="15.75" x14ac:dyDescent="0.25">
      <c r="A40" s="750" t="s">
        <v>439</v>
      </c>
      <c r="B40" s="926">
        <v>110</v>
      </c>
      <c r="C40" s="927">
        <v>110</v>
      </c>
      <c r="D40" s="927"/>
      <c r="E40" s="927">
        <f t="shared" si="29"/>
        <v>110</v>
      </c>
      <c r="F40" s="927"/>
      <c r="G40" s="927">
        <f t="shared" si="0"/>
        <v>110</v>
      </c>
      <c r="H40" s="927"/>
      <c r="I40" s="927">
        <f t="shared" si="28"/>
        <v>110</v>
      </c>
      <c r="J40" s="927">
        <v>-2.75</v>
      </c>
      <c r="K40" s="927">
        <f t="shared" si="30"/>
        <v>107.25</v>
      </c>
      <c r="L40" s="927"/>
      <c r="M40" s="927">
        <f t="shared" si="31"/>
        <v>107.25</v>
      </c>
      <c r="N40" s="927"/>
      <c r="O40" s="927">
        <f t="shared" si="32"/>
        <v>107.25</v>
      </c>
      <c r="P40" s="927"/>
      <c r="Q40" s="927">
        <f t="shared" si="33"/>
        <v>107.25</v>
      </c>
      <c r="R40" s="927"/>
      <c r="S40" s="927">
        <f t="shared" si="34"/>
        <v>107.25</v>
      </c>
    </row>
    <row r="41" spans="1:19" ht="15.75" x14ac:dyDescent="0.25">
      <c r="A41" s="750" t="s">
        <v>926</v>
      </c>
      <c r="B41" s="926">
        <v>0</v>
      </c>
      <c r="C41" s="927">
        <v>0</v>
      </c>
      <c r="D41" s="927"/>
      <c r="E41" s="927">
        <f t="shared" si="29"/>
        <v>0</v>
      </c>
      <c r="F41" s="927"/>
      <c r="G41" s="927">
        <f t="shared" si="0"/>
        <v>0</v>
      </c>
      <c r="H41" s="927"/>
      <c r="I41" s="927">
        <f t="shared" si="28"/>
        <v>0</v>
      </c>
      <c r="J41" s="927">
        <v>4</v>
      </c>
      <c r="K41" s="927">
        <f t="shared" si="30"/>
        <v>4</v>
      </c>
      <c r="L41" s="929">
        <v>17</v>
      </c>
      <c r="M41" s="927">
        <f t="shared" si="31"/>
        <v>21</v>
      </c>
      <c r="N41" s="929"/>
      <c r="O41" s="927">
        <f t="shared" si="32"/>
        <v>21</v>
      </c>
      <c r="P41" s="927"/>
      <c r="Q41" s="927">
        <f t="shared" si="33"/>
        <v>21</v>
      </c>
      <c r="R41" s="927"/>
      <c r="S41" s="927">
        <f t="shared" si="34"/>
        <v>21</v>
      </c>
    </row>
    <row r="42" spans="1:19" ht="16.5" thickBot="1" x14ac:dyDescent="0.3">
      <c r="A42" s="750" t="s">
        <v>436</v>
      </c>
      <c r="B42" s="926">
        <v>28.75</v>
      </c>
      <c r="C42" s="927">
        <v>28.75</v>
      </c>
      <c r="D42" s="927"/>
      <c r="E42" s="927">
        <f t="shared" si="29"/>
        <v>28.75</v>
      </c>
      <c r="F42" s="927"/>
      <c r="G42" s="927">
        <f t="shared" si="0"/>
        <v>28.75</v>
      </c>
      <c r="H42" s="927"/>
      <c r="I42" s="927">
        <f t="shared" si="28"/>
        <v>28.75</v>
      </c>
      <c r="J42" s="927"/>
      <c r="K42" s="927">
        <f t="shared" si="30"/>
        <v>28.75</v>
      </c>
      <c r="L42" s="927"/>
      <c r="M42" s="927">
        <f t="shared" si="31"/>
        <v>28.75</v>
      </c>
      <c r="N42" s="927">
        <v>2</v>
      </c>
      <c r="O42" s="927">
        <f t="shared" si="32"/>
        <v>30.75</v>
      </c>
      <c r="P42" s="927"/>
      <c r="Q42" s="927">
        <f t="shared" si="33"/>
        <v>30.75</v>
      </c>
      <c r="R42" s="927"/>
      <c r="S42" s="927">
        <f t="shared" si="34"/>
        <v>30.75</v>
      </c>
    </row>
    <row r="43" spans="1:19" ht="17.25" thickTop="1" thickBot="1" x14ac:dyDescent="0.3">
      <c r="A43" s="744" t="s">
        <v>954</v>
      </c>
      <c r="B43" s="749">
        <f t="shared" ref="B43:S43" si="35">SUM(B35:B42)</f>
        <v>364.38</v>
      </c>
      <c r="C43" s="749">
        <f t="shared" si="35"/>
        <v>374.38</v>
      </c>
      <c r="D43" s="749">
        <f t="shared" si="35"/>
        <v>0</v>
      </c>
      <c r="E43" s="749">
        <f t="shared" si="35"/>
        <v>374.38</v>
      </c>
      <c r="F43" s="749">
        <f t="shared" si="35"/>
        <v>0</v>
      </c>
      <c r="G43" s="749">
        <f t="shared" si="0"/>
        <v>374.38</v>
      </c>
      <c r="H43" s="749">
        <f t="shared" si="35"/>
        <v>0</v>
      </c>
      <c r="I43" s="749">
        <f t="shared" si="35"/>
        <v>374.38</v>
      </c>
      <c r="J43" s="749">
        <f t="shared" si="35"/>
        <v>1.25</v>
      </c>
      <c r="K43" s="749">
        <f t="shared" si="35"/>
        <v>375.63</v>
      </c>
      <c r="L43" s="749">
        <f t="shared" si="35"/>
        <v>17</v>
      </c>
      <c r="M43" s="749">
        <f t="shared" si="35"/>
        <v>392.63</v>
      </c>
      <c r="N43" s="749">
        <f t="shared" si="35"/>
        <v>2</v>
      </c>
      <c r="O43" s="749">
        <f t="shared" si="35"/>
        <v>394.63</v>
      </c>
      <c r="P43" s="749">
        <f t="shared" si="35"/>
        <v>0</v>
      </c>
      <c r="Q43" s="749">
        <f t="shared" si="35"/>
        <v>394.63</v>
      </c>
      <c r="R43" s="749">
        <f t="shared" si="35"/>
        <v>5</v>
      </c>
      <c r="S43" s="749">
        <f t="shared" si="35"/>
        <v>399.63</v>
      </c>
    </row>
    <row r="44" spans="1:19" ht="17.25" thickTop="1" thickBot="1" x14ac:dyDescent="0.3">
      <c r="A44" s="753" t="s">
        <v>434</v>
      </c>
      <c r="B44" s="749">
        <f t="shared" ref="B44:S44" si="36">B43+B34+B33+B29</f>
        <v>1520.6799999999998</v>
      </c>
      <c r="C44" s="749">
        <f t="shared" si="36"/>
        <v>1537.6799999999998</v>
      </c>
      <c r="D44" s="749">
        <f t="shared" si="36"/>
        <v>3</v>
      </c>
      <c r="E44" s="749">
        <f t="shared" si="36"/>
        <v>1540.6799999999998</v>
      </c>
      <c r="F44" s="749">
        <f t="shared" si="36"/>
        <v>3</v>
      </c>
      <c r="G44" s="749">
        <f t="shared" si="0"/>
        <v>1543.6799999999998</v>
      </c>
      <c r="H44" s="749">
        <f t="shared" si="36"/>
        <v>2</v>
      </c>
      <c r="I44" s="749">
        <f t="shared" si="36"/>
        <v>1545.6799999999998</v>
      </c>
      <c r="J44" s="749">
        <f t="shared" si="36"/>
        <v>1.25</v>
      </c>
      <c r="K44" s="749">
        <f t="shared" si="36"/>
        <v>1546.9299999999998</v>
      </c>
      <c r="L44" s="749">
        <f t="shared" si="36"/>
        <v>23</v>
      </c>
      <c r="M44" s="749">
        <f t="shared" si="36"/>
        <v>1569.9299999999998</v>
      </c>
      <c r="N44" s="749">
        <f t="shared" si="36"/>
        <v>2</v>
      </c>
      <c r="O44" s="749">
        <f t="shared" si="36"/>
        <v>1571.9299999999998</v>
      </c>
      <c r="P44" s="749">
        <f t="shared" si="36"/>
        <v>-4.5</v>
      </c>
      <c r="Q44" s="749">
        <f t="shared" si="36"/>
        <v>1567.4299999999998</v>
      </c>
      <c r="R44" s="749">
        <f t="shared" si="36"/>
        <v>5</v>
      </c>
      <c r="S44" s="749">
        <f t="shared" si="36"/>
        <v>1572.4299999999998</v>
      </c>
    </row>
    <row r="45" spans="1:19" ht="17.25" thickTop="1" thickBot="1" x14ac:dyDescent="0.3">
      <c r="A45" s="754" t="s">
        <v>433</v>
      </c>
      <c r="B45" s="755">
        <v>350</v>
      </c>
      <c r="C45" s="755">
        <v>350</v>
      </c>
      <c r="D45" s="755"/>
      <c r="E45" s="755">
        <f>C45+D45</f>
        <v>350</v>
      </c>
      <c r="F45" s="755"/>
      <c r="G45" s="755">
        <f t="shared" si="0"/>
        <v>350</v>
      </c>
      <c r="H45" s="755"/>
      <c r="I45" s="755">
        <f>E45+H45</f>
        <v>350</v>
      </c>
      <c r="J45" s="755"/>
      <c r="K45" s="755">
        <f>I45+J45</f>
        <v>350</v>
      </c>
      <c r="L45" s="755"/>
      <c r="M45" s="755">
        <f>K45+L45</f>
        <v>350</v>
      </c>
      <c r="N45" s="755"/>
      <c r="O45" s="755">
        <f>M45+N45</f>
        <v>350</v>
      </c>
      <c r="P45" s="755"/>
      <c r="Q45" s="755">
        <f>O45+P45</f>
        <v>350</v>
      </c>
      <c r="R45" s="755"/>
      <c r="S45" s="755">
        <f>Q45+R45</f>
        <v>350</v>
      </c>
    </row>
    <row r="46" spans="1:19" ht="17.25" thickTop="1" thickBot="1" x14ac:dyDescent="0.3">
      <c r="A46" s="744" t="s">
        <v>955</v>
      </c>
      <c r="B46" s="749">
        <f t="shared" ref="B46:S46" si="37">B45+B44</f>
        <v>1870.6799999999998</v>
      </c>
      <c r="C46" s="749">
        <f t="shared" si="37"/>
        <v>1887.6799999999998</v>
      </c>
      <c r="D46" s="749">
        <f t="shared" si="37"/>
        <v>3</v>
      </c>
      <c r="E46" s="749">
        <f t="shared" si="37"/>
        <v>1890.6799999999998</v>
      </c>
      <c r="F46" s="749">
        <f t="shared" si="37"/>
        <v>3</v>
      </c>
      <c r="G46" s="749">
        <f t="shared" si="0"/>
        <v>1893.6799999999998</v>
      </c>
      <c r="H46" s="749">
        <f t="shared" si="37"/>
        <v>2</v>
      </c>
      <c r="I46" s="749">
        <f t="shared" si="37"/>
        <v>1895.6799999999998</v>
      </c>
      <c r="J46" s="749">
        <f t="shared" si="37"/>
        <v>1.25</v>
      </c>
      <c r="K46" s="749">
        <f t="shared" si="37"/>
        <v>1896.9299999999998</v>
      </c>
      <c r="L46" s="749">
        <f t="shared" si="37"/>
        <v>23</v>
      </c>
      <c r="M46" s="749">
        <f t="shared" si="37"/>
        <v>1919.9299999999998</v>
      </c>
      <c r="N46" s="749">
        <f t="shared" si="37"/>
        <v>2</v>
      </c>
      <c r="O46" s="749">
        <f t="shared" si="37"/>
        <v>1921.9299999999998</v>
      </c>
      <c r="P46" s="749">
        <f t="shared" si="37"/>
        <v>-4.5</v>
      </c>
      <c r="Q46" s="749">
        <f t="shared" si="37"/>
        <v>1917.4299999999998</v>
      </c>
      <c r="R46" s="749">
        <f t="shared" si="37"/>
        <v>5</v>
      </c>
      <c r="S46" s="749">
        <f t="shared" si="37"/>
        <v>1922.4299999999998</v>
      </c>
    </row>
    <row r="47" spans="1:19" ht="16.5" thickTop="1" x14ac:dyDescent="0.25">
      <c r="A47" s="756"/>
      <c r="B47" s="757"/>
      <c r="C47" s="757"/>
      <c r="D47" s="757"/>
      <c r="E47" s="757"/>
      <c r="F47" s="757"/>
      <c r="G47" s="757"/>
      <c r="H47" s="757"/>
      <c r="I47" s="757"/>
      <c r="J47" s="757"/>
      <c r="K47" s="757"/>
      <c r="L47" s="757"/>
      <c r="M47" s="757"/>
    </row>
    <row r="48" spans="1:19" ht="15.75" x14ac:dyDescent="0.25">
      <c r="A48" s="756"/>
      <c r="B48" s="757"/>
      <c r="C48" s="757"/>
      <c r="D48" s="757"/>
      <c r="E48" s="757"/>
      <c r="F48" s="757"/>
      <c r="G48" s="757"/>
      <c r="H48" s="757"/>
      <c r="I48" s="757"/>
      <c r="J48" s="757"/>
      <c r="K48" s="757"/>
      <c r="L48" s="757"/>
      <c r="M48" s="757"/>
    </row>
    <row r="49" spans="1:13" ht="15.75" x14ac:dyDescent="0.25">
      <c r="A49" s="756"/>
      <c r="B49" s="757"/>
      <c r="C49" s="757"/>
      <c r="D49" s="757"/>
      <c r="E49" s="757"/>
      <c r="F49" s="757"/>
      <c r="G49" s="757"/>
      <c r="H49" s="757"/>
      <c r="I49" s="757"/>
      <c r="J49" s="757"/>
      <c r="K49" s="757"/>
      <c r="L49" s="757"/>
      <c r="M49" s="757"/>
    </row>
    <row r="50" spans="1:13" ht="15.75" x14ac:dyDescent="0.25">
      <c r="A50" s="756"/>
      <c r="B50" s="757"/>
      <c r="C50" s="757"/>
      <c r="D50" s="757"/>
      <c r="E50" s="757"/>
      <c r="F50" s="757"/>
      <c r="G50" s="757"/>
      <c r="H50" s="757"/>
      <c r="I50" s="757"/>
      <c r="J50" s="757"/>
      <c r="K50" s="757"/>
      <c r="L50" s="757"/>
      <c r="M50" s="757"/>
    </row>
    <row r="51" spans="1:13" ht="15.75" x14ac:dyDescent="0.25">
      <c r="A51" s="756"/>
      <c r="B51" s="757"/>
      <c r="C51" s="757"/>
      <c r="D51" s="757"/>
      <c r="E51" s="757"/>
      <c r="F51" s="757"/>
      <c r="G51" s="757"/>
      <c r="H51" s="757"/>
      <c r="I51" s="757"/>
      <c r="J51" s="757"/>
      <c r="K51" s="757"/>
      <c r="L51" s="757"/>
      <c r="M51" s="757"/>
    </row>
    <row r="52" spans="1:13" ht="15.75" x14ac:dyDescent="0.25">
      <c r="A52" s="756"/>
      <c r="B52" s="757"/>
      <c r="C52" s="757"/>
      <c r="D52" s="757"/>
      <c r="E52" s="757"/>
      <c r="F52" s="757"/>
      <c r="G52" s="757"/>
      <c r="H52" s="757"/>
      <c r="I52" s="757"/>
      <c r="J52" s="757"/>
      <c r="K52" s="757"/>
      <c r="L52" s="757"/>
      <c r="M52" s="757"/>
    </row>
    <row r="53" spans="1:13" ht="15.75" x14ac:dyDescent="0.25">
      <c r="A53" s="756"/>
    </row>
    <row r="54" spans="1:13" ht="15.75" x14ac:dyDescent="0.25">
      <c r="A54" s="756"/>
    </row>
    <row r="55" spans="1:13" ht="15.75" x14ac:dyDescent="0.25">
      <c r="A55" s="756"/>
    </row>
    <row r="56" spans="1:13" ht="15.75" x14ac:dyDescent="0.25">
      <c r="A56" s="756"/>
    </row>
    <row r="57" spans="1:13" ht="15.75" x14ac:dyDescent="0.25">
      <c r="A57" s="756"/>
    </row>
    <row r="58" spans="1:13" ht="15.75" x14ac:dyDescent="0.25">
      <c r="A58" s="756"/>
    </row>
    <row r="59" spans="1:13" ht="15.75" x14ac:dyDescent="0.25">
      <c r="A59" s="756"/>
    </row>
    <row r="60" spans="1:13" ht="15.75" x14ac:dyDescent="0.25">
      <c r="A60" s="756"/>
    </row>
    <row r="61" spans="1:13" ht="15.75" x14ac:dyDescent="0.25">
      <c r="A61" s="756"/>
    </row>
    <row r="62" spans="1:13" ht="15.75" x14ac:dyDescent="0.25">
      <c r="A62" s="756"/>
    </row>
    <row r="63" spans="1:13" ht="15.75" x14ac:dyDescent="0.25">
      <c r="A63" s="756"/>
    </row>
    <row r="64" spans="1:13" ht="15.75" x14ac:dyDescent="0.25">
      <c r="A64" s="756"/>
    </row>
    <row r="65" spans="1:1" ht="15.75" x14ac:dyDescent="0.25">
      <c r="A65" s="756"/>
    </row>
    <row r="66" spans="1:1" ht="15.75" x14ac:dyDescent="0.25">
      <c r="A66" s="756"/>
    </row>
    <row r="67" spans="1:1" ht="15.75" x14ac:dyDescent="0.25">
      <c r="A67" s="756"/>
    </row>
    <row r="68" spans="1:1" ht="15.75" x14ac:dyDescent="0.25">
      <c r="A68" s="756"/>
    </row>
    <row r="69" spans="1:1" ht="15.75" x14ac:dyDescent="0.25">
      <c r="A69" s="756"/>
    </row>
    <row r="70" spans="1:1" ht="15.75" x14ac:dyDescent="0.25">
      <c r="A70" s="756"/>
    </row>
    <row r="71" spans="1:1" ht="15.75" x14ac:dyDescent="0.25">
      <c r="A71" s="756"/>
    </row>
    <row r="72" spans="1:1" ht="15.75" x14ac:dyDescent="0.25">
      <c r="A72" s="756"/>
    </row>
    <row r="73" spans="1:1" ht="15.75" x14ac:dyDescent="0.25">
      <c r="A73" s="756"/>
    </row>
    <row r="74" spans="1:1" ht="15.75" x14ac:dyDescent="0.25">
      <c r="A74" s="756"/>
    </row>
    <row r="75" spans="1:1" ht="15.75" x14ac:dyDescent="0.25">
      <c r="A75" s="756"/>
    </row>
    <row r="76" spans="1:1" ht="15.75" x14ac:dyDescent="0.25">
      <c r="A76" s="756"/>
    </row>
    <row r="77" spans="1:1" ht="15.75" x14ac:dyDescent="0.25">
      <c r="A77" s="756"/>
    </row>
    <row r="78" spans="1:1" ht="15.75" x14ac:dyDescent="0.25">
      <c r="A78" s="756"/>
    </row>
    <row r="79" spans="1:1" ht="15.75" x14ac:dyDescent="0.25">
      <c r="A79" s="756"/>
    </row>
    <row r="80" spans="1:1" ht="15.75" x14ac:dyDescent="0.25">
      <c r="A80" s="756"/>
    </row>
    <row r="81" spans="1:1" ht="15.75" x14ac:dyDescent="0.25">
      <c r="A81" s="756"/>
    </row>
    <row r="82" spans="1:1" ht="15.75" x14ac:dyDescent="0.25">
      <c r="A82" s="756"/>
    </row>
    <row r="83" spans="1:1" ht="15.75" x14ac:dyDescent="0.25">
      <c r="A83" s="756"/>
    </row>
    <row r="84" spans="1:1" ht="15.75" x14ac:dyDescent="0.25">
      <c r="A84" s="756"/>
    </row>
    <row r="85" spans="1:1" ht="15.75" x14ac:dyDescent="0.25">
      <c r="A85" s="756"/>
    </row>
    <row r="86" spans="1:1" ht="15.75" x14ac:dyDescent="0.25">
      <c r="A86" s="756"/>
    </row>
    <row r="87" spans="1:1" ht="15.75" x14ac:dyDescent="0.25">
      <c r="A87" s="756"/>
    </row>
    <row r="88" spans="1:1" ht="15.75" x14ac:dyDescent="0.25">
      <c r="A88" s="756"/>
    </row>
    <row r="89" spans="1:1" ht="15.75" x14ac:dyDescent="0.25">
      <c r="A89" s="756"/>
    </row>
    <row r="90" spans="1:1" ht="15.75" x14ac:dyDescent="0.25">
      <c r="A90" s="756"/>
    </row>
    <row r="91" spans="1:1" ht="15.75" x14ac:dyDescent="0.25">
      <c r="A91" s="756"/>
    </row>
    <row r="92" spans="1:1" ht="15.75" x14ac:dyDescent="0.25">
      <c r="A92" s="756"/>
    </row>
    <row r="93" spans="1:1" ht="15.75" x14ac:dyDescent="0.25">
      <c r="A93" s="756"/>
    </row>
    <row r="94" spans="1:1" ht="15.75" x14ac:dyDescent="0.25">
      <c r="A94" s="756"/>
    </row>
    <row r="95" spans="1:1" ht="15.75" x14ac:dyDescent="0.25">
      <c r="A95" s="756"/>
    </row>
    <row r="96" spans="1:1" ht="15.75" x14ac:dyDescent="0.25">
      <c r="A96" s="756"/>
    </row>
    <row r="97" spans="1:1" ht="15.75" x14ac:dyDescent="0.25">
      <c r="A97" s="756"/>
    </row>
    <row r="98" spans="1:1" ht="15.75" x14ac:dyDescent="0.25">
      <c r="A98" s="756"/>
    </row>
    <row r="99" spans="1:1" ht="15.75" x14ac:dyDescent="0.25">
      <c r="A99" s="756"/>
    </row>
    <row r="100" spans="1:1" ht="15.75" x14ac:dyDescent="0.25">
      <c r="A100" s="756"/>
    </row>
    <row r="101" spans="1:1" ht="15.75" x14ac:dyDescent="0.25">
      <c r="A101" s="756"/>
    </row>
    <row r="102" spans="1:1" ht="15.75" x14ac:dyDescent="0.25">
      <c r="A102" s="756"/>
    </row>
    <row r="103" spans="1:1" ht="15.75" x14ac:dyDescent="0.25">
      <c r="A103" s="756"/>
    </row>
    <row r="104" spans="1:1" ht="15.75" x14ac:dyDescent="0.25">
      <c r="A104" s="756"/>
    </row>
    <row r="105" spans="1:1" ht="15.75" x14ac:dyDescent="0.25">
      <c r="A105" s="756"/>
    </row>
    <row r="106" spans="1:1" ht="15.75" x14ac:dyDescent="0.25">
      <c r="A106" s="756"/>
    </row>
    <row r="107" spans="1:1" ht="15.75" x14ac:dyDescent="0.25">
      <c r="A107" s="756"/>
    </row>
    <row r="108" spans="1:1" ht="15.75" x14ac:dyDescent="0.25">
      <c r="A108" s="756"/>
    </row>
    <row r="109" spans="1:1" ht="15.75" x14ac:dyDescent="0.25">
      <c r="A109" s="756"/>
    </row>
    <row r="110" spans="1:1" ht="15.75" x14ac:dyDescent="0.25">
      <c r="A110" s="756"/>
    </row>
    <row r="111" spans="1:1" ht="15.75" x14ac:dyDescent="0.25">
      <c r="A111" s="756"/>
    </row>
    <row r="112" spans="1:1" ht="15.75" x14ac:dyDescent="0.25">
      <c r="A112" s="756"/>
    </row>
    <row r="113" spans="1:1" ht="15.75" x14ac:dyDescent="0.25">
      <c r="A113" s="756"/>
    </row>
    <row r="114" spans="1:1" ht="15.75" x14ac:dyDescent="0.25">
      <c r="A114" s="756"/>
    </row>
    <row r="115" spans="1:1" ht="15.75" x14ac:dyDescent="0.25">
      <c r="A115" s="756"/>
    </row>
    <row r="116" spans="1:1" ht="15.75" x14ac:dyDescent="0.25">
      <c r="A116" s="756"/>
    </row>
    <row r="117" spans="1:1" ht="15.75" x14ac:dyDescent="0.25">
      <c r="A117" s="756"/>
    </row>
    <row r="118" spans="1:1" ht="15.75" x14ac:dyDescent="0.25">
      <c r="A118" s="756"/>
    </row>
    <row r="119" spans="1:1" ht="15.75" x14ac:dyDescent="0.25">
      <c r="A119" s="756"/>
    </row>
    <row r="120" spans="1:1" ht="15.75" x14ac:dyDescent="0.25">
      <c r="A120" s="756"/>
    </row>
    <row r="121" spans="1:1" ht="15.75" x14ac:dyDescent="0.25">
      <c r="A121" s="756"/>
    </row>
    <row r="122" spans="1:1" ht="15.75" x14ac:dyDescent="0.25">
      <c r="A122" s="756"/>
    </row>
    <row r="123" spans="1:1" ht="15.75" x14ac:dyDescent="0.25">
      <c r="A123" s="756"/>
    </row>
    <row r="124" spans="1:1" ht="15.75" x14ac:dyDescent="0.25">
      <c r="A124" s="756"/>
    </row>
    <row r="125" spans="1:1" ht="15.75" x14ac:dyDescent="0.25">
      <c r="A125" s="756"/>
    </row>
    <row r="126" spans="1:1" ht="15.75" x14ac:dyDescent="0.25">
      <c r="A126" s="756"/>
    </row>
    <row r="127" spans="1:1" ht="15.75" x14ac:dyDescent="0.25">
      <c r="A127" s="756"/>
    </row>
    <row r="128" spans="1:1" ht="15.75" x14ac:dyDescent="0.25">
      <c r="A128" s="756"/>
    </row>
    <row r="129" spans="1:1" ht="15.75" x14ac:dyDescent="0.25">
      <c r="A129" s="756"/>
    </row>
    <row r="130" spans="1:1" ht="15.75" x14ac:dyDescent="0.25">
      <c r="A130" s="756"/>
    </row>
    <row r="131" spans="1:1" ht="15.75" x14ac:dyDescent="0.25">
      <c r="A131" s="756"/>
    </row>
    <row r="132" spans="1:1" ht="15.75" x14ac:dyDescent="0.25">
      <c r="A132" s="756"/>
    </row>
    <row r="133" spans="1:1" ht="15.75" x14ac:dyDescent="0.25">
      <c r="A133" s="756"/>
    </row>
    <row r="134" spans="1:1" ht="15.75" x14ac:dyDescent="0.25">
      <c r="A134" s="756"/>
    </row>
    <row r="135" spans="1:1" ht="15.75" x14ac:dyDescent="0.25">
      <c r="A135" s="756"/>
    </row>
    <row r="136" spans="1:1" ht="15.75" x14ac:dyDescent="0.25">
      <c r="A136" s="756"/>
    </row>
    <row r="137" spans="1:1" ht="15.75" x14ac:dyDescent="0.25">
      <c r="A137" s="756"/>
    </row>
    <row r="138" spans="1:1" ht="15.75" x14ac:dyDescent="0.25">
      <c r="A138" s="756"/>
    </row>
    <row r="139" spans="1:1" ht="15.75" x14ac:dyDescent="0.25">
      <c r="A139" s="756"/>
    </row>
    <row r="140" spans="1:1" ht="15.75" x14ac:dyDescent="0.25">
      <c r="A140" s="756"/>
    </row>
    <row r="141" spans="1:1" ht="15.75" x14ac:dyDescent="0.25">
      <c r="A141" s="756"/>
    </row>
    <row r="142" spans="1:1" ht="15.75" x14ac:dyDescent="0.25">
      <c r="A142" s="756"/>
    </row>
    <row r="143" spans="1:1" ht="15.75" x14ac:dyDescent="0.25">
      <c r="A143" s="756"/>
    </row>
    <row r="144" spans="1:1" ht="15.75" x14ac:dyDescent="0.25">
      <c r="A144" s="756"/>
    </row>
    <row r="145" spans="1:1" ht="15.75" x14ac:dyDescent="0.25">
      <c r="A145" s="756"/>
    </row>
    <row r="146" spans="1:1" ht="15.75" x14ac:dyDescent="0.25">
      <c r="A146" s="756"/>
    </row>
    <row r="147" spans="1:1" ht="15.75" x14ac:dyDescent="0.25">
      <c r="A147" s="756"/>
    </row>
    <row r="148" spans="1:1" ht="15.75" x14ac:dyDescent="0.25">
      <c r="A148" s="756"/>
    </row>
    <row r="149" spans="1:1" ht="15.75" x14ac:dyDescent="0.25">
      <c r="A149" s="756"/>
    </row>
    <row r="150" spans="1:1" ht="15.75" x14ac:dyDescent="0.25">
      <c r="A150" s="756"/>
    </row>
    <row r="151" spans="1:1" ht="15.75" x14ac:dyDescent="0.25">
      <c r="A151" s="756"/>
    </row>
    <row r="152" spans="1:1" ht="15.75" x14ac:dyDescent="0.25">
      <c r="A152" s="756"/>
    </row>
    <row r="153" spans="1:1" ht="15.75" x14ac:dyDescent="0.25">
      <c r="A153" s="756"/>
    </row>
    <row r="154" spans="1:1" ht="15.75" x14ac:dyDescent="0.25">
      <c r="A154" s="756"/>
    </row>
    <row r="155" spans="1:1" ht="15.75" x14ac:dyDescent="0.25">
      <c r="A155" s="756"/>
    </row>
    <row r="156" spans="1:1" ht="15.75" x14ac:dyDescent="0.25">
      <c r="A156" s="756"/>
    </row>
    <row r="157" spans="1:1" ht="15.75" x14ac:dyDescent="0.25">
      <c r="A157" s="756"/>
    </row>
    <row r="158" spans="1:1" ht="15.75" x14ac:dyDescent="0.25">
      <c r="A158" s="756"/>
    </row>
    <row r="159" spans="1:1" ht="15.75" x14ac:dyDescent="0.25">
      <c r="A159" s="756"/>
    </row>
    <row r="160" spans="1:1" ht="15.75" x14ac:dyDescent="0.25">
      <c r="A160" s="756"/>
    </row>
    <row r="161" spans="1:1" ht="15.75" x14ac:dyDescent="0.25">
      <c r="A161" s="756"/>
    </row>
    <row r="162" spans="1:1" ht="15.75" x14ac:dyDescent="0.25">
      <c r="A162" s="756"/>
    </row>
    <row r="163" spans="1:1" ht="15.75" x14ac:dyDescent="0.25">
      <c r="A163" s="756"/>
    </row>
    <row r="164" spans="1:1" ht="15.75" x14ac:dyDescent="0.25">
      <c r="A164" s="756"/>
    </row>
    <row r="165" spans="1:1" ht="15.75" x14ac:dyDescent="0.25">
      <c r="A165" s="756"/>
    </row>
    <row r="166" spans="1:1" ht="15.75" x14ac:dyDescent="0.25">
      <c r="A166" s="756"/>
    </row>
    <row r="167" spans="1:1" ht="15.75" x14ac:dyDescent="0.25">
      <c r="A167" s="756"/>
    </row>
    <row r="168" spans="1:1" ht="15.75" x14ac:dyDescent="0.25">
      <c r="A168" s="756"/>
    </row>
    <row r="169" spans="1:1" ht="15.75" x14ac:dyDescent="0.25">
      <c r="A169" s="756"/>
    </row>
    <row r="170" spans="1:1" ht="15.75" x14ac:dyDescent="0.25">
      <c r="A170" s="756"/>
    </row>
    <row r="171" spans="1:1" ht="15.75" x14ac:dyDescent="0.25">
      <c r="A171" s="756"/>
    </row>
    <row r="172" spans="1:1" ht="15.75" x14ac:dyDescent="0.25">
      <c r="A172" s="756"/>
    </row>
    <row r="173" spans="1:1" ht="15.75" x14ac:dyDescent="0.25">
      <c r="A173" s="756"/>
    </row>
    <row r="174" spans="1:1" ht="15.75" x14ac:dyDescent="0.25">
      <c r="A174" s="756"/>
    </row>
    <row r="175" spans="1:1" ht="15.75" x14ac:dyDescent="0.25">
      <c r="A175" s="756"/>
    </row>
    <row r="176" spans="1:1" ht="15.75" x14ac:dyDescent="0.25">
      <c r="A176" s="756"/>
    </row>
    <row r="177" spans="1:1" ht="15.75" x14ac:dyDescent="0.25">
      <c r="A177" s="756"/>
    </row>
    <row r="178" spans="1:1" ht="15.75" x14ac:dyDescent="0.25">
      <c r="A178" s="756"/>
    </row>
    <row r="179" spans="1:1" ht="15.75" x14ac:dyDescent="0.25">
      <c r="A179" s="756"/>
    </row>
    <row r="180" spans="1:1" ht="15.75" x14ac:dyDescent="0.25">
      <c r="A180" s="756"/>
    </row>
    <row r="181" spans="1:1" ht="15.75" x14ac:dyDescent="0.25">
      <c r="A181" s="756"/>
    </row>
    <row r="182" spans="1:1" ht="15.75" x14ac:dyDescent="0.25">
      <c r="A182" s="756"/>
    </row>
    <row r="183" spans="1:1" ht="15.75" x14ac:dyDescent="0.25">
      <c r="A183" s="756"/>
    </row>
    <row r="184" spans="1:1" ht="15.75" x14ac:dyDescent="0.25">
      <c r="A184" s="756"/>
    </row>
    <row r="185" spans="1:1" ht="15.75" x14ac:dyDescent="0.25">
      <c r="A185" s="756"/>
    </row>
    <row r="186" spans="1:1" ht="15.75" x14ac:dyDescent="0.25">
      <c r="A186" s="756"/>
    </row>
    <row r="187" spans="1:1" ht="15.75" x14ac:dyDescent="0.25">
      <c r="A187" s="756"/>
    </row>
    <row r="188" spans="1:1" ht="15.75" x14ac:dyDescent="0.25">
      <c r="A188" s="756"/>
    </row>
    <row r="189" spans="1:1" ht="15.75" x14ac:dyDescent="0.25">
      <c r="A189" s="756"/>
    </row>
    <row r="190" spans="1:1" ht="15.75" x14ac:dyDescent="0.25">
      <c r="A190" s="756"/>
    </row>
    <row r="191" spans="1:1" ht="15.75" x14ac:dyDescent="0.25">
      <c r="A191" s="756"/>
    </row>
    <row r="192" spans="1:1" ht="15.75" x14ac:dyDescent="0.25">
      <c r="A192" s="756"/>
    </row>
    <row r="193" spans="1:1" ht="15.75" x14ac:dyDescent="0.25">
      <c r="A193" s="756"/>
    </row>
    <row r="194" spans="1:1" ht="15.75" x14ac:dyDescent="0.25">
      <c r="A194" s="756"/>
    </row>
    <row r="195" spans="1:1" ht="15.75" x14ac:dyDescent="0.25">
      <c r="A195" s="756"/>
    </row>
    <row r="196" spans="1:1" ht="15.75" x14ac:dyDescent="0.25">
      <c r="A196" s="756"/>
    </row>
    <row r="197" spans="1:1" ht="15.75" x14ac:dyDescent="0.25">
      <c r="A197" s="756"/>
    </row>
    <row r="198" spans="1:1" ht="15.75" x14ac:dyDescent="0.25">
      <c r="A198" s="756"/>
    </row>
    <row r="199" spans="1:1" ht="15.75" x14ac:dyDescent="0.25">
      <c r="A199" s="756"/>
    </row>
    <row r="200" spans="1:1" ht="15.75" x14ac:dyDescent="0.25">
      <c r="A200" s="756"/>
    </row>
    <row r="201" spans="1:1" ht="15.75" x14ac:dyDescent="0.25">
      <c r="A201" s="756"/>
    </row>
    <row r="202" spans="1:1" ht="15.75" x14ac:dyDescent="0.25">
      <c r="A202" s="756"/>
    </row>
    <row r="203" spans="1:1" ht="15.75" x14ac:dyDescent="0.25">
      <c r="A203" s="756"/>
    </row>
    <row r="204" spans="1:1" ht="15.75" x14ac:dyDescent="0.25">
      <c r="A204" s="756"/>
    </row>
    <row r="205" spans="1:1" ht="15.75" x14ac:dyDescent="0.25">
      <c r="A205" s="756"/>
    </row>
    <row r="206" spans="1:1" ht="15.75" x14ac:dyDescent="0.25">
      <c r="A206" s="756"/>
    </row>
    <row r="207" spans="1:1" ht="15.75" x14ac:dyDescent="0.25">
      <c r="A207" s="756"/>
    </row>
    <row r="208" spans="1:1" ht="15.75" x14ac:dyDescent="0.25">
      <c r="A208" s="756"/>
    </row>
    <row r="209" spans="1:1" ht="15.75" x14ac:dyDescent="0.25">
      <c r="A209" s="756"/>
    </row>
    <row r="210" spans="1:1" ht="15.75" x14ac:dyDescent="0.25">
      <c r="A210" s="756"/>
    </row>
    <row r="211" spans="1:1" ht="15.75" x14ac:dyDescent="0.25">
      <c r="A211" s="756"/>
    </row>
    <row r="212" spans="1:1" ht="15.75" x14ac:dyDescent="0.25">
      <c r="A212" s="756"/>
    </row>
    <row r="213" spans="1:1" ht="15.75" x14ac:dyDescent="0.25">
      <c r="A213" s="756"/>
    </row>
    <row r="214" spans="1:1" ht="15.75" x14ac:dyDescent="0.25">
      <c r="A214" s="756"/>
    </row>
    <row r="215" spans="1:1" ht="15.75" x14ac:dyDescent="0.25">
      <c r="A215" s="756"/>
    </row>
    <row r="216" spans="1:1" ht="15.75" x14ac:dyDescent="0.25">
      <c r="A216" s="756"/>
    </row>
    <row r="217" spans="1:1" ht="15.75" x14ac:dyDescent="0.25">
      <c r="A217" s="756"/>
    </row>
    <row r="218" spans="1:1" ht="15.75" x14ac:dyDescent="0.25">
      <c r="A218" s="756"/>
    </row>
    <row r="219" spans="1:1" ht="15.75" x14ac:dyDescent="0.25">
      <c r="A219" s="756"/>
    </row>
    <row r="220" spans="1:1" ht="15.75" x14ac:dyDescent="0.25">
      <c r="A220" s="756"/>
    </row>
    <row r="221" spans="1:1" ht="15.75" x14ac:dyDescent="0.25">
      <c r="A221" s="756"/>
    </row>
    <row r="222" spans="1:1" ht="15.75" x14ac:dyDescent="0.25">
      <c r="A222" s="756"/>
    </row>
    <row r="223" spans="1:1" ht="15.75" x14ac:dyDescent="0.25">
      <c r="A223" s="756"/>
    </row>
    <row r="224" spans="1:1" ht="15.75" x14ac:dyDescent="0.25">
      <c r="A224" s="756"/>
    </row>
    <row r="225" spans="1:1" ht="15.75" x14ac:dyDescent="0.25">
      <c r="A225" s="756"/>
    </row>
    <row r="226" spans="1:1" ht="15.75" x14ac:dyDescent="0.25">
      <c r="A226" s="756"/>
    </row>
    <row r="227" spans="1:1" ht="15.75" x14ac:dyDescent="0.25">
      <c r="A227" s="756"/>
    </row>
    <row r="228" spans="1:1" ht="15.75" x14ac:dyDescent="0.25">
      <c r="A228" s="756"/>
    </row>
    <row r="229" spans="1:1" ht="15.75" x14ac:dyDescent="0.25">
      <c r="A229" s="756"/>
    </row>
    <row r="230" spans="1:1" ht="15.75" x14ac:dyDescent="0.25">
      <c r="A230" s="756"/>
    </row>
    <row r="231" spans="1:1" ht="15.75" x14ac:dyDescent="0.25">
      <c r="A231" s="756"/>
    </row>
    <row r="232" spans="1:1" ht="15.75" x14ac:dyDescent="0.25">
      <c r="A232" s="756"/>
    </row>
    <row r="233" spans="1:1" ht="15.75" x14ac:dyDescent="0.25">
      <c r="A233" s="756"/>
    </row>
    <row r="234" spans="1:1" ht="15.75" x14ac:dyDescent="0.25">
      <c r="A234" s="756"/>
    </row>
    <row r="235" spans="1:1" ht="15.75" x14ac:dyDescent="0.25">
      <c r="A235" s="756"/>
    </row>
    <row r="236" spans="1:1" ht="15.75" x14ac:dyDescent="0.25">
      <c r="A236" s="756"/>
    </row>
    <row r="237" spans="1:1" ht="15.75" x14ac:dyDescent="0.25">
      <c r="A237" s="756"/>
    </row>
    <row r="238" spans="1:1" ht="15.75" x14ac:dyDescent="0.25">
      <c r="A238" s="756"/>
    </row>
    <row r="239" spans="1:1" ht="15.75" x14ac:dyDescent="0.25">
      <c r="A239" s="756"/>
    </row>
    <row r="240" spans="1:1" ht="15.75" x14ac:dyDescent="0.25">
      <c r="A240" s="756"/>
    </row>
    <row r="241" spans="1:1" ht="15.75" x14ac:dyDescent="0.25">
      <c r="A241" s="756"/>
    </row>
    <row r="242" spans="1:1" ht="15.75" x14ac:dyDescent="0.25">
      <c r="A242" s="756"/>
    </row>
    <row r="243" spans="1:1" ht="15.75" x14ac:dyDescent="0.25">
      <c r="A243" s="756"/>
    </row>
    <row r="244" spans="1:1" ht="15.75" x14ac:dyDescent="0.25">
      <c r="A244" s="756"/>
    </row>
    <row r="245" spans="1:1" ht="15.75" x14ac:dyDescent="0.25">
      <c r="A245" s="756"/>
    </row>
    <row r="246" spans="1:1" ht="15.75" x14ac:dyDescent="0.25">
      <c r="A246" s="756"/>
    </row>
    <row r="247" spans="1:1" ht="15.75" x14ac:dyDescent="0.25">
      <c r="A247" s="756"/>
    </row>
    <row r="248" spans="1:1" ht="15.75" x14ac:dyDescent="0.25">
      <c r="A248" s="756"/>
    </row>
    <row r="249" spans="1:1" ht="15.75" x14ac:dyDescent="0.25">
      <c r="A249" s="756"/>
    </row>
    <row r="250" spans="1:1" ht="15.75" x14ac:dyDescent="0.25">
      <c r="A250" s="756"/>
    </row>
    <row r="251" spans="1:1" ht="15.75" x14ac:dyDescent="0.25">
      <c r="A251" s="756"/>
    </row>
    <row r="252" spans="1:1" ht="15.75" x14ac:dyDescent="0.25">
      <c r="A252" s="756"/>
    </row>
    <row r="253" spans="1:1" ht="15.75" x14ac:dyDescent="0.25">
      <c r="A253" s="756"/>
    </row>
    <row r="254" spans="1:1" ht="15.75" x14ac:dyDescent="0.25">
      <c r="A254" s="756"/>
    </row>
    <row r="255" spans="1:1" ht="15.75" x14ac:dyDescent="0.25">
      <c r="A255" s="756"/>
    </row>
    <row r="256" spans="1:1" ht="15.75" x14ac:dyDescent="0.25">
      <c r="A256" s="756"/>
    </row>
    <row r="257" spans="1:1" ht="15.75" x14ac:dyDescent="0.25">
      <c r="A257" s="756"/>
    </row>
    <row r="258" spans="1:1" ht="15.75" x14ac:dyDescent="0.25">
      <c r="A258" s="756"/>
    </row>
    <row r="259" spans="1:1" ht="15.75" x14ac:dyDescent="0.25">
      <c r="A259" s="756"/>
    </row>
    <row r="260" spans="1:1" ht="15.75" x14ac:dyDescent="0.25">
      <c r="A260" s="756"/>
    </row>
    <row r="261" spans="1:1" ht="15.75" x14ac:dyDescent="0.25">
      <c r="A261" s="756"/>
    </row>
    <row r="262" spans="1:1" ht="15.75" x14ac:dyDescent="0.25">
      <c r="A262" s="756"/>
    </row>
    <row r="263" spans="1:1" ht="15.75" x14ac:dyDescent="0.25">
      <c r="A263" s="756"/>
    </row>
    <row r="264" spans="1:1" ht="15.75" x14ac:dyDescent="0.25">
      <c r="A264" s="756"/>
    </row>
    <row r="265" spans="1:1" ht="15.75" x14ac:dyDescent="0.25">
      <c r="A265" s="756"/>
    </row>
    <row r="266" spans="1:1" ht="15.75" x14ac:dyDescent="0.25">
      <c r="A266" s="756"/>
    </row>
    <row r="267" spans="1:1" ht="15.75" x14ac:dyDescent="0.25">
      <c r="A267" s="756"/>
    </row>
    <row r="268" spans="1:1" ht="15.75" x14ac:dyDescent="0.25">
      <c r="A268" s="756"/>
    </row>
    <row r="269" spans="1:1" ht="15.75" x14ac:dyDescent="0.25">
      <c r="A269" s="756"/>
    </row>
    <row r="270" spans="1:1" ht="15.75" x14ac:dyDescent="0.25">
      <c r="A270" s="756"/>
    </row>
    <row r="271" spans="1:1" ht="15.75" x14ac:dyDescent="0.25">
      <c r="A271" s="756"/>
    </row>
    <row r="272" spans="1:1" ht="15.75" x14ac:dyDescent="0.25">
      <c r="A272" s="756"/>
    </row>
    <row r="273" spans="1:1" ht="15.75" x14ac:dyDescent="0.25">
      <c r="A273" s="756"/>
    </row>
    <row r="274" spans="1:1" ht="15.75" x14ac:dyDescent="0.25">
      <c r="A274" s="756"/>
    </row>
    <row r="275" spans="1:1" ht="15.75" x14ac:dyDescent="0.25">
      <c r="A275" s="756"/>
    </row>
    <row r="276" spans="1:1" ht="15.75" x14ac:dyDescent="0.25">
      <c r="A276" s="756"/>
    </row>
    <row r="277" spans="1:1" ht="15.75" x14ac:dyDescent="0.25">
      <c r="A277" s="756"/>
    </row>
    <row r="278" spans="1:1" ht="15.75" x14ac:dyDescent="0.25">
      <c r="A278" s="756"/>
    </row>
    <row r="279" spans="1:1" ht="15.75" x14ac:dyDescent="0.25">
      <c r="A279" s="756"/>
    </row>
    <row r="280" spans="1:1" ht="15.75" x14ac:dyDescent="0.25">
      <c r="A280" s="756"/>
    </row>
    <row r="281" spans="1:1" ht="15.75" x14ac:dyDescent="0.25">
      <c r="A281" s="756"/>
    </row>
    <row r="282" spans="1:1" ht="15.75" x14ac:dyDescent="0.25">
      <c r="A282" s="756"/>
    </row>
    <row r="283" spans="1:1" ht="15.75" x14ac:dyDescent="0.25">
      <c r="A283" s="756"/>
    </row>
    <row r="284" spans="1:1" ht="15.75" x14ac:dyDescent="0.25">
      <c r="A284" s="756"/>
    </row>
    <row r="285" spans="1:1" ht="15.75" x14ac:dyDescent="0.25">
      <c r="A285" s="756"/>
    </row>
    <row r="286" spans="1:1" ht="15.75" x14ac:dyDescent="0.25">
      <c r="A286" s="756"/>
    </row>
    <row r="287" spans="1:1" ht="15.75" x14ac:dyDescent="0.25">
      <c r="A287" s="756"/>
    </row>
    <row r="288" spans="1:1" ht="15.75" x14ac:dyDescent="0.25">
      <c r="A288" s="756"/>
    </row>
    <row r="289" spans="1:1" ht="15.75" x14ac:dyDescent="0.25">
      <c r="A289" s="756"/>
    </row>
    <row r="290" spans="1:1" ht="15.75" x14ac:dyDescent="0.25">
      <c r="A290" s="756"/>
    </row>
    <row r="291" spans="1:1" ht="15.75" x14ac:dyDescent="0.25">
      <c r="A291" s="756"/>
    </row>
    <row r="292" spans="1:1" ht="15.75" x14ac:dyDescent="0.25">
      <c r="A292" s="756"/>
    </row>
    <row r="293" spans="1:1" ht="15.75" x14ac:dyDescent="0.25">
      <c r="A293" s="756"/>
    </row>
    <row r="294" spans="1:1" ht="15.75" x14ac:dyDescent="0.25">
      <c r="A294" s="756"/>
    </row>
    <row r="295" spans="1:1" ht="15.75" x14ac:dyDescent="0.25">
      <c r="A295" s="756"/>
    </row>
    <row r="296" spans="1:1" ht="15.75" x14ac:dyDescent="0.25">
      <c r="A296" s="756"/>
    </row>
    <row r="297" spans="1:1" ht="15.75" x14ac:dyDescent="0.25">
      <c r="A297" s="756"/>
    </row>
    <row r="298" spans="1:1" ht="15.75" x14ac:dyDescent="0.25">
      <c r="A298" s="756"/>
    </row>
    <row r="299" spans="1:1" ht="15.75" x14ac:dyDescent="0.25">
      <c r="A299" s="756"/>
    </row>
    <row r="300" spans="1:1" ht="15.75" x14ac:dyDescent="0.25">
      <c r="A300" s="756"/>
    </row>
    <row r="301" spans="1:1" ht="15.75" x14ac:dyDescent="0.25">
      <c r="A301" s="756"/>
    </row>
    <row r="302" spans="1:1" ht="15.75" x14ac:dyDescent="0.25">
      <c r="A302" s="756"/>
    </row>
    <row r="303" spans="1:1" ht="15.75" x14ac:dyDescent="0.25">
      <c r="A303" s="756"/>
    </row>
    <row r="304" spans="1:1" ht="15.75" x14ac:dyDescent="0.25">
      <c r="A304" s="756"/>
    </row>
    <row r="305" spans="1:1" ht="15.75" x14ac:dyDescent="0.25">
      <c r="A305" s="756"/>
    </row>
    <row r="306" spans="1:1" ht="15.75" x14ac:dyDescent="0.25">
      <c r="A306" s="756"/>
    </row>
    <row r="307" spans="1:1" ht="15.75" x14ac:dyDescent="0.25">
      <c r="A307" s="756"/>
    </row>
    <row r="308" spans="1:1" ht="15.75" x14ac:dyDescent="0.25">
      <c r="A308" s="756"/>
    </row>
    <row r="309" spans="1:1" ht="15.75" x14ac:dyDescent="0.25">
      <c r="A309" s="756"/>
    </row>
    <row r="310" spans="1:1" ht="15.75" x14ac:dyDescent="0.25">
      <c r="A310" s="756"/>
    </row>
    <row r="311" spans="1:1" ht="15.75" x14ac:dyDescent="0.25">
      <c r="A311" s="756"/>
    </row>
    <row r="312" spans="1:1" ht="15.75" x14ac:dyDescent="0.25">
      <c r="A312" s="756"/>
    </row>
    <row r="313" spans="1:1" ht="15.75" x14ac:dyDescent="0.25">
      <c r="A313" s="756"/>
    </row>
    <row r="314" spans="1:1" ht="15.75" x14ac:dyDescent="0.25">
      <c r="A314" s="756"/>
    </row>
    <row r="315" spans="1:1" ht="15.75" x14ac:dyDescent="0.25">
      <c r="A315" s="756"/>
    </row>
    <row r="316" spans="1:1" ht="15.75" x14ac:dyDescent="0.25">
      <c r="A316" s="756"/>
    </row>
    <row r="317" spans="1:1" ht="15.75" x14ac:dyDescent="0.25">
      <c r="A317" s="756"/>
    </row>
    <row r="318" spans="1:1" ht="15.75" x14ac:dyDescent="0.25">
      <c r="A318" s="756"/>
    </row>
    <row r="319" spans="1:1" ht="15.75" x14ac:dyDescent="0.25">
      <c r="A319" s="756"/>
    </row>
    <row r="320" spans="1:1" ht="15.75" x14ac:dyDescent="0.25">
      <c r="A320" s="756"/>
    </row>
    <row r="321" spans="1:1" ht="15.75" x14ac:dyDescent="0.25">
      <c r="A321" s="756"/>
    </row>
    <row r="322" spans="1:1" ht="15.75" x14ac:dyDescent="0.25">
      <c r="A322" s="756"/>
    </row>
    <row r="323" spans="1:1" ht="15.75" x14ac:dyDescent="0.25">
      <c r="A323" s="756"/>
    </row>
    <row r="324" spans="1:1" ht="15.75" x14ac:dyDescent="0.25">
      <c r="A324" s="756"/>
    </row>
    <row r="325" spans="1:1" ht="15.75" x14ac:dyDescent="0.25">
      <c r="A325" s="756"/>
    </row>
    <row r="326" spans="1:1" ht="15.75" x14ac:dyDescent="0.25">
      <c r="A326" s="756"/>
    </row>
    <row r="327" spans="1:1" ht="15.75" x14ac:dyDescent="0.25">
      <c r="A327" s="756"/>
    </row>
    <row r="328" spans="1:1" ht="15.75" x14ac:dyDescent="0.25">
      <c r="A328" s="756"/>
    </row>
    <row r="329" spans="1:1" ht="15.75" x14ac:dyDescent="0.25">
      <c r="A329" s="756"/>
    </row>
    <row r="330" spans="1:1" ht="15.75" x14ac:dyDescent="0.25">
      <c r="A330" s="756"/>
    </row>
    <row r="331" spans="1:1" ht="15.75" x14ac:dyDescent="0.25">
      <c r="A331" s="756"/>
    </row>
    <row r="332" spans="1:1" ht="15.75" x14ac:dyDescent="0.25">
      <c r="A332" s="756"/>
    </row>
    <row r="333" spans="1:1" ht="15.75" x14ac:dyDescent="0.25">
      <c r="A333" s="756"/>
    </row>
    <row r="334" spans="1:1" ht="15.75" x14ac:dyDescent="0.25">
      <c r="A334" s="756"/>
    </row>
    <row r="335" spans="1:1" ht="15.75" x14ac:dyDescent="0.25">
      <c r="A335" s="756"/>
    </row>
    <row r="336" spans="1:1" ht="15.75" x14ac:dyDescent="0.25">
      <c r="A336" s="756"/>
    </row>
    <row r="337" spans="1:1" ht="15.75" x14ac:dyDescent="0.25">
      <c r="A337" s="756"/>
    </row>
    <row r="338" spans="1:1" ht="15.75" x14ac:dyDescent="0.25">
      <c r="A338" s="756"/>
    </row>
    <row r="339" spans="1:1" ht="15.75" x14ac:dyDescent="0.25">
      <c r="A339" s="756"/>
    </row>
    <row r="340" spans="1:1" ht="15.75" x14ac:dyDescent="0.25">
      <c r="A340" s="756"/>
    </row>
    <row r="341" spans="1:1" ht="15.75" x14ac:dyDescent="0.25">
      <c r="A341" s="756"/>
    </row>
    <row r="342" spans="1:1" ht="15.75" x14ac:dyDescent="0.25">
      <c r="A342" s="756"/>
    </row>
    <row r="343" spans="1:1" ht="15.75" x14ac:dyDescent="0.25">
      <c r="A343" s="756"/>
    </row>
    <row r="344" spans="1:1" ht="15.75" x14ac:dyDescent="0.25">
      <c r="A344" s="756"/>
    </row>
    <row r="345" spans="1:1" ht="15.75" x14ac:dyDescent="0.25">
      <c r="A345" s="756"/>
    </row>
    <row r="346" spans="1:1" ht="15.75" x14ac:dyDescent="0.25">
      <c r="A346" s="756"/>
    </row>
    <row r="347" spans="1:1" ht="15.75" x14ac:dyDescent="0.25">
      <c r="A347" s="756"/>
    </row>
    <row r="348" spans="1:1" ht="15.75" x14ac:dyDescent="0.25">
      <c r="A348" s="756"/>
    </row>
    <row r="349" spans="1:1" ht="15.75" x14ac:dyDescent="0.25">
      <c r="A349" s="756"/>
    </row>
    <row r="350" spans="1:1" ht="15.75" x14ac:dyDescent="0.25">
      <c r="A350" s="756"/>
    </row>
    <row r="351" spans="1:1" ht="15.75" x14ac:dyDescent="0.25">
      <c r="A351" s="756"/>
    </row>
    <row r="352" spans="1:1" ht="15.75" x14ac:dyDescent="0.25">
      <c r="A352" s="756"/>
    </row>
    <row r="353" spans="1:1" ht="15.75" x14ac:dyDescent="0.25">
      <c r="A353" s="756"/>
    </row>
    <row r="354" spans="1:1" ht="15.75" x14ac:dyDescent="0.25">
      <c r="A354" s="756"/>
    </row>
    <row r="355" spans="1:1" ht="15.75" x14ac:dyDescent="0.25">
      <c r="A355" s="756"/>
    </row>
    <row r="356" spans="1:1" ht="15.75" x14ac:dyDescent="0.25">
      <c r="A356" s="756"/>
    </row>
    <row r="357" spans="1:1" ht="15.75" x14ac:dyDescent="0.25">
      <c r="A357" s="756"/>
    </row>
    <row r="358" spans="1:1" ht="15.75" x14ac:dyDescent="0.25">
      <c r="A358" s="756"/>
    </row>
    <row r="359" spans="1:1" ht="15.75" x14ac:dyDescent="0.25">
      <c r="A359" s="756"/>
    </row>
    <row r="360" spans="1:1" ht="15.75" x14ac:dyDescent="0.25">
      <c r="A360" s="756"/>
    </row>
    <row r="361" spans="1:1" ht="15.75" x14ac:dyDescent="0.25">
      <c r="A361" s="756"/>
    </row>
    <row r="362" spans="1:1" ht="15.75" x14ac:dyDescent="0.25">
      <c r="A362" s="756"/>
    </row>
    <row r="363" spans="1:1" ht="15.75" x14ac:dyDescent="0.25">
      <c r="A363" s="756"/>
    </row>
    <row r="364" spans="1:1" ht="15.75" x14ac:dyDescent="0.25">
      <c r="A364" s="756"/>
    </row>
    <row r="365" spans="1:1" ht="15.75" x14ac:dyDescent="0.25">
      <c r="A365" s="756"/>
    </row>
    <row r="366" spans="1:1" ht="15.75" x14ac:dyDescent="0.25">
      <c r="A366" s="756"/>
    </row>
    <row r="367" spans="1:1" ht="15.75" x14ac:dyDescent="0.25">
      <c r="A367" s="756"/>
    </row>
    <row r="368" spans="1:1" ht="15.75" x14ac:dyDescent="0.25">
      <c r="A368" s="756"/>
    </row>
    <row r="369" spans="1:1" ht="15.75" x14ac:dyDescent="0.25">
      <c r="A369" s="756"/>
    </row>
    <row r="370" spans="1:1" ht="15.75" x14ac:dyDescent="0.25">
      <c r="A370" s="756"/>
    </row>
    <row r="371" spans="1:1" ht="15.75" x14ac:dyDescent="0.25">
      <c r="A371" s="756"/>
    </row>
    <row r="372" spans="1:1" ht="15.75" x14ac:dyDescent="0.25">
      <c r="A372" s="756"/>
    </row>
    <row r="373" spans="1:1" ht="15.75" x14ac:dyDescent="0.25">
      <c r="A373" s="756"/>
    </row>
    <row r="374" spans="1:1" ht="15.75" x14ac:dyDescent="0.25">
      <c r="A374" s="756"/>
    </row>
    <row r="375" spans="1:1" ht="15.75" x14ac:dyDescent="0.25">
      <c r="A375" s="756"/>
    </row>
    <row r="376" spans="1:1" ht="15.75" x14ac:dyDescent="0.25">
      <c r="A376" s="756"/>
    </row>
    <row r="377" spans="1:1" ht="15.75" x14ac:dyDescent="0.25">
      <c r="A377" s="756"/>
    </row>
    <row r="378" spans="1:1" ht="15.75" x14ac:dyDescent="0.25">
      <c r="A378" s="756"/>
    </row>
    <row r="379" spans="1:1" ht="15.75" x14ac:dyDescent="0.25">
      <c r="A379" s="756"/>
    </row>
    <row r="380" spans="1:1" ht="15.75" x14ac:dyDescent="0.25">
      <c r="A380" s="756"/>
    </row>
    <row r="381" spans="1:1" ht="15.75" x14ac:dyDescent="0.25">
      <c r="A381" s="756"/>
    </row>
    <row r="382" spans="1:1" ht="15.75" x14ac:dyDescent="0.25">
      <c r="A382" s="756"/>
    </row>
    <row r="383" spans="1:1" ht="15.75" x14ac:dyDescent="0.25">
      <c r="A383" s="756"/>
    </row>
    <row r="384" spans="1:1" ht="15.75" x14ac:dyDescent="0.25">
      <c r="A384" s="756"/>
    </row>
    <row r="385" spans="1:1" ht="15.75" x14ac:dyDescent="0.25">
      <c r="A385" s="756"/>
    </row>
    <row r="386" spans="1:1" ht="15.75" x14ac:dyDescent="0.25">
      <c r="A386" s="756"/>
    </row>
    <row r="387" spans="1:1" ht="15.75" x14ac:dyDescent="0.25">
      <c r="A387" s="756"/>
    </row>
    <row r="388" spans="1:1" ht="15.75" x14ac:dyDescent="0.25">
      <c r="A388" s="756"/>
    </row>
    <row r="389" spans="1:1" ht="15.75" x14ac:dyDescent="0.25">
      <c r="A389" s="756"/>
    </row>
    <row r="390" spans="1:1" ht="15.75" x14ac:dyDescent="0.25">
      <c r="A390" s="756"/>
    </row>
    <row r="391" spans="1:1" ht="15.75" x14ac:dyDescent="0.25">
      <c r="A391" s="756"/>
    </row>
    <row r="392" spans="1:1" ht="15.75" x14ac:dyDescent="0.25">
      <c r="A392" s="756"/>
    </row>
    <row r="393" spans="1:1" ht="15.75" x14ac:dyDescent="0.25">
      <c r="A393" s="756"/>
    </row>
    <row r="394" spans="1:1" ht="15.75" x14ac:dyDescent="0.25">
      <c r="A394" s="756"/>
    </row>
    <row r="395" spans="1:1" ht="15.75" x14ac:dyDescent="0.25">
      <c r="A395" s="756"/>
    </row>
    <row r="396" spans="1:1" ht="15.75" x14ac:dyDescent="0.25">
      <c r="A396" s="756"/>
    </row>
    <row r="397" spans="1:1" ht="15.75" x14ac:dyDescent="0.25">
      <c r="A397" s="756"/>
    </row>
    <row r="398" spans="1:1" ht="15.75" x14ac:dyDescent="0.25">
      <c r="A398" s="756"/>
    </row>
    <row r="399" spans="1:1" ht="15.75" x14ac:dyDescent="0.25">
      <c r="A399" s="756"/>
    </row>
    <row r="400" spans="1:1" ht="15.75" x14ac:dyDescent="0.25">
      <c r="A400" s="756"/>
    </row>
    <row r="401" spans="1:1" ht="15.75" x14ac:dyDescent="0.25">
      <c r="A401" s="756"/>
    </row>
    <row r="402" spans="1:1" ht="15.75" x14ac:dyDescent="0.25">
      <c r="A402" s="756"/>
    </row>
    <row r="403" spans="1:1" ht="15.75" x14ac:dyDescent="0.25">
      <c r="A403" s="756"/>
    </row>
    <row r="404" spans="1:1" ht="15.75" x14ac:dyDescent="0.25">
      <c r="A404" s="756"/>
    </row>
    <row r="405" spans="1:1" ht="15.75" x14ac:dyDescent="0.25">
      <c r="A405" s="756"/>
    </row>
    <row r="406" spans="1:1" ht="15.75" x14ac:dyDescent="0.25">
      <c r="A406" s="756"/>
    </row>
    <row r="407" spans="1:1" ht="15.75" x14ac:dyDescent="0.25">
      <c r="A407" s="756"/>
    </row>
    <row r="408" spans="1:1" ht="15.75" x14ac:dyDescent="0.25">
      <c r="A408" s="756"/>
    </row>
    <row r="409" spans="1:1" ht="15.75" x14ac:dyDescent="0.25">
      <c r="A409" s="756"/>
    </row>
    <row r="410" spans="1:1" ht="15.75" x14ac:dyDescent="0.25">
      <c r="A410" s="756"/>
    </row>
    <row r="411" spans="1:1" ht="15.75" x14ac:dyDescent="0.25">
      <c r="A411" s="756"/>
    </row>
    <row r="412" spans="1:1" ht="15.75" x14ac:dyDescent="0.25">
      <c r="A412" s="756"/>
    </row>
    <row r="413" spans="1:1" ht="15.75" x14ac:dyDescent="0.25">
      <c r="A413" s="756"/>
    </row>
    <row r="414" spans="1:1" ht="15.75" x14ac:dyDescent="0.25">
      <c r="A414" s="756"/>
    </row>
    <row r="415" spans="1:1" ht="15.75" x14ac:dyDescent="0.25">
      <c r="A415" s="756"/>
    </row>
    <row r="416" spans="1:1" ht="15.75" x14ac:dyDescent="0.25">
      <c r="A416" s="756"/>
    </row>
    <row r="417" spans="1:1" ht="15.75" x14ac:dyDescent="0.25">
      <c r="A417" s="756"/>
    </row>
    <row r="418" spans="1:1" ht="15.75" x14ac:dyDescent="0.25">
      <c r="A418" s="756"/>
    </row>
    <row r="419" spans="1:1" ht="15.75" x14ac:dyDescent="0.25">
      <c r="A419" s="756"/>
    </row>
    <row r="420" spans="1:1" ht="15.75" x14ac:dyDescent="0.25">
      <c r="A420" s="756"/>
    </row>
    <row r="421" spans="1:1" ht="15.75" x14ac:dyDescent="0.25">
      <c r="A421" s="756"/>
    </row>
    <row r="422" spans="1:1" ht="15.75" x14ac:dyDescent="0.25">
      <c r="A422" s="756"/>
    </row>
    <row r="423" spans="1:1" ht="15.75" x14ac:dyDescent="0.25">
      <c r="A423" s="756"/>
    </row>
    <row r="424" spans="1:1" ht="15.75" x14ac:dyDescent="0.25">
      <c r="A424" s="756"/>
    </row>
    <row r="425" spans="1:1" ht="15.75" x14ac:dyDescent="0.25">
      <c r="A425" s="756"/>
    </row>
    <row r="426" spans="1:1" ht="15.75" x14ac:dyDescent="0.25">
      <c r="A426" s="756"/>
    </row>
    <row r="427" spans="1:1" ht="15.75" x14ac:dyDescent="0.25">
      <c r="A427" s="756"/>
    </row>
    <row r="428" spans="1:1" ht="15.75" x14ac:dyDescent="0.25">
      <c r="A428" s="756"/>
    </row>
    <row r="429" spans="1:1" ht="15.75" x14ac:dyDescent="0.25">
      <c r="A429" s="756"/>
    </row>
    <row r="430" spans="1:1" ht="15.75" x14ac:dyDescent="0.25">
      <c r="A430" s="756"/>
    </row>
    <row r="431" spans="1:1" ht="15.75" x14ac:dyDescent="0.25">
      <c r="A431" s="756"/>
    </row>
    <row r="432" spans="1:1" ht="15.75" x14ac:dyDescent="0.25">
      <c r="A432" s="756"/>
    </row>
    <row r="433" spans="1:1" ht="15.75" x14ac:dyDescent="0.25">
      <c r="A433" s="756"/>
    </row>
    <row r="434" spans="1:1" ht="15.75" x14ac:dyDescent="0.25">
      <c r="A434" s="756"/>
    </row>
    <row r="435" spans="1:1" ht="15.75" x14ac:dyDescent="0.25">
      <c r="A435" s="756"/>
    </row>
    <row r="436" spans="1:1" ht="15.75" x14ac:dyDescent="0.25">
      <c r="A436" s="756"/>
    </row>
    <row r="437" spans="1:1" ht="15.75" x14ac:dyDescent="0.25">
      <c r="A437" s="756"/>
    </row>
    <row r="438" spans="1:1" ht="15.75" x14ac:dyDescent="0.25">
      <c r="A438" s="756"/>
    </row>
    <row r="439" spans="1:1" ht="15.75" x14ac:dyDescent="0.25">
      <c r="A439" s="756"/>
    </row>
    <row r="440" spans="1:1" ht="15.75" x14ac:dyDescent="0.25">
      <c r="A440" s="756"/>
    </row>
    <row r="441" spans="1:1" ht="15.75" x14ac:dyDescent="0.25">
      <c r="A441" s="756"/>
    </row>
    <row r="442" spans="1:1" ht="15.75" x14ac:dyDescent="0.25">
      <c r="A442" s="756"/>
    </row>
    <row r="443" spans="1:1" ht="15.75" x14ac:dyDescent="0.25">
      <c r="A443" s="756"/>
    </row>
    <row r="444" spans="1:1" ht="15.75" x14ac:dyDescent="0.25">
      <c r="A444" s="756"/>
    </row>
    <row r="445" spans="1:1" ht="15.75" x14ac:dyDescent="0.25">
      <c r="A445" s="756"/>
    </row>
    <row r="446" spans="1:1" ht="15.75" x14ac:dyDescent="0.25">
      <c r="A446" s="756"/>
    </row>
    <row r="447" spans="1:1" ht="15.75" x14ac:dyDescent="0.25">
      <c r="A447" s="756"/>
    </row>
    <row r="448" spans="1:1" ht="15.75" x14ac:dyDescent="0.25">
      <c r="A448" s="756"/>
    </row>
    <row r="449" spans="1:1" ht="15.75" x14ac:dyDescent="0.25">
      <c r="A449" s="756"/>
    </row>
    <row r="450" spans="1:1" ht="15.75" x14ac:dyDescent="0.25">
      <c r="A450" s="756"/>
    </row>
    <row r="451" spans="1:1" ht="15.75" x14ac:dyDescent="0.25">
      <c r="A451" s="756"/>
    </row>
    <row r="452" spans="1:1" ht="15.75" x14ac:dyDescent="0.25">
      <c r="A452" s="756"/>
    </row>
    <row r="453" spans="1:1" ht="15.75" x14ac:dyDescent="0.25">
      <c r="A453" s="756"/>
    </row>
    <row r="454" spans="1:1" ht="15.75" x14ac:dyDescent="0.25">
      <c r="A454" s="756"/>
    </row>
    <row r="455" spans="1:1" ht="15.75" x14ac:dyDescent="0.25">
      <c r="A455" s="756"/>
    </row>
    <row r="456" spans="1:1" ht="15.75" x14ac:dyDescent="0.25">
      <c r="A456" s="756"/>
    </row>
    <row r="457" spans="1:1" ht="15.75" x14ac:dyDescent="0.25">
      <c r="A457" s="756"/>
    </row>
    <row r="458" spans="1:1" ht="15.75" x14ac:dyDescent="0.25">
      <c r="A458" s="756"/>
    </row>
    <row r="459" spans="1:1" ht="15.75" x14ac:dyDescent="0.25">
      <c r="A459" s="756"/>
    </row>
    <row r="460" spans="1:1" ht="15.75" x14ac:dyDescent="0.25">
      <c r="A460" s="756"/>
    </row>
    <row r="461" spans="1:1" ht="15.75" x14ac:dyDescent="0.25">
      <c r="A461" s="756"/>
    </row>
    <row r="462" spans="1:1" ht="15.75" x14ac:dyDescent="0.25">
      <c r="A462" s="756"/>
    </row>
    <row r="463" spans="1:1" ht="15.75" x14ac:dyDescent="0.25">
      <c r="A463" s="756"/>
    </row>
    <row r="464" spans="1:1" ht="15.75" x14ac:dyDescent="0.25">
      <c r="A464" s="756"/>
    </row>
    <row r="465" spans="1:1" ht="15.75" x14ac:dyDescent="0.25">
      <c r="A465" s="756"/>
    </row>
    <row r="466" spans="1:1" ht="15.75" x14ac:dyDescent="0.25">
      <c r="A466" s="756"/>
    </row>
    <row r="467" spans="1:1" ht="15.75" x14ac:dyDescent="0.25">
      <c r="A467" s="756"/>
    </row>
    <row r="468" spans="1:1" ht="15.75" x14ac:dyDescent="0.25">
      <c r="A468" s="756"/>
    </row>
    <row r="469" spans="1:1" ht="15.75" x14ac:dyDescent="0.25">
      <c r="A469" s="756"/>
    </row>
    <row r="470" spans="1:1" ht="15.75" x14ac:dyDescent="0.25">
      <c r="A470" s="756"/>
    </row>
    <row r="471" spans="1:1" ht="15.75" x14ac:dyDescent="0.25">
      <c r="A471" s="756"/>
    </row>
    <row r="472" spans="1:1" ht="15.75" x14ac:dyDescent="0.25">
      <c r="A472" s="756"/>
    </row>
    <row r="473" spans="1:1" ht="15.75" x14ac:dyDescent="0.25">
      <c r="A473" s="756"/>
    </row>
    <row r="474" spans="1:1" ht="15.75" x14ac:dyDescent="0.25">
      <c r="A474" s="756"/>
    </row>
    <row r="475" spans="1:1" ht="15.75" x14ac:dyDescent="0.25">
      <c r="A475" s="756"/>
    </row>
    <row r="476" spans="1:1" ht="15.75" x14ac:dyDescent="0.25">
      <c r="A476" s="756"/>
    </row>
    <row r="477" spans="1:1" ht="15.75" x14ac:dyDescent="0.25">
      <c r="A477" s="756"/>
    </row>
    <row r="478" spans="1:1" ht="15.75" x14ac:dyDescent="0.25">
      <c r="A478" s="756"/>
    </row>
    <row r="479" spans="1:1" ht="15.75" x14ac:dyDescent="0.25">
      <c r="A479" s="756"/>
    </row>
    <row r="480" spans="1:1" ht="15.75" x14ac:dyDescent="0.25">
      <c r="A480" s="756"/>
    </row>
    <row r="481" spans="1:1" ht="15.75" x14ac:dyDescent="0.25">
      <c r="A481" s="756"/>
    </row>
    <row r="482" spans="1:1" ht="15.75" x14ac:dyDescent="0.25">
      <c r="A482" s="756"/>
    </row>
    <row r="483" spans="1:1" ht="15.75" x14ac:dyDescent="0.25">
      <c r="A483" s="756"/>
    </row>
    <row r="484" spans="1:1" ht="15.75" x14ac:dyDescent="0.25">
      <c r="A484" s="756"/>
    </row>
    <row r="485" spans="1:1" ht="15.75" x14ac:dyDescent="0.25">
      <c r="A485" s="756"/>
    </row>
    <row r="486" spans="1:1" ht="15.75" x14ac:dyDescent="0.25">
      <c r="A486" s="756"/>
    </row>
    <row r="487" spans="1:1" ht="15.75" x14ac:dyDescent="0.25">
      <c r="A487" s="756"/>
    </row>
    <row r="488" spans="1:1" ht="15.75" x14ac:dyDescent="0.25">
      <c r="A488" s="756"/>
    </row>
    <row r="489" spans="1:1" ht="15.75" x14ac:dyDescent="0.25">
      <c r="A489" s="756"/>
    </row>
    <row r="490" spans="1:1" ht="15.75" x14ac:dyDescent="0.25">
      <c r="A490" s="756"/>
    </row>
    <row r="491" spans="1:1" ht="15.75" x14ac:dyDescent="0.25">
      <c r="A491" s="756"/>
    </row>
    <row r="492" spans="1:1" ht="15.75" x14ac:dyDescent="0.25">
      <c r="A492" s="756"/>
    </row>
    <row r="493" spans="1:1" ht="15.75" x14ac:dyDescent="0.25">
      <c r="A493" s="756"/>
    </row>
    <row r="494" spans="1:1" ht="15.75" x14ac:dyDescent="0.25">
      <c r="A494" s="756"/>
    </row>
    <row r="495" spans="1:1" ht="15.75" x14ac:dyDescent="0.25">
      <c r="A495" s="756"/>
    </row>
    <row r="496" spans="1:1" ht="15.75" x14ac:dyDescent="0.25">
      <c r="A496" s="756"/>
    </row>
    <row r="497" spans="1:1" ht="15.75" x14ac:dyDescent="0.25">
      <c r="A497" s="756"/>
    </row>
    <row r="498" spans="1:1" ht="15.75" x14ac:dyDescent="0.25">
      <c r="A498" s="756"/>
    </row>
    <row r="499" spans="1:1" ht="15.75" x14ac:dyDescent="0.25">
      <c r="A499" s="756"/>
    </row>
    <row r="500" spans="1:1" ht="15.75" x14ac:dyDescent="0.25">
      <c r="A500" s="756"/>
    </row>
    <row r="501" spans="1:1" ht="15.75" x14ac:dyDescent="0.25">
      <c r="A501" s="756"/>
    </row>
    <row r="502" spans="1:1" ht="15.75" x14ac:dyDescent="0.25">
      <c r="A502" s="756"/>
    </row>
    <row r="503" spans="1:1" ht="15.75" x14ac:dyDescent="0.25">
      <c r="A503" s="756"/>
    </row>
    <row r="504" spans="1:1" ht="15.75" x14ac:dyDescent="0.25">
      <c r="A504" s="756"/>
    </row>
    <row r="505" spans="1:1" ht="15.75" x14ac:dyDescent="0.25">
      <c r="A505" s="756"/>
    </row>
    <row r="506" spans="1:1" ht="15.75" x14ac:dyDescent="0.25">
      <c r="A506" s="756"/>
    </row>
    <row r="507" spans="1:1" ht="15.75" x14ac:dyDescent="0.25">
      <c r="A507" s="756"/>
    </row>
    <row r="508" spans="1:1" ht="15.75" x14ac:dyDescent="0.25">
      <c r="A508" s="756"/>
    </row>
    <row r="509" spans="1:1" ht="15.75" x14ac:dyDescent="0.25">
      <c r="A509" s="756"/>
    </row>
    <row r="510" spans="1:1" ht="15.75" x14ac:dyDescent="0.25">
      <c r="A510" s="756"/>
    </row>
    <row r="511" spans="1:1" ht="15.75" x14ac:dyDescent="0.25">
      <c r="A511" s="756"/>
    </row>
    <row r="512" spans="1:1" ht="15.75" x14ac:dyDescent="0.25">
      <c r="A512" s="756"/>
    </row>
    <row r="513" spans="1:1" ht="15.75" x14ac:dyDescent="0.25">
      <c r="A513" s="756"/>
    </row>
    <row r="514" spans="1:1" ht="15.75" x14ac:dyDescent="0.25">
      <c r="A514" s="756"/>
    </row>
    <row r="515" spans="1:1" ht="15.75" x14ac:dyDescent="0.25">
      <c r="A515" s="756"/>
    </row>
    <row r="516" spans="1:1" ht="15.75" x14ac:dyDescent="0.25">
      <c r="A516" s="756"/>
    </row>
    <row r="517" spans="1:1" ht="15.75" x14ac:dyDescent="0.25">
      <c r="A517" s="756"/>
    </row>
    <row r="518" spans="1:1" ht="15.75" x14ac:dyDescent="0.25">
      <c r="A518" s="756"/>
    </row>
    <row r="519" spans="1:1" ht="15.75" x14ac:dyDescent="0.25">
      <c r="A519" s="756"/>
    </row>
    <row r="520" spans="1:1" ht="15.75" x14ac:dyDescent="0.25">
      <c r="A520" s="756"/>
    </row>
    <row r="521" spans="1:1" ht="15.75" x14ac:dyDescent="0.25">
      <c r="A521" s="756"/>
    </row>
    <row r="522" spans="1:1" ht="15.75" x14ac:dyDescent="0.25">
      <c r="A522" s="756"/>
    </row>
    <row r="523" spans="1:1" ht="15.75" x14ac:dyDescent="0.25">
      <c r="A523" s="756"/>
    </row>
    <row r="524" spans="1:1" ht="15.75" x14ac:dyDescent="0.25">
      <c r="A524" s="756"/>
    </row>
    <row r="525" spans="1:1" ht="15.75" x14ac:dyDescent="0.25">
      <c r="A525" s="756"/>
    </row>
    <row r="526" spans="1:1" ht="15.75" x14ac:dyDescent="0.25">
      <c r="A526" s="756"/>
    </row>
    <row r="527" spans="1:1" ht="15.75" x14ac:dyDescent="0.25">
      <c r="A527" s="756"/>
    </row>
    <row r="528" spans="1:1" ht="15.75" x14ac:dyDescent="0.25">
      <c r="A528" s="756"/>
    </row>
    <row r="529" spans="1:1" ht="15.75" x14ac:dyDescent="0.25">
      <c r="A529" s="756"/>
    </row>
    <row r="530" spans="1:1" ht="15.75" x14ac:dyDescent="0.25">
      <c r="A530" s="756"/>
    </row>
    <row r="531" spans="1:1" ht="15.75" x14ac:dyDescent="0.25">
      <c r="A531" s="756"/>
    </row>
    <row r="532" spans="1:1" ht="15.75" x14ac:dyDescent="0.25">
      <c r="A532" s="756"/>
    </row>
    <row r="533" spans="1:1" ht="15.75" x14ac:dyDescent="0.25">
      <c r="A533" s="756"/>
    </row>
    <row r="534" spans="1:1" ht="15.75" x14ac:dyDescent="0.25">
      <c r="A534" s="756"/>
    </row>
    <row r="535" spans="1:1" ht="15.75" x14ac:dyDescent="0.25">
      <c r="A535" s="756"/>
    </row>
    <row r="536" spans="1:1" ht="15.75" x14ac:dyDescent="0.25">
      <c r="A536" s="756"/>
    </row>
    <row r="537" spans="1:1" ht="15.75" x14ac:dyDescent="0.25">
      <c r="A537" s="756"/>
    </row>
    <row r="538" spans="1:1" ht="15.75" x14ac:dyDescent="0.25">
      <c r="A538" s="756"/>
    </row>
    <row r="539" spans="1:1" ht="15.75" x14ac:dyDescent="0.25">
      <c r="A539" s="756"/>
    </row>
    <row r="540" spans="1:1" ht="15.75" x14ac:dyDescent="0.25">
      <c r="A540" s="756"/>
    </row>
    <row r="541" spans="1:1" ht="15.75" x14ac:dyDescent="0.25">
      <c r="A541" s="756"/>
    </row>
    <row r="542" spans="1:1" ht="15.75" x14ac:dyDescent="0.25">
      <c r="A542" s="756"/>
    </row>
    <row r="543" spans="1:1" ht="15.75" x14ac:dyDescent="0.25">
      <c r="A543" s="756"/>
    </row>
    <row r="544" spans="1:1" ht="15.75" x14ac:dyDescent="0.25">
      <c r="A544" s="756"/>
    </row>
    <row r="545" spans="1:1" ht="15.75" x14ac:dyDescent="0.25">
      <c r="A545" s="756"/>
    </row>
    <row r="546" spans="1:1" ht="15.75" x14ac:dyDescent="0.25">
      <c r="A546" s="756"/>
    </row>
    <row r="547" spans="1:1" ht="15.75" x14ac:dyDescent="0.25">
      <c r="A547" s="756"/>
    </row>
    <row r="548" spans="1:1" ht="15.75" x14ac:dyDescent="0.25">
      <c r="A548" s="756"/>
    </row>
    <row r="549" spans="1:1" ht="15.75" x14ac:dyDescent="0.25">
      <c r="A549" s="756"/>
    </row>
    <row r="550" spans="1:1" ht="15.75" x14ac:dyDescent="0.25">
      <c r="A550" s="756"/>
    </row>
    <row r="551" spans="1:1" ht="15.75" x14ac:dyDescent="0.25">
      <c r="A551" s="756"/>
    </row>
    <row r="552" spans="1:1" ht="15.75" x14ac:dyDescent="0.25">
      <c r="A552" s="756"/>
    </row>
    <row r="553" spans="1:1" ht="15.75" x14ac:dyDescent="0.25">
      <c r="A553" s="756"/>
    </row>
    <row r="554" spans="1:1" ht="15.75" x14ac:dyDescent="0.25">
      <c r="A554" s="756"/>
    </row>
    <row r="555" spans="1:1" ht="15.75" x14ac:dyDescent="0.25">
      <c r="A555" s="756"/>
    </row>
    <row r="556" spans="1:1" ht="15.75" x14ac:dyDescent="0.25">
      <c r="A556" s="756"/>
    </row>
    <row r="557" spans="1:1" ht="15.75" x14ac:dyDescent="0.25">
      <c r="A557" s="756"/>
    </row>
    <row r="558" spans="1:1" ht="15.75" x14ac:dyDescent="0.25">
      <c r="A558" s="756"/>
    </row>
    <row r="559" spans="1:1" ht="15.75" x14ac:dyDescent="0.25">
      <c r="A559" s="756"/>
    </row>
    <row r="560" spans="1:1" ht="15.75" x14ac:dyDescent="0.25">
      <c r="A560" s="756"/>
    </row>
    <row r="561" spans="1:1" ht="15.75" x14ac:dyDescent="0.25">
      <c r="A561" s="756"/>
    </row>
    <row r="562" spans="1:1" ht="15.75" x14ac:dyDescent="0.25">
      <c r="A562" s="756"/>
    </row>
    <row r="563" spans="1:1" ht="15.75" x14ac:dyDescent="0.25">
      <c r="A563" s="756"/>
    </row>
    <row r="564" spans="1:1" ht="15.75" x14ac:dyDescent="0.25">
      <c r="A564" s="756"/>
    </row>
    <row r="565" spans="1:1" ht="15.75" x14ac:dyDescent="0.25">
      <c r="A565" s="756"/>
    </row>
    <row r="566" spans="1:1" ht="15.75" x14ac:dyDescent="0.25">
      <c r="A566" s="756"/>
    </row>
    <row r="567" spans="1:1" ht="15.75" x14ac:dyDescent="0.25">
      <c r="A567" s="756"/>
    </row>
    <row r="568" spans="1:1" ht="15.75" x14ac:dyDescent="0.25">
      <c r="A568" s="756"/>
    </row>
    <row r="569" spans="1:1" ht="15.75" x14ac:dyDescent="0.25">
      <c r="A569" s="756"/>
    </row>
    <row r="570" spans="1:1" ht="15.75" x14ac:dyDescent="0.25">
      <c r="A570" s="756"/>
    </row>
    <row r="571" spans="1:1" ht="15.75" x14ac:dyDescent="0.25">
      <c r="A571" s="756"/>
    </row>
    <row r="572" spans="1:1" ht="15.75" x14ac:dyDescent="0.25">
      <c r="A572" s="756"/>
    </row>
    <row r="573" spans="1:1" ht="15.75" x14ac:dyDescent="0.25">
      <c r="A573" s="756"/>
    </row>
    <row r="574" spans="1:1" ht="15.75" x14ac:dyDescent="0.25">
      <c r="A574" s="756"/>
    </row>
    <row r="575" spans="1:1" ht="15.75" x14ac:dyDescent="0.25">
      <c r="A575" s="756"/>
    </row>
    <row r="576" spans="1:1" ht="15.75" x14ac:dyDescent="0.25">
      <c r="A576" s="756"/>
    </row>
    <row r="577" spans="1:1" ht="15.75" x14ac:dyDescent="0.25">
      <c r="A577" s="756"/>
    </row>
    <row r="578" spans="1:1" ht="15.75" x14ac:dyDescent="0.25">
      <c r="A578" s="756"/>
    </row>
    <row r="579" spans="1:1" ht="15.75" x14ac:dyDescent="0.25">
      <c r="A579" s="756"/>
    </row>
    <row r="580" spans="1:1" ht="15.75" x14ac:dyDescent="0.25">
      <c r="A580" s="756"/>
    </row>
    <row r="581" spans="1:1" ht="15.75" x14ac:dyDescent="0.25">
      <c r="A581" s="756"/>
    </row>
    <row r="582" spans="1:1" ht="15.75" x14ac:dyDescent="0.25">
      <c r="A582" s="756"/>
    </row>
    <row r="583" spans="1:1" ht="15.75" x14ac:dyDescent="0.25">
      <c r="A583" s="756"/>
    </row>
    <row r="584" spans="1:1" ht="15.75" x14ac:dyDescent="0.25">
      <c r="A584" s="756"/>
    </row>
    <row r="585" spans="1:1" ht="15.75" x14ac:dyDescent="0.25">
      <c r="A585" s="756"/>
    </row>
    <row r="586" spans="1:1" ht="15.75" x14ac:dyDescent="0.25">
      <c r="A586" s="756"/>
    </row>
    <row r="587" spans="1:1" ht="15.75" x14ac:dyDescent="0.25">
      <c r="A587" s="756"/>
    </row>
    <row r="588" spans="1:1" ht="15.75" x14ac:dyDescent="0.25">
      <c r="A588" s="756"/>
    </row>
    <row r="589" spans="1:1" ht="15.75" x14ac:dyDescent="0.25">
      <c r="A589" s="756"/>
    </row>
    <row r="590" spans="1:1" ht="15.75" x14ac:dyDescent="0.25">
      <c r="A590" s="756"/>
    </row>
    <row r="591" spans="1:1" ht="15.75" x14ac:dyDescent="0.25">
      <c r="A591" s="756"/>
    </row>
    <row r="592" spans="1:1" ht="15.75" x14ac:dyDescent="0.25">
      <c r="A592" s="756"/>
    </row>
    <row r="593" spans="1:1" ht="15.75" x14ac:dyDescent="0.25">
      <c r="A593" s="756"/>
    </row>
    <row r="594" spans="1:1" ht="15.75" x14ac:dyDescent="0.25">
      <c r="A594" s="756"/>
    </row>
    <row r="595" spans="1:1" ht="15.75" x14ac:dyDescent="0.25">
      <c r="A595" s="756"/>
    </row>
    <row r="596" spans="1:1" ht="15.75" x14ac:dyDescent="0.25">
      <c r="A596" s="756"/>
    </row>
    <row r="597" spans="1:1" ht="15.75" x14ac:dyDescent="0.25">
      <c r="A597" s="756"/>
    </row>
    <row r="598" spans="1:1" ht="15.75" x14ac:dyDescent="0.25">
      <c r="A598" s="756"/>
    </row>
    <row r="599" spans="1:1" ht="15.75" x14ac:dyDescent="0.25">
      <c r="A599" s="756"/>
    </row>
    <row r="600" spans="1:1" ht="15.75" x14ac:dyDescent="0.25">
      <c r="A600" s="756"/>
    </row>
    <row r="601" spans="1:1" ht="15.75" x14ac:dyDescent="0.25">
      <c r="A601" s="756"/>
    </row>
    <row r="602" spans="1:1" ht="15.75" x14ac:dyDescent="0.25">
      <c r="A602" s="756"/>
    </row>
    <row r="603" spans="1:1" ht="15.75" x14ac:dyDescent="0.25">
      <c r="A603" s="756"/>
    </row>
    <row r="604" spans="1:1" ht="15.75" x14ac:dyDescent="0.25">
      <c r="A604" s="756"/>
    </row>
    <row r="605" spans="1:1" ht="15.75" x14ac:dyDescent="0.25">
      <c r="A605" s="756"/>
    </row>
    <row r="606" spans="1:1" ht="15.75" x14ac:dyDescent="0.25">
      <c r="A606" s="756"/>
    </row>
    <row r="607" spans="1:1" ht="15.75" x14ac:dyDescent="0.25">
      <c r="A607" s="756"/>
    </row>
    <row r="608" spans="1:1" ht="15.75" x14ac:dyDescent="0.25">
      <c r="A608" s="756"/>
    </row>
    <row r="609" spans="1:1" ht="15.75" x14ac:dyDescent="0.25">
      <c r="A609" s="756"/>
    </row>
    <row r="610" spans="1:1" ht="15.75" x14ac:dyDescent="0.25">
      <c r="A610" s="756"/>
    </row>
    <row r="611" spans="1:1" ht="15.75" x14ac:dyDescent="0.25">
      <c r="A611" s="756"/>
    </row>
    <row r="612" spans="1:1" ht="15.75" x14ac:dyDescent="0.25">
      <c r="A612" s="756"/>
    </row>
    <row r="613" spans="1:1" ht="15.75" x14ac:dyDescent="0.25">
      <c r="A613" s="756"/>
    </row>
    <row r="614" spans="1:1" ht="15.75" x14ac:dyDescent="0.25">
      <c r="A614" s="756"/>
    </row>
    <row r="615" spans="1:1" ht="15.75" x14ac:dyDescent="0.25">
      <c r="A615" s="756"/>
    </row>
    <row r="616" spans="1:1" ht="15.75" x14ac:dyDescent="0.25">
      <c r="A616" s="756"/>
    </row>
    <row r="617" spans="1:1" ht="15.75" x14ac:dyDescent="0.25">
      <c r="A617" s="756"/>
    </row>
    <row r="618" spans="1:1" ht="15.75" x14ac:dyDescent="0.25">
      <c r="A618" s="756"/>
    </row>
    <row r="619" spans="1:1" ht="15.75" x14ac:dyDescent="0.25">
      <c r="A619" s="756"/>
    </row>
    <row r="620" spans="1:1" ht="15.75" x14ac:dyDescent="0.25">
      <c r="A620" s="756"/>
    </row>
    <row r="621" spans="1:1" ht="15.75" x14ac:dyDescent="0.25">
      <c r="A621" s="756"/>
    </row>
    <row r="622" spans="1:1" ht="15.75" x14ac:dyDescent="0.25">
      <c r="A622" s="756"/>
    </row>
    <row r="623" spans="1:1" ht="15.75" x14ac:dyDescent="0.25">
      <c r="A623" s="756"/>
    </row>
    <row r="624" spans="1:1" ht="15.75" x14ac:dyDescent="0.25">
      <c r="A624" s="756"/>
    </row>
    <row r="625" spans="1:1" ht="15.75" x14ac:dyDescent="0.25">
      <c r="A625" s="756"/>
    </row>
    <row r="626" spans="1:1" ht="15.75" x14ac:dyDescent="0.25">
      <c r="A626" s="756"/>
    </row>
    <row r="627" spans="1:1" ht="15.75" x14ac:dyDescent="0.25">
      <c r="A627" s="756"/>
    </row>
    <row r="628" spans="1:1" ht="15.75" x14ac:dyDescent="0.25">
      <c r="A628" s="756"/>
    </row>
    <row r="629" spans="1:1" ht="15.75" x14ac:dyDescent="0.25">
      <c r="A629" s="756"/>
    </row>
    <row r="630" spans="1:1" ht="15.75" x14ac:dyDescent="0.25">
      <c r="A630" s="756"/>
    </row>
    <row r="631" spans="1:1" ht="15.75" x14ac:dyDescent="0.25">
      <c r="A631" s="756"/>
    </row>
    <row r="632" spans="1:1" ht="15.75" x14ac:dyDescent="0.25">
      <c r="A632" s="756"/>
    </row>
    <row r="633" spans="1:1" ht="15.75" x14ac:dyDescent="0.25">
      <c r="A633" s="756"/>
    </row>
    <row r="634" spans="1:1" ht="15.75" x14ac:dyDescent="0.25">
      <c r="A634" s="756"/>
    </row>
    <row r="635" spans="1:1" ht="15.75" x14ac:dyDescent="0.25">
      <c r="A635" s="756"/>
    </row>
    <row r="636" spans="1:1" ht="15.75" x14ac:dyDescent="0.25">
      <c r="A636" s="756"/>
    </row>
    <row r="637" spans="1:1" ht="15.75" x14ac:dyDescent="0.25">
      <c r="A637" s="756"/>
    </row>
    <row r="638" spans="1:1" ht="15.75" x14ac:dyDescent="0.25">
      <c r="A638" s="756"/>
    </row>
    <row r="639" spans="1:1" ht="15.75" x14ac:dyDescent="0.25">
      <c r="A639" s="756"/>
    </row>
    <row r="640" spans="1:1" ht="15.75" x14ac:dyDescent="0.25">
      <c r="A640" s="756"/>
    </row>
    <row r="641" spans="1:1" ht="15.75" x14ac:dyDescent="0.25">
      <c r="A641" s="756"/>
    </row>
    <row r="642" spans="1:1" ht="15.75" x14ac:dyDescent="0.25">
      <c r="A642" s="756"/>
    </row>
    <row r="643" spans="1:1" ht="15.75" x14ac:dyDescent="0.25">
      <c r="A643" s="756"/>
    </row>
    <row r="644" spans="1:1" ht="15.75" x14ac:dyDescent="0.25">
      <c r="A644" s="756"/>
    </row>
    <row r="645" spans="1:1" ht="15.75" x14ac:dyDescent="0.25">
      <c r="A645" s="756"/>
    </row>
    <row r="646" spans="1:1" ht="15.75" x14ac:dyDescent="0.25">
      <c r="A646" s="756"/>
    </row>
    <row r="647" spans="1:1" ht="15.75" x14ac:dyDescent="0.25">
      <c r="A647" s="756"/>
    </row>
    <row r="648" spans="1:1" ht="15.75" x14ac:dyDescent="0.25">
      <c r="A648" s="756"/>
    </row>
    <row r="649" spans="1:1" ht="15.75" x14ac:dyDescent="0.25">
      <c r="A649" s="756"/>
    </row>
    <row r="650" spans="1:1" ht="15.75" x14ac:dyDescent="0.25">
      <c r="A650" s="756"/>
    </row>
    <row r="651" spans="1:1" ht="15.75" x14ac:dyDescent="0.25">
      <c r="A651" s="756"/>
    </row>
    <row r="652" spans="1:1" ht="15.75" x14ac:dyDescent="0.25">
      <c r="A652" s="756"/>
    </row>
    <row r="653" spans="1:1" ht="15.75" x14ac:dyDescent="0.25">
      <c r="A653" s="756"/>
    </row>
    <row r="654" spans="1:1" ht="15.75" x14ac:dyDescent="0.25">
      <c r="A654" s="756"/>
    </row>
    <row r="655" spans="1:1" ht="15.75" x14ac:dyDescent="0.25">
      <c r="A655" s="756"/>
    </row>
    <row r="656" spans="1:1" ht="15.75" x14ac:dyDescent="0.25">
      <c r="A656" s="756"/>
    </row>
    <row r="657" spans="1:1" ht="15.75" x14ac:dyDescent="0.25">
      <c r="A657" s="756"/>
    </row>
    <row r="658" spans="1:1" ht="15.75" x14ac:dyDescent="0.25">
      <c r="A658" s="756"/>
    </row>
    <row r="659" spans="1:1" ht="15.75" x14ac:dyDescent="0.25">
      <c r="A659" s="756"/>
    </row>
    <row r="660" spans="1:1" ht="15.75" x14ac:dyDescent="0.25">
      <c r="A660" s="756"/>
    </row>
    <row r="661" spans="1:1" ht="15.75" x14ac:dyDescent="0.25">
      <c r="A661" s="756"/>
    </row>
    <row r="662" spans="1:1" ht="15.75" x14ac:dyDescent="0.25">
      <c r="A662" s="756"/>
    </row>
    <row r="663" spans="1:1" ht="15.75" x14ac:dyDescent="0.25">
      <c r="A663" s="756"/>
    </row>
    <row r="664" spans="1:1" ht="15.75" x14ac:dyDescent="0.25">
      <c r="A664" s="756"/>
    </row>
    <row r="665" spans="1:1" ht="15.75" x14ac:dyDescent="0.25">
      <c r="A665" s="756"/>
    </row>
    <row r="666" spans="1:1" ht="15.75" x14ac:dyDescent="0.25">
      <c r="A666" s="756"/>
    </row>
    <row r="667" spans="1:1" ht="15.75" x14ac:dyDescent="0.25">
      <c r="A667" s="756"/>
    </row>
    <row r="668" spans="1:1" ht="15.75" x14ac:dyDescent="0.25">
      <c r="A668" s="756"/>
    </row>
    <row r="669" spans="1:1" ht="15.75" x14ac:dyDescent="0.25">
      <c r="A669" s="756"/>
    </row>
    <row r="670" spans="1:1" ht="15.75" x14ac:dyDescent="0.25">
      <c r="A670" s="756"/>
    </row>
    <row r="671" spans="1:1" ht="15.75" x14ac:dyDescent="0.25">
      <c r="A671" s="756"/>
    </row>
    <row r="672" spans="1:1" ht="15.75" x14ac:dyDescent="0.25">
      <c r="A672" s="756"/>
    </row>
    <row r="673" spans="1:1" ht="15.75" x14ac:dyDescent="0.25">
      <c r="A673" s="756"/>
    </row>
    <row r="674" spans="1:1" ht="15.75" x14ac:dyDescent="0.25">
      <c r="A674" s="756"/>
    </row>
    <row r="675" spans="1:1" ht="15.75" x14ac:dyDescent="0.25">
      <c r="A675" s="756"/>
    </row>
    <row r="676" spans="1:1" ht="15.75" x14ac:dyDescent="0.25">
      <c r="A676" s="756"/>
    </row>
    <row r="677" spans="1:1" ht="15.75" x14ac:dyDescent="0.25">
      <c r="A677" s="756"/>
    </row>
    <row r="678" spans="1:1" ht="15.75" x14ac:dyDescent="0.25">
      <c r="A678" s="756"/>
    </row>
    <row r="679" spans="1:1" ht="15.75" x14ac:dyDescent="0.25">
      <c r="A679" s="756"/>
    </row>
    <row r="680" spans="1:1" ht="15.75" x14ac:dyDescent="0.25">
      <c r="A680" s="756"/>
    </row>
    <row r="681" spans="1:1" ht="15.75" x14ac:dyDescent="0.25">
      <c r="A681" s="756"/>
    </row>
    <row r="682" spans="1:1" ht="15.75" x14ac:dyDescent="0.25">
      <c r="A682" s="756"/>
    </row>
    <row r="683" spans="1:1" ht="15.75" x14ac:dyDescent="0.25">
      <c r="A683" s="756"/>
    </row>
    <row r="684" spans="1:1" ht="15.75" x14ac:dyDescent="0.25">
      <c r="A684" s="756"/>
    </row>
    <row r="685" spans="1:1" ht="15.75" x14ac:dyDescent="0.25">
      <c r="A685" s="756"/>
    </row>
    <row r="686" spans="1:1" ht="15.75" x14ac:dyDescent="0.25">
      <c r="A686" s="756"/>
    </row>
    <row r="687" spans="1:1" ht="15.75" x14ac:dyDescent="0.25">
      <c r="A687" s="756"/>
    </row>
    <row r="688" spans="1:1" ht="15.75" x14ac:dyDescent="0.25">
      <c r="A688" s="756"/>
    </row>
    <row r="689" spans="1:1" ht="15.75" x14ac:dyDescent="0.25">
      <c r="A689" s="756"/>
    </row>
    <row r="690" spans="1:1" ht="15.75" x14ac:dyDescent="0.25">
      <c r="A690" s="756"/>
    </row>
    <row r="691" spans="1:1" ht="15.75" x14ac:dyDescent="0.25">
      <c r="A691" s="756"/>
    </row>
    <row r="692" spans="1:1" ht="15.75" x14ac:dyDescent="0.25">
      <c r="A692" s="756"/>
    </row>
    <row r="693" spans="1:1" ht="15.75" x14ac:dyDescent="0.25">
      <c r="A693" s="756"/>
    </row>
    <row r="694" spans="1:1" ht="15.75" x14ac:dyDescent="0.25">
      <c r="A694" s="756"/>
    </row>
    <row r="695" spans="1:1" ht="15.75" x14ac:dyDescent="0.25">
      <c r="A695" s="756"/>
    </row>
    <row r="696" spans="1:1" ht="15.75" x14ac:dyDescent="0.25">
      <c r="A696" s="756"/>
    </row>
    <row r="697" spans="1:1" ht="15.75" x14ac:dyDescent="0.25">
      <c r="A697" s="756"/>
    </row>
    <row r="698" spans="1:1" ht="15.75" x14ac:dyDescent="0.25">
      <c r="A698" s="756"/>
    </row>
    <row r="699" spans="1:1" ht="15.75" x14ac:dyDescent="0.25">
      <c r="A699" s="756"/>
    </row>
    <row r="700" spans="1:1" ht="15.75" x14ac:dyDescent="0.25">
      <c r="A700" s="756"/>
    </row>
    <row r="701" spans="1:1" ht="15.75" x14ac:dyDescent="0.25">
      <c r="A701" s="756"/>
    </row>
    <row r="702" spans="1:1" ht="15.75" x14ac:dyDescent="0.25">
      <c r="A702" s="756"/>
    </row>
    <row r="703" spans="1:1" ht="15.75" x14ac:dyDescent="0.25">
      <c r="A703" s="756"/>
    </row>
    <row r="704" spans="1:1" ht="15.75" x14ac:dyDescent="0.25">
      <c r="A704" s="756"/>
    </row>
    <row r="705" spans="1:1" ht="15.75" x14ac:dyDescent="0.25">
      <c r="A705" s="756"/>
    </row>
    <row r="706" spans="1:1" ht="15.75" x14ac:dyDescent="0.25">
      <c r="A706" s="756"/>
    </row>
    <row r="707" spans="1:1" ht="15.75" x14ac:dyDescent="0.25">
      <c r="A707" s="756"/>
    </row>
    <row r="708" spans="1:1" ht="15.75" x14ac:dyDescent="0.25">
      <c r="A708" s="756"/>
    </row>
    <row r="709" spans="1:1" ht="15.75" x14ac:dyDescent="0.25">
      <c r="A709" s="756"/>
    </row>
    <row r="710" spans="1:1" ht="15.75" x14ac:dyDescent="0.25">
      <c r="A710" s="756"/>
    </row>
    <row r="711" spans="1:1" ht="15.75" x14ac:dyDescent="0.25">
      <c r="A711" s="756"/>
    </row>
    <row r="712" spans="1:1" ht="15.75" x14ac:dyDescent="0.25">
      <c r="A712" s="756"/>
    </row>
    <row r="713" spans="1:1" ht="15.75" x14ac:dyDescent="0.25">
      <c r="A713" s="756"/>
    </row>
    <row r="714" spans="1:1" ht="15.75" x14ac:dyDescent="0.25">
      <c r="A714" s="756"/>
    </row>
    <row r="715" spans="1:1" ht="15.75" x14ac:dyDescent="0.25">
      <c r="A715" s="756"/>
    </row>
    <row r="716" spans="1:1" ht="15.75" x14ac:dyDescent="0.25">
      <c r="A716" s="756"/>
    </row>
    <row r="717" spans="1:1" ht="15.75" x14ac:dyDescent="0.25">
      <c r="A717" s="756"/>
    </row>
    <row r="718" spans="1:1" ht="15.75" x14ac:dyDescent="0.25">
      <c r="A718" s="756"/>
    </row>
    <row r="719" spans="1:1" ht="15.75" x14ac:dyDescent="0.25">
      <c r="A719" s="756"/>
    </row>
    <row r="720" spans="1:1" ht="15.75" x14ac:dyDescent="0.25">
      <c r="A720" s="756"/>
    </row>
    <row r="721" spans="1:1" ht="15.75" x14ac:dyDescent="0.25">
      <c r="A721" s="756"/>
    </row>
    <row r="722" spans="1:1" ht="15.75" x14ac:dyDescent="0.25">
      <c r="A722" s="756"/>
    </row>
    <row r="723" spans="1:1" ht="15.75" x14ac:dyDescent="0.25">
      <c r="A723" s="756"/>
    </row>
    <row r="724" spans="1:1" ht="15.75" x14ac:dyDescent="0.25">
      <c r="A724" s="756"/>
    </row>
    <row r="725" spans="1:1" ht="15.75" x14ac:dyDescent="0.25">
      <c r="A725" s="756"/>
    </row>
    <row r="726" spans="1:1" ht="15.75" x14ac:dyDescent="0.25">
      <c r="A726" s="756"/>
    </row>
    <row r="727" spans="1:1" ht="15.75" x14ac:dyDescent="0.25">
      <c r="A727" s="756"/>
    </row>
    <row r="728" spans="1:1" ht="15.75" x14ac:dyDescent="0.25">
      <c r="A728" s="756"/>
    </row>
    <row r="729" spans="1:1" ht="15.75" x14ac:dyDescent="0.25">
      <c r="A729" s="756"/>
    </row>
    <row r="730" spans="1:1" ht="15.75" x14ac:dyDescent="0.25">
      <c r="A730" s="756"/>
    </row>
    <row r="731" spans="1:1" ht="15.75" x14ac:dyDescent="0.25">
      <c r="A731" s="756"/>
    </row>
    <row r="732" spans="1:1" ht="15.75" x14ac:dyDescent="0.25">
      <c r="A732" s="756"/>
    </row>
    <row r="733" spans="1:1" ht="15.75" x14ac:dyDescent="0.25">
      <c r="A733" s="756"/>
    </row>
    <row r="734" spans="1:1" ht="15.75" x14ac:dyDescent="0.25">
      <c r="A734" s="756"/>
    </row>
    <row r="735" spans="1:1" ht="15.75" x14ac:dyDescent="0.25">
      <c r="A735" s="756"/>
    </row>
    <row r="736" spans="1:1" ht="15.75" x14ac:dyDescent="0.25">
      <c r="A736" s="756"/>
    </row>
    <row r="737" spans="1:1" ht="15.75" x14ac:dyDescent="0.25">
      <c r="A737" s="756"/>
    </row>
    <row r="738" spans="1:1" ht="15.75" x14ac:dyDescent="0.25">
      <c r="A738" s="756"/>
    </row>
    <row r="739" spans="1:1" ht="15.75" x14ac:dyDescent="0.25">
      <c r="A739" s="756"/>
    </row>
    <row r="740" spans="1:1" ht="15.75" x14ac:dyDescent="0.25">
      <c r="A740" s="756"/>
    </row>
    <row r="741" spans="1:1" ht="15.75" x14ac:dyDescent="0.25">
      <c r="A741" s="756"/>
    </row>
    <row r="742" spans="1:1" ht="15.75" x14ac:dyDescent="0.25">
      <c r="A742" s="756"/>
    </row>
    <row r="743" spans="1:1" ht="15.75" x14ac:dyDescent="0.25">
      <c r="A743" s="756"/>
    </row>
    <row r="744" spans="1:1" ht="15.75" x14ac:dyDescent="0.25">
      <c r="A744" s="756"/>
    </row>
    <row r="745" spans="1:1" ht="15.75" x14ac:dyDescent="0.25">
      <c r="A745" s="756"/>
    </row>
    <row r="746" spans="1:1" ht="15.75" x14ac:dyDescent="0.25">
      <c r="A746" s="756"/>
    </row>
    <row r="747" spans="1:1" ht="15.75" x14ac:dyDescent="0.25">
      <c r="A747" s="756"/>
    </row>
    <row r="748" spans="1:1" ht="15.75" x14ac:dyDescent="0.25">
      <c r="A748" s="756"/>
    </row>
    <row r="749" spans="1:1" ht="15.75" x14ac:dyDescent="0.25">
      <c r="A749" s="756"/>
    </row>
    <row r="750" spans="1:1" ht="15.75" x14ac:dyDescent="0.25">
      <c r="A750" s="756"/>
    </row>
    <row r="751" spans="1:1" ht="15.75" x14ac:dyDescent="0.25">
      <c r="A751" s="756"/>
    </row>
    <row r="752" spans="1:1" ht="15.75" x14ac:dyDescent="0.25">
      <c r="A752" s="756"/>
    </row>
    <row r="753" spans="1:1" ht="15.75" x14ac:dyDescent="0.25">
      <c r="A753" s="756"/>
    </row>
    <row r="754" spans="1:1" ht="15.75" x14ac:dyDescent="0.25">
      <c r="A754" s="756"/>
    </row>
    <row r="755" spans="1:1" ht="15.75" x14ac:dyDescent="0.25">
      <c r="A755" s="756"/>
    </row>
    <row r="756" spans="1:1" ht="15.75" x14ac:dyDescent="0.25">
      <c r="A756" s="756"/>
    </row>
    <row r="757" spans="1:1" ht="15.75" x14ac:dyDescent="0.25">
      <c r="A757" s="756"/>
    </row>
    <row r="758" spans="1:1" ht="15.75" x14ac:dyDescent="0.25">
      <c r="A758" s="756"/>
    </row>
    <row r="759" spans="1:1" ht="15.75" x14ac:dyDescent="0.25">
      <c r="A759" s="756"/>
    </row>
    <row r="760" spans="1:1" ht="15.75" x14ac:dyDescent="0.25">
      <c r="A760" s="756"/>
    </row>
    <row r="761" spans="1:1" ht="15.75" x14ac:dyDescent="0.25">
      <c r="A761" s="756"/>
    </row>
    <row r="762" spans="1:1" ht="15.75" x14ac:dyDescent="0.25">
      <c r="A762" s="756"/>
    </row>
    <row r="763" spans="1:1" ht="15.75" x14ac:dyDescent="0.25">
      <c r="A763" s="756"/>
    </row>
    <row r="764" spans="1:1" ht="15.75" x14ac:dyDescent="0.25">
      <c r="A764" s="756"/>
    </row>
    <row r="765" spans="1:1" ht="15.75" x14ac:dyDescent="0.25">
      <c r="A765" s="756"/>
    </row>
    <row r="766" spans="1:1" ht="15.75" x14ac:dyDescent="0.25">
      <c r="A766" s="756"/>
    </row>
    <row r="767" spans="1:1" ht="15.75" x14ac:dyDescent="0.25">
      <c r="A767" s="756"/>
    </row>
    <row r="768" spans="1:1" ht="15.75" x14ac:dyDescent="0.25">
      <c r="A768" s="756"/>
    </row>
    <row r="769" spans="1:1" ht="15.75" x14ac:dyDescent="0.25">
      <c r="A769" s="756"/>
    </row>
    <row r="770" spans="1:1" ht="15.75" x14ac:dyDescent="0.25">
      <c r="A770" s="756"/>
    </row>
    <row r="771" spans="1:1" ht="15.75" x14ac:dyDescent="0.25">
      <c r="A771" s="756"/>
    </row>
    <row r="772" spans="1:1" ht="15.75" x14ac:dyDescent="0.25">
      <c r="A772" s="756"/>
    </row>
    <row r="773" spans="1:1" ht="15.75" x14ac:dyDescent="0.25">
      <c r="A773" s="756"/>
    </row>
    <row r="774" spans="1:1" ht="15.75" x14ac:dyDescent="0.25">
      <c r="A774" s="756"/>
    </row>
    <row r="775" spans="1:1" ht="15.75" x14ac:dyDescent="0.25">
      <c r="A775" s="756"/>
    </row>
    <row r="776" spans="1:1" ht="15.75" x14ac:dyDescent="0.25">
      <c r="A776" s="756"/>
    </row>
    <row r="777" spans="1:1" ht="15.75" x14ac:dyDescent="0.25">
      <c r="A777" s="756"/>
    </row>
    <row r="778" spans="1:1" ht="15.75" x14ac:dyDescent="0.25">
      <c r="A778" s="756"/>
    </row>
    <row r="779" spans="1:1" ht="15.75" x14ac:dyDescent="0.25">
      <c r="A779" s="756"/>
    </row>
    <row r="780" spans="1:1" ht="15.75" x14ac:dyDescent="0.25">
      <c r="A780" s="756"/>
    </row>
    <row r="781" spans="1:1" ht="15.75" x14ac:dyDescent="0.25">
      <c r="A781" s="756"/>
    </row>
    <row r="782" spans="1:1" ht="15.75" x14ac:dyDescent="0.25">
      <c r="A782" s="756"/>
    </row>
    <row r="783" spans="1:1" ht="15.75" x14ac:dyDescent="0.25">
      <c r="A783" s="756"/>
    </row>
    <row r="784" spans="1:1" ht="15.75" x14ac:dyDescent="0.25">
      <c r="A784" s="756"/>
    </row>
    <row r="785" spans="1:1" ht="15.75" x14ac:dyDescent="0.25">
      <c r="A785" s="756"/>
    </row>
    <row r="786" spans="1:1" ht="15.75" x14ac:dyDescent="0.25">
      <c r="A786" s="756"/>
    </row>
    <row r="787" spans="1:1" ht="15.75" x14ac:dyDescent="0.25">
      <c r="A787" s="756"/>
    </row>
    <row r="788" spans="1:1" ht="15.75" x14ac:dyDescent="0.25">
      <c r="A788" s="756"/>
    </row>
    <row r="789" spans="1:1" ht="15.75" x14ac:dyDescent="0.25">
      <c r="A789" s="756"/>
    </row>
    <row r="790" spans="1:1" ht="15.75" x14ac:dyDescent="0.25">
      <c r="A790" s="756"/>
    </row>
    <row r="791" spans="1:1" ht="15.75" x14ac:dyDescent="0.25">
      <c r="A791" s="756"/>
    </row>
    <row r="792" spans="1:1" ht="15.75" x14ac:dyDescent="0.25">
      <c r="A792" s="756"/>
    </row>
    <row r="793" spans="1:1" ht="15.75" x14ac:dyDescent="0.25">
      <c r="A793" s="756"/>
    </row>
    <row r="794" spans="1:1" ht="15.75" x14ac:dyDescent="0.25">
      <c r="A794" s="756"/>
    </row>
    <row r="795" spans="1:1" ht="15.75" x14ac:dyDescent="0.25">
      <c r="A795" s="756"/>
    </row>
    <row r="796" spans="1:1" ht="15.75" x14ac:dyDescent="0.25">
      <c r="A796" s="756"/>
    </row>
    <row r="797" spans="1:1" ht="15.75" x14ac:dyDescent="0.25">
      <c r="A797" s="756"/>
    </row>
    <row r="798" spans="1:1" ht="15.75" x14ac:dyDescent="0.25">
      <c r="A798" s="756"/>
    </row>
    <row r="799" spans="1:1" ht="15.75" x14ac:dyDescent="0.25">
      <c r="A799" s="756"/>
    </row>
    <row r="800" spans="1:1" ht="15.75" x14ac:dyDescent="0.25">
      <c r="A800" s="756"/>
    </row>
    <row r="801" spans="1:1" ht="15.75" x14ac:dyDescent="0.25">
      <c r="A801" s="756"/>
    </row>
    <row r="802" spans="1:1" ht="15.75" x14ac:dyDescent="0.25">
      <c r="A802" s="756"/>
    </row>
    <row r="803" spans="1:1" ht="15.75" x14ac:dyDescent="0.25">
      <c r="A803" s="756"/>
    </row>
    <row r="804" spans="1:1" ht="15.75" x14ac:dyDescent="0.25">
      <c r="A804" s="756"/>
    </row>
    <row r="805" spans="1:1" ht="15.75" x14ac:dyDescent="0.25">
      <c r="A805" s="756"/>
    </row>
    <row r="806" spans="1:1" ht="15.75" x14ac:dyDescent="0.25">
      <c r="A806" s="756"/>
    </row>
    <row r="807" spans="1:1" ht="15.75" x14ac:dyDescent="0.25">
      <c r="A807" s="756"/>
    </row>
    <row r="808" spans="1:1" ht="15.75" x14ac:dyDescent="0.25">
      <c r="A808" s="756"/>
    </row>
    <row r="809" spans="1:1" ht="15.75" x14ac:dyDescent="0.25">
      <c r="A809" s="756"/>
    </row>
    <row r="810" spans="1:1" ht="15.75" x14ac:dyDescent="0.25">
      <c r="A810" s="756"/>
    </row>
    <row r="811" spans="1:1" ht="15.75" x14ac:dyDescent="0.25">
      <c r="A811" s="756"/>
    </row>
    <row r="812" spans="1:1" ht="15.75" x14ac:dyDescent="0.25">
      <c r="A812" s="756"/>
    </row>
    <row r="813" spans="1:1" ht="15.75" x14ac:dyDescent="0.25">
      <c r="A813" s="756"/>
    </row>
    <row r="814" spans="1:1" ht="15.75" x14ac:dyDescent="0.25">
      <c r="A814" s="756"/>
    </row>
    <row r="815" spans="1:1" ht="15.75" x14ac:dyDescent="0.25">
      <c r="A815" s="756"/>
    </row>
    <row r="816" spans="1:1" ht="15.75" x14ac:dyDescent="0.25">
      <c r="A816" s="756"/>
    </row>
    <row r="817" spans="1:1" ht="15.75" x14ac:dyDescent="0.25">
      <c r="A817" s="756"/>
    </row>
    <row r="818" spans="1:1" ht="15.75" x14ac:dyDescent="0.25">
      <c r="A818" s="756"/>
    </row>
    <row r="819" spans="1:1" ht="15.75" x14ac:dyDescent="0.25">
      <c r="A819" s="756"/>
    </row>
    <row r="820" spans="1:1" ht="15.75" x14ac:dyDescent="0.25">
      <c r="A820" s="756"/>
    </row>
    <row r="821" spans="1:1" ht="15.75" x14ac:dyDescent="0.25">
      <c r="A821" s="756"/>
    </row>
    <row r="822" spans="1:1" ht="15.75" x14ac:dyDescent="0.25">
      <c r="A822" s="756"/>
    </row>
    <row r="823" spans="1:1" ht="15.75" x14ac:dyDescent="0.25">
      <c r="A823" s="756"/>
    </row>
    <row r="824" spans="1:1" ht="15.75" x14ac:dyDescent="0.25">
      <c r="A824" s="756"/>
    </row>
    <row r="825" spans="1:1" ht="15.75" x14ac:dyDescent="0.25">
      <c r="A825" s="756"/>
    </row>
    <row r="826" spans="1:1" ht="15.75" x14ac:dyDescent="0.25">
      <c r="A826" s="756"/>
    </row>
    <row r="827" spans="1:1" ht="15.75" x14ac:dyDescent="0.25">
      <c r="A827" s="756"/>
    </row>
    <row r="828" spans="1:1" ht="15.75" x14ac:dyDescent="0.25">
      <c r="A828" s="756"/>
    </row>
    <row r="829" spans="1:1" ht="15.75" x14ac:dyDescent="0.25">
      <c r="A829" s="756"/>
    </row>
    <row r="830" spans="1:1" ht="15.75" x14ac:dyDescent="0.25">
      <c r="A830" s="756"/>
    </row>
    <row r="831" spans="1:1" ht="15.75" x14ac:dyDescent="0.25">
      <c r="A831" s="756"/>
    </row>
    <row r="832" spans="1:1" ht="15.75" x14ac:dyDescent="0.25">
      <c r="A832" s="756"/>
    </row>
    <row r="833" spans="1:1" ht="15.75" x14ac:dyDescent="0.25">
      <c r="A833" s="756"/>
    </row>
    <row r="834" spans="1:1" ht="15.75" x14ac:dyDescent="0.25">
      <c r="A834" s="756"/>
    </row>
    <row r="835" spans="1:1" ht="15.75" x14ac:dyDescent="0.25">
      <c r="A835" s="756"/>
    </row>
    <row r="836" spans="1:1" ht="15.75" x14ac:dyDescent="0.25">
      <c r="A836" s="756"/>
    </row>
    <row r="837" spans="1:1" ht="15.75" x14ac:dyDescent="0.25">
      <c r="A837" s="756"/>
    </row>
    <row r="838" spans="1:1" ht="15.75" x14ac:dyDescent="0.25">
      <c r="A838" s="756"/>
    </row>
    <row r="839" spans="1:1" ht="15.75" x14ac:dyDescent="0.25">
      <c r="A839" s="756"/>
    </row>
    <row r="840" spans="1:1" ht="15.75" x14ac:dyDescent="0.25">
      <c r="A840" s="756"/>
    </row>
    <row r="841" spans="1:1" ht="15.75" x14ac:dyDescent="0.25">
      <c r="A841" s="756"/>
    </row>
    <row r="842" spans="1:1" ht="15.75" x14ac:dyDescent="0.25">
      <c r="A842" s="756"/>
    </row>
    <row r="843" spans="1:1" ht="15.75" x14ac:dyDescent="0.25">
      <c r="A843" s="756"/>
    </row>
    <row r="844" spans="1:1" ht="15.75" x14ac:dyDescent="0.25">
      <c r="A844" s="756"/>
    </row>
    <row r="845" spans="1:1" ht="15.75" x14ac:dyDescent="0.25">
      <c r="A845" s="756"/>
    </row>
    <row r="846" spans="1:1" ht="15.75" x14ac:dyDescent="0.25">
      <c r="A846" s="756"/>
    </row>
    <row r="847" spans="1:1" ht="15.75" x14ac:dyDescent="0.25">
      <c r="A847" s="756"/>
    </row>
    <row r="848" spans="1:1" ht="15.75" x14ac:dyDescent="0.25">
      <c r="A848" s="756"/>
    </row>
    <row r="849" spans="1:1" ht="15.75" x14ac:dyDescent="0.25">
      <c r="A849" s="756"/>
    </row>
    <row r="850" spans="1:1" ht="15.75" x14ac:dyDescent="0.25">
      <c r="A850" s="756"/>
    </row>
    <row r="851" spans="1:1" ht="15.75" x14ac:dyDescent="0.25">
      <c r="A851" s="756"/>
    </row>
    <row r="852" spans="1:1" ht="15.75" x14ac:dyDescent="0.25">
      <c r="A852" s="756"/>
    </row>
    <row r="853" spans="1:1" ht="15.75" x14ac:dyDescent="0.25">
      <c r="A853" s="756"/>
    </row>
    <row r="854" spans="1:1" ht="15.75" x14ac:dyDescent="0.25">
      <c r="A854" s="756"/>
    </row>
    <row r="855" spans="1:1" ht="15.75" x14ac:dyDescent="0.25">
      <c r="A855" s="756"/>
    </row>
    <row r="856" spans="1:1" ht="15.75" x14ac:dyDescent="0.25">
      <c r="A856" s="756"/>
    </row>
    <row r="857" spans="1:1" ht="15.75" x14ac:dyDescent="0.25">
      <c r="A857" s="756"/>
    </row>
    <row r="858" spans="1:1" ht="15.75" x14ac:dyDescent="0.25">
      <c r="A858" s="756"/>
    </row>
    <row r="859" spans="1:1" ht="15.75" x14ac:dyDescent="0.25">
      <c r="A859" s="756"/>
    </row>
    <row r="860" spans="1:1" ht="15.75" x14ac:dyDescent="0.25">
      <c r="A860" s="756"/>
    </row>
    <row r="861" spans="1:1" ht="15.75" x14ac:dyDescent="0.25">
      <c r="A861" s="756"/>
    </row>
    <row r="862" spans="1:1" ht="15.75" x14ac:dyDescent="0.25">
      <c r="A862" s="756"/>
    </row>
    <row r="863" spans="1:1" ht="15.75" x14ac:dyDescent="0.25">
      <c r="A863" s="756"/>
    </row>
    <row r="864" spans="1:1" ht="15.75" x14ac:dyDescent="0.25">
      <c r="A864" s="756"/>
    </row>
    <row r="865" spans="1:1" ht="15.75" x14ac:dyDescent="0.25">
      <c r="A865" s="756"/>
    </row>
    <row r="866" spans="1:1" ht="15.75" x14ac:dyDescent="0.25">
      <c r="A866" s="756"/>
    </row>
    <row r="867" spans="1:1" ht="15.75" x14ac:dyDescent="0.25">
      <c r="A867" s="756"/>
    </row>
    <row r="868" spans="1:1" ht="15.75" x14ac:dyDescent="0.25">
      <c r="A868" s="756"/>
    </row>
    <row r="869" spans="1:1" ht="15.75" x14ac:dyDescent="0.25">
      <c r="A869" s="756"/>
    </row>
    <row r="870" spans="1:1" ht="15.75" x14ac:dyDescent="0.25">
      <c r="A870" s="756"/>
    </row>
    <row r="871" spans="1:1" ht="15.75" x14ac:dyDescent="0.25">
      <c r="A871" s="756"/>
    </row>
    <row r="872" spans="1:1" ht="15.75" x14ac:dyDescent="0.25">
      <c r="A872" s="756"/>
    </row>
    <row r="873" spans="1:1" ht="15.75" x14ac:dyDescent="0.25">
      <c r="A873" s="756"/>
    </row>
    <row r="874" spans="1:1" ht="15.75" x14ac:dyDescent="0.25">
      <c r="A874" s="756"/>
    </row>
    <row r="875" spans="1:1" ht="15.75" x14ac:dyDescent="0.25">
      <c r="A875" s="756"/>
    </row>
    <row r="876" spans="1:1" ht="15.75" x14ac:dyDescent="0.25">
      <c r="A876" s="756"/>
    </row>
    <row r="877" spans="1:1" ht="15.75" x14ac:dyDescent="0.25">
      <c r="A877" s="756"/>
    </row>
    <row r="878" spans="1:1" ht="15.75" x14ac:dyDescent="0.25">
      <c r="A878" s="756"/>
    </row>
    <row r="879" spans="1:1" ht="15.75" x14ac:dyDescent="0.25">
      <c r="A879" s="756"/>
    </row>
    <row r="880" spans="1:1" ht="15.75" x14ac:dyDescent="0.25">
      <c r="A880" s="756"/>
    </row>
    <row r="881" spans="1:1" ht="15.75" x14ac:dyDescent="0.25">
      <c r="A881" s="756"/>
    </row>
    <row r="882" spans="1:1" ht="15.75" x14ac:dyDescent="0.25">
      <c r="A882" s="756"/>
    </row>
    <row r="883" spans="1:1" ht="15.75" x14ac:dyDescent="0.25">
      <c r="A883" s="756"/>
    </row>
    <row r="884" spans="1:1" ht="15.75" x14ac:dyDescent="0.25">
      <c r="A884" s="756"/>
    </row>
    <row r="885" spans="1:1" ht="15.75" x14ac:dyDescent="0.25">
      <c r="A885" s="756"/>
    </row>
    <row r="886" spans="1:1" ht="15.75" x14ac:dyDescent="0.25">
      <c r="A886" s="756"/>
    </row>
    <row r="887" spans="1:1" ht="15.75" x14ac:dyDescent="0.25">
      <c r="A887" s="756"/>
    </row>
    <row r="888" spans="1:1" ht="15.75" x14ac:dyDescent="0.25">
      <c r="A888" s="756"/>
    </row>
    <row r="889" spans="1:1" ht="15.75" x14ac:dyDescent="0.25">
      <c r="A889" s="756"/>
    </row>
    <row r="890" spans="1:1" ht="15.75" x14ac:dyDescent="0.25">
      <c r="A890" s="756"/>
    </row>
    <row r="891" spans="1:1" ht="15.75" x14ac:dyDescent="0.25">
      <c r="A891" s="756"/>
    </row>
    <row r="892" spans="1:1" ht="15.75" x14ac:dyDescent="0.25">
      <c r="A892" s="756"/>
    </row>
    <row r="893" spans="1:1" ht="15.75" x14ac:dyDescent="0.25">
      <c r="A893" s="756"/>
    </row>
    <row r="894" spans="1:1" ht="15.75" x14ac:dyDescent="0.25">
      <c r="A894" s="756"/>
    </row>
    <row r="895" spans="1:1" ht="15.75" x14ac:dyDescent="0.25">
      <c r="A895" s="756"/>
    </row>
    <row r="896" spans="1:1" ht="15.75" x14ac:dyDescent="0.25">
      <c r="A896" s="756"/>
    </row>
    <row r="897" spans="1:1" ht="15.75" x14ac:dyDescent="0.25">
      <c r="A897" s="756"/>
    </row>
    <row r="898" spans="1:1" ht="15.75" x14ac:dyDescent="0.25">
      <c r="A898" s="756"/>
    </row>
    <row r="899" spans="1:1" ht="15.75" x14ac:dyDescent="0.25">
      <c r="A899" s="756"/>
    </row>
    <row r="900" spans="1:1" ht="15.75" x14ac:dyDescent="0.25">
      <c r="A900" s="756"/>
    </row>
    <row r="901" spans="1:1" ht="15.75" x14ac:dyDescent="0.25">
      <c r="A901" s="756"/>
    </row>
    <row r="902" spans="1:1" ht="15.75" x14ac:dyDescent="0.25">
      <c r="A902" s="756"/>
    </row>
    <row r="903" spans="1:1" ht="15.75" x14ac:dyDescent="0.25">
      <c r="A903" s="756"/>
    </row>
    <row r="904" spans="1:1" ht="15.75" x14ac:dyDescent="0.25">
      <c r="A904" s="756"/>
    </row>
    <row r="905" spans="1:1" ht="15.75" x14ac:dyDescent="0.25">
      <c r="A905" s="756"/>
    </row>
    <row r="906" spans="1:1" ht="15.75" x14ac:dyDescent="0.25">
      <c r="A906" s="756"/>
    </row>
    <row r="907" spans="1:1" ht="15.75" x14ac:dyDescent="0.25">
      <c r="A907" s="756"/>
    </row>
    <row r="908" spans="1:1" ht="15.75" x14ac:dyDescent="0.25">
      <c r="A908" s="756"/>
    </row>
    <row r="909" spans="1:1" ht="15.75" x14ac:dyDescent="0.25">
      <c r="A909" s="756"/>
    </row>
    <row r="910" spans="1:1" ht="15.75" x14ac:dyDescent="0.25">
      <c r="A910" s="756"/>
    </row>
    <row r="911" spans="1:1" ht="15.75" x14ac:dyDescent="0.25">
      <c r="A911" s="756"/>
    </row>
    <row r="912" spans="1:1" ht="15.75" x14ac:dyDescent="0.25">
      <c r="A912" s="756"/>
    </row>
    <row r="913" spans="1:1" ht="15.75" x14ac:dyDescent="0.25">
      <c r="A913" s="756"/>
    </row>
    <row r="914" spans="1:1" ht="15.75" x14ac:dyDescent="0.25">
      <c r="A914" s="756"/>
    </row>
    <row r="915" spans="1:1" ht="15.75" x14ac:dyDescent="0.25">
      <c r="A915" s="756"/>
    </row>
    <row r="916" spans="1:1" ht="15.75" x14ac:dyDescent="0.25">
      <c r="A916" s="756"/>
    </row>
    <row r="917" spans="1:1" ht="15.75" x14ac:dyDescent="0.25">
      <c r="A917" s="756"/>
    </row>
    <row r="918" spans="1:1" ht="15.75" x14ac:dyDescent="0.25">
      <c r="A918" s="756"/>
    </row>
    <row r="919" spans="1:1" ht="15.75" x14ac:dyDescent="0.25">
      <c r="A919" s="756"/>
    </row>
    <row r="920" spans="1:1" ht="15.75" x14ac:dyDescent="0.25">
      <c r="A920" s="756"/>
    </row>
    <row r="921" spans="1:1" ht="15.75" x14ac:dyDescent="0.25">
      <c r="A921" s="756"/>
    </row>
    <row r="922" spans="1:1" ht="15.75" x14ac:dyDescent="0.25">
      <c r="A922" s="756"/>
    </row>
    <row r="923" spans="1:1" ht="15.75" x14ac:dyDescent="0.25">
      <c r="A923" s="756"/>
    </row>
    <row r="924" spans="1:1" ht="15.75" x14ac:dyDescent="0.25">
      <c r="A924" s="756"/>
    </row>
    <row r="925" spans="1:1" ht="15.75" x14ac:dyDescent="0.25">
      <c r="A925" s="756"/>
    </row>
    <row r="926" spans="1:1" ht="15.75" x14ac:dyDescent="0.25">
      <c r="A926" s="756"/>
    </row>
    <row r="927" spans="1:1" ht="15.75" x14ac:dyDescent="0.25">
      <c r="A927" s="756"/>
    </row>
    <row r="928" spans="1:1" ht="15.75" x14ac:dyDescent="0.25">
      <c r="A928" s="756"/>
    </row>
    <row r="929" spans="1:1" ht="15.75" x14ac:dyDescent="0.25">
      <c r="A929" s="756"/>
    </row>
    <row r="930" spans="1:1" ht="15.75" x14ac:dyDescent="0.25">
      <c r="A930" s="756"/>
    </row>
    <row r="931" spans="1:1" ht="15.75" x14ac:dyDescent="0.25">
      <c r="A931" s="756"/>
    </row>
    <row r="932" spans="1:1" ht="15.75" x14ac:dyDescent="0.25">
      <c r="A932" s="756"/>
    </row>
    <row r="933" spans="1:1" ht="15.75" x14ac:dyDescent="0.25">
      <c r="A933" s="756"/>
    </row>
    <row r="934" spans="1:1" ht="15.75" x14ac:dyDescent="0.25">
      <c r="A934" s="756"/>
    </row>
    <row r="935" spans="1:1" ht="15.75" x14ac:dyDescent="0.25">
      <c r="A935" s="756"/>
    </row>
    <row r="936" spans="1:1" ht="15.75" x14ac:dyDescent="0.25">
      <c r="A936" s="756"/>
    </row>
    <row r="937" spans="1:1" ht="15.75" x14ac:dyDescent="0.25">
      <c r="A937" s="756"/>
    </row>
    <row r="938" spans="1:1" ht="15.75" x14ac:dyDescent="0.25">
      <c r="A938" s="756"/>
    </row>
    <row r="939" spans="1:1" ht="15.75" x14ac:dyDescent="0.25">
      <c r="A939" s="756"/>
    </row>
    <row r="940" spans="1:1" ht="15.75" x14ac:dyDescent="0.25">
      <c r="A940" s="756"/>
    </row>
    <row r="941" spans="1:1" ht="15.75" x14ac:dyDescent="0.25">
      <c r="A941" s="756"/>
    </row>
    <row r="942" spans="1:1" ht="15.75" x14ac:dyDescent="0.25">
      <c r="A942" s="756"/>
    </row>
    <row r="943" spans="1:1" ht="15.75" x14ac:dyDescent="0.25">
      <c r="A943" s="756"/>
    </row>
    <row r="944" spans="1:1" ht="15.75" x14ac:dyDescent="0.25">
      <c r="A944" s="756"/>
    </row>
    <row r="945" spans="1:1" ht="15.75" x14ac:dyDescent="0.25">
      <c r="A945" s="756"/>
    </row>
    <row r="946" spans="1:1" ht="15.75" x14ac:dyDescent="0.25">
      <c r="A946" s="756"/>
    </row>
    <row r="947" spans="1:1" ht="15.75" x14ac:dyDescent="0.25">
      <c r="A947" s="756"/>
    </row>
    <row r="948" spans="1:1" ht="15.75" x14ac:dyDescent="0.25">
      <c r="A948" s="756"/>
    </row>
    <row r="949" spans="1:1" ht="15.75" x14ac:dyDescent="0.25">
      <c r="A949" s="756"/>
    </row>
    <row r="950" spans="1:1" ht="15.75" x14ac:dyDescent="0.25">
      <c r="A950" s="756"/>
    </row>
    <row r="951" spans="1:1" ht="15.75" x14ac:dyDescent="0.25">
      <c r="A951" s="756"/>
    </row>
    <row r="952" spans="1:1" ht="15.75" x14ac:dyDescent="0.25">
      <c r="A952" s="756"/>
    </row>
    <row r="953" spans="1:1" ht="15.75" x14ac:dyDescent="0.25">
      <c r="A953" s="756"/>
    </row>
    <row r="954" spans="1:1" ht="15.75" x14ac:dyDescent="0.25">
      <c r="A954" s="756"/>
    </row>
    <row r="955" spans="1:1" ht="15.75" x14ac:dyDescent="0.25">
      <c r="A955" s="756"/>
    </row>
    <row r="956" spans="1:1" ht="15.75" x14ac:dyDescent="0.25">
      <c r="A956" s="756"/>
    </row>
    <row r="957" spans="1:1" ht="15.75" x14ac:dyDescent="0.25">
      <c r="A957" s="756"/>
    </row>
    <row r="958" spans="1:1" ht="15.75" x14ac:dyDescent="0.25">
      <c r="A958" s="756"/>
    </row>
    <row r="959" spans="1:1" ht="15.75" x14ac:dyDescent="0.25">
      <c r="A959" s="756"/>
    </row>
    <row r="960" spans="1:1" ht="15.75" x14ac:dyDescent="0.25">
      <c r="A960" s="756"/>
    </row>
    <row r="961" spans="1:1" ht="15.75" x14ac:dyDescent="0.25">
      <c r="A961" s="756"/>
    </row>
    <row r="962" spans="1:1" ht="15.75" x14ac:dyDescent="0.25">
      <c r="A962" s="756"/>
    </row>
    <row r="963" spans="1:1" ht="15.75" x14ac:dyDescent="0.25">
      <c r="A963" s="756"/>
    </row>
    <row r="964" spans="1:1" ht="15.75" x14ac:dyDescent="0.25">
      <c r="A964" s="756"/>
    </row>
    <row r="965" spans="1:1" ht="15.75" x14ac:dyDescent="0.25">
      <c r="A965" s="756"/>
    </row>
    <row r="966" spans="1:1" ht="15.75" x14ac:dyDescent="0.25">
      <c r="A966" s="756"/>
    </row>
    <row r="967" spans="1:1" ht="15.75" x14ac:dyDescent="0.25">
      <c r="A967" s="756"/>
    </row>
    <row r="968" spans="1:1" ht="15.75" x14ac:dyDescent="0.25">
      <c r="A968" s="756"/>
    </row>
    <row r="969" spans="1:1" ht="15.75" x14ac:dyDescent="0.25">
      <c r="A969" s="756"/>
    </row>
    <row r="970" spans="1:1" ht="15.75" x14ac:dyDescent="0.25">
      <c r="A970" s="756"/>
    </row>
    <row r="971" spans="1:1" ht="15.75" x14ac:dyDescent="0.25">
      <c r="A971" s="756"/>
    </row>
    <row r="972" spans="1:1" ht="15.75" x14ac:dyDescent="0.25">
      <c r="A972" s="756"/>
    </row>
    <row r="973" spans="1:1" ht="15.75" x14ac:dyDescent="0.25">
      <c r="A973" s="756"/>
    </row>
    <row r="974" spans="1:1" ht="15.75" x14ac:dyDescent="0.25">
      <c r="A974" s="756"/>
    </row>
    <row r="975" spans="1:1" ht="15.75" x14ac:dyDescent="0.25">
      <c r="A975" s="756"/>
    </row>
    <row r="976" spans="1:1" ht="15.75" x14ac:dyDescent="0.25">
      <c r="A976" s="756"/>
    </row>
    <row r="977" spans="1:1" ht="15.75" x14ac:dyDescent="0.25">
      <c r="A977" s="756"/>
    </row>
    <row r="978" spans="1:1" ht="15.75" x14ac:dyDescent="0.25">
      <c r="A978" s="756"/>
    </row>
    <row r="979" spans="1:1" ht="15.75" x14ac:dyDescent="0.25">
      <c r="A979" s="756"/>
    </row>
    <row r="980" spans="1:1" ht="15.75" x14ac:dyDescent="0.25">
      <c r="A980" s="756"/>
    </row>
    <row r="981" spans="1:1" ht="15.75" x14ac:dyDescent="0.25">
      <c r="A981" s="756"/>
    </row>
    <row r="982" spans="1:1" ht="15.75" x14ac:dyDescent="0.25">
      <c r="A982" s="756"/>
    </row>
    <row r="983" spans="1:1" ht="15.75" x14ac:dyDescent="0.25">
      <c r="A983" s="756"/>
    </row>
    <row r="984" spans="1:1" ht="15.75" x14ac:dyDescent="0.25">
      <c r="A984" s="756"/>
    </row>
    <row r="985" spans="1:1" ht="15.75" x14ac:dyDescent="0.25">
      <c r="A985" s="756"/>
    </row>
    <row r="986" spans="1:1" ht="15.75" x14ac:dyDescent="0.25">
      <c r="A986" s="756"/>
    </row>
    <row r="987" spans="1:1" ht="15.75" x14ac:dyDescent="0.25">
      <c r="A987" s="756"/>
    </row>
    <row r="988" spans="1:1" ht="15.75" x14ac:dyDescent="0.25">
      <c r="A988" s="756"/>
    </row>
    <row r="989" spans="1:1" ht="15.75" x14ac:dyDescent="0.25">
      <c r="A989" s="756"/>
    </row>
    <row r="990" spans="1:1" ht="15.75" x14ac:dyDescent="0.25">
      <c r="A990" s="756"/>
    </row>
    <row r="991" spans="1:1" ht="15.75" x14ac:dyDescent="0.25">
      <c r="A991" s="756"/>
    </row>
    <row r="992" spans="1:1" ht="15.75" x14ac:dyDescent="0.25">
      <c r="A992" s="756"/>
    </row>
    <row r="993" spans="1:1" ht="15.75" x14ac:dyDescent="0.25">
      <c r="A993" s="756"/>
    </row>
    <row r="994" spans="1:1" ht="15.75" x14ac:dyDescent="0.25">
      <c r="A994" s="756"/>
    </row>
    <row r="995" spans="1:1" ht="15.75" x14ac:dyDescent="0.25">
      <c r="A995" s="756"/>
    </row>
    <row r="996" spans="1:1" ht="15.75" x14ac:dyDescent="0.25">
      <c r="A996" s="756"/>
    </row>
    <row r="997" spans="1:1" ht="15.75" x14ac:dyDescent="0.25">
      <c r="A997" s="756"/>
    </row>
    <row r="998" spans="1:1" ht="15.75" x14ac:dyDescent="0.25">
      <c r="A998" s="756"/>
    </row>
    <row r="999" spans="1:1" ht="15.75" x14ac:dyDescent="0.25">
      <c r="A999" s="756"/>
    </row>
    <row r="1000" spans="1:1" ht="15.75" x14ac:dyDescent="0.25">
      <c r="A1000" s="756"/>
    </row>
    <row r="1001" spans="1:1" ht="15.75" x14ac:dyDescent="0.25">
      <c r="A1001" s="756"/>
    </row>
    <row r="1002" spans="1:1" ht="15.75" x14ac:dyDescent="0.25">
      <c r="A1002" s="756"/>
    </row>
    <row r="1003" spans="1:1" ht="15.75" x14ac:dyDescent="0.25">
      <c r="A1003" s="756"/>
    </row>
    <row r="1004" spans="1:1" ht="15.75" x14ac:dyDescent="0.25">
      <c r="A1004" s="756"/>
    </row>
    <row r="1005" spans="1:1" ht="15.75" x14ac:dyDescent="0.25">
      <c r="A1005" s="756"/>
    </row>
    <row r="1006" spans="1:1" ht="15.75" x14ac:dyDescent="0.25">
      <c r="A1006" s="756"/>
    </row>
    <row r="1007" spans="1:1" ht="15.75" x14ac:dyDescent="0.25">
      <c r="A1007" s="756"/>
    </row>
    <row r="1008" spans="1:1" ht="15.75" x14ac:dyDescent="0.25">
      <c r="A1008" s="756"/>
    </row>
    <row r="1009" spans="1:1" ht="15.75" x14ac:dyDescent="0.25">
      <c r="A1009" s="756"/>
    </row>
    <row r="1010" spans="1:1" ht="15.75" x14ac:dyDescent="0.25">
      <c r="A1010" s="756"/>
    </row>
    <row r="1011" spans="1:1" ht="15.75" x14ac:dyDescent="0.25">
      <c r="A1011" s="756"/>
    </row>
    <row r="1012" spans="1:1" ht="15.75" x14ac:dyDescent="0.25">
      <c r="A1012" s="756"/>
    </row>
    <row r="1013" spans="1:1" ht="15.75" x14ac:dyDescent="0.25">
      <c r="A1013" s="756"/>
    </row>
    <row r="1014" spans="1:1" ht="15.75" x14ac:dyDescent="0.25">
      <c r="A1014" s="756"/>
    </row>
    <row r="1015" spans="1:1" ht="15.75" x14ac:dyDescent="0.25">
      <c r="A1015" s="756"/>
    </row>
    <row r="1016" spans="1:1" ht="15.75" x14ac:dyDescent="0.25">
      <c r="A1016" s="756"/>
    </row>
    <row r="1017" spans="1:1" ht="15.75" x14ac:dyDescent="0.25">
      <c r="A1017" s="756"/>
    </row>
    <row r="1018" spans="1:1" ht="15.75" x14ac:dyDescent="0.25">
      <c r="A1018" s="756"/>
    </row>
    <row r="1019" spans="1:1" ht="15.75" x14ac:dyDescent="0.25">
      <c r="A1019" s="756"/>
    </row>
    <row r="1020" spans="1:1" ht="15.75" x14ac:dyDescent="0.25">
      <c r="A1020" s="756"/>
    </row>
    <row r="1021" spans="1:1" ht="15.75" x14ac:dyDescent="0.25">
      <c r="A1021" s="756"/>
    </row>
    <row r="1022" spans="1:1" ht="15.75" x14ac:dyDescent="0.25">
      <c r="A1022" s="756"/>
    </row>
    <row r="1023" spans="1:1" ht="15.75" x14ac:dyDescent="0.25">
      <c r="A1023" s="756"/>
    </row>
    <row r="1024" spans="1:1" ht="15.75" x14ac:dyDescent="0.25">
      <c r="A1024" s="756"/>
    </row>
    <row r="1025" spans="1:1" ht="15.75" x14ac:dyDescent="0.25">
      <c r="A1025" s="756"/>
    </row>
    <row r="1026" spans="1:1" ht="15.75" x14ac:dyDescent="0.25">
      <c r="A1026" s="756"/>
    </row>
    <row r="1027" spans="1:1" ht="15.75" x14ac:dyDescent="0.25">
      <c r="A1027" s="756"/>
    </row>
    <row r="1028" spans="1:1" ht="15.75" x14ac:dyDescent="0.25">
      <c r="A1028" s="756"/>
    </row>
    <row r="1029" spans="1:1" ht="15.75" x14ac:dyDescent="0.25">
      <c r="A1029" s="756"/>
    </row>
    <row r="1030" spans="1:1" ht="15.75" x14ac:dyDescent="0.25">
      <c r="A1030" s="756"/>
    </row>
    <row r="1031" spans="1:1" ht="15.75" x14ac:dyDescent="0.25">
      <c r="A1031" s="756"/>
    </row>
    <row r="1032" spans="1:1" ht="15.75" x14ac:dyDescent="0.25">
      <c r="A1032" s="756"/>
    </row>
    <row r="1033" spans="1:1" ht="15.75" x14ac:dyDescent="0.25">
      <c r="A1033" s="756"/>
    </row>
    <row r="1034" spans="1:1" ht="15.75" x14ac:dyDescent="0.25">
      <c r="A1034" s="756"/>
    </row>
    <row r="1035" spans="1:1" ht="15.75" x14ac:dyDescent="0.25">
      <c r="A1035" s="756"/>
    </row>
    <row r="1036" spans="1:1" ht="15.75" x14ac:dyDescent="0.25">
      <c r="A1036" s="756"/>
    </row>
    <row r="1037" spans="1:1" ht="15.75" x14ac:dyDescent="0.25">
      <c r="A1037" s="756"/>
    </row>
    <row r="1038" spans="1:1" ht="15.75" x14ac:dyDescent="0.25">
      <c r="A1038" s="756"/>
    </row>
    <row r="1039" spans="1:1" ht="15.75" x14ac:dyDescent="0.25">
      <c r="A1039" s="756"/>
    </row>
    <row r="1040" spans="1:1" ht="15.75" x14ac:dyDescent="0.25">
      <c r="A1040" s="756"/>
    </row>
    <row r="1041" spans="1:1" ht="15.75" x14ac:dyDescent="0.25">
      <c r="A1041" s="756"/>
    </row>
    <row r="1042" spans="1:1" ht="15.75" x14ac:dyDescent="0.25">
      <c r="A1042" s="756"/>
    </row>
    <row r="1043" spans="1:1" ht="15.75" x14ac:dyDescent="0.25">
      <c r="A1043" s="756"/>
    </row>
    <row r="1044" spans="1:1" ht="15.75" x14ac:dyDescent="0.25">
      <c r="A1044" s="756"/>
    </row>
    <row r="1045" spans="1:1" ht="15.75" x14ac:dyDescent="0.25">
      <c r="A1045" s="756"/>
    </row>
    <row r="1046" spans="1:1" ht="15.75" x14ac:dyDescent="0.25">
      <c r="A1046" s="756"/>
    </row>
    <row r="1047" spans="1:1" ht="15.75" x14ac:dyDescent="0.25">
      <c r="A1047" s="756"/>
    </row>
    <row r="1048" spans="1:1" ht="15.75" x14ac:dyDescent="0.25">
      <c r="A1048" s="756"/>
    </row>
    <row r="1049" spans="1:1" ht="15.75" x14ac:dyDescent="0.25">
      <c r="A1049" s="756"/>
    </row>
    <row r="1050" spans="1:1" ht="15.75" x14ac:dyDescent="0.25">
      <c r="A1050" s="756"/>
    </row>
    <row r="1051" spans="1:1" ht="15.75" x14ac:dyDescent="0.25">
      <c r="A1051" s="756"/>
    </row>
    <row r="1052" spans="1:1" ht="15.75" x14ac:dyDescent="0.25">
      <c r="A1052" s="756"/>
    </row>
    <row r="1053" spans="1:1" ht="15.75" x14ac:dyDescent="0.25">
      <c r="A1053" s="756"/>
    </row>
    <row r="1054" spans="1:1" ht="15.75" x14ac:dyDescent="0.25">
      <c r="A1054" s="756"/>
    </row>
    <row r="1055" spans="1:1" ht="15.75" x14ac:dyDescent="0.25">
      <c r="A1055" s="756"/>
    </row>
    <row r="1056" spans="1:1" ht="15.75" x14ac:dyDescent="0.25">
      <c r="A1056" s="756"/>
    </row>
    <row r="1057" spans="1:1" ht="15.75" x14ac:dyDescent="0.25">
      <c r="A1057" s="756"/>
    </row>
    <row r="1058" spans="1:1" ht="15.75" x14ac:dyDescent="0.25">
      <c r="A1058" s="756"/>
    </row>
    <row r="1059" spans="1:1" ht="15.75" x14ac:dyDescent="0.25">
      <c r="A1059" s="756"/>
    </row>
    <row r="1060" spans="1:1" ht="15.75" x14ac:dyDescent="0.25">
      <c r="A1060" s="756"/>
    </row>
    <row r="1061" spans="1:1" ht="15.75" x14ac:dyDescent="0.25">
      <c r="A1061" s="756"/>
    </row>
    <row r="1062" spans="1:1" ht="15.75" x14ac:dyDescent="0.25">
      <c r="A1062" s="756"/>
    </row>
    <row r="1063" spans="1:1" ht="15.75" x14ac:dyDescent="0.25">
      <c r="A1063" s="756"/>
    </row>
    <row r="1064" spans="1:1" ht="15.75" x14ac:dyDescent="0.25">
      <c r="A1064" s="756"/>
    </row>
    <row r="1065" spans="1:1" ht="15.75" x14ac:dyDescent="0.25">
      <c r="A1065" s="756"/>
    </row>
    <row r="1066" spans="1:1" ht="15.75" x14ac:dyDescent="0.25">
      <c r="A1066" s="756"/>
    </row>
    <row r="1067" spans="1:1" ht="15.75" x14ac:dyDescent="0.25">
      <c r="A1067" s="756"/>
    </row>
    <row r="1068" spans="1:1" ht="15.75" x14ac:dyDescent="0.25">
      <c r="A1068" s="756"/>
    </row>
    <row r="1069" spans="1:1" ht="15.75" x14ac:dyDescent="0.25">
      <c r="A1069" s="756"/>
    </row>
    <row r="1070" spans="1:1" ht="15.75" x14ac:dyDescent="0.25">
      <c r="A1070" s="756"/>
    </row>
    <row r="1071" spans="1:1" ht="15.75" x14ac:dyDescent="0.25">
      <c r="A1071" s="756"/>
    </row>
    <row r="1072" spans="1:1" ht="15.75" x14ac:dyDescent="0.25">
      <c r="A1072" s="756"/>
    </row>
    <row r="1073" spans="1:1" ht="15.75" x14ac:dyDescent="0.25">
      <c r="A1073" s="756"/>
    </row>
    <row r="1074" spans="1:1" ht="15.75" x14ac:dyDescent="0.25">
      <c r="A1074" s="756"/>
    </row>
    <row r="1075" spans="1:1" ht="15.75" x14ac:dyDescent="0.25">
      <c r="A1075" s="756"/>
    </row>
    <row r="1076" spans="1:1" ht="15.75" x14ac:dyDescent="0.25">
      <c r="A1076" s="756"/>
    </row>
    <row r="1077" spans="1:1" ht="15.75" x14ac:dyDescent="0.25">
      <c r="A1077" s="756"/>
    </row>
    <row r="1078" spans="1:1" ht="15.75" x14ac:dyDescent="0.25">
      <c r="A1078" s="756"/>
    </row>
    <row r="1079" spans="1:1" ht="15.75" x14ac:dyDescent="0.25">
      <c r="A1079" s="756"/>
    </row>
    <row r="1080" spans="1:1" ht="15.75" x14ac:dyDescent="0.25">
      <c r="A1080" s="756"/>
    </row>
    <row r="1081" spans="1:1" ht="15.75" x14ac:dyDescent="0.25">
      <c r="A1081" s="756"/>
    </row>
    <row r="1082" spans="1:1" ht="15.75" x14ac:dyDescent="0.25">
      <c r="A1082" s="756"/>
    </row>
    <row r="1083" spans="1:1" ht="15.75" x14ac:dyDescent="0.25">
      <c r="A1083" s="756"/>
    </row>
    <row r="1084" spans="1:1" ht="15.75" x14ac:dyDescent="0.25">
      <c r="A1084" s="756"/>
    </row>
    <row r="1085" spans="1:1" ht="15.75" x14ac:dyDescent="0.25">
      <c r="A1085" s="756"/>
    </row>
    <row r="1086" spans="1:1" ht="15.75" x14ac:dyDescent="0.25">
      <c r="A1086" s="756"/>
    </row>
    <row r="1087" spans="1:1" ht="15.75" x14ac:dyDescent="0.25">
      <c r="A1087" s="756"/>
    </row>
    <row r="1088" spans="1:1" ht="15.75" x14ac:dyDescent="0.25">
      <c r="A1088" s="756"/>
    </row>
    <row r="1089" spans="1:1" ht="15.75" x14ac:dyDescent="0.25">
      <c r="A1089" s="756"/>
    </row>
    <row r="1090" spans="1:1" ht="15.75" x14ac:dyDescent="0.25">
      <c r="A1090" s="756"/>
    </row>
    <row r="1091" spans="1:1" ht="15.75" x14ac:dyDescent="0.25">
      <c r="A1091" s="756"/>
    </row>
    <row r="1092" spans="1:1" ht="15.75" x14ac:dyDescent="0.25">
      <c r="A1092" s="756"/>
    </row>
    <row r="1093" spans="1:1" ht="15.75" x14ac:dyDescent="0.25">
      <c r="A1093" s="756"/>
    </row>
    <row r="1094" spans="1:1" ht="15.75" x14ac:dyDescent="0.25">
      <c r="A1094" s="756"/>
    </row>
    <row r="1095" spans="1:1" ht="15.75" x14ac:dyDescent="0.25">
      <c r="A1095" s="756"/>
    </row>
    <row r="1096" spans="1:1" ht="15.75" x14ac:dyDescent="0.25">
      <c r="A1096" s="756"/>
    </row>
    <row r="1097" spans="1:1" ht="15.75" x14ac:dyDescent="0.25">
      <c r="A1097" s="756"/>
    </row>
    <row r="1098" spans="1:1" ht="15.75" x14ac:dyDescent="0.25">
      <c r="A1098" s="756"/>
    </row>
    <row r="1099" spans="1:1" ht="15.75" x14ac:dyDescent="0.25">
      <c r="A1099" s="756"/>
    </row>
    <row r="1100" spans="1:1" ht="15.75" x14ac:dyDescent="0.25">
      <c r="A1100" s="756"/>
    </row>
    <row r="1101" spans="1:1" ht="15.75" x14ac:dyDescent="0.25">
      <c r="A1101" s="756"/>
    </row>
    <row r="1102" spans="1:1" ht="15.75" x14ac:dyDescent="0.25">
      <c r="A1102" s="756"/>
    </row>
    <row r="1103" spans="1:1" ht="15.75" x14ac:dyDescent="0.25">
      <c r="A1103" s="756"/>
    </row>
    <row r="1104" spans="1:1" ht="15.75" x14ac:dyDescent="0.25">
      <c r="A1104" s="756"/>
    </row>
    <row r="1105" spans="1:1" ht="15.75" x14ac:dyDescent="0.25">
      <c r="A1105" s="756"/>
    </row>
    <row r="1106" spans="1:1" ht="15.75" x14ac:dyDescent="0.25">
      <c r="A1106" s="756"/>
    </row>
    <row r="1107" spans="1:1" ht="15.75" x14ac:dyDescent="0.25">
      <c r="A1107" s="756"/>
    </row>
    <row r="1108" spans="1:1" ht="15.75" x14ac:dyDescent="0.25">
      <c r="A1108" s="756"/>
    </row>
    <row r="1109" spans="1:1" ht="15.75" x14ac:dyDescent="0.25">
      <c r="A1109" s="756"/>
    </row>
    <row r="1110" spans="1:1" ht="15.75" x14ac:dyDescent="0.25">
      <c r="A1110" s="756"/>
    </row>
    <row r="1111" spans="1:1" ht="15.75" x14ac:dyDescent="0.25">
      <c r="A1111" s="756"/>
    </row>
    <row r="1112" spans="1:1" ht="15.75" x14ac:dyDescent="0.25">
      <c r="A1112" s="756"/>
    </row>
    <row r="1113" spans="1:1" ht="15.75" x14ac:dyDescent="0.25">
      <c r="A1113" s="756"/>
    </row>
    <row r="1114" spans="1:1" ht="15.75" x14ac:dyDescent="0.25">
      <c r="A1114" s="756"/>
    </row>
    <row r="1115" spans="1:1" ht="15.75" x14ac:dyDescent="0.25">
      <c r="A1115" s="756"/>
    </row>
    <row r="1116" spans="1:1" ht="15.75" x14ac:dyDescent="0.25">
      <c r="A1116" s="756"/>
    </row>
    <row r="1117" spans="1:1" ht="15.75" x14ac:dyDescent="0.25">
      <c r="A1117" s="756"/>
    </row>
    <row r="1118" spans="1:1" ht="15.75" x14ac:dyDescent="0.25">
      <c r="A1118" s="756"/>
    </row>
    <row r="1119" spans="1:1" ht="15.75" x14ac:dyDescent="0.25">
      <c r="A1119" s="756"/>
    </row>
    <row r="1120" spans="1:1" ht="15.75" x14ac:dyDescent="0.25">
      <c r="A1120" s="756"/>
    </row>
    <row r="1121" spans="1:1" ht="15.75" x14ac:dyDescent="0.25">
      <c r="A1121" s="756"/>
    </row>
    <row r="1122" spans="1:1" ht="15.75" x14ac:dyDescent="0.25">
      <c r="A1122" s="756"/>
    </row>
    <row r="1123" spans="1:1" ht="15.75" x14ac:dyDescent="0.25">
      <c r="A1123" s="756"/>
    </row>
    <row r="1124" spans="1:1" ht="15.75" x14ac:dyDescent="0.25">
      <c r="A1124" s="756"/>
    </row>
    <row r="1125" spans="1:1" ht="15.75" x14ac:dyDescent="0.25">
      <c r="A1125" s="756"/>
    </row>
    <row r="1126" spans="1:1" ht="15.75" x14ac:dyDescent="0.25">
      <c r="A1126" s="756"/>
    </row>
    <row r="1127" spans="1:1" ht="15.75" x14ac:dyDescent="0.25">
      <c r="A1127" s="756"/>
    </row>
    <row r="1128" spans="1:1" ht="15.75" x14ac:dyDescent="0.25">
      <c r="A1128" s="756"/>
    </row>
    <row r="1129" spans="1:1" ht="15.75" x14ac:dyDescent="0.25">
      <c r="A1129" s="756"/>
    </row>
    <row r="1130" spans="1:1" ht="15.75" x14ac:dyDescent="0.25">
      <c r="A1130" s="756"/>
    </row>
    <row r="1131" spans="1:1" ht="15.75" x14ac:dyDescent="0.25">
      <c r="A1131" s="756"/>
    </row>
    <row r="1132" spans="1:1" ht="15.75" x14ac:dyDescent="0.25">
      <c r="A1132" s="756"/>
    </row>
    <row r="1133" spans="1:1" ht="15.75" x14ac:dyDescent="0.25">
      <c r="A1133" s="756"/>
    </row>
    <row r="1134" spans="1:1" ht="15.75" x14ac:dyDescent="0.25">
      <c r="A1134" s="756"/>
    </row>
    <row r="1135" spans="1:1" ht="15.75" x14ac:dyDescent="0.25">
      <c r="A1135" s="756"/>
    </row>
    <row r="1136" spans="1:1" ht="15.75" x14ac:dyDescent="0.25">
      <c r="A1136" s="756"/>
    </row>
    <row r="1137" spans="1:1" ht="15.75" x14ac:dyDescent="0.25">
      <c r="A1137" s="756"/>
    </row>
    <row r="1138" spans="1:1" ht="15.75" x14ac:dyDescent="0.25">
      <c r="A1138" s="756"/>
    </row>
    <row r="1139" spans="1:1" ht="15.75" x14ac:dyDescent="0.25">
      <c r="A1139" s="756"/>
    </row>
    <row r="1140" spans="1:1" ht="15.75" x14ac:dyDescent="0.25">
      <c r="A1140" s="756"/>
    </row>
    <row r="1141" spans="1:1" ht="15.75" x14ac:dyDescent="0.25">
      <c r="A1141" s="756"/>
    </row>
    <row r="1142" spans="1:1" ht="15.75" x14ac:dyDescent="0.25">
      <c r="A1142" s="756"/>
    </row>
    <row r="1143" spans="1:1" ht="15.75" x14ac:dyDescent="0.25">
      <c r="A1143" s="756"/>
    </row>
    <row r="1144" spans="1:1" ht="15.75" x14ac:dyDescent="0.25">
      <c r="A1144" s="756"/>
    </row>
    <row r="1145" spans="1:1" ht="15.75" x14ac:dyDescent="0.25">
      <c r="A1145" s="756"/>
    </row>
    <row r="1146" spans="1:1" ht="15.75" x14ac:dyDescent="0.25">
      <c r="A1146" s="756"/>
    </row>
    <row r="1147" spans="1:1" ht="15.75" x14ac:dyDescent="0.25">
      <c r="A1147" s="756"/>
    </row>
    <row r="1148" spans="1:1" ht="15.75" x14ac:dyDescent="0.25">
      <c r="A1148" s="756"/>
    </row>
    <row r="1149" spans="1:1" ht="15.75" x14ac:dyDescent="0.25">
      <c r="A1149" s="756"/>
    </row>
    <row r="1150" spans="1:1" ht="15.75" x14ac:dyDescent="0.25">
      <c r="A1150" s="756"/>
    </row>
    <row r="1151" spans="1:1" ht="15.75" x14ac:dyDescent="0.25">
      <c r="A1151" s="756"/>
    </row>
    <row r="1152" spans="1:1" ht="15.75" x14ac:dyDescent="0.25">
      <c r="A1152" s="756"/>
    </row>
    <row r="1153" spans="1:1" ht="15.75" x14ac:dyDescent="0.25">
      <c r="A1153" s="756"/>
    </row>
    <row r="1154" spans="1:1" ht="15.75" x14ac:dyDescent="0.25">
      <c r="A1154" s="756"/>
    </row>
    <row r="1155" spans="1:1" ht="15.75" x14ac:dyDescent="0.25">
      <c r="A1155" s="756"/>
    </row>
    <row r="1156" spans="1:1" ht="15.75" x14ac:dyDescent="0.25">
      <c r="A1156" s="756"/>
    </row>
    <row r="1157" spans="1:1" ht="15.75" x14ac:dyDescent="0.25">
      <c r="A1157" s="756"/>
    </row>
    <row r="1158" spans="1:1" ht="15.75" x14ac:dyDescent="0.25">
      <c r="A1158" s="756"/>
    </row>
    <row r="1159" spans="1:1" ht="15.75" x14ac:dyDescent="0.25">
      <c r="A1159" s="756"/>
    </row>
    <row r="1160" spans="1:1" ht="15.75" x14ac:dyDescent="0.25">
      <c r="A1160" s="756"/>
    </row>
    <row r="1161" spans="1:1" ht="15.75" x14ac:dyDescent="0.25">
      <c r="A1161" s="756"/>
    </row>
    <row r="1162" spans="1:1" ht="15.75" x14ac:dyDescent="0.25">
      <c r="A1162" s="756"/>
    </row>
    <row r="1163" spans="1:1" ht="15.75" x14ac:dyDescent="0.25">
      <c r="A1163" s="756"/>
    </row>
    <row r="1164" spans="1:1" ht="15.75" x14ac:dyDescent="0.25">
      <c r="A1164" s="756"/>
    </row>
    <row r="1165" spans="1:1" ht="15.75" x14ac:dyDescent="0.25">
      <c r="A1165" s="756"/>
    </row>
    <row r="1166" spans="1:1" ht="15.75" x14ac:dyDescent="0.25">
      <c r="A1166" s="756"/>
    </row>
    <row r="1167" spans="1:1" ht="15.75" x14ac:dyDescent="0.25">
      <c r="A1167" s="756"/>
    </row>
    <row r="1168" spans="1:1" ht="15.75" x14ac:dyDescent="0.25">
      <c r="A1168" s="756"/>
    </row>
    <row r="1169" spans="1:1" ht="15.75" x14ac:dyDescent="0.25">
      <c r="A1169" s="756"/>
    </row>
    <row r="1170" spans="1:1" ht="15.75" x14ac:dyDescent="0.25">
      <c r="A1170" s="756"/>
    </row>
    <row r="1171" spans="1:1" ht="15.75" x14ac:dyDescent="0.25">
      <c r="A1171" s="756"/>
    </row>
    <row r="1172" spans="1:1" ht="15.75" x14ac:dyDescent="0.25">
      <c r="A1172" s="756"/>
    </row>
    <row r="1173" spans="1:1" ht="15.75" x14ac:dyDescent="0.25">
      <c r="A1173" s="756"/>
    </row>
    <row r="1174" spans="1:1" ht="15.75" x14ac:dyDescent="0.25">
      <c r="A1174" s="756"/>
    </row>
    <row r="1175" spans="1:1" ht="15.75" x14ac:dyDescent="0.25">
      <c r="A1175" s="756"/>
    </row>
    <row r="1176" spans="1:1" ht="15.75" x14ac:dyDescent="0.25">
      <c r="A1176" s="756"/>
    </row>
    <row r="1177" spans="1:1" ht="15.75" x14ac:dyDescent="0.25">
      <c r="A1177" s="756"/>
    </row>
    <row r="1178" spans="1:1" ht="15.75" x14ac:dyDescent="0.25">
      <c r="A1178" s="756"/>
    </row>
    <row r="1179" spans="1:1" ht="15.75" x14ac:dyDescent="0.25">
      <c r="A1179" s="756"/>
    </row>
    <row r="1180" spans="1:1" ht="15.75" x14ac:dyDescent="0.25">
      <c r="A1180" s="756"/>
    </row>
    <row r="1181" spans="1:1" ht="15.75" x14ac:dyDescent="0.25">
      <c r="A1181" s="756"/>
    </row>
    <row r="1182" spans="1:1" ht="15.75" x14ac:dyDescent="0.25">
      <c r="A1182" s="756"/>
    </row>
    <row r="1183" spans="1:1" ht="15.75" x14ac:dyDescent="0.25">
      <c r="A1183" s="756"/>
    </row>
    <row r="1184" spans="1:1" ht="15.75" x14ac:dyDescent="0.25">
      <c r="A1184" s="756"/>
    </row>
    <row r="1185" spans="1:1" ht="15.75" x14ac:dyDescent="0.25">
      <c r="A1185" s="756"/>
    </row>
    <row r="1186" spans="1:1" ht="15.75" x14ac:dyDescent="0.25">
      <c r="A1186" s="756"/>
    </row>
    <row r="1187" spans="1:1" ht="15.75" x14ac:dyDescent="0.25">
      <c r="A1187" s="756"/>
    </row>
    <row r="1188" spans="1:1" ht="15.75" x14ac:dyDescent="0.25">
      <c r="A1188" s="756"/>
    </row>
    <row r="1189" spans="1:1" ht="15.75" x14ac:dyDescent="0.25">
      <c r="A1189" s="756"/>
    </row>
    <row r="1190" spans="1:1" ht="15.75" x14ac:dyDescent="0.25">
      <c r="A1190" s="756"/>
    </row>
    <row r="1191" spans="1:1" ht="15.75" x14ac:dyDescent="0.25">
      <c r="A1191" s="756"/>
    </row>
    <row r="1192" spans="1:1" ht="15.75" x14ac:dyDescent="0.25">
      <c r="A1192" s="756"/>
    </row>
    <row r="1193" spans="1:1" ht="15.75" x14ac:dyDescent="0.25">
      <c r="A1193" s="756"/>
    </row>
    <row r="1194" spans="1:1" ht="15.75" x14ac:dyDescent="0.25">
      <c r="A1194" s="756"/>
    </row>
    <row r="1195" spans="1:1" ht="15.75" x14ac:dyDescent="0.25">
      <c r="A1195" s="756"/>
    </row>
    <row r="1196" spans="1:1" ht="15.75" x14ac:dyDescent="0.25">
      <c r="A1196" s="756"/>
    </row>
    <row r="1197" spans="1:1" ht="15.75" x14ac:dyDescent="0.25">
      <c r="A1197" s="756"/>
    </row>
    <row r="1198" spans="1:1" ht="15.75" x14ac:dyDescent="0.25">
      <c r="A1198" s="756"/>
    </row>
    <row r="1199" spans="1:1" ht="15.75" x14ac:dyDescent="0.25">
      <c r="A1199" s="756"/>
    </row>
    <row r="1200" spans="1:1" ht="15.75" x14ac:dyDescent="0.25">
      <c r="A1200" s="756"/>
    </row>
    <row r="1201" spans="1:1" ht="15.75" x14ac:dyDescent="0.25">
      <c r="A1201" s="756"/>
    </row>
    <row r="1202" spans="1:1" ht="15.75" x14ac:dyDescent="0.25">
      <c r="A1202" s="756"/>
    </row>
    <row r="1203" spans="1:1" ht="15.75" x14ac:dyDescent="0.25">
      <c r="A1203" s="756"/>
    </row>
    <row r="1204" spans="1:1" ht="15.75" x14ac:dyDescent="0.25">
      <c r="A1204" s="756"/>
    </row>
    <row r="1205" spans="1:1" ht="15.75" x14ac:dyDescent="0.25">
      <c r="A1205" s="756"/>
    </row>
    <row r="1206" spans="1:1" ht="15.75" x14ac:dyDescent="0.25">
      <c r="A1206" s="756"/>
    </row>
    <row r="1207" spans="1:1" ht="15.75" x14ac:dyDescent="0.25">
      <c r="A1207" s="756"/>
    </row>
    <row r="1208" spans="1:1" ht="15.75" x14ac:dyDescent="0.25">
      <c r="A1208" s="756"/>
    </row>
    <row r="1209" spans="1:1" ht="15.75" x14ac:dyDescent="0.25">
      <c r="A1209" s="756"/>
    </row>
    <row r="1210" spans="1:1" ht="15.75" x14ac:dyDescent="0.25">
      <c r="A1210" s="756"/>
    </row>
    <row r="1211" spans="1:1" ht="15.75" x14ac:dyDescent="0.25">
      <c r="A1211" s="756"/>
    </row>
    <row r="1212" spans="1:1" ht="15.75" x14ac:dyDescent="0.25">
      <c r="A1212" s="756"/>
    </row>
    <row r="1213" spans="1:1" ht="15.75" x14ac:dyDescent="0.25">
      <c r="A1213" s="756"/>
    </row>
    <row r="1214" spans="1:1" ht="15.75" x14ac:dyDescent="0.25">
      <c r="A1214" s="756"/>
    </row>
    <row r="1215" spans="1:1" ht="15.75" x14ac:dyDescent="0.25">
      <c r="A1215" s="756"/>
    </row>
    <row r="1216" spans="1:1" ht="15.75" x14ac:dyDescent="0.25">
      <c r="A1216" s="756"/>
    </row>
    <row r="1217" spans="1:1" ht="15.75" x14ac:dyDescent="0.25">
      <c r="A1217" s="756"/>
    </row>
    <row r="1218" spans="1:1" ht="15.75" x14ac:dyDescent="0.25">
      <c r="A1218" s="756"/>
    </row>
    <row r="1219" spans="1:1" ht="15.75" x14ac:dyDescent="0.25">
      <c r="A1219" s="756"/>
    </row>
    <row r="1220" spans="1:1" ht="15.75" x14ac:dyDescent="0.25">
      <c r="A1220" s="756"/>
    </row>
    <row r="1221" spans="1:1" ht="15.75" x14ac:dyDescent="0.25">
      <c r="A1221" s="756"/>
    </row>
    <row r="1222" spans="1:1" ht="15.75" x14ac:dyDescent="0.25">
      <c r="A1222" s="756"/>
    </row>
    <row r="1223" spans="1:1" ht="15.75" x14ac:dyDescent="0.25">
      <c r="A1223" s="756"/>
    </row>
    <row r="1224" spans="1:1" ht="15.75" x14ac:dyDescent="0.25">
      <c r="A1224" s="756"/>
    </row>
    <row r="1225" spans="1:1" ht="15.75" x14ac:dyDescent="0.25">
      <c r="A1225" s="756"/>
    </row>
    <row r="1226" spans="1:1" ht="15.75" x14ac:dyDescent="0.25">
      <c r="A1226" s="756"/>
    </row>
    <row r="1227" spans="1:1" ht="15.75" x14ac:dyDescent="0.25">
      <c r="A1227" s="756"/>
    </row>
    <row r="1228" spans="1:1" ht="15.75" x14ac:dyDescent="0.25">
      <c r="A1228" s="756"/>
    </row>
    <row r="1229" spans="1:1" ht="15.75" x14ac:dyDescent="0.25">
      <c r="A1229" s="756"/>
    </row>
    <row r="1230" spans="1:1" ht="15.75" x14ac:dyDescent="0.25">
      <c r="A1230" s="756"/>
    </row>
    <row r="1231" spans="1:1" ht="15.75" x14ac:dyDescent="0.25">
      <c r="A1231" s="756"/>
    </row>
    <row r="1232" spans="1:1" ht="15.75" x14ac:dyDescent="0.25">
      <c r="A1232" s="756"/>
    </row>
    <row r="1233" spans="1:1" ht="15.75" x14ac:dyDescent="0.25">
      <c r="A1233" s="756"/>
    </row>
    <row r="1234" spans="1:1" ht="15.75" x14ac:dyDescent="0.25">
      <c r="A1234" s="756"/>
    </row>
    <row r="1235" spans="1:1" ht="15.75" x14ac:dyDescent="0.25">
      <c r="A1235" s="756"/>
    </row>
    <row r="1236" spans="1:1" ht="15.75" x14ac:dyDescent="0.25">
      <c r="A1236" s="756"/>
    </row>
    <row r="1237" spans="1:1" ht="15.75" x14ac:dyDescent="0.25">
      <c r="A1237" s="756"/>
    </row>
    <row r="1238" spans="1:1" ht="15.75" x14ac:dyDescent="0.25">
      <c r="A1238" s="756"/>
    </row>
    <row r="1239" spans="1:1" ht="15.75" x14ac:dyDescent="0.25">
      <c r="A1239" s="756"/>
    </row>
    <row r="1240" spans="1:1" ht="15.75" x14ac:dyDescent="0.25">
      <c r="A1240" s="756"/>
    </row>
    <row r="1241" spans="1:1" ht="15.75" x14ac:dyDescent="0.25">
      <c r="A1241" s="756"/>
    </row>
    <row r="1242" spans="1:1" ht="15.75" x14ac:dyDescent="0.25">
      <c r="A1242" s="756"/>
    </row>
    <row r="1243" spans="1:1" ht="15.75" x14ac:dyDescent="0.25">
      <c r="A1243" s="756"/>
    </row>
    <row r="1244" spans="1:1" ht="15.75" x14ac:dyDescent="0.25">
      <c r="A1244" s="756"/>
    </row>
    <row r="1245" spans="1:1" ht="15.75" x14ac:dyDescent="0.25">
      <c r="A1245" s="756"/>
    </row>
    <row r="1246" spans="1:1" ht="15.75" x14ac:dyDescent="0.25">
      <c r="A1246" s="756"/>
    </row>
    <row r="1247" spans="1:1" ht="15.75" x14ac:dyDescent="0.25">
      <c r="A1247" s="756"/>
    </row>
    <row r="1248" spans="1:1" ht="15.75" x14ac:dyDescent="0.25">
      <c r="A1248" s="756"/>
    </row>
    <row r="1249" spans="1:1" ht="15.75" x14ac:dyDescent="0.25">
      <c r="A1249" s="756"/>
    </row>
    <row r="1250" spans="1:1" ht="15.75" x14ac:dyDescent="0.25">
      <c r="A1250" s="756"/>
    </row>
    <row r="1251" spans="1:1" ht="15.75" x14ac:dyDescent="0.25">
      <c r="A1251" s="756"/>
    </row>
    <row r="1252" spans="1:1" ht="15.75" x14ac:dyDescent="0.25">
      <c r="A1252" s="756"/>
    </row>
    <row r="1253" spans="1:1" ht="15.75" x14ac:dyDescent="0.25">
      <c r="A1253" s="756"/>
    </row>
    <row r="1254" spans="1:1" ht="15.75" x14ac:dyDescent="0.25">
      <c r="A1254" s="756"/>
    </row>
    <row r="1255" spans="1:1" ht="15.75" x14ac:dyDescent="0.25">
      <c r="A1255" s="756"/>
    </row>
    <row r="1256" spans="1:1" ht="15.75" x14ac:dyDescent="0.25">
      <c r="A1256" s="756"/>
    </row>
    <row r="1257" spans="1:1" ht="15.75" x14ac:dyDescent="0.25">
      <c r="A1257" s="756"/>
    </row>
    <row r="1258" spans="1:1" ht="15.75" x14ac:dyDescent="0.25">
      <c r="A1258" s="756"/>
    </row>
    <row r="1259" spans="1:1" ht="15.75" x14ac:dyDescent="0.25">
      <c r="A1259" s="756"/>
    </row>
    <row r="1260" spans="1:1" ht="15.75" x14ac:dyDescent="0.25">
      <c r="A1260" s="756"/>
    </row>
    <row r="1261" spans="1:1" ht="15.75" x14ac:dyDescent="0.25">
      <c r="A1261" s="756"/>
    </row>
    <row r="1262" spans="1:1" ht="15.75" x14ac:dyDescent="0.25">
      <c r="A1262" s="756"/>
    </row>
    <row r="1263" spans="1:1" ht="15.75" x14ac:dyDescent="0.25">
      <c r="A1263" s="756"/>
    </row>
    <row r="1264" spans="1:1" ht="15.75" x14ac:dyDescent="0.25">
      <c r="A1264" s="756"/>
    </row>
    <row r="1265" spans="1:1" ht="15.75" x14ac:dyDescent="0.25">
      <c r="A1265" s="756"/>
    </row>
    <row r="1266" spans="1:1" ht="15.75" x14ac:dyDescent="0.25">
      <c r="A1266" s="756"/>
    </row>
    <row r="1267" spans="1:1" ht="15.75" x14ac:dyDescent="0.25">
      <c r="A1267" s="756"/>
    </row>
    <row r="1268" spans="1:1" ht="15.75" x14ac:dyDescent="0.25">
      <c r="A1268" s="756"/>
    </row>
    <row r="1269" spans="1:1" ht="15.75" x14ac:dyDescent="0.25">
      <c r="A1269" s="756"/>
    </row>
    <row r="1270" spans="1:1" ht="15.75" x14ac:dyDescent="0.25">
      <c r="A1270" s="756"/>
    </row>
    <row r="1271" spans="1:1" ht="15.75" x14ac:dyDescent="0.25">
      <c r="A1271" s="756"/>
    </row>
    <row r="1272" spans="1:1" ht="15.75" x14ac:dyDescent="0.25">
      <c r="A1272" s="756"/>
    </row>
    <row r="1273" spans="1:1" ht="15.75" x14ac:dyDescent="0.25">
      <c r="A1273" s="756"/>
    </row>
    <row r="1274" spans="1:1" ht="15.75" x14ac:dyDescent="0.25">
      <c r="A1274" s="756"/>
    </row>
    <row r="1275" spans="1:1" ht="15.75" x14ac:dyDescent="0.25">
      <c r="A1275" s="756"/>
    </row>
    <row r="1276" spans="1:1" ht="15.75" x14ac:dyDescent="0.25">
      <c r="A1276" s="756"/>
    </row>
    <row r="1277" spans="1:1" ht="15.75" x14ac:dyDescent="0.25">
      <c r="A1277" s="756"/>
    </row>
    <row r="1278" spans="1:1" ht="15.75" x14ac:dyDescent="0.25">
      <c r="A1278" s="756"/>
    </row>
    <row r="1279" spans="1:1" ht="15.75" x14ac:dyDescent="0.25">
      <c r="A1279" s="756"/>
    </row>
    <row r="1280" spans="1:1" ht="15.75" x14ac:dyDescent="0.25">
      <c r="A1280" s="756"/>
    </row>
    <row r="1281" spans="1:1" ht="15.75" x14ac:dyDescent="0.25">
      <c r="A1281" s="756"/>
    </row>
    <row r="1282" spans="1:1" ht="15.75" x14ac:dyDescent="0.25">
      <c r="A1282" s="756"/>
    </row>
    <row r="1283" spans="1:1" ht="15.75" x14ac:dyDescent="0.25">
      <c r="A1283" s="756"/>
    </row>
    <row r="1284" spans="1:1" ht="15.75" x14ac:dyDescent="0.25">
      <c r="A1284" s="756"/>
    </row>
    <row r="1285" spans="1:1" ht="15.75" x14ac:dyDescent="0.25">
      <c r="A1285" s="756"/>
    </row>
    <row r="1286" spans="1:1" ht="15.75" x14ac:dyDescent="0.25">
      <c r="A1286" s="756"/>
    </row>
    <row r="1287" spans="1:1" ht="15.75" x14ac:dyDescent="0.25">
      <c r="A1287" s="756"/>
    </row>
    <row r="1288" spans="1:1" ht="15.75" x14ac:dyDescent="0.25">
      <c r="A1288" s="756"/>
    </row>
    <row r="1289" spans="1:1" ht="15.75" x14ac:dyDescent="0.25">
      <c r="A1289" s="756"/>
    </row>
    <row r="1290" spans="1:1" ht="15.75" x14ac:dyDescent="0.25">
      <c r="A1290" s="756"/>
    </row>
    <row r="1291" spans="1:1" ht="15.75" x14ac:dyDescent="0.25">
      <c r="A1291" s="756"/>
    </row>
    <row r="1292" spans="1:1" ht="15.75" x14ac:dyDescent="0.25">
      <c r="A1292" s="756"/>
    </row>
    <row r="1293" spans="1:1" ht="15.75" x14ac:dyDescent="0.25">
      <c r="A1293" s="756"/>
    </row>
    <row r="1294" spans="1:1" ht="15.75" x14ac:dyDescent="0.25">
      <c r="A1294" s="756"/>
    </row>
    <row r="1295" spans="1:1" ht="15.75" x14ac:dyDescent="0.25">
      <c r="A1295" s="756"/>
    </row>
    <row r="1296" spans="1:1" ht="15.75" x14ac:dyDescent="0.25">
      <c r="A1296" s="756"/>
    </row>
    <row r="1297" spans="1:1" ht="15.75" x14ac:dyDescent="0.25">
      <c r="A1297" s="756"/>
    </row>
    <row r="1298" spans="1:1" ht="15.75" x14ac:dyDescent="0.25">
      <c r="A1298" s="756"/>
    </row>
    <row r="1299" spans="1:1" ht="15.75" x14ac:dyDescent="0.25">
      <c r="A1299" s="756"/>
    </row>
    <row r="1300" spans="1:1" ht="15.75" x14ac:dyDescent="0.25">
      <c r="A1300" s="756"/>
    </row>
    <row r="1301" spans="1:1" ht="15.75" x14ac:dyDescent="0.25">
      <c r="A1301" s="756"/>
    </row>
    <row r="1302" spans="1:1" ht="15.75" x14ac:dyDescent="0.25">
      <c r="A1302" s="756"/>
    </row>
    <row r="1303" spans="1:1" ht="15.75" x14ac:dyDescent="0.25">
      <c r="A1303" s="756"/>
    </row>
    <row r="1304" spans="1:1" ht="15.75" x14ac:dyDescent="0.25">
      <c r="A1304" s="756"/>
    </row>
    <row r="1305" spans="1:1" ht="15.75" x14ac:dyDescent="0.25">
      <c r="A1305" s="756"/>
    </row>
    <row r="1306" spans="1:1" ht="15.75" x14ac:dyDescent="0.25">
      <c r="A1306" s="756"/>
    </row>
    <row r="1307" spans="1:1" ht="15.75" x14ac:dyDescent="0.25">
      <c r="A1307" s="756"/>
    </row>
    <row r="1308" spans="1:1" ht="15.75" x14ac:dyDescent="0.25">
      <c r="A1308" s="756"/>
    </row>
    <row r="1309" spans="1:1" ht="15.75" x14ac:dyDescent="0.25">
      <c r="A1309" s="756"/>
    </row>
    <row r="1310" spans="1:1" ht="15.75" x14ac:dyDescent="0.25">
      <c r="A1310" s="756"/>
    </row>
    <row r="1311" spans="1:1" ht="15.75" x14ac:dyDescent="0.25">
      <c r="A1311" s="756"/>
    </row>
    <row r="1312" spans="1:1" ht="15.75" x14ac:dyDescent="0.25">
      <c r="A1312" s="756"/>
    </row>
    <row r="1313" spans="1:1" ht="15.75" x14ac:dyDescent="0.25">
      <c r="A1313" s="756"/>
    </row>
    <row r="1314" spans="1:1" ht="15.75" x14ac:dyDescent="0.25">
      <c r="A1314" s="756"/>
    </row>
    <row r="1315" spans="1:1" ht="15.75" x14ac:dyDescent="0.25">
      <c r="A1315" s="756"/>
    </row>
    <row r="1316" spans="1:1" ht="15.75" x14ac:dyDescent="0.25">
      <c r="A1316" s="756"/>
    </row>
    <row r="1317" spans="1:1" ht="15.75" x14ac:dyDescent="0.25">
      <c r="A1317" s="756"/>
    </row>
    <row r="1318" spans="1:1" ht="15.75" x14ac:dyDescent="0.25">
      <c r="A1318" s="756"/>
    </row>
    <row r="1319" spans="1:1" ht="15.75" x14ac:dyDescent="0.25">
      <c r="A1319" s="756"/>
    </row>
    <row r="1320" spans="1:1" ht="15.75" x14ac:dyDescent="0.25">
      <c r="A1320" s="756"/>
    </row>
    <row r="1321" spans="1:1" ht="15.75" x14ac:dyDescent="0.25">
      <c r="A1321" s="756"/>
    </row>
    <row r="1322" spans="1:1" ht="15.75" x14ac:dyDescent="0.25">
      <c r="A1322" s="756"/>
    </row>
    <row r="1323" spans="1:1" ht="15.75" x14ac:dyDescent="0.25">
      <c r="A1323" s="756"/>
    </row>
    <row r="1324" spans="1:1" ht="15.75" x14ac:dyDescent="0.25">
      <c r="A1324" s="756"/>
    </row>
    <row r="1325" spans="1:1" ht="15.75" x14ac:dyDescent="0.25">
      <c r="A1325" s="756"/>
    </row>
    <row r="1326" spans="1:1" ht="15.75" x14ac:dyDescent="0.25">
      <c r="A1326" s="756"/>
    </row>
    <row r="1327" spans="1:1" ht="15.75" x14ac:dyDescent="0.25">
      <c r="A1327" s="756"/>
    </row>
    <row r="1328" spans="1:1" ht="15.75" x14ac:dyDescent="0.25">
      <c r="A1328" s="756"/>
    </row>
    <row r="1329" spans="1:1" ht="15.75" x14ac:dyDescent="0.25">
      <c r="A1329" s="756"/>
    </row>
    <row r="1330" spans="1:1" ht="15.75" x14ac:dyDescent="0.25">
      <c r="A1330" s="756"/>
    </row>
    <row r="1331" spans="1:1" ht="15.75" x14ac:dyDescent="0.25">
      <c r="A1331" s="756"/>
    </row>
    <row r="1332" spans="1:1" ht="15.75" x14ac:dyDescent="0.25">
      <c r="A1332" s="756"/>
    </row>
    <row r="1333" spans="1:1" ht="15.75" x14ac:dyDescent="0.25">
      <c r="A1333" s="756"/>
    </row>
    <row r="1334" spans="1:1" ht="15.75" x14ac:dyDescent="0.25">
      <c r="A1334" s="756"/>
    </row>
    <row r="1335" spans="1:1" ht="15.75" x14ac:dyDescent="0.25">
      <c r="A1335" s="756"/>
    </row>
    <row r="1336" spans="1:1" ht="15.75" x14ac:dyDescent="0.25">
      <c r="A1336" s="756"/>
    </row>
    <row r="1337" spans="1:1" ht="15.75" x14ac:dyDescent="0.25">
      <c r="A1337" s="756"/>
    </row>
    <row r="1338" spans="1:1" ht="15.75" x14ac:dyDescent="0.25">
      <c r="A1338" s="756"/>
    </row>
    <row r="1339" spans="1:1" ht="15.75" x14ac:dyDescent="0.25">
      <c r="A1339" s="756"/>
    </row>
    <row r="1340" spans="1:1" ht="15.75" x14ac:dyDescent="0.25">
      <c r="A1340" s="756"/>
    </row>
    <row r="1341" spans="1:1" ht="15.75" x14ac:dyDescent="0.25">
      <c r="A1341" s="756"/>
    </row>
    <row r="1342" spans="1:1" ht="15.75" x14ac:dyDescent="0.25">
      <c r="A1342" s="756"/>
    </row>
    <row r="1343" spans="1:1" ht="15.75" x14ac:dyDescent="0.25">
      <c r="A1343" s="756"/>
    </row>
    <row r="1344" spans="1:1" ht="15.75" x14ac:dyDescent="0.25">
      <c r="A1344" s="756"/>
    </row>
    <row r="1345" spans="1:1" ht="15.75" x14ac:dyDescent="0.25">
      <c r="A1345" s="756"/>
    </row>
    <row r="1346" spans="1:1" ht="15.75" x14ac:dyDescent="0.25">
      <c r="A1346" s="756"/>
    </row>
    <row r="1347" spans="1:1" ht="15.75" x14ac:dyDescent="0.25">
      <c r="A1347" s="756"/>
    </row>
    <row r="1348" spans="1:1" ht="15.75" x14ac:dyDescent="0.25">
      <c r="A1348" s="756"/>
    </row>
    <row r="1349" spans="1:1" ht="15.75" x14ac:dyDescent="0.25">
      <c r="A1349" s="756"/>
    </row>
    <row r="1350" spans="1:1" ht="15.75" x14ac:dyDescent="0.25">
      <c r="A1350" s="756"/>
    </row>
    <row r="1351" spans="1:1" ht="15.75" x14ac:dyDescent="0.25">
      <c r="A1351" s="756"/>
    </row>
    <row r="1352" spans="1:1" ht="15.75" x14ac:dyDescent="0.25">
      <c r="A1352" s="756"/>
    </row>
    <row r="1353" spans="1:1" ht="15.75" x14ac:dyDescent="0.25">
      <c r="A1353" s="756"/>
    </row>
    <row r="1354" spans="1:1" ht="15.75" x14ac:dyDescent="0.25">
      <c r="A1354" s="756"/>
    </row>
    <row r="1355" spans="1:1" ht="15.75" x14ac:dyDescent="0.25">
      <c r="A1355" s="756"/>
    </row>
    <row r="1356" spans="1:1" ht="15.75" x14ac:dyDescent="0.25">
      <c r="A1356" s="756"/>
    </row>
    <row r="1357" spans="1:1" ht="15.75" x14ac:dyDescent="0.25">
      <c r="A1357" s="756"/>
    </row>
    <row r="1358" spans="1:1" ht="15.75" x14ac:dyDescent="0.25">
      <c r="A1358" s="756"/>
    </row>
    <row r="1359" spans="1:1" ht="15.75" x14ac:dyDescent="0.25">
      <c r="A1359" s="756"/>
    </row>
    <row r="1360" spans="1:1" ht="15.75" x14ac:dyDescent="0.25">
      <c r="A1360" s="756"/>
    </row>
    <row r="1361" spans="1:1" ht="15.75" x14ac:dyDescent="0.25">
      <c r="A1361" s="756"/>
    </row>
    <row r="1362" spans="1:1" ht="15.75" x14ac:dyDescent="0.25">
      <c r="A1362" s="756"/>
    </row>
    <row r="1363" spans="1:1" ht="15.75" x14ac:dyDescent="0.25">
      <c r="A1363" s="756"/>
    </row>
    <row r="1364" spans="1:1" ht="15.75" x14ac:dyDescent="0.25">
      <c r="A1364" s="756"/>
    </row>
    <row r="1365" spans="1:1" ht="15.75" x14ac:dyDescent="0.25">
      <c r="A1365" s="756"/>
    </row>
    <row r="1366" spans="1:1" ht="15.75" x14ac:dyDescent="0.25">
      <c r="A1366" s="756"/>
    </row>
    <row r="1367" spans="1:1" ht="15.75" x14ac:dyDescent="0.25">
      <c r="A1367" s="756"/>
    </row>
    <row r="1368" spans="1:1" ht="15.75" x14ac:dyDescent="0.25">
      <c r="A1368" s="756"/>
    </row>
    <row r="1369" spans="1:1" ht="15.75" x14ac:dyDescent="0.25">
      <c r="A1369" s="756"/>
    </row>
    <row r="1370" spans="1:1" ht="15.75" x14ac:dyDescent="0.25">
      <c r="A1370" s="756"/>
    </row>
    <row r="1371" spans="1:1" ht="15.75" x14ac:dyDescent="0.25">
      <c r="A1371" s="756"/>
    </row>
    <row r="1372" spans="1:1" ht="15.75" x14ac:dyDescent="0.25">
      <c r="A1372" s="756"/>
    </row>
    <row r="1373" spans="1:1" ht="15.75" x14ac:dyDescent="0.25">
      <c r="A1373" s="756"/>
    </row>
    <row r="1374" spans="1:1" ht="15.75" x14ac:dyDescent="0.25">
      <c r="A1374" s="756"/>
    </row>
    <row r="1375" spans="1:1" ht="15.75" x14ac:dyDescent="0.25">
      <c r="A1375" s="756"/>
    </row>
    <row r="1376" spans="1:1" ht="15.75" x14ac:dyDescent="0.25">
      <c r="A1376" s="756"/>
    </row>
    <row r="1377" spans="1:1" ht="15.75" x14ac:dyDescent="0.25">
      <c r="A1377" s="756"/>
    </row>
    <row r="1378" spans="1:1" ht="15.75" x14ac:dyDescent="0.25">
      <c r="A1378" s="756"/>
    </row>
    <row r="1379" spans="1:1" ht="15.75" x14ac:dyDescent="0.25">
      <c r="A1379" s="756"/>
    </row>
    <row r="1380" spans="1:1" ht="15.75" x14ac:dyDescent="0.25">
      <c r="A1380" s="756"/>
    </row>
    <row r="1381" spans="1:1" ht="15.75" x14ac:dyDescent="0.25">
      <c r="A1381" s="756"/>
    </row>
    <row r="1382" spans="1:1" ht="15.75" x14ac:dyDescent="0.25">
      <c r="A1382" s="756"/>
    </row>
    <row r="1383" spans="1:1" ht="15.75" x14ac:dyDescent="0.25">
      <c r="A1383" s="756"/>
    </row>
    <row r="1384" spans="1:1" ht="15.75" x14ac:dyDescent="0.25">
      <c r="A1384" s="756"/>
    </row>
    <row r="1385" spans="1:1" ht="15.75" x14ac:dyDescent="0.25">
      <c r="A1385" s="756"/>
    </row>
    <row r="1386" spans="1:1" ht="15.75" x14ac:dyDescent="0.25">
      <c r="A1386" s="756"/>
    </row>
    <row r="1387" spans="1:1" ht="15.75" x14ac:dyDescent="0.25">
      <c r="A1387" s="756"/>
    </row>
    <row r="1388" spans="1:1" ht="15.75" x14ac:dyDescent="0.25">
      <c r="A1388" s="756"/>
    </row>
    <row r="1389" spans="1:1" ht="15.75" x14ac:dyDescent="0.25">
      <c r="A1389" s="756"/>
    </row>
    <row r="1390" spans="1:1" ht="15.75" x14ac:dyDescent="0.25">
      <c r="A1390" s="756"/>
    </row>
    <row r="1391" spans="1:1" ht="15.75" x14ac:dyDescent="0.25">
      <c r="A1391" s="756"/>
    </row>
    <row r="1392" spans="1:1" ht="15.75" x14ac:dyDescent="0.25">
      <c r="A1392" s="756"/>
    </row>
    <row r="1393" spans="1:1" ht="15.75" x14ac:dyDescent="0.25">
      <c r="A1393" s="756"/>
    </row>
    <row r="1394" spans="1:1" ht="15.75" x14ac:dyDescent="0.25">
      <c r="A1394" s="756"/>
    </row>
    <row r="1395" spans="1:1" ht="15.75" x14ac:dyDescent="0.25">
      <c r="A1395" s="756"/>
    </row>
    <row r="1396" spans="1:1" ht="15.75" x14ac:dyDescent="0.25">
      <c r="A1396" s="756"/>
    </row>
    <row r="1397" spans="1:1" ht="15.75" x14ac:dyDescent="0.25">
      <c r="A1397" s="756"/>
    </row>
    <row r="1398" spans="1:1" ht="15.75" x14ac:dyDescent="0.25">
      <c r="A1398" s="756"/>
    </row>
    <row r="1399" spans="1:1" ht="15.75" x14ac:dyDescent="0.25">
      <c r="A1399" s="756"/>
    </row>
    <row r="1400" spans="1:1" ht="15.75" x14ac:dyDescent="0.25">
      <c r="A1400" s="756"/>
    </row>
    <row r="1401" spans="1:1" ht="15.75" x14ac:dyDescent="0.25">
      <c r="A1401" s="756"/>
    </row>
    <row r="1402" spans="1:1" ht="15.75" x14ac:dyDescent="0.25">
      <c r="A1402" s="756"/>
    </row>
    <row r="1403" spans="1:1" ht="15.75" x14ac:dyDescent="0.25">
      <c r="A1403" s="756"/>
    </row>
    <row r="1404" spans="1:1" ht="15.75" x14ac:dyDescent="0.25">
      <c r="A1404" s="756"/>
    </row>
    <row r="1405" spans="1:1" ht="15.75" x14ac:dyDescent="0.25">
      <c r="A1405" s="756"/>
    </row>
    <row r="1406" spans="1:1" ht="15.75" x14ac:dyDescent="0.25">
      <c r="A1406" s="756"/>
    </row>
    <row r="1407" spans="1:1" ht="15.75" x14ac:dyDescent="0.25">
      <c r="A1407" s="756"/>
    </row>
    <row r="1408" spans="1:1" ht="15.75" x14ac:dyDescent="0.25">
      <c r="A1408" s="756"/>
    </row>
    <row r="1409" spans="1:1" ht="15.75" x14ac:dyDescent="0.25">
      <c r="A1409" s="756"/>
    </row>
    <row r="1410" spans="1:1" ht="15.75" x14ac:dyDescent="0.25">
      <c r="A1410" s="756"/>
    </row>
    <row r="1411" spans="1:1" ht="15.75" x14ac:dyDescent="0.25">
      <c r="A1411" s="756"/>
    </row>
    <row r="1412" spans="1:1" ht="15.75" x14ac:dyDescent="0.25">
      <c r="A1412" s="756"/>
    </row>
    <row r="1413" spans="1:1" ht="15.75" x14ac:dyDescent="0.25">
      <c r="A1413" s="756"/>
    </row>
    <row r="1414" spans="1:1" ht="15.75" x14ac:dyDescent="0.25">
      <c r="A1414" s="756"/>
    </row>
    <row r="1415" spans="1:1" ht="15.75" x14ac:dyDescent="0.25">
      <c r="A1415" s="756"/>
    </row>
    <row r="1416" spans="1:1" ht="15.75" x14ac:dyDescent="0.25">
      <c r="A1416" s="756"/>
    </row>
    <row r="1417" spans="1:1" ht="15.75" x14ac:dyDescent="0.25">
      <c r="A1417" s="756"/>
    </row>
    <row r="1418" spans="1:1" ht="15.75" x14ac:dyDescent="0.25">
      <c r="A1418" s="756"/>
    </row>
    <row r="1419" spans="1:1" ht="15.75" x14ac:dyDescent="0.25">
      <c r="A1419" s="756"/>
    </row>
    <row r="1420" spans="1:1" ht="15.75" x14ac:dyDescent="0.25">
      <c r="A1420" s="756"/>
    </row>
    <row r="1421" spans="1:1" ht="15.75" x14ac:dyDescent="0.25">
      <c r="A1421" s="756"/>
    </row>
    <row r="1422" spans="1:1" ht="15.75" x14ac:dyDescent="0.25">
      <c r="A1422" s="756"/>
    </row>
    <row r="1423" spans="1:1" ht="15.75" x14ac:dyDescent="0.25">
      <c r="A1423" s="756"/>
    </row>
    <row r="1424" spans="1:1" ht="15.75" x14ac:dyDescent="0.25">
      <c r="A1424" s="756"/>
    </row>
    <row r="1425" spans="1:1" ht="15.75" x14ac:dyDescent="0.25">
      <c r="A1425" s="756"/>
    </row>
    <row r="1426" spans="1:1" ht="15.75" x14ac:dyDescent="0.25">
      <c r="A1426" s="756"/>
    </row>
    <row r="1427" spans="1:1" ht="15.75" x14ac:dyDescent="0.25">
      <c r="A1427" s="756"/>
    </row>
    <row r="1428" spans="1:1" ht="15.75" x14ac:dyDescent="0.25">
      <c r="A1428" s="756"/>
    </row>
    <row r="1429" spans="1:1" ht="15.75" x14ac:dyDescent="0.25">
      <c r="A1429" s="756"/>
    </row>
    <row r="1430" spans="1:1" ht="15.75" x14ac:dyDescent="0.25">
      <c r="A1430" s="756"/>
    </row>
    <row r="1431" spans="1:1" ht="15.75" x14ac:dyDescent="0.25">
      <c r="A1431" s="756"/>
    </row>
    <row r="1432" spans="1:1" ht="15.75" x14ac:dyDescent="0.25">
      <c r="A1432" s="756"/>
    </row>
    <row r="1433" spans="1:1" ht="15.75" x14ac:dyDescent="0.25">
      <c r="A1433" s="756"/>
    </row>
    <row r="1434" spans="1:1" ht="15.75" x14ac:dyDescent="0.25">
      <c r="A1434" s="756"/>
    </row>
    <row r="1435" spans="1:1" ht="15.75" x14ac:dyDescent="0.25">
      <c r="A1435" s="756"/>
    </row>
    <row r="1436" spans="1:1" ht="15.75" x14ac:dyDescent="0.25">
      <c r="A1436" s="756"/>
    </row>
    <row r="1437" spans="1:1" ht="15.75" x14ac:dyDescent="0.25">
      <c r="A1437" s="756"/>
    </row>
    <row r="1438" spans="1:1" ht="15.75" x14ac:dyDescent="0.25">
      <c r="A1438" s="756"/>
    </row>
    <row r="1439" spans="1:1" ht="15.75" x14ac:dyDescent="0.25">
      <c r="A1439" s="756"/>
    </row>
    <row r="1440" spans="1:1" ht="15.75" x14ac:dyDescent="0.25">
      <c r="A1440" s="756"/>
    </row>
    <row r="1441" spans="1:1" ht="15.75" x14ac:dyDescent="0.25">
      <c r="A1441" s="756"/>
    </row>
    <row r="1442" spans="1:1" ht="15.75" x14ac:dyDescent="0.25">
      <c r="A1442" s="756"/>
    </row>
    <row r="1443" spans="1:1" ht="15.75" x14ac:dyDescent="0.25">
      <c r="A1443" s="756"/>
    </row>
    <row r="1444" spans="1:1" ht="15.75" x14ac:dyDescent="0.25">
      <c r="A1444" s="756"/>
    </row>
    <row r="1445" spans="1:1" ht="15.75" x14ac:dyDescent="0.25">
      <c r="A1445" s="756"/>
    </row>
    <row r="1446" spans="1:1" ht="15.75" x14ac:dyDescent="0.25">
      <c r="A1446" s="756"/>
    </row>
    <row r="1447" spans="1:1" ht="15.75" x14ac:dyDescent="0.25">
      <c r="A1447" s="756"/>
    </row>
    <row r="1448" spans="1:1" ht="15.75" x14ac:dyDescent="0.25">
      <c r="A1448" s="756"/>
    </row>
    <row r="1449" spans="1:1" ht="15.75" x14ac:dyDescent="0.25">
      <c r="A1449" s="756"/>
    </row>
    <row r="1450" spans="1:1" ht="15.75" x14ac:dyDescent="0.25">
      <c r="A1450" s="756"/>
    </row>
    <row r="1451" spans="1:1" ht="15.75" x14ac:dyDescent="0.25">
      <c r="A1451" s="756"/>
    </row>
    <row r="1452" spans="1:1" ht="15.75" x14ac:dyDescent="0.25">
      <c r="A1452" s="756"/>
    </row>
    <row r="1453" spans="1:1" ht="15.75" x14ac:dyDescent="0.25">
      <c r="A1453" s="756"/>
    </row>
    <row r="1454" spans="1:1" ht="15.75" x14ac:dyDescent="0.25">
      <c r="A1454" s="756"/>
    </row>
    <row r="1455" spans="1:1" ht="15.75" x14ac:dyDescent="0.25">
      <c r="A1455" s="756"/>
    </row>
    <row r="1456" spans="1:1" ht="15.75" x14ac:dyDescent="0.25">
      <c r="A1456" s="756"/>
    </row>
    <row r="1457" spans="1:1" ht="15.75" x14ac:dyDescent="0.25">
      <c r="A1457" s="756"/>
    </row>
    <row r="1458" spans="1:1" ht="15.75" x14ac:dyDescent="0.25">
      <c r="A1458" s="756"/>
    </row>
    <row r="1459" spans="1:1" ht="15.75" x14ac:dyDescent="0.25">
      <c r="A1459" s="756"/>
    </row>
    <row r="1460" spans="1:1" ht="15.75" x14ac:dyDescent="0.25">
      <c r="A1460" s="756"/>
    </row>
    <row r="1461" spans="1:1" ht="15.75" x14ac:dyDescent="0.25">
      <c r="A1461" s="756"/>
    </row>
    <row r="1462" spans="1:1" ht="15.75" x14ac:dyDescent="0.25">
      <c r="A1462" s="756"/>
    </row>
    <row r="1463" spans="1:1" ht="15.75" x14ac:dyDescent="0.25">
      <c r="A1463" s="756"/>
    </row>
    <row r="1464" spans="1:1" ht="15.75" x14ac:dyDescent="0.25">
      <c r="A1464" s="756"/>
    </row>
    <row r="1465" spans="1:1" ht="15.75" x14ac:dyDescent="0.25">
      <c r="A1465" s="756"/>
    </row>
    <row r="1466" spans="1:1" ht="15.75" x14ac:dyDescent="0.25">
      <c r="A1466" s="756"/>
    </row>
    <row r="1467" spans="1:1" ht="15.75" x14ac:dyDescent="0.25">
      <c r="A1467" s="756"/>
    </row>
    <row r="1468" spans="1:1" ht="15.75" x14ac:dyDescent="0.25">
      <c r="A1468" s="756"/>
    </row>
    <row r="1469" spans="1:1" ht="15.75" x14ac:dyDescent="0.25">
      <c r="A1469" s="756"/>
    </row>
    <row r="1470" spans="1:1" ht="15.75" x14ac:dyDescent="0.25">
      <c r="A1470" s="756"/>
    </row>
    <row r="1471" spans="1:1" ht="15.75" x14ac:dyDescent="0.25">
      <c r="A1471" s="756"/>
    </row>
    <row r="1472" spans="1:1" ht="15.75" x14ac:dyDescent="0.25">
      <c r="A1472" s="756"/>
    </row>
    <row r="1473" spans="1:1" ht="15.75" x14ac:dyDescent="0.25">
      <c r="A1473" s="756"/>
    </row>
    <row r="1474" spans="1:1" ht="15.75" x14ac:dyDescent="0.25">
      <c r="A1474" s="756"/>
    </row>
    <row r="1475" spans="1:1" ht="15.75" x14ac:dyDescent="0.25">
      <c r="A1475" s="756"/>
    </row>
    <row r="1476" spans="1:1" ht="15.75" x14ac:dyDescent="0.25">
      <c r="A1476" s="756"/>
    </row>
    <row r="1477" spans="1:1" ht="15.75" x14ac:dyDescent="0.25">
      <c r="A1477" s="756"/>
    </row>
    <row r="1478" spans="1:1" ht="15.75" x14ac:dyDescent="0.25">
      <c r="A1478" s="756"/>
    </row>
    <row r="1479" spans="1:1" ht="15.75" x14ac:dyDescent="0.25">
      <c r="A1479" s="756"/>
    </row>
    <row r="1480" spans="1:1" ht="15.75" x14ac:dyDescent="0.25">
      <c r="A1480" s="756"/>
    </row>
    <row r="1481" spans="1:1" ht="15.75" x14ac:dyDescent="0.25">
      <c r="A1481" s="756"/>
    </row>
    <row r="1482" spans="1:1" ht="15.75" x14ac:dyDescent="0.25">
      <c r="A1482" s="756"/>
    </row>
    <row r="1483" spans="1:1" ht="15.75" x14ac:dyDescent="0.25">
      <c r="A1483" s="756"/>
    </row>
    <row r="1484" spans="1:1" ht="15.75" x14ac:dyDescent="0.25">
      <c r="A1484" s="756"/>
    </row>
    <row r="1485" spans="1:1" ht="15.75" x14ac:dyDescent="0.25">
      <c r="A1485" s="756"/>
    </row>
    <row r="1486" spans="1:1" ht="15.75" x14ac:dyDescent="0.25">
      <c r="A1486" s="756"/>
    </row>
    <row r="1487" spans="1:1" ht="15.75" x14ac:dyDescent="0.25">
      <c r="A1487" s="756"/>
    </row>
    <row r="1488" spans="1:1" ht="15.75" x14ac:dyDescent="0.25">
      <c r="A1488" s="756"/>
    </row>
    <row r="1489" spans="1:1" ht="15.75" x14ac:dyDescent="0.25">
      <c r="A1489" s="756"/>
    </row>
    <row r="1490" spans="1:1" ht="15.75" x14ac:dyDescent="0.25">
      <c r="A1490" s="756"/>
    </row>
    <row r="1491" spans="1:1" ht="15.75" x14ac:dyDescent="0.25">
      <c r="A1491" s="756"/>
    </row>
    <row r="1492" spans="1:1" ht="15.75" x14ac:dyDescent="0.25">
      <c r="A1492" s="756"/>
    </row>
    <row r="1493" spans="1:1" ht="15.75" x14ac:dyDescent="0.25">
      <c r="A1493" s="756"/>
    </row>
    <row r="1494" spans="1:1" ht="15.75" x14ac:dyDescent="0.25">
      <c r="A1494" s="756"/>
    </row>
    <row r="1495" spans="1:1" ht="15.75" x14ac:dyDescent="0.25">
      <c r="A1495" s="756"/>
    </row>
    <row r="1496" spans="1:1" ht="15.75" x14ac:dyDescent="0.25">
      <c r="A1496" s="756"/>
    </row>
    <row r="1497" spans="1:1" ht="15.75" x14ac:dyDescent="0.25">
      <c r="A1497" s="756"/>
    </row>
    <row r="1498" spans="1:1" ht="15.75" x14ac:dyDescent="0.25">
      <c r="A1498" s="756"/>
    </row>
    <row r="1499" spans="1:1" ht="15.75" x14ac:dyDescent="0.25">
      <c r="A1499" s="756"/>
    </row>
    <row r="1500" spans="1:1" ht="15.75" x14ac:dyDescent="0.25">
      <c r="A1500" s="756"/>
    </row>
    <row r="1501" spans="1:1" ht="15.75" x14ac:dyDescent="0.25">
      <c r="A1501" s="756"/>
    </row>
    <row r="1502" spans="1:1" ht="15.75" x14ac:dyDescent="0.25">
      <c r="A1502" s="756"/>
    </row>
    <row r="1503" spans="1:1" ht="15.75" x14ac:dyDescent="0.25">
      <c r="A1503" s="756"/>
    </row>
    <row r="1504" spans="1:1" ht="15.75" x14ac:dyDescent="0.25">
      <c r="A1504" s="756"/>
    </row>
    <row r="1505" spans="1:1" ht="15.75" x14ac:dyDescent="0.25">
      <c r="A1505" s="756"/>
    </row>
    <row r="1506" spans="1:1" ht="15.75" x14ac:dyDescent="0.25">
      <c r="A1506" s="756"/>
    </row>
    <row r="1507" spans="1:1" ht="15.75" x14ac:dyDescent="0.25">
      <c r="A1507" s="756"/>
    </row>
    <row r="1508" spans="1:1" ht="15.75" x14ac:dyDescent="0.25">
      <c r="A1508" s="756"/>
    </row>
    <row r="1509" spans="1:1" ht="15.75" x14ac:dyDescent="0.25">
      <c r="A1509" s="756"/>
    </row>
    <row r="1510" spans="1:1" ht="15.75" x14ac:dyDescent="0.25">
      <c r="A1510" s="756"/>
    </row>
    <row r="1511" spans="1:1" ht="15.75" x14ac:dyDescent="0.25">
      <c r="A1511" s="756"/>
    </row>
    <row r="1512" spans="1:1" ht="15.75" x14ac:dyDescent="0.25">
      <c r="A1512" s="756"/>
    </row>
    <row r="1513" spans="1:1" ht="15.75" x14ac:dyDescent="0.25">
      <c r="A1513" s="756"/>
    </row>
    <row r="1514" spans="1:1" ht="15.75" x14ac:dyDescent="0.25">
      <c r="A1514" s="756"/>
    </row>
    <row r="1515" spans="1:1" ht="15.75" x14ac:dyDescent="0.25">
      <c r="A1515" s="756"/>
    </row>
    <row r="1516" spans="1:1" ht="15.75" x14ac:dyDescent="0.25">
      <c r="A1516" s="756"/>
    </row>
    <row r="1517" spans="1:1" ht="15.75" x14ac:dyDescent="0.25">
      <c r="A1517" s="756"/>
    </row>
    <row r="1518" spans="1:1" ht="15.75" x14ac:dyDescent="0.25">
      <c r="A1518" s="756"/>
    </row>
    <row r="1519" spans="1:1" ht="15.75" x14ac:dyDescent="0.25">
      <c r="A1519" s="756"/>
    </row>
    <row r="1520" spans="1:1" ht="15.75" x14ac:dyDescent="0.25">
      <c r="A1520" s="756"/>
    </row>
    <row r="1521" spans="1:1" ht="15.75" x14ac:dyDescent="0.25">
      <c r="A1521" s="756"/>
    </row>
    <row r="1522" spans="1:1" ht="15.75" x14ac:dyDescent="0.25">
      <c r="A1522" s="756"/>
    </row>
    <row r="1523" spans="1:1" ht="15.75" x14ac:dyDescent="0.25">
      <c r="A1523" s="756"/>
    </row>
    <row r="1524" spans="1:1" ht="15.75" x14ac:dyDescent="0.25">
      <c r="A1524" s="756"/>
    </row>
    <row r="1525" spans="1:1" ht="15.75" x14ac:dyDescent="0.25">
      <c r="A1525" s="756"/>
    </row>
    <row r="1526" spans="1:1" ht="15.75" x14ac:dyDescent="0.25">
      <c r="A1526" s="756"/>
    </row>
    <row r="1527" spans="1:1" ht="15.75" x14ac:dyDescent="0.25">
      <c r="A1527" s="756"/>
    </row>
    <row r="1528" spans="1:1" ht="15.75" x14ac:dyDescent="0.25">
      <c r="A1528" s="756"/>
    </row>
    <row r="1529" spans="1:1" ht="15.75" x14ac:dyDescent="0.25">
      <c r="A1529" s="756"/>
    </row>
    <row r="1530" spans="1:1" ht="15.75" x14ac:dyDescent="0.25">
      <c r="A1530" s="756"/>
    </row>
    <row r="1531" spans="1:1" ht="15.75" x14ac:dyDescent="0.25">
      <c r="A1531" s="756"/>
    </row>
    <row r="1532" spans="1:1" ht="15.75" x14ac:dyDescent="0.25">
      <c r="A1532" s="756"/>
    </row>
    <row r="1533" spans="1:1" ht="15.75" x14ac:dyDescent="0.25">
      <c r="A1533" s="756"/>
    </row>
    <row r="1534" spans="1:1" ht="15.75" x14ac:dyDescent="0.25">
      <c r="A1534" s="756"/>
    </row>
    <row r="1535" spans="1:1" ht="15.75" x14ac:dyDescent="0.25">
      <c r="A1535" s="756"/>
    </row>
    <row r="1536" spans="1:1" ht="15.75" x14ac:dyDescent="0.25">
      <c r="A1536" s="756"/>
    </row>
    <row r="1537" spans="1:1" ht="15.75" x14ac:dyDescent="0.25">
      <c r="A1537" s="756"/>
    </row>
    <row r="1538" spans="1:1" ht="15.75" x14ac:dyDescent="0.25">
      <c r="A1538" s="756"/>
    </row>
    <row r="1539" spans="1:1" ht="15.75" x14ac:dyDescent="0.25">
      <c r="A1539" s="756"/>
    </row>
    <row r="1540" spans="1:1" ht="15.75" x14ac:dyDescent="0.25">
      <c r="A1540" s="756"/>
    </row>
    <row r="1541" spans="1:1" ht="15.75" x14ac:dyDescent="0.25">
      <c r="A1541" s="756"/>
    </row>
    <row r="1542" spans="1:1" ht="15.75" x14ac:dyDescent="0.25">
      <c r="A1542" s="756"/>
    </row>
    <row r="1543" spans="1:1" ht="15.75" x14ac:dyDescent="0.25">
      <c r="A1543" s="756"/>
    </row>
    <row r="1544" spans="1:1" ht="15.75" x14ac:dyDescent="0.25">
      <c r="A1544" s="756"/>
    </row>
    <row r="1545" spans="1:1" ht="15.75" x14ac:dyDescent="0.25">
      <c r="A1545" s="756"/>
    </row>
    <row r="1546" spans="1:1" ht="15.75" x14ac:dyDescent="0.25">
      <c r="A1546" s="756"/>
    </row>
    <row r="1547" spans="1:1" ht="15.75" x14ac:dyDescent="0.25">
      <c r="A1547" s="756"/>
    </row>
    <row r="1548" spans="1:1" ht="15.75" x14ac:dyDescent="0.25">
      <c r="A1548" s="756"/>
    </row>
    <row r="1549" spans="1:1" ht="15.75" x14ac:dyDescent="0.25">
      <c r="A1549" s="756"/>
    </row>
    <row r="1550" spans="1:1" ht="15.75" x14ac:dyDescent="0.25">
      <c r="A1550" s="756"/>
    </row>
    <row r="1551" spans="1:1" ht="15.75" x14ac:dyDescent="0.25">
      <c r="A1551" s="756"/>
    </row>
    <row r="1552" spans="1:1" ht="15.75" x14ac:dyDescent="0.25">
      <c r="A1552" s="756"/>
    </row>
    <row r="1553" spans="1:1" ht="15.75" x14ac:dyDescent="0.25">
      <c r="A1553" s="756"/>
    </row>
    <row r="1554" spans="1:1" ht="15.75" x14ac:dyDescent="0.25">
      <c r="A1554" s="756"/>
    </row>
    <row r="1555" spans="1:1" ht="15.75" x14ac:dyDescent="0.25">
      <c r="A1555" s="756"/>
    </row>
    <row r="1556" spans="1:1" ht="15.75" x14ac:dyDescent="0.25">
      <c r="A1556" s="756"/>
    </row>
    <row r="1557" spans="1:1" ht="15.75" x14ac:dyDescent="0.25">
      <c r="A1557" s="756"/>
    </row>
    <row r="1558" spans="1:1" ht="15.75" x14ac:dyDescent="0.25">
      <c r="A1558" s="756"/>
    </row>
    <row r="1559" spans="1:1" ht="15.75" x14ac:dyDescent="0.25">
      <c r="A1559" s="756"/>
    </row>
    <row r="1560" spans="1:1" ht="15.75" x14ac:dyDescent="0.25">
      <c r="A1560" s="756"/>
    </row>
    <row r="1561" spans="1:1" ht="15.75" x14ac:dyDescent="0.25">
      <c r="A1561" s="756"/>
    </row>
    <row r="1562" spans="1:1" ht="15.75" x14ac:dyDescent="0.25">
      <c r="A1562" s="756"/>
    </row>
    <row r="1563" spans="1:1" ht="15.75" x14ac:dyDescent="0.25">
      <c r="A1563" s="756"/>
    </row>
    <row r="1564" spans="1:1" ht="15.75" x14ac:dyDescent="0.25">
      <c r="A1564" s="756"/>
    </row>
    <row r="1565" spans="1:1" ht="15.75" x14ac:dyDescent="0.25">
      <c r="A1565" s="756"/>
    </row>
    <row r="1566" spans="1:1" ht="15.75" x14ac:dyDescent="0.25">
      <c r="A1566" s="756"/>
    </row>
    <row r="1567" spans="1:1" ht="15.75" x14ac:dyDescent="0.25">
      <c r="A1567" s="756"/>
    </row>
    <row r="1568" spans="1:1" ht="15.75" x14ac:dyDescent="0.25">
      <c r="A1568" s="756"/>
    </row>
    <row r="1569" spans="1:1" ht="15.75" x14ac:dyDescent="0.25">
      <c r="A1569" s="756"/>
    </row>
    <row r="1570" spans="1:1" ht="15.75" x14ac:dyDescent="0.25">
      <c r="A1570" s="756"/>
    </row>
    <row r="1571" spans="1:1" ht="15.75" x14ac:dyDescent="0.25">
      <c r="A1571" s="756"/>
    </row>
    <row r="1572" spans="1:1" ht="15.75" x14ac:dyDescent="0.25">
      <c r="A1572" s="756"/>
    </row>
    <row r="1573" spans="1:1" ht="15.75" x14ac:dyDescent="0.25">
      <c r="A1573" s="756"/>
    </row>
    <row r="1574" spans="1:1" ht="15.75" x14ac:dyDescent="0.25">
      <c r="A1574" s="756"/>
    </row>
    <row r="1575" spans="1:1" ht="15.75" x14ac:dyDescent="0.25">
      <c r="A1575" s="756"/>
    </row>
    <row r="1576" spans="1:1" ht="15.75" x14ac:dyDescent="0.25">
      <c r="A1576" s="756"/>
    </row>
    <row r="1577" spans="1:1" ht="15.75" x14ac:dyDescent="0.25">
      <c r="A1577" s="756"/>
    </row>
    <row r="1578" spans="1:1" ht="15.75" x14ac:dyDescent="0.25">
      <c r="A1578" s="756"/>
    </row>
    <row r="1579" spans="1:1" ht="15.75" x14ac:dyDescent="0.25">
      <c r="A1579" s="756"/>
    </row>
    <row r="1580" spans="1:1" ht="15.75" x14ac:dyDescent="0.25">
      <c r="A1580" s="756"/>
    </row>
    <row r="1581" spans="1:1" ht="15.75" x14ac:dyDescent="0.25">
      <c r="A1581" s="756"/>
    </row>
    <row r="1582" spans="1:1" ht="15.75" x14ac:dyDescent="0.25">
      <c r="A1582" s="756"/>
    </row>
    <row r="1583" spans="1:1" ht="15.75" x14ac:dyDescent="0.25">
      <c r="A1583" s="756"/>
    </row>
    <row r="1584" spans="1:1" ht="15.75" x14ac:dyDescent="0.25">
      <c r="A1584" s="756"/>
    </row>
    <row r="1585" spans="1:1" ht="15.75" x14ac:dyDescent="0.25">
      <c r="A1585" s="756"/>
    </row>
    <row r="1586" spans="1:1" ht="15.75" x14ac:dyDescent="0.25">
      <c r="A1586" s="756"/>
    </row>
    <row r="1587" spans="1:1" ht="15.75" x14ac:dyDescent="0.25">
      <c r="A1587" s="756"/>
    </row>
    <row r="1588" spans="1:1" ht="15.75" x14ac:dyDescent="0.25">
      <c r="A1588" s="756"/>
    </row>
    <row r="1589" spans="1:1" ht="15.75" x14ac:dyDescent="0.25">
      <c r="A1589" s="756"/>
    </row>
    <row r="1590" spans="1:1" ht="15.75" x14ac:dyDescent="0.25">
      <c r="A1590" s="756"/>
    </row>
    <row r="1591" spans="1:1" ht="15.75" x14ac:dyDescent="0.25">
      <c r="A1591" s="756"/>
    </row>
    <row r="1592" spans="1:1" ht="15.75" x14ac:dyDescent="0.25">
      <c r="A1592" s="756"/>
    </row>
    <row r="1593" spans="1:1" ht="15.75" x14ac:dyDescent="0.25">
      <c r="A1593" s="756"/>
    </row>
    <row r="1594" spans="1:1" ht="15.75" x14ac:dyDescent="0.25">
      <c r="A1594" s="756"/>
    </row>
    <row r="1595" spans="1:1" ht="15.75" x14ac:dyDescent="0.25">
      <c r="A1595" s="756"/>
    </row>
    <row r="1596" spans="1:1" ht="15.75" x14ac:dyDescent="0.25">
      <c r="A1596" s="756"/>
    </row>
    <row r="1597" spans="1:1" ht="15.75" x14ac:dyDescent="0.25">
      <c r="A1597" s="756"/>
    </row>
    <row r="1598" spans="1:1" ht="15.75" x14ac:dyDescent="0.25">
      <c r="A1598" s="756"/>
    </row>
    <row r="1599" spans="1:1" ht="15.75" x14ac:dyDescent="0.25">
      <c r="A1599" s="756"/>
    </row>
    <row r="1600" spans="1:1" ht="15.75" x14ac:dyDescent="0.25">
      <c r="A1600" s="756"/>
    </row>
    <row r="1601" spans="1:1" ht="15.75" x14ac:dyDescent="0.25">
      <c r="A1601" s="756"/>
    </row>
    <row r="1602" spans="1:1" ht="15.75" x14ac:dyDescent="0.25">
      <c r="A1602" s="756"/>
    </row>
    <row r="1603" spans="1:1" ht="15.75" x14ac:dyDescent="0.25">
      <c r="A1603" s="756"/>
    </row>
    <row r="1604" spans="1:1" ht="15.75" x14ac:dyDescent="0.25">
      <c r="A1604" s="756"/>
    </row>
    <row r="1605" spans="1:1" ht="15.75" x14ac:dyDescent="0.25">
      <c r="A1605" s="756"/>
    </row>
    <row r="1606" spans="1:1" ht="15.75" x14ac:dyDescent="0.25">
      <c r="A1606" s="756"/>
    </row>
    <row r="1607" spans="1:1" ht="15.75" x14ac:dyDescent="0.25">
      <c r="A1607" s="756"/>
    </row>
    <row r="1608" spans="1:1" ht="15.75" x14ac:dyDescent="0.25">
      <c r="A1608" s="756"/>
    </row>
    <row r="1609" spans="1:1" ht="15.75" x14ac:dyDescent="0.25">
      <c r="A1609" s="756"/>
    </row>
    <row r="1610" spans="1:1" ht="15.75" x14ac:dyDescent="0.25">
      <c r="A1610" s="756"/>
    </row>
    <row r="1611" spans="1:1" ht="15.75" x14ac:dyDescent="0.25">
      <c r="A1611" s="756"/>
    </row>
    <row r="1612" spans="1:1" ht="15.75" x14ac:dyDescent="0.25">
      <c r="A1612" s="756"/>
    </row>
    <row r="1613" spans="1:1" ht="15.75" x14ac:dyDescent="0.25">
      <c r="A1613" s="756"/>
    </row>
    <row r="1614" spans="1:1" ht="15.75" x14ac:dyDescent="0.25">
      <c r="A1614" s="756"/>
    </row>
    <row r="1615" spans="1:1" ht="15.75" x14ac:dyDescent="0.25">
      <c r="A1615" s="756"/>
    </row>
    <row r="1616" spans="1:1" ht="15.75" x14ac:dyDescent="0.25">
      <c r="A1616" s="756"/>
    </row>
    <row r="1617" spans="1:1" ht="15.75" x14ac:dyDescent="0.25">
      <c r="A1617" s="756"/>
    </row>
    <row r="1618" spans="1:1" ht="15.75" x14ac:dyDescent="0.25">
      <c r="A1618" s="756"/>
    </row>
    <row r="1619" spans="1:1" ht="15.75" x14ac:dyDescent="0.25">
      <c r="A1619" s="756"/>
    </row>
    <row r="1620" spans="1:1" ht="15.75" x14ac:dyDescent="0.25">
      <c r="A1620" s="756"/>
    </row>
    <row r="1621" spans="1:1" ht="15.75" x14ac:dyDescent="0.25">
      <c r="A1621" s="756"/>
    </row>
    <row r="1622" spans="1:1" ht="15.75" x14ac:dyDescent="0.25">
      <c r="A1622" s="756"/>
    </row>
    <row r="1623" spans="1:1" ht="15.75" x14ac:dyDescent="0.25">
      <c r="A1623" s="756"/>
    </row>
    <row r="1624" spans="1:1" ht="15.75" x14ac:dyDescent="0.25">
      <c r="A1624" s="756"/>
    </row>
    <row r="1625" spans="1:1" ht="15.75" x14ac:dyDescent="0.25">
      <c r="A1625" s="756"/>
    </row>
    <row r="1626" spans="1:1" ht="15.75" x14ac:dyDescent="0.25">
      <c r="A1626" s="756"/>
    </row>
    <row r="1627" spans="1:1" ht="15.75" x14ac:dyDescent="0.25">
      <c r="A1627" s="756"/>
    </row>
    <row r="1628" spans="1:1" ht="15.75" x14ac:dyDescent="0.25">
      <c r="A1628" s="756"/>
    </row>
    <row r="1629" spans="1:1" ht="15.75" x14ac:dyDescent="0.25">
      <c r="A1629" s="756"/>
    </row>
    <row r="1630" spans="1:1" ht="15.75" x14ac:dyDescent="0.25">
      <c r="A1630" s="756"/>
    </row>
    <row r="1631" spans="1:1" ht="15.75" x14ac:dyDescent="0.25">
      <c r="A1631" s="756"/>
    </row>
    <row r="1632" spans="1:1" ht="15.75" x14ac:dyDescent="0.25">
      <c r="A1632" s="756"/>
    </row>
    <row r="1633" spans="1:1" ht="15.75" x14ac:dyDescent="0.25">
      <c r="A1633" s="756"/>
    </row>
    <row r="1634" spans="1:1" ht="15.75" x14ac:dyDescent="0.25">
      <c r="A1634" s="756"/>
    </row>
    <row r="1635" spans="1:1" ht="15.75" x14ac:dyDescent="0.25">
      <c r="A1635" s="756"/>
    </row>
    <row r="1636" spans="1:1" ht="15.75" x14ac:dyDescent="0.25">
      <c r="A1636" s="756"/>
    </row>
    <row r="1637" spans="1:1" ht="15.75" x14ac:dyDescent="0.25">
      <c r="A1637" s="756"/>
    </row>
    <row r="1638" spans="1:1" ht="15.75" x14ac:dyDescent="0.25">
      <c r="A1638" s="756"/>
    </row>
    <row r="1639" spans="1:1" ht="15.75" x14ac:dyDescent="0.25">
      <c r="A1639" s="756"/>
    </row>
    <row r="1640" spans="1:1" ht="15.75" x14ac:dyDescent="0.25">
      <c r="A1640" s="756"/>
    </row>
    <row r="1641" spans="1:1" ht="15.75" x14ac:dyDescent="0.25">
      <c r="A1641" s="756"/>
    </row>
    <row r="1642" spans="1:1" ht="15.75" x14ac:dyDescent="0.25">
      <c r="A1642" s="756"/>
    </row>
    <row r="1643" spans="1:1" ht="15.75" x14ac:dyDescent="0.25">
      <c r="A1643" s="756"/>
    </row>
    <row r="1644" spans="1:1" ht="15.75" x14ac:dyDescent="0.25">
      <c r="A1644" s="756"/>
    </row>
    <row r="1645" spans="1:1" ht="15.75" x14ac:dyDescent="0.25">
      <c r="A1645" s="756"/>
    </row>
    <row r="1646" spans="1:1" ht="15.75" x14ac:dyDescent="0.25">
      <c r="A1646" s="756"/>
    </row>
    <row r="1647" spans="1:1" ht="15.75" x14ac:dyDescent="0.25">
      <c r="A1647" s="756"/>
    </row>
    <row r="1648" spans="1:1" ht="15.75" x14ac:dyDescent="0.25">
      <c r="A1648" s="756"/>
    </row>
    <row r="1649" spans="1:1" ht="15.75" x14ac:dyDescent="0.25">
      <c r="A1649" s="756"/>
    </row>
    <row r="1650" spans="1:1" ht="15.75" x14ac:dyDescent="0.25">
      <c r="A1650" s="756"/>
    </row>
    <row r="1651" spans="1:1" ht="15.75" x14ac:dyDescent="0.25">
      <c r="A1651" s="756"/>
    </row>
    <row r="1652" spans="1:1" ht="15.75" x14ac:dyDescent="0.25">
      <c r="A1652" s="756"/>
    </row>
    <row r="1653" spans="1:1" ht="15.75" x14ac:dyDescent="0.25">
      <c r="A1653" s="756"/>
    </row>
    <row r="1654" spans="1:1" ht="15.75" x14ac:dyDescent="0.25">
      <c r="A1654" s="756"/>
    </row>
    <row r="1655" spans="1:1" ht="15.75" x14ac:dyDescent="0.25">
      <c r="A1655" s="756"/>
    </row>
    <row r="1656" spans="1:1" ht="15.75" x14ac:dyDescent="0.25">
      <c r="A1656" s="756"/>
    </row>
    <row r="1657" spans="1:1" ht="15.75" x14ac:dyDescent="0.25">
      <c r="A1657" s="756"/>
    </row>
    <row r="1658" spans="1:1" ht="15.75" x14ac:dyDescent="0.25">
      <c r="A1658" s="756"/>
    </row>
    <row r="1659" spans="1:1" ht="15.75" x14ac:dyDescent="0.25">
      <c r="A1659" s="756"/>
    </row>
    <row r="1660" spans="1:1" ht="15.75" x14ac:dyDescent="0.25">
      <c r="A1660" s="756"/>
    </row>
    <row r="1661" spans="1:1" ht="15.75" x14ac:dyDescent="0.25">
      <c r="A1661" s="756"/>
    </row>
    <row r="1662" spans="1:1" ht="15.75" x14ac:dyDescent="0.25">
      <c r="A1662" s="756"/>
    </row>
    <row r="1663" spans="1:1" ht="15.75" x14ac:dyDescent="0.25">
      <c r="A1663" s="756"/>
    </row>
    <row r="1664" spans="1:1" ht="15.75" x14ac:dyDescent="0.25">
      <c r="A1664" s="756"/>
    </row>
    <row r="1665" spans="1:1" ht="15.75" x14ac:dyDescent="0.25">
      <c r="A1665" s="756"/>
    </row>
    <row r="1666" spans="1:1" ht="15.75" x14ac:dyDescent="0.25">
      <c r="A1666" s="756"/>
    </row>
    <row r="1667" spans="1:1" ht="15.75" x14ac:dyDescent="0.25">
      <c r="A1667" s="756"/>
    </row>
    <row r="1668" spans="1:1" ht="15.75" x14ac:dyDescent="0.25">
      <c r="A1668" s="756"/>
    </row>
    <row r="1669" spans="1:1" ht="15.75" x14ac:dyDescent="0.25">
      <c r="A1669" s="756"/>
    </row>
    <row r="1670" spans="1:1" ht="15.75" x14ac:dyDescent="0.25">
      <c r="A1670" s="756"/>
    </row>
    <row r="1671" spans="1:1" ht="15.75" x14ac:dyDescent="0.25">
      <c r="A1671" s="756"/>
    </row>
    <row r="1672" spans="1:1" ht="15.75" x14ac:dyDescent="0.25">
      <c r="A1672" s="756"/>
    </row>
    <row r="1673" spans="1:1" ht="15.75" x14ac:dyDescent="0.25">
      <c r="A1673" s="756"/>
    </row>
    <row r="1674" spans="1:1" ht="15.75" x14ac:dyDescent="0.25">
      <c r="A1674" s="756"/>
    </row>
    <row r="1675" spans="1:1" ht="15.75" x14ac:dyDescent="0.25">
      <c r="A1675" s="756"/>
    </row>
    <row r="1676" spans="1:1" ht="15.75" x14ac:dyDescent="0.25">
      <c r="A1676" s="756"/>
    </row>
    <row r="1677" spans="1:1" ht="15.75" x14ac:dyDescent="0.25">
      <c r="A1677" s="756"/>
    </row>
    <row r="1678" spans="1:1" ht="15.75" x14ac:dyDescent="0.25">
      <c r="A1678" s="756"/>
    </row>
    <row r="1679" spans="1:1" ht="15.75" x14ac:dyDescent="0.25">
      <c r="A1679" s="756"/>
    </row>
    <row r="1680" spans="1:1" ht="15.75" x14ac:dyDescent="0.25">
      <c r="A1680" s="756"/>
    </row>
    <row r="1681" spans="1:1" ht="15.75" x14ac:dyDescent="0.25">
      <c r="A1681" s="756"/>
    </row>
    <row r="1682" spans="1:1" ht="15.75" x14ac:dyDescent="0.25">
      <c r="A1682" s="756"/>
    </row>
    <row r="1683" spans="1:1" ht="15.75" x14ac:dyDescent="0.25">
      <c r="A1683" s="756"/>
    </row>
    <row r="1684" spans="1:1" ht="15.75" x14ac:dyDescent="0.25">
      <c r="A1684" s="756"/>
    </row>
    <row r="1685" spans="1:1" ht="15.75" x14ac:dyDescent="0.25">
      <c r="A1685" s="756"/>
    </row>
    <row r="1686" spans="1:1" ht="15.75" x14ac:dyDescent="0.25">
      <c r="A1686" s="756"/>
    </row>
    <row r="1687" spans="1:1" ht="15.75" x14ac:dyDescent="0.25">
      <c r="A1687" s="756"/>
    </row>
    <row r="1688" spans="1:1" ht="15.75" x14ac:dyDescent="0.25">
      <c r="A1688" s="756"/>
    </row>
    <row r="1689" spans="1:1" ht="15.75" x14ac:dyDescent="0.25">
      <c r="A1689" s="756"/>
    </row>
    <row r="1690" spans="1:1" ht="15.75" x14ac:dyDescent="0.25">
      <c r="A1690" s="756"/>
    </row>
    <row r="1691" spans="1:1" ht="15.75" x14ac:dyDescent="0.25">
      <c r="A1691" s="756"/>
    </row>
    <row r="1692" spans="1:1" ht="15.75" x14ac:dyDescent="0.25">
      <c r="A1692" s="756"/>
    </row>
    <row r="1693" spans="1:1" ht="15.75" x14ac:dyDescent="0.25">
      <c r="A1693" s="756"/>
    </row>
    <row r="1694" spans="1:1" ht="15.75" x14ac:dyDescent="0.25">
      <c r="A1694" s="756"/>
    </row>
    <row r="1695" spans="1:1" ht="15.75" x14ac:dyDescent="0.25">
      <c r="A1695" s="756"/>
    </row>
    <row r="1696" spans="1:1" ht="15.75" x14ac:dyDescent="0.25">
      <c r="A1696" s="756"/>
    </row>
    <row r="1697" spans="1:1" ht="15.75" x14ac:dyDescent="0.25">
      <c r="A1697" s="756"/>
    </row>
    <row r="1698" spans="1:1" ht="15.75" x14ac:dyDescent="0.25">
      <c r="A1698" s="756"/>
    </row>
    <row r="1699" spans="1:1" ht="15.75" x14ac:dyDescent="0.25">
      <c r="A1699" s="756"/>
    </row>
    <row r="1700" spans="1:1" ht="15.75" x14ac:dyDescent="0.25">
      <c r="A1700" s="756"/>
    </row>
    <row r="1701" spans="1:1" ht="15.75" x14ac:dyDescent="0.25">
      <c r="A1701" s="756"/>
    </row>
    <row r="1702" spans="1:1" ht="15.75" x14ac:dyDescent="0.25">
      <c r="A1702" s="756"/>
    </row>
    <row r="1703" spans="1:1" ht="15.75" x14ac:dyDescent="0.25">
      <c r="A1703" s="756"/>
    </row>
    <row r="1704" spans="1:1" ht="15.75" x14ac:dyDescent="0.25">
      <c r="A1704" s="756"/>
    </row>
    <row r="1705" spans="1:1" ht="15.75" x14ac:dyDescent="0.25">
      <c r="A1705" s="756"/>
    </row>
    <row r="1706" spans="1:1" ht="15.75" x14ac:dyDescent="0.25">
      <c r="A1706" s="756"/>
    </row>
    <row r="1707" spans="1:1" ht="15.75" x14ac:dyDescent="0.25">
      <c r="A1707" s="756"/>
    </row>
    <row r="1708" spans="1:1" ht="15.75" x14ac:dyDescent="0.25">
      <c r="A1708" s="756"/>
    </row>
    <row r="1709" spans="1:1" ht="15.75" x14ac:dyDescent="0.25">
      <c r="A1709" s="756"/>
    </row>
    <row r="1710" spans="1:1" ht="15.75" x14ac:dyDescent="0.25">
      <c r="A1710" s="756"/>
    </row>
    <row r="1711" spans="1:1" ht="15.75" x14ac:dyDescent="0.25">
      <c r="A1711" s="756"/>
    </row>
    <row r="1712" spans="1:1" ht="15.75" x14ac:dyDescent="0.25">
      <c r="A1712" s="756"/>
    </row>
    <row r="1713" spans="1:1" ht="15.75" x14ac:dyDescent="0.25">
      <c r="A1713" s="756"/>
    </row>
    <row r="1714" spans="1:1" ht="15.75" x14ac:dyDescent="0.25">
      <c r="A1714" s="756"/>
    </row>
    <row r="1715" spans="1:1" ht="15.75" x14ac:dyDescent="0.25">
      <c r="A1715" s="756"/>
    </row>
    <row r="1716" spans="1:1" ht="15.75" x14ac:dyDescent="0.25">
      <c r="A1716" s="756"/>
    </row>
    <row r="1717" spans="1:1" ht="15.75" x14ac:dyDescent="0.25">
      <c r="A1717" s="756"/>
    </row>
    <row r="1718" spans="1:1" ht="15.75" x14ac:dyDescent="0.25">
      <c r="A1718" s="756"/>
    </row>
    <row r="1719" spans="1:1" ht="15.75" x14ac:dyDescent="0.25">
      <c r="A1719" s="756"/>
    </row>
    <row r="1720" spans="1:1" ht="15.75" x14ac:dyDescent="0.25">
      <c r="A1720" s="756"/>
    </row>
    <row r="1721" spans="1:1" ht="15.75" x14ac:dyDescent="0.25">
      <c r="A1721" s="756"/>
    </row>
    <row r="1722" spans="1:1" ht="15.75" x14ac:dyDescent="0.25">
      <c r="A1722" s="756"/>
    </row>
    <row r="1723" spans="1:1" ht="15.75" x14ac:dyDescent="0.25">
      <c r="A1723" s="756"/>
    </row>
    <row r="1724" spans="1:1" ht="15.75" x14ac:dyDescent="0.25">
      <c r="A1724" s="756"/>
    </row>
    <row r="1725" spans="1:1" ht="15.75" x14ac:dyDescent="0.25">
      <c r="A1725" s="756"/>
    </row>
    <row r="1726" spans="1:1" ht="15.75" x14ac:dyDescent="0.25">
      <c r="A1726" s="756"/>
    </row>
    <row r="1727" spans="1:1" ht="15.75" x14ac:dyDescent="0.25">
      <c r="A1727" s="756"/>
    </row>
    <row r="1728" spans="1:1" ht="15.75" x14ac:dyDescent="0.25">
      <c r="A1728" s="756"/>
    </row>
    <row r="1729" spans="1:1" ht="15.75" x14ac:dyDescent="0.25">
      <c r="A1729" s="756"/>
    </row>
    <row r="1730" spans="1:1" ht="15.75" x14ac:dyDescent="0.25">
      <c r="A1730" s="756"/>
    </row>
    <row r="1731" spans="1:1" ht="15.75" x14ac:dyDescent="0.25">
      <c r="A1731" s="756"/>
    </row>
    <row r="1732" spans="1:1" ht="15.75" x14ac:dyDescent="0.25">
      <c r="A1732" s="756"/>
    </row>
    <row r="1733" spans="1:1" ht="15.75" x14ac:dyDescent="0.25">
      <c r="A1733" s="756"/>
    </row>
    <row r="1734" spans="1:1" ht="15.75" x14ac:dyDescent="0.25">
      <c r="A1734" s="756"/>
    </row>
    <row r="1735" spans="1:1" ht="15.75" x14ac:dyDescent="0.25">
      <c r="A1735" s="756"/>
    </row>
    <row r="1736" spans="1:1" ht="15.75" x14ac:dyDescent="0.25">
      <c r="A1736" s="756"/>
    </row>
    <row r="1737" spans="1:1" ht="15.75" x14ac:dyDescent="0.25">
      <c r="A1737" s="756"/>
    </row>
    <row r="1738" spans="1:1" ht="15.75" x14ac:dyDescent="0.25">
      <c r="A1738" s="756"/>
    </row>
    <row r="1739" spans="1:1" ht="15.75" x14ac:dyDescent="0.25">
      <c r="A1739" s="756"/>
    </row>
    <row r="1740" spans="1:1" ht="15.75" x14ac:dyDescent="0.25">
      <c r="A1740" s="756"/>
    </row>
    <row r="1741" spans="1:1" ht="15.75" x14ac:dyDescent="0.25">
      <c r="A1741" s="756"/>
    </row>
    <row r="1742" spans="1:1" ht="15.75" x14ac:dyDescent="0.25">
      <c r="A1742" s="756"/>
    </row>
    <row r="1743" spans="1:1" ht="15.75" x14ac:dyDescent="0.25">
      <c r="A1743" s="756"/>
    </row>
    <row r="1744" spans="1:1" ht="15.75" x14ac:dyDescent="0.25">
      <c r="A1744" s="756"/>
    </row>
    <row r="1745" spans="1:1" ht="15.75" x14ac:dyDescent="0.25">
      <c r="A1745" s="756"/>
    </row>
    <row r="1746" spans="1:1" ht="15.75" x14ac:dyDescent="0.25">
      <c r="A1746" s="756"/>
    </row>
    <row r="1747" spans="1:1" ht="15.75" x14ac:dyDescent="0.25">
      <c r="A1747" s="756"/>
    </row>
    <row r="1748" spans="1:1" ht="15.75" x14ac:dyDescent="0.25">
      <c r="A1748" s="756"/>
    </row>
    <row r="1749" spans="1:1" ht="15.75" x14ac:dyDescent="0.25">
      <c r="A1749" s="756"/>
    </row>
    <row r="1750" spans="1:1" ht="15.75" x14ac:dyDescent="0.25">
      <c r="A1750" s="756"/>
    </row>
    <row r="1751" spans="1:1" ht="15.75" x14ac:dyDescent="0.25">
      <c r="A1751" s="756"/>
    </row>
    <row r="1752" spans="1:1" ht="15.75" x14ac:dyDescent="0.25">
      <c r="A1752" s="756"/>
    </row>
    <row r="1753" spans="1:1" ht="15.75" x14ac:dyDescent="0.25">
      <c r="A1753" s="756"/>
    </row>
    <row r="1754" spans="1:1" ht="15.75" x14ac:dyDescent="0.25">
      <c r="A1754" s="756"/>
    </row>
    <row r="1755" spans="1:1" ht="15.75" x14ac:dyDescent="0.25">
      <c r="A1755" s="756"/>
    </row>
    <row r="1756" spans="1:1" ht="15.75" x14ac:dyDescent="0.25">
      <c r="A1756" s="756"/>
    </row>
    <row r="1757" spans="1:1" ht="15.75" x14ac:dyDescent="0.25">
      <c r="A1757" s="756"/>
    </row>
    <row r="1758" spans="1:1" ht="15.75" x14ac:dyDescent="0.25">
      <c r="A1758" s="756"/>
    </row>
    <row r="1759" spans="1:1" ht="15.75" x14ac:dyDescent="0.25">
      <c r="A1759" s="756"/>
    </row>
    <row r="1760" spans="1:1" ht="15.75" x14ac:dyDescent="0.25">
      <c r="A1760" s="756"/>
    </row>
    <row r="1761" spans="1:1" ht="15.75" x14ac:dyDescent="0.25">
      <c r="A1761" s="756"/>
    </row>
    <row r="1762" spans="1:1" ht="15.75" x14ac:dyDescent="0.25">
      <c r="A1762" s="756"/>
    </row>
    <row r="1763" spans="1:1" ht="15.75" x14ac:dyDescent="0.25">
      <c r="A1763" s="756"/>
    </row>
    <row r="1764" spans="1:1" ht="15.75" x14ac:dyDescent="0.25">
      <c r="A1764" s="756"/>
    </row>
    <row r="1765" spans="1:1" ht="15.75" x14ac:dyDescent="0.25">
      <c r="A1765" s="756"/>
    </row>
    <row r="1766" spans="1:1" ht="15.75" x14ac:dyDescent="0.25">
      <c r="A1766" s="756"/>
    </row>
    <row r="1767" spans="1:1" ht="15.75" x14ac:dyDescent="0.25">
      <c r="A1767" s="756"/>
    </row>
    <row r="1768" spans="1:1" ht="15.75" x14ac:dyDescent="0.25">
      <c r="A1768" s="756"/>
    </row>
    <row r="1769" spans="1:1" ht="15.75" x14ac:dyDescent="0.25">
      <c r="A1769" s="756"/>
    </row>
    <row r="1770" spans="1:1" ht="15.75" x14ac:dyDescent="0.25">
      <c r="A1770" s="756"/>
    </row>
    <row r="1771" spans="1:1" ht="15.75" x14ac:dyDescent="0.25">
      <c r="A1771" s="756"/>
    </row>
    <row r="1772" spans="1:1" ht="15.75" x14ac:dyDescent="0.25">
      <c r="A1772" s="756"/>
    </row>
    <row r="1773" spans="1:1" ht="15.75" x14ac:dyDescent="0.25">
      <c r="A1773" s="756"/>
    </row>
    <row r="1774" spans="1:1" ht="15.75" x14ac:dyDescent="0.25">
      <c r="A1774" s="756"/>
    </row>
    <row r="1775" spans="1:1" ht="15.75" x14ac:dyDescent="0.25">
      <c r="A1775" s="756"/>
    </row>
    <row r="1776" spans="1:1" ht="15.75" x14ac:dyDescent="0.25">
      <c r="A1776" s="756"/>
    </row>
    <row r="1777" spans="1:1" ht="15.75" x14ac:dyDescent="0.25">
      <c r="A1777" s="756"/>
    </row>
    <row r="1778" spans="1:1" ht="15.75" x14ac:dyDescent="0.25">
      <c r="A1778" s="756"/>
    </row>
    <row r="1779" spans="1:1" ht="15.75" x14ac:dyDescent="0.25">
      <c r="A1779" s="756"/>
    </row>
    <row r="1780" spans="1:1" ht="15.75" x14ac:dyDescent="0.25">
      <c r="A1780" s="756"/>
    </row>
    <row r="1781" spans="1:1" ht="15.75" x14ac:dyDescent="0.25">
      <c r="A1781" s="756"/>
    </row>
    <row r="1782" spans="1:1" ht="15.75" x14ac:dyDescent="0.25">
      <c r="A1782" s="756"/>
    </row>
    <row r="1783" spans="1:1" ht="15.75" x14ac:dyDescent="0.25">
      <c r="A1783" s="756"/>
    </row>
    <row r="1784" spans="1:1" ht="15.75" x14ac:dyDescent="0.25">
      <c r="A1784" s="756"/>
    </row>
    <row r="1785" spans="1:1" ht="15.75" x14ac:dyDescent="0.25">
      <c r="A1785" s="756"/>
    </row>
    <row r="1786" spans="1:1" ht="15.75" x14ac:dyDescent="0.25">
      <c r="A1786" s="756"/>
    </row>
    <row r="1787" spans="1:1" ht="15.75" x14ac:dyDescent="0.25">
      <c r="A1787" s="756"/>
    </row>
    <row r="1788" spans="1:1" ht="15.75" x14ac:dyDescent="0.25">
      <c r="A1788" s="756"/>
    </row>
    <row r="1789" spans="1:1" ht="15.75" x14ac:dyDescent="0.25">
      <c r="A1789" s="756"/>
    </row>
    <row r="1790" spans="1:1" ht="15.75" x14ac:dyDescent="0.25">
      <c r="A1790" s="756"/>
    </row>
    <row r="1791" spans="1:1" ht="15.75" x14ac:dyDescent="0.25">
      <c r="A1791" s="756"/>
    </row>
    <row r="1792" spans="1:1" ht="15.75" x14ac:dyDescent="0.25">
      <c r="A1792" s="756"/>
    </row>
    <row r="1793" spans="1:1" ht="15.75" x14ac:dyDescent="0.25">
      <c r="A1793" s="756"/>
    </row>
    <row r="1794" spans="1:1" ht="15.75" x14ac:dyDescent="0.25">
      <c r="A1794" s="756"/>
    </row>
    <row r="1795" spans="1:1" ht="15.75" x14ac:dyDescent="0.25">
      <c r="A1795" s="756"/>
    </row>
    <row r="1796" spans="1:1" ht="15.75" x14ac:dyDescent="0.25">
      <c r="A1796" s="756"/>
    </row>
    <row r="1797" spans="1:1" ht="15.75" x14ac:dyDescent="0.25">
      <c r="A1797" s="756"/>
    </row>
    <row r="1798" spans="1:1" ht="15.75" x14ac:dyDescent="0.25">
      <c r="A1798" s="756"/>
    </row>
    <row r="1799" spans="1:1" ht="15.75" x14ac:dyDescent="0.25">
      <c r="A1799" s="756"/>
    </row>
    <row r="1800" spans="1:1" ht="15.75" x14ac:dyDescent="0.25">
      <c r="A1800" s="756"/>
    </row>
    <row r="1801" spans="1:1" ht="15.75" x14ac:dyDescent="0.25">
      <c r="A1801" s="756"/>
    </row>
    <row r="1802" spans="1:1" ht="15.75" x14ac:dyDescent="0.25">
      <c r="A1802" s="756"/>
    </row>
    <row r="1803" spans="1:1" ht="15.75" x14ac:dyDescent="0.25">
      <c r="A1803" s="756"/>
    </row>
    <row r="1804" spans="1:1" ht="15.75" x14ac:dyDescent="0.25">
      <c r="A1804" s="756"/>
    </row>
    <row r="1805" spans="1:1" ht="15.75" x14ac:dyDescent="0.25">
      <c r="A1805" s="756"/>
    </row>
    <row r="1806" spans="1:1" ht="15.75" x14ac:dyDescent="0.25">
      <c r="A1806" s="756"/>
    </row>
    <row r="1807" spans="1:1" ht="15.75" x14ac:dyDescent="0.25">
      <c r="A1807" s="756"/>
    </row>
    <row r="1808" spans="1:1" ht="15.75" x14ac:dyDescent="0.25">
      <c r="A1808" s="756"/>
    </row>
    <row r="1809" spans="1:1" ht="15.75" x14ac:dyDescent="0.25">
      <c r="A1809" s="756"/>
    </row>
    <row r="1810" spans="1:1" ht="15.75" x14ac:dyDescent="0.25">
      <c r="A1810" s="756"/>
    </row>
    <row r="1811" spans="1:1" ht="15.75" x14ac:dyDescent="0.25">
      <c r="A1811" s="756"/>
    </row>
    <row r="1812" spans="1:1" ht="15.75" x14ac:dyDescent="0.25">
      <c r="A1812" s="756"/>
    </row>
    <row r="1813" spans="1:1" ht="15.75" x14ac:dyDescent="0.25">
      <c r="A1813" s="756"/>
    </row>
    <row r="1814" spans="1:1" ht="15.75" x14ac:dyDescent="0.25">
      <c r="A1814" s="756"/>
    </row>
    <row r="1815" spans="1:1" ht="15.75" x14ac:dyDescent="0.25">
      <c r="A1815" s="756"/>
    </row>
    <row r="1816" spans="1:1" ht="15.75" x14ac:dyDescent="0.25">
      <c r="A1816" s="756"/>
    </row>
    <row r="1817" spans="1:1" ht="15.75" x14ac:dyDescent="0.25">
      <c r="A1817" s="756"/>
    </row>
    <row r="1818" spans="1:1" ht="15.75" x14ac:dyDescent="0.25">
      <c r="A1818" s="756"/>
    </row>
    <row r="1819" spans="1:1" ht="15.75" x14ac:dyDescent="0.25">
      <c r="A1819" s="756"/>
    </row>
    <row r="1820" spans="1:1" ht="15.75" x14ac:dyDescent="0.25">
      <c r="A1820" s="756"/>
    </row>
    <row r="1821" spans="1:1" ht="15.75" x14ac:dyDescent="0.25">
      <c r="A1821" s="756"/>
    </row>
    <row r="1822" spans="1:1" ht="15.75" x14ac:dyDescent="0.25">
      <c r="A1822" s="756"/>
    </row>
    <row r="1823" spans="1:1" ht="15.75" x14ac:dyDescent="0.25">
      <c r="A1823" s="756"/>
    </row>
    <row r="1824" spans="1:1" ht="15.75" x14ac:dyDescent="0.25">
      <c r="A1824" s="756"/>
    </row>
    <row r="1825" spans="1:1" ht="15.75" x14ac:dyDescent="0.25">
      <c r="A1825" s="756"/>
    </row>
    <row r="1826" spans="1:1" ht="15.75" x14ac:dyDescent="0.25">
      <c r="A1826" s="756"/>
    </row>
    <row r="1827" spans="1:1" ht="15.75" x14ac:dyDescent="0.25">
      <c r="A1827" s="756"/>
    </row>
    <row r="1828" spans="1:1" ht="15.75" x14ac:dyDescent="0.25">
      <c r="A1828" s="756"/>
    </row>
    <row r="1829" spans="1:1" ht="15.75" x14ac:dyDescent="0.25">
      <c r="A1829" s="756"/>
    </row>
    <row r="1830" spans="1:1" ht="15.75" x14ac:dyDescent="0.25">
      <c r="A1830" s="756"/>
    </row>
    <row r="1831" spans="1:1" ht="15.75" x14ac:dyDescent="0.25">
      <c r="A1831" s="756"/>
    </row>
    <row r="1832" spans="1:1" ht="15.75" x14ac:dyDescent="0.25">
      <c r="A1832" s="756"/>
    </row>
    <row r="1833" spans="1:1" ht="15.75" x14ac:dyDescent="0.25">
      <c r="A1833" s="756"/>
    </row>
    <row r="1834" spans="1:1" ht="15.75" x14ac:dyDescent="0.25">
      <c r="A1834" s="756"/>
    </row>
    <row r="1835" spans="1:1" ht="15.75" x14ac:dyDescent="0.25">
      <c r="A1835" s="756"/>
    </row>
    <row r="1836" spans="1:1" ht="15.75" x14ac:dyDescent="0.25">
      <c r="A1836" s="756"/>
    </row>
    <row r="1837" spans="1:1" ht="15.75" x14ac:dyDescent="0.25">
      <c r="A1837" s="756"/>
    </row>
    <row r="1838" spans="1:1" ht="15.75" x14ac:dyDescent="0.25">
      <c r="A1838" s="756"/>
    </row>
    <row r="1839" spans="1:1" ht="15.75" x14ac:dyDescent="0.25">
      <c r="A1839" s="756"/>
    </row>
    <row r="1840" spans="1:1" ht="15.75" x14ac:dyDescent="0.25">
      <c r="A1840" s="756"/>
    </row>
    <row r="1841" spans="1:1" ht="15.75" x14ac:dyDescent="0.25">
      <c r="A1841" s="756"/>
    </row>
    <row r="1842" spans="1:1" ht="15.75" x14ac:dyDescent="0.25">
      <c r="A1842" s="756"/>
    </row>
    <row r="1843" spans="1:1" ht="15.75" x14ac:dyDescent="0.25">
      <c r="A1843" s="756"/>
    </row>
    <row r="1844" spans="1:1" ht="15.75" x14ac:dyDescent="0.25">
      <c r="A1844" s="756"/>
    </row>
    <row r="1845" spans="1:1" ht="15.75" x14ac:dyDescent="0.25">
      <c r="A1845" s="756"/>
    </row>
    <row r="1846" spans="1:1" ht="15.75" x14ac:dyDescent="0.25">
      <c r="A1846" s="756"/>
    </row>
    <row r="1847" spans="1:1" ht="15.75" x14ac:dyDescent="0.25">
      <c r="A1847" s="756"/>
    </row>
    <row r="1848" spans="1:1" ht="15.75" x14ac:dyDescent="0.25">
      <c r="A1848" s="756"/>
    </row>
    <row r="1849" spans="1:1" ht="15.75" x14ac:dyDescent="0.25">
      <c r="A1849" s="756"/>
    </row>
    <row r="1850" spans="1:1" ht="15.75" x14ac:dyDescent="0.25">
      <c r="A1850" s="756"/>
    </row>
    <row r="1851" spans="1:1" ht="15.75" x14ac:dyDescent="0.25">
      <c r="A1851" s="756"/>
    </row>
    <row r="1852" spans="1:1" ht="15.75" x14ac:dyDescent="0.25">
      <c r="A1852" s="756"/>
    </row>
    <row r="1853" spans="1:1" ht="15.75" x14ac:dyDescent="0.25">
      <c r="A1853" s="756"/>
    </row>
    <row r="1854" spans="1:1" ht="15.75" x14ac:dyDescent="0.25">
      <c r="A1854" s="756"/>
    </row>
    <row r="1855" spans="1:1" ht="15.75" x14ac:dyDescent="0.25">
      <c r="A1855" s="756"/>
    </row>
    <row r="1856" spans="1:1" ht="15.75" x14ac:dyDescent="0.25">
      <c r="A1856" s="756"/>
    </row>
    <row r="1857" spans="1:1" ht="15.75" x14ac:dyDescent="0.25">
      <c r="A1857" s="756"/>
    </row>
    <row r="1858" spans="1:1" ht="15.75" x14ac:dyDescent="0.25">
      <c r="A1858" s="756"/>
    </row>
    <row r="1859" spans="1:1" ht="15.75" x14ac:dyDescent="0.25">
      <c r="A1859" s="756"/>
    </row>
    <row r="1860" spans="1:1" ht="15.75" x14ac:dyDescent="0.25">
      <c r="A1860" s="756"/>
    </row>
    <row r="1861" spans="1:1" ht="15.75" x14ac:dyDescent="0.25">
      <c r="A1861" s="756"/>
    </row>
    <row r="1862" spans="1:1" ht="15.75" x14ac:dyDescent="0.25">
      <c r="A1862" s="756"/>
    </row>
    <row r="1863" spans="1:1" ht="15.75" x14ac:dyDescent="0.25">
      <c r="A1863" s="756"/>
    </row>
    <row r="1864" spans="1:1" ht="15.75" x14ac:dyDescent="0.25">
      <c r="A1864" s="756"/>
    </row>
    <row r="1865" spans="1:1" ht="15.75" x14ac:dyDescent="0.25">
      <c r="A1865" s="756"/>
    </row>
    <row r="1866" spans="1:1" ht="15.75" x14ac:dyDescent="0.25">
      <c r="A1866" s="756"/>
    </row>
    <row r="1867" spans="1:1" ht="15.75" x14ac:dyDescent="0.25">
      <c r="A1867" s="756"/>
    </row>
    <row r="1868" spans="1:1" ht="15.75" x14ac:dyDescent="0.25">
      <c r="A1868" s="756"/>
    </row>
    <row r="1869" spans="1:1" ht="15.75" x14ac:dyDescent="0.25">
      <c r="A1869" s="756"/>
    </row>
    <row r="1870" spans="1:1" ht="15.75" x14ac:dyDescent="0.25">
      <c r="A1870" s="756"/>
    </row>
    <row r="1871" spans="1:1" ht="15.75" x14ac:dyDescent="0.25">
      <c r="A1871" s="756"/>
    </row>
    <row r="1872" spans="1:1" ht="15.75" x14ac:dyDescent="0.25">
      <c r="A1872" s="756"/>
    </row>
    <row r="1873" spans="1:1" ht="15.75" x14ac:dyDescent="0.25">
      <c r="A1873" s="756"/>
    </row>
    <row r="1874" spans="1:1" ht="15.75" x14ac:dyDescent="0.25">
      <c r="A1874" s="756"/>
    </row>
    <row r="1875" spans="1:1" ht="15.75" x14ac:dyDescent="0.25">
      <c r="A1875" s="756"/>
    </row>
    <row r="1876" spans="1:1" ht="15.75" x14ac:dyDescent="0.25">
      <c r="A1876" s="756"/>
    </row>
    <row r="1877" spans="1:1" ht="15.75" x14ac:dyDescent="0.25">
      <c r="A1877" s="756"/>
    </row>
    <row r="1878" spans="1:1" ht="15.75" x14ac:dyDescent="0.25">
      <c r="A1878" s="756"/>
    </row>
    <row r="1879" spans="1:1" ht="15.75" x14ac:dyDescent="0.25">
      <c r="A1879" s="756"/>
    </row>
    <row r="1880" spans="1:1" ht="15.75" x14ac:dyDescent="0.25">
      <c r="A1880" s="756"/>
    </row>
    <row r="1881" spans="1:1" ht="15.75" x14ac:dyDescent="0.25">
      <c r="A1881" s="756"/>
    </row>
    <row r="1882" spans="1:1" ht="15.75" x14ac:dyDescent="0.25">
      <c r="A1882" s="756"/>
    </row>
    <row r="1883" spans="1:1" ht="15.75" x14ac:dyDescent="0.25">
      <c r="A1883" s="756"/>
    </row>
    <row r="1884" spans="1:1" ht="15.75" x14ac:dyDescent="0.25">
      <c r="A1884" s="756"/>
    </row>
    <row r="1885" spans="1:1" ht="15.75" x14ac:dyDescent="0.25">
      <c r="A1885" s="756"/>
    </row>
    <row r="1886" spans="1:1" ht="15.75" x14ac:dyDescent="0.25">
      <c r="A1886" s="756"/>
    </row>
    <row r="1887" spans="1:1" ht="15.75" x14ac:dyDescent="0.25">
      <c r="A1887" s="756"/>
    </row>
    <row r="1888" spans="1:1" ht="15.75" x14ac:dyDescent="0.25">
      <c r="A1888" s="756"/>
    </row>
    <row r="1889" spans="1:1" ht="15.75" x14ac:dyDescent="0.25">
      <c r="A1889" s="756"/>
    </row>
    <row r="1890" spans="1:1" ht="15.75" x14ac:dyDescent="0.25">
      <c r="A1890" s="756"/>
    </row>
    <row r="1891" spans="1:1" ht="15.75" x14ac:dyDescent="0.25">
      <c r="A1891" s="756"/>
    </row>
    <row r="1892" spans="1:1" ht="15.75" x14ac:dyDescent="0.25">
      <c r="A1892" s="756"/>
    </row>
    <row r="1893" spans="1:1" ht="15.75" x14ac:dyDescent="0.25">
      <c r="A1893" s="756"/>
    </row>
    <row r="1894" spans="1:1" ht="15.75" x14ac:dyDescent="0.25">
      <c r="A1894" s="756"/>
    </row>
    <row r="1895" spans="1:1" ht="15.75" x14ac:dyDescent="0.25">
      <c r="A1895" s="756"/>
    </row>
    <row r="1896" spans="1:1" ht="15.75" x14ac:dyDescent="0.25">
      <c r="A1896" s="756"/>
    </row>
    <row r="1897" spans="1:1" ht="15.75" x14ac:dyDescent="0.25">
      <c r="A1897" s="756"/>
    </row>
    <row r="1898" spans="1:1" ht="15.75" x14ac:dyDescent="0.25">
      <c r="A1898" s="756"/>
    </row>
    <row r="1899" spans="1:1" ht="15.75" x14ac:dyDescent="0.25">
      <c r="A1899" s="756"/>
    </row>
    <row r="1900" spans="1:1" ht="15.75" x14ac:dyDescent="0.25">
      <c r="A1900" s="756"/>
    </row>
    <row r="1901" spans="1:1" ht="15.75" x14ac:dyDescent="0.25">
      <c r="A1901" s="756"/>
    </row>
    <row r="1902" spans="1:1" ht="15.75" x14ac:dyDescent="0.25">
      <c r="A1902" s="756"/>
    </row>
    <row r="1903" spans="1:1" ht="15.75" x14ac:dyDescent="0.25">
      <c r="A1903" s="756"/>
    </row>
    <row r="1904" spans="1:1" ht="15.75" x14ac:dyDescent="0.25">
      <c r="A1904" s="756"/>
    </row>
    <row r="1905" spans="1:1" ht="15.75" x14ac:dyDescent="0.25">
      <c r="A1905" s="756"/>
    </row>
    <row r="1906" spans="1:1" ht="15.75" x14ac:dyDescent="0.25">
      <c r="A1906" s="756"/>
    </row>
    <row r="1907" spans="1:1" ht="15.75" x14ac:dyDescent="0.25">
      <c r="A1907" s="756"/>
    </row>
    <row r="1908" spans="1:1" ht="15.75" x14ac:dyDescent="0.25">
      <c r="A1908" s="756"/>
    </row>
    <row r="1909" spans="1:1" ht="15.75" x14ac:dyDescent="0.25">
      <c r="A1909" s="756"/>
    </row>
    <row r="1910" spans="1:1" ht="15.75" x14ac:dyDescent="0.25">
      <c r="A1910" s="756"/>
    </row>
    <row r="1911" spans="1:1" ht="15.75" x14ac:dyDescent="0.25">
      <c r="A1911" s="756"/>
    </row>
    <row r="1912" spans="1:1" ht="15.75" x14ac:dyDescent="0.25">
      <c r="A1912" s="756"/>
    </row>
    <row r="1913" spans="1:1" ht="15.75" x14ac:dyDescent="0.25">
      <c r="A1913" s="756"/>
    </row>
    <row r="1914" spans="1:1" ht="15.75" x14ac:dyDescent="0.25">
      <c r="A1914" s="756"/>
    </row>
    <row r="1915" spans="1:1" ht="15.75" x14ac:dyDescent="0.25">
      <c r="A1915" s="756"/>
    </row>
    <row r="1916" spans="1:1" ht="15.75" x14ac:dyDescent="0.25">
      <c r="A1916" s="756"/>
    </row>
    <row r="1917" spans="1:1" ht="15.75" x14ac:dyDescent="0.25">
      <c r="A1917" s="756"/>
    </row>
    <row r="1918" spans="1:1" ht="15.75" x14ac:dyDescent="0.25">
      <c r="A1918" s="756"/>
    </row>
    <row r="1919" spans="1:1" ht="15.75" x14ac:dyDescent="0.25">
      <c r="A1919" s="756"/>
    </row>
    <row r="1920" spans="1:1" ht="15.75" x14ac:dyDescent="0.25">
      <c r="A1920" s="756"/>
    </row>
    <row r="1921" spans="1:1" ht="15.75" x14ac:dyDescent="0.25">
      <c r="A1921" s="756"/>
    </row>
    <row r="1922" spans="1:1" ht="15.75" x14ac:dyDescent="0.25">
      <c r="A1922" s="756"/>
    </row>
    <row r="1923" spans="1:1" ht="15.75" x14ac:dyDescent="0.25">
      <c r="A1923" s="756"/>
    </row>
    <row r="1924" spans="1:1" ht="15.75" x14ac:dyDescent="0.25">
      <c r="A1924" s="756"/>
    </row>
    <row r="1925" spans="1:1" ht="15.75" x14ac:dyDescent="0.25">
      <c r="A1925" s="756"/>
    </row>
    <row r="1926" spans="1:1" ht="15.75" x14ac:dyDescent="0.25">
      <c r="A1926" s="756"/>
    </row>
    <row r="1927" spans="1:1" ht="15.75" x14ac:dyDescent="0.25">
      <c r="A1927" s="756"/>
    </row>
    <row r="1928" spans="1:1" ht="15.75" x14ac:dyDescent="0.25">
      <c r="A1928" s="756"/>
    </row>
    <row r="1929" spans="1:1" ht="15.75" x14ac:dyDescent="0.25">
      <c r="A1929" s="756"/>
    </row>
    <row r="1930" spans="1:1" ht="15.75" x14ac:dyDescent="0.25">
      <c r="A1930" s="756"/>
    </row>
    <row r="1931" spans="1:1" ht="15.75" x14ac:dyDescent="0.25">
      <c r="A1931" s="756"/>
    </row>
    <row r="1932" spans="1:1" ht="15.75" x14ac:dyDescent="0.25">
      <c r="A1932" s="756"/>
    </row>
    <row r="1933" spans="1:1" ht="15.75" x14ac:dyDescent="0.25">
      <c r="A1933" s="756"/>
    </row>
    <row r="1934" spans="1:1" ht="15.75" x14ac:dyDescent="0.25">
      <c r="A1934" s="756"/>
    </row>
    <row r="1935" spans="1:1" ht="15.75" x14ac:dyDescent="0.25">
      <c r="A1935" s="756"/>
    </row>
    <row r="1936" spans="1:1" ht="15.75" x14ac:dyDescent="0.25">
      <c r="A1936" s="756"/>
    </row>
    <row r="1937" spans="1:1" ht="15.75" x14ac:dyDescent="0.25">
      <c r="A1937" s="756"/>
    </row>
    <row r="1938" spans="1:1" ht="15.75" x14ac:dyDescent="0.25">
      <c r="A1938" s="756"/>
    </row>
    <row r="1939" spans="1:1" ht="15.75" x14ac:dyDescent="0.25">
      <c r="A1939" s="756"/>
    </row>
    <row r="1940" spans="1:1" ht="15.75" x14ac:dyDescent="0.25">
      <c r="A1940" s="756"/>
    </row>
    <row r="1941" spans="1:1" ht="15.75" x14ac:dyDescent="0.25">
      <c r="A1941" s="756"/>
    </row>
    <row r="1942" spans="1:1" ht="15.75" x14ac:dyDescent="0.25">
      <c r="A1942" s="756"/>
    </row>
    <row r="1943" spans="1:1" ht="15.75" x14ac:dyDescent="0.25">
      <c r="A1943" s="756"/>
    </row>
    <row r="1944" spans="1:1" ht="15.75" x14ac:dyDescent="0.25">
      <c r="A1944" s="756"/>
    </row>
    <row r="1945" spans="1:1" ht="15.75" x14ac:dyDescent="0.25">
      <c r="A1945" s="756"/>
    </row>
    <row r="1946" spans="1:1" ht="15.75" x14ac:dyDescent="0.25">
      <c r="A1946" s="756"/>
    </row>
    <row r="1947" spans="1:1" ht="15.75" x14ac:dyDescent="0.25">
      <c r="A1947" s="756"/>
    </row>
    <row r="1948" spans="1:1" ht="15.75" x14ac:dyDescent="0.25">
      <c r="A1948" s="756"/>
    </row>
    <row r="1949" spans="1:1" ht="15.75" x14ac:dyDescent="0.25">
      <c r="A1949" s="756"/>
    </row>
    <row r="1950" spans="1:1" ht="15.75" x14ac:dyDescent="0.25">
      <c r="A1950" s="756"/>
    </row>
    <row r="1951" spans="1:1" ht="15.75" x14ac:dyDescent="0.25">
      <c r="A1951" s="756"/>
    </row>
    <row r="1952" spans="1:1" ht="15.75" x14ac:dyDescent="0.25">
      <c r="A1952" s="756"/>
    </row>
    <row r="1953" spans="1:1" ht="15.75" x14ac:dyDescent="0.25">
      <c r="A1953" s="756"/>
    </row>
    <row r="1954" spans="1:1" ht="15.75" x14ac:dyDescent="0.25">
      <c r="A1954" s="756"/>
    </row>
    <row r="1955" spans="1:1" ht="15.75" x14ac:dyDescent="0.25">
      <c r="A1955" s="756"/>
    </row>
    <row r="1956" spans="1:1" ht="15.75" x14ac:dyDescent="0.25">
      <c r="A1956" s="756"/>
    </row>
    <row r="1957" spans="1:1" ht="15.75" x14ac:dyDescent="0.25">
      <c r="A1957" s="756"/>
    </row>
    <row r="1958" spans="1:1" ht="15.75" x14ac:dyDescent="0.25">
      <c r="A1958" s="756"/>
    </row>
    <row r="1959" spans="1:1" ht="15.75" x14ac:dyDescent="0.25">
      <c r="A1959" s="756"/>
    </row>
    <row r="1960" spans="1:1" ht="15.75" x14ac:dyDescent="0.25">
      <c r="A1960" s="756"/>
    </row>
    <row r="1961" spans="1:1" ht="15.75" x14ac:dyDescent="0.25">
      <c r="A1961" s="756"/>
    </row>
    <row r="1962" spans="1:1" ht="15.75" x14ac:dyDescent="0.25">
      <c r="A1962" s="756"/>
    </row>
    <row r="1963" spans="1:1" ht="15.75" x14ac:dyDescent="0.25">
      <c r="A1963" s="756"/>
    </row>
    <row r="1964" spans="1:1" ht="15.75" x14ac:dyDescent="0.25">
      <c r="A1964" s="756"/>
    </row>
    <row r="1965" spans="1:1" ht="15.75" x14ac:dyDescent="0.25">
      <c r="A1965" s="756"/>
    </row>
    <row r="1966" spans="1:1" ht="15.75" x14ac:dyDescent="0.25">
      <c r="A1966" s="756"/>
    </row>
    <row r="1967" spans="1:1" ht="15.75" x14ac:dyDescent="0.25">
      <c r="A1967" s="756"/>
    </row>
    <row r="1968" spans="1:1" ht="15.75" x14ac:dyDescent="0.25">
      <c r="A1968" s="756"/>
    </row>
    <row r="1969" spans="1:1" ht="15.75" x14ac:dyDescent="0.25">
      <c r="A1969" s="756"/>
    </row>
    <row r="1970" spans="1:1" ht="15.75" x14ac:dyDescent="0.25">
      <c r="A1970" s="756"/>
    </row>
    <row r="1971" spans="1:1" ht="15.75" x14ac:dyDescent="0.25">
      <c r="A1971" s="756"/>
    </row>
    <row r="1972" spans="1:1" ht="15.75" x14ac:dyDescent="0.25">
      <c r="A1972" s="756"/>
    </row>
    <row r="1973" spans="1:1" ht="15.75" x14ac:dyDescent="0.25">
      <c r="A1973" s="756"/>
    </row>
    <row r="1974" spans="1:1" ht="15.75" x14ac:dyDescent="0.25">
      <c r="A1974" s="756"/>
    </row>
    <row r="1975" spans="1:1" ht="15.75" x14ac:dyDescent="0.25">
      <c r="A1975" s="756"/>
    </row>
    <row r="1976" spans="1:1" ht="15.75" x14ac:dyDescent="0.25">
      <c r="A1976" s="756"/>
    </row>
    <row r="1977" spans="1:1" ht="15.75" x14ac:dyDescent="0.25">
      <c r="A1977" s="756"/>
    </row>
    <row r="1978" spans="1:1" ht="15.75" x14ac:dyDescent="0.25">
      <c r="A1978" s="756"/>
    </row>
    <row r="1979" spans="1:1" ht="15.75" x14ac:dyDescent="0.25">
      <c r="A1979" s="756"/>
    </row>
    <row r="1980" spans="1:1" ht="15.75" x14ac:dyDescent="0.25">
      <c r="A1980" s="756"/>
    </row>
    <row r="1981" spans="1:1" ht="15.75" x14ac:dyDescent="0.25">
      <c r="A1981" s="756"/>
    </row>
    <row r="1982" spans="1:1" ht="15.75" x14ac:dyDescent="0.25">
      <c r="A1982" s="756"/>
    </row>
    <row r="1983" spans="1:1" ht="15.75" x14ac:dyDescent="0.25">
      <c r="A1983" s="756"/>
    </row>
    <row r="1984" spans="1:1" ht="15.75" x14ac:dyDescent="0.25">
      <c r="A1984" s="756"/>
    </row>
    <row r="1985" spans="1:1" ht="15.75" x14ac:dyDescent="0.25">
      <c r="A1985" s="756"/>
    </row>
    <row r="1986" spans="1:1" ht="15.75" x14ac:dyDescent="0.25">
      <c r="A1986" s="756"/>
    </row>
    <row r="1987" spans="1:1" ht="15.75" x14ac:dyDescent="0.25">
      <c r="A1987" s="756"/>
    </row>
    <row r="1988" spans="1:1" ht="15.75" x14ac:dyDescent="0.25">
      <c r="A1988" s="756"/>
    </row>
    <row r="1989" spans="1:1" ht="15.75" x14ac:dyDescent="0.25">
      <c r="A1989" s="756"/>
    </row>
    <row r="1990" spans="1:1" ht="15.75" x14ac:dyDescent="0.25">
      <c r="A1990" s="756"/>
    </row>
    <row r="1991" spans="1:1" ht="15.75" x14ac:dyDescent="0.25">
      <c r="A1991" s="756"/>
    </row>
    <row r="1992" spans="1:1" ht="15.75" x14ac:dyDescent="0.25">
      <c r="A1992" s="756"/>
    </row>
    <row r="1993" spans="1:1" ht="15.75" x14ac:dyDescent="0.25">
      <c r="A1993" s="756"/>
    </row>
    <row r="1994" spans="1:1" ht="15.75" x14ac:dyDescent="0.25">
      <c r="A1994" s="756"/>
    </row>
    <row r="1995" spans="1:1" ht="15.75" x14ac:dyDescent="0.25">
      <c r="A1995" s="756"/>
    </row>
    <row r="1996" spans="1:1" ht="15.75" x14ac:dyDescent="0.25">
      <c r="A1996" s="756"/>
    </row>
    <row r="1997" spans="1:1" ht="15.75" x14ac:dyDescent="0.25">
      <c r="A1997" s="756"/>
    </row>
    <row r="1998" spans="1:1" ht="15.75" x14ac:dyDescent="0.25">
      <c r="A1998" s="756"/>
    </row>
    <row r="1999" spans="1:1" ht="15.75" x14ac:dyDescent="0.25">
      <c r="A1999" s="756"/>
    </row>
    <row r="2000" spans="1:1" ht="15.75" x14ac:dyDescent="0.25">
      <c r="A2000" s="756"/>
    </row>
    <row r="2001" spans="1:1" ht="15.75" x14ac:dyDescent="0.25">
      <c r="A2001" s="756"/>
    </row>
    <row r="2002" spans="1:1" ht="15.75" x14ac:dyDescent="0.25">
      <c r="A2002" s="756"/>
    </row>
    <row r="2003" spans="1:1" ht="15.75" x14ac:dyDescent="0.25">
      <c r="A2003" s="756"/>
    </row>
    <row r="2004" spans="1:1" ht="15.75" x14ac:dyDescent="0.25">
      <c r="A2004" s="756"/>
    </row>
    <row r="2005" spans="1:1" ht="15.75" x14ac:dyDescent="0.25">
      <c r="A2005" s="756"/>
    </row>
    <row r="2006" spans="1:1" ht="15.75" x14ac:dyDescent="0.25">
      <c r="A2006" s="756"/>
    </row>
    <row r="2007" spans="1:1" ht="15.75" x14ac:dyDescent="0.25">
      <c r="A2007" s="756"/>
    </row>
    <row r="2008" spans="1:1" ht="15.75" x14ac:dyDescent="0.25">
      <c r="A2008" s="756"/>
    </row>
    <row r="2009" spans="1:1" ht="15.75" x14ac:dyDescent="0.25">
      <c r="A2009" s="756"/>
    </row>
    <row r="2010" spans="1:1" ht="15.75" x14ac:dyDescent="0.25">
      <c r="A2010" s="756"/>
    </row>
    <row r="2011" spans="1:1" ht="15.75" x14ac:dyDescent="0.25">
      <c r="A2011" s="756"/>
    </row>
    <row r="2012" spans="1:1" ht="15.75" x14ac:dyDescent="0.25">
      <c r="A2012" s="756"/>
    </row>
    <row r="2013" spans="1:1" ht="15.75" x14ac:dyDescent="0.25">
      <c r="A2013" s="756"/>
    </row>
    <row r="2014" spans="1:1" ht="15.75" x14ac:dyDescent="0.25">
      <c r="A2014" s="756"/>
    </row>
    <row r="2015" spans="1:1" ht="15.75" x14ac:dyDescent="0.25">
      <c r="A2015" s="756"/>
    </row>
    <row r="2016" spans="1:1" ht="15.75" x14ac:dyDescent="0.25">
      <c r="A2016" s="756"/>
    </row>
    <row r="2017" spans="1:1" ht="15.75" x14ac:dyDescent="0.25">
      <c r="A2017" s="756"/>
    </row>
    <row r="2018" spans="1:1" ht="15.75" x14ac:dyDescent="0.25">
      <c r="A2018" s="756"/>
    </row>
    <row r="2019" spans="1:1" ht="15.75" x14ac:dyDescent="0.25">
      <c r="A2019" s="756"/>
    </row>
    <row r="2020" spans="1:1" ht="15.75" x14ac:dyDescent="0.25">
      <c r="A2020" s="756"/>
    </row>
    <row r="2021" spans="1:1" ht="15.75" x14ac:dyDescent="0.25">
      <c r="A2021" s="756"/>
    </row>
    <row r="2022" spans="1:1" ht="15.75" x14ac:dyDescent="0.25">
      <c r="A2022" s="756"/>
    </row>
    <row r="2023" spans="1:1" ht="15.75" x14ac:dyDescent="0.25">
      <c r="A2023" s="756"/>
    </row>
    <row r="2024" spans="1:1" ht="15.75" x14ac:dyDescent="0.25">
      <c r="A2024" s="756"/>
    </row>
    <row r="2025" spans="1:1" ht="15.75" x14ac:dyDescent="0.25">
      <c r="A2025" s="756"/>
    </row>
    <row r="2026" spans="1:1" ht="15.75" x14ac:dyDescent="0.25">
      <c r="A2026" s="756"/>
    </row>
    <row r="2027" spans="1:1" ht="15.75" x14ac:dyDescent="0.25">
      <c r="A2027" s="756"/>
    </row>
    <row r="2028" spans="1:1" ht="15.75" x14ac:dyDescent="0.25">
      <c r="A2028" s="756"/>
    </row>
    <row r="2029" spans="1:1" ht="15.75" x14ac:dyDescent="0.25">
      <c r="A2029" s="756"/>
    </row>
    <row r="2030" spans="1:1" ht="15.75" x14ac:dyDescent="0.25">
      <c r="A2030" s="756"/>
    </row>
    <row r="2031" spans="1:1" ht="15.75" x14ac:dyDescent="0.25">
      <c r="A2031" s="756"/>
    </row>
    <row r="2032" spans="1:1" ht="15.75" x14ac:dyDescent="0.25">
      <c r="A2032" s="756"/>
    </row>
    <row r="2033" spans="1:1" ht="15.75" x14ac:dyDescent="0.25">
      <c r="A2033" s="756"/>
    </row>
    <row r="2034" spans="1:1" ht="15.75" x14ac:dyDescent="0.25">
      <c r="A2034" s="756"/>
    </row>
    <row r="2035" spans="1:1" ht="15.75" x14ac:dyDescent="0.25">
      <c r="A2035" s="756"/>
    </row>
    <row r="2036" spans="1:1" ht="15.75" x14ac:dyDescent="0.25">
      <c r="A2036" s="756"/>
    </row>
    <row r="2037" spans="1:1" ht="15.75" x14ac:dyDescent="0.25">
      <c r="A2037" s="756"/>
    </row>
    <row r="2038" spans="1:1" ht="15.75" x14ac:dyDescent="0.25">
      <c r="A2038" s="756"/>
    </row>
    <row r="2039" spans="1:1" ht="15.75" x14ac:dyDescent="0.25">
      <c r="A2039" s="756"/>
    </row>
    <row r="2040" spans="1:1" ht="15.75" x14ac:dyDescent="0.25">
      <c r="A2040" s="756"/>
    </row>
    <row r="2041" spans="1:1" ht="15.75" x14ac:dyDescent="0.25">
      <c r="A2041" s="756"/>
    </row>
    <row r="2042" spans="1:1" ht="15.75" x14ac:dyDescent="0.25">
      <c r="A2042" s="756"/>
    </row>
    <row r="2043" spans="1:1" ht="15.75" x14ac:dyDescent="0.25">
      <c r="A2043" s="756"/>
    </row>
    <row r="2044" spans="1:1" ht="15.75" x14ac:dyDescent="0.25">
      <c r="A2044" s="756"/>
    </row>
    <row r="2045" spans="1:1" ht="15.75" x14ac:dyDescent="0.25">
      <c r="A2045" s="756"/>
    </row>
    <row r="2046" spans="1:1" ht="15.75" x14ac:dyDescent="0.25">
      <c r="A2046" s="756"/>
    </row>
    <row r="2047" spans="1:1" ht="15.75" x14ac:dyDescent="0.25">
      <c r="A2047" s="756"/>
    </row>
    <row r="2048" spans="1:1" ht="15.75" x14ac:dyDescent="0.25">
      <c r="A2048" s="756"/>
    </row>
    <row r="2049" spans="1:1" ht="15.75" x14ac:dyDescent="0.25">
      <c r="A2049" s="756"/>
    </row>
    <row r="2050" spans="1:1" ht="15.75" x14ac:dyDescent="0.25">
      <c r="A2050" s="756"/>
    </row>
    <row r="2051" spans="1:1" ht="15.75" x14ac:dyDescent="0.25">
      <c r="A2051" s="756"/>
    </row>
    <row r="2052" spans="1:1" ht="15.75" x14ac:dyDescent="0.25">
      <c r="A2052" s="756"/>
    </row>
    <row r="2053" spans="1:1" ht="15.75" x14ac:dyDescent="0.25">
      <c r="A2053" s="756"/>
    </row>
    <row r="2054" spans="1:1" ht="15.75" x14ac:dyDescent="0.25">
      <c r="A2054" s="756"/>
    </row>
    <row r="2055" spans="1:1" ht="15.75" x14ac:dyDescent="0.25">
      <c r="A2055" s="756"/>
    </row>
    <row r="2056" spans="1:1" ht="15.75" x14ac:dyDescent="0.25">
      <c r="A2056" s="756"/>
    </row>
    <row r="2057" spans="1:1" ht="15.75" x14ac:dyDescent="0.25">
      <c r="A2057" s="756"/>
    </row>
    <row r="2058" spans="1:1" ht="15.75" x14ac:dyDescent="0.25">
      <c r="A2058" s="756"/>
    </row>
    <row r="2059" spans="1:1" ht="15.75" x14ac:dyDescent="0.25">
      <c r="A2059" s="756"/>
    </row>
    <row r="2060" spans="1:1" ht="15.75" x14ac:dyDescent="0.25">
      <c r="A2060" s="756"/>
    </row>
    <row r="2061" spans="1:1" ht="15.75" x14ac:dyDescent="0.25">
      <c r="A2061" s="756"/>
    </row>
    <row r="2062" spans="1:1" ht="15.75" x14ac:dyDescent="0.25">
      <c r="A2062" s="756"/>
    </row>
    <row r="2063" spans="1:1" ht="15.75" x14ac:dyDescent="0.25">
      <c r="A2063" s="756"/>
    </row>
    <row r="2064" spans="1:1" ht="15.75" x14ac:dyDescent="0.25">
      <c r="A2064" s="756"/>
    </row>
    <row r="2065" spans="1:1" ht="15.75" x14ac:dyDescent="0.25">
      <c r="A2065" s="756"/>
    </row>
    <row r="2066" spans="1:1" ht="15.75" x14ac:dyDescent="0.25">
      <c r="A2066" s="756"/>
    </row>
    <row r="2067" spans="1:1" ht="15.75" x14ac:dyDescent="0.25">
      <c r="A2067" s="756"/>
    </row>
    <row r="2068" spans="1:1" ht="15.75" x14ac:dyDescent="0.25">
      <c r="A2068" s="756"/>
    </row>
    <row r="2069" spans="1:1" ht="15.75" x14ac:dyDescent="0.25">
      <c r="A2069" s="756"/>
    </row>
    <row r="2070" spans="1:1" ht="15.75" x14ac:dyDescent="0.25">
      <c r="A2070" s="756"/>
    </row>
    <row r="2071" spans="1:1" ht="15.75" x14ac:dyDescent="0.25">
      <c r="A2071" s="756"/>
    </row>
    <row r="2072" spans="1:1" ht="15.75" x14ac:dyDescent="0.25">
      <c r="A2072" s="756"/>
    </row>
    <row r="2073" spans="1:1" ht="15.75" x14ac:dyDescent="0.25">
      <c r="A2073" s="756"/>
    </row>
    <row r="2074" spans="1:1" ht="15.75" x14ac:dyDescent="0.25">
      <c r="A2074" s="756"/>
    </row>
    <row r="2075" spans="1:1" ht="15.75" x14ac:dyDescent="0.25">
      <c r="A2075" s="756"/>
    </row>
    <row r="2076" spans="1:1" ht="15.75" x14ac:dyDescent="0.25">
      <c r="A2076" s="756"/>
    </row>
    <row r="2077" spans="1:1" ht="15.75" x14ac:dyDescent="0.25">
      <c r="A2077" s="756"/>
    </row>
    <row r="2078" spans="1:1" ht="15.75" x14ac:dyDescent="0.25">
      <c r="A2078" s="756"/>
    </row>
    <row r="2079" spans="1:1" ht="15.75" x14ac:dyDescent="0.25">
      <c r="A2079" s="756"/>
    </row>
    <row r="2080" spans="1:1" ht="15.75" x14ac:dyDescent="0.25">
      <c r="A2080" s="756"/>
    </row>
    <row r="2081" spans="1:1" ht="15.75" x14ac:dyDescent="0.25">
      <c r="A2081" s="756"/>
    </row>
    <row r="2082" spans="1:1" ht="15.75" x14ac:dyDescent="0.25">
      <c r="A2082" s="756"/>
    </row>
    <row r="2083" spans="1:1" ht="15.75" x14ac:dyDescent="0.25">
      <c r="A2083" s="756"/>
    </row>
    <row r="2084" spans="1:1" ht="15.75" x14ac:dyDescent="0.25">
      <c r="A2084" s="756"/>
    </row>
    <row r="2085" spans="1:1" ht="15.75" x14ac:dyDescent="0.25">
      <c r="A2085" s="756"/>
    </row>
    <row r="2086" spans="1:1" ht="15.75" x14ac:dyDescent="0.25">
      <c r="A2086" s="756"/>
    </row>
    <row r="2087" spans="1:1" ht="15.75" x14ac:dyDescent="0.25">
      <c r="A2087" s="756"/>
    </row>
    <row r="2088" spans="1:1" ht="15.75" x14ac:dyDescent="0.25">
      <c r="A2088" s="756"/>
    </row>
    <row r="2089" spans="1:1" ht="15.75" x14ac:dyDescent="0.25">
      <c r="A2089" s="756"/>
    </row>
    <row r="2090" spans="1:1" ht="15.75" x14ac:dyDescent="0.25">
      <c r="A2090" s="756"/>
    </row>
    <row r="2091" spans="1:1" ht="15.75" x14ac:dyDescent="0.25">
      <c r="A2091" s="756"/>
    </row>
    <row r="2092" spans="1:1" ht="15.75" x14ac:dyDescent="0.25">
      <c r="A2092" s="756"/>
    </row>
    <row r="2093" spans="1:1" ht="15.75" x14ac:dyDescent="0.25">
      <c r="A2093" s="756"/>
    </row>
    <row r="2094" spans="1:1" ht="15.75" x14ac:dyDescent="0.25">
      <c r="A2094" s="756"/>
    </row>
    <row r="2095" spans="1:1" ht="15.75" x14ac:dyDescent="0.25">
      <c r="A2095" s="756"/>
    </row>
    <row r="2096" spans="1:1" ht="15.75" x14ac:dyDescent="0.25">
      <c r="A2096" s="756"/>
    </row>
    <row r="2097" spans="1:1" ht="15.75" x14ac:dyDescent="0.25">
      <c r="A2097" s="756"/>
    </row>
    <row r="2098" spans="1:1" ht="15.75" x14ac:dyDescent="0.25">
      <c r="A2098" s="756"/>
    </row>
    <row r="2099" spans="1:1" ht="15.75" x14ac:dyDescent="0.25">
      <c r="A2099" s="756"/>
    </row>
    <row r="2100" spans="1:1" ht="15.75" x14ac:dyDescent="0.25">
      <c r="A2100" s="756"/>
    </row>
    <row r="2101" spans="1:1" ht="15.75" x14ac:dyDescent="0.25">
      <c r="A2101" s="756"/>
    </row>
    <row r="2102" spans="1:1" ht="15.75" x14ac:dyDescent="0.25">
      <c r="A2102" s="756"/>
    </row>
  </sheetData>
  <mergeCells count="2">
    <mergeCell ref="B4:C4"/>
    <mergeCell ref="A1:S1"/>
  </mergeCells>
  <pageMargins left="0.31496062992125984" right="0.31496062992125984" top="0.74803149606299213" bottom="0.74803149606299213" header="0.31496062992125984" footer="0.31496062992125984"/>
  <pageSetup paperSize="9" scale="43" orientation="landscape" r:id="rId1"/>
  <headerFooter>
    <oddHeader>&amp;R&amp;"Times New Roman CE,Félkövér"8. melléklet a 23/2018.(X.15.) önkormányzati rendelethez&amp;"Times New Roman CE,Normál"
&amp;"Times New Roman CE,Dőlt"&amp;11 9. melléklet a 3/2018.(II.8.) önkormányzati rendelethez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392"/>
  <sheetViews>
    <sheetView tabSelected="1" zoomScaleNormal="100" workbookViewId="0">
      <pane xSplit="5970" ySplit="4485" topLeftCell="A362" activePane="bottomRight"/>
      <selection pane="topRight" activeCell="C1" sqref="C1"/>
      <selection pane="bottomLeft" activeCell="B220" sqref="B220"/>
      <selection pane="bottomRight" activeCell="F363" sqref="F363"/>
    </sheetView>
  </sheetViews>
  <sheetFormatPr defaultRowHeight="15.75" x14ac:dyDescent="0.25"/>
  <cols>
    <col min="1" max="1" width="5" style="109" customWidth="1"/>
    <col min="2" max="2" width="40.875" style="109" customWidth="1"/>
    <col min="3" max="3" width="10.125" style="109" customWidth="1"/>
    <col min="4" max="4" width="10.75" style="109" customWidth="1"/>
    <col min="5" max="5" width="10.5" style="109" customWidth="1"/>
    <col min="6" max="6" width="9.625" style="109" bestFit="1" customWidth="1"/>
    <col min="7" max="7" width="10.75" style="109" customWidth="1"/>
    <col min="8" max="8" width="12.25" style="109" customWidth="1"/>
    <col min="9" max="9" width="11.625" style="109" customWidth="1"/>
    <col min="10" max="10" width="9.75" style="109" customWidth="1"/>
    <col min="11" max="11" width="9.875" style="109" customWidth="1"/>
    <col min="12" max="12" width="12" style="109" customWidth="1"/>
    <col min="13" max="13" width="9.875" style="109" customWidth="1"/>
    <col min="14" max="15" width="10.375" style="109" customWidth="1"/>
    <col min="16" max="16" width="16.25" style="109" customWidth="1"/>
    <col min="17" max="17" width="9.875" style="109" bestFit="1" customWidth="1"/>
    <col min="18" max="256" width="9" style="109"/>
    <col min="257" max="257" width="5" style="109" customWidth="1"/>
    <col min="258" max="258" width="40.875" style="109" customWidth="1"/>
    <col min="259" max="259" width="10.125" style="109" customWidth="1"/>
    <col min="260" max="260" width="10.75" style="109" customWidth="1"/>
    <col min="261" max="261" width="10" style="109" customWidth="1"/>
    <col min="262" max="262" width="9.625" style="109" bestFit="1" customWidth="1"/>
    <col min="263" max="263" width="10.75" style="109" customWidth="1"/>
    <col min="264" max="264" width="12.25" style="109" customWidth="1"/>
    <col min="265" max="265" width="11.625" style="109" customWidth="1"/>
    <col min="266" max="266" width="9.75" style="109" customWidth="1"/>
    <col min="267" max="267" width="9.875" style="109" customWidth="1"/>
    <col min="268" max="268" width="12" style="109" customWidth="1"/>
    <col min="269" max="269" width="9.875" style="109" customWidth="1"/>
    <col min="270" max="271" width="10.375" style="109" customWidth="1"/>
    <col min="272" max="272" width="16.25" style="109" customWidth="1"/>
    <col min="273" max="273" width="9.875" style="109" bestFit="1" customWidth="1"/>
    <col min="274" max="512" width="9" style="109"/>
    <col min="513" max="513" width="5" style="109" customWidth="1"/>
    <col min="514" max="514" width="40.875" style="109" customWidth="1"/>
    <col min="515" max="515" width="10.125" style="109" customWidth="1"/>
    <col min="516" max="516" width="10.75" style="109" customWidth="1"/>
    <col min="517" max="517" width="10" style="109" customWidth="1"/>
    <col min="518" max="518" width="9.625" style="109" bestFit="1" customWidth="1"/>
    <col min="519" max="519" width="10.75" style="109" customWidth="1"/>
    <col min="520" max="520" width="12.25" style="109" customWidth="1"/>
    <col min="521" max="521" width="11.625" style="109" customWidth="1"/>
    <col min="522" max="522" width="9.75" style="109" customWidth="1"/>
    <col min="523" max="523" width="9.875" style="109" customWidth="1"/>
    <col min="524" max="524" width="12" style="109" customWidth="1"/>
    <col min="525" max="525" width="9.875" style="109" customWidth="1"/>
    <col min="526" max="527" width="10.375" style="109" customWidth="1"/>
    <col min="528" max="528" width="16.25" style="109" customWidth="1"/>
    <col min="529" max="529" width="9.875" style="109" bestFit="1" customWidth="1"/>
    <col min="530" max="768" width="9" style="109"/>
    <col min="769" max="769" width="5" style="109" customWidth="1"/>
    <col min="770" max="770" width="40.875" style="109" customWidth="1"/>
    <col min="771" max="771" width="10.125" style="109" customWidth="1"/>
    <col min="772" max="772" width="10.75" style="109" customWidth="1"/>
    <col min="773" max="773" width="10" style="109" customWidth="1"/>
    <col min="774" max="774" width="9.625" style="109" bestFit="1" customWidth="1"/>
    <col min="775" max="775" width="10.75" style="109" customWidth="1"/>
    <col min="776" max="776" width="12.25" style="109" customWidth="1"/>
    <col min="777" max="777" width="11.625" style="109" customWidth="1"/>
    <col min="778" max="778" width="9.75" style="109" customWidth="1"/>
    <col min="779" max="779" width="9.875" style="109" customWidth="1"/>
    <col min="780" max="780" width="12" style="109" customWidth="1"/>
    <col min="781" max="781" width="9.875" style="109" customWidth="1"/>
    <col min="782" max="783" width="10.375" style="109" customWidth="1"/>
    <col min="784" max="784" width="16.25" style="109" customWidth="1"/>
    <col min="785" max="785" width="9.875" style="109" bestFit="1" customWidth="1"/>
    <col min="786" max="1024" width="9" style="109"/>
    <col min="1025" max="1025" width="5" style="109" customWidth="1"/>
    <col min="1026" max="1026" width="40.875" style="109" customWidth="1"/>
    <col min="1027" max="1027" width="10.125" style="109" customWidth="1"/>
    <col min="1028" max="1028" width="10.75" style="109" customWidth="1"/>
    <col min="1029" max="1029" width="10" style="109" customWidth="1"/>
    <col min="1030" max="1030" width="9.625" style="109" bestFit="1" customWidth="1"/>
    <col min="1031" max="1031" width="10.75" style="109" customWidth="1"/>
    <col min="1032" max="1032" width="12.25" style="109" customWidth="1"/>
    <col min="1033" max="1033" width="11.625" style="109" customWidth="1"/>
    <col min="1034" max="1034" width="9.75" style="109" customWidth="1"/>
    <col min="1035" max="1035" width="9.875" style="109" customWidth="1"/>
    <col min="1036" max="1036" width="12" style="109" customWidth="1"/>
    <col min="1037" max="1037" width="9.875" style="109" customWidth="1"/>
    <col min="1038" max="1039" width="10.375" style="109" customWidth="1"/>
    <col min="1040" max="1040" width="16.25" style="109" customWidth="1"/>
    <col min="1041" max="1041" width="9.875" style="109" bestFit="1" customWidth="1"/>
    <col min="1042" max="1280" width="9" style="109"/>
    <col min="1281" max="1281" width="5" style="109" customWidth="1"/>
    <col min="1282" max="1282" width="40.875" style="109" customWidth="1"/>
    <col min="1283" max="1283" width="10.125" style="109" customWidth="1"/>
    <col min="1284" max="1284" width="10.75" style="109" customWidth="1"/>
    <col min="1285" max="1285" width="10" style="109" customWidth="1"/>
    <col min="1286" max="1286" width="9.625" style="109" bestFit="1" customWidth="1"/>
    <col min="1287" max="1287" width="10.75" style="109" customWidth="1"/>
    <col min="1288" max="1288" width="12.25" style="109" customWidth="1"/>
    <col min="1289" max="1289" width="11.625" style="109" customWidth="1"/>
    <col min="1290" max="1290" width="9.75" style="109" customWidth="1"/>
    <col min="1291" max="1291" width="9.875" style="109" customWidth="1"/>
    <col min="1292" max="1292" width="12" style="109" customWidth="1"/>
    <col min="1293" max="1293" width="9.875" style="109" customWidth="1"/>
    <col min="1294" max="1295" width="10.375" style="109" customWidth="1"/>
    <col min="1296" max="1296" width="16.25" style="109" customWidth="1"/>
    <col min="1297" max="1297" width="9.875" style="109" bestFit="1" customWidth="1"/>
    <col min="1298" max="1536" width="9" style="109"/>
    <col min="1537" max="1537" width="5" style="109" customWidth="1"/>
    <col min="1538" max="1538" width="40.875" style="109" customWidth="1"/>
    <col min="1539" max="1539" width="10.125" style="109" customWidth="1"/>
    <col min="1540" max="1540" width="10.75" style="109" customWidth="1"/>
    <col min="1541" max="1541" width="10" style="109" customWidth="1"/>
    <col min="1542" max="1542" width="9.625" style="109" bestFit="1" customWidth="1"/>
    <col min="1543" max="1543" width="10.75" style="109" customWidth="1"/>
    <col min="1544" max="1544" width="12.25" style="109" customWidth="1"/>
    <col min="1545" max="1545" width="11.625" style="109" customWidth="1"/>
    <col min="1546" max="1546" width="9.75" style="109" customWidth="1"/>
    <col min="1547" max="1547" width="9.875" style="109" customWidth="1"/>
    <col min="1548" max="1548" width="12" style="109" customWidth="1"/>
    <col min="1549" max="1549" width="9.875" style="109" customWidth="1"/>
    <col min="1550" max="1551" width="10.375" style="109" customWidth="1"/>
    <col min="1552" max="1552" width="16.25" style="109" customWidth="1"/>
    <col min="1553" max="1553" width="9.875" style="109" bestFit="1" customWidth="1"/>
    <col min="1554" max="1792" width="9" style="109"/>
    <col min="1793" max="1793" width="5" style="109" customWidth="1"/>
    <col min="1794" max="1794" width="40.875" style="109" customWidth="1"/>
    <col min="1795" max="1795" width="10.125" style="109" customWidth="1"/>
    <col min="1796" max="1796" width="10.75" style="109" customWidth="1"/>
    <col min="1797" max="1797" width="10" style="109" customWidth="1"/>
    <col min="1798" max="1798" width="9.625" style="109" bestFit="1" customWidth="1"/>
    <col min="1799" max="1799" width="10.75" style="109" customWidth="1"/>
    <col min="1800" max="1800" width="12.25" style="109" customWidth="1"/>
    <col min="1801" max="1801" width="11.625" style="109" customWidth="1"/>
    <col min="1802" max="1802" width="9.75" style="109" customWidth="1"/>
    <col min="1803" max="1803" width="9.875" style="109" customWidth="1"/>
    <col min="1804" max="1804" width="12" style="109" customWidth="1"/>
    <col min="1805" max="1805" width="9.875" style="109" customWidth="1"/>
    <col min="1806" max="1807" width="10.375" style="109" customWidth="1"/>
    <col min="1808" max="1808" width="16.25" style="109" customWidth="1"/>
    <col min="1809" max="1809" width="9.875" style="109" bestFit="1" customWidth="1"/>
    <col min="1810" max="2048" width="9" style="109"/>
    <col min="2049" max="2049" width="5" style="109" customWidth="1"/>
    <col min="2050" max="2050" width="40.875" style="109" customWidth="1"/>
    <col min="2051" max="2051" width="10.125" style="109" customWidth="1"/>
    <col min="2052" max="2052" width="10.75" style="109" customWidth="1"/>
    <col min="2053" max="2053" width="10" style="109" customWidth="1"/>
    <col min="2054" max="2054" width="9.625" style="109" bestFit="1" customWidth="1"/>
    <col min="2055" max="2055" width="10.75" style="109" customWidth="1"/>
    <col min="2056" max="2056" width="12.25" style="109" customWidth="1"/>
    <col min="2057" max="2057" width="11.625" style="109" customWidth="1"/>
    <col min="2058" max="2058" width="9.75" style="109" customWidth="1"/>
    <col min="2059" max="2059" width="9.875" style="109" customWidth="1"/>
    <col min="2060" max="2060" width="12" style="109" customWidth="1"/>
    <col min="2061" max="2061" width="9.875" style="109" customWidth="1"/>
    <col min="2062" max="2063" width="10.375" style="109" customWidth="1"/>
    <col min="2064" max="2064" width="16.25" style="109" customWidth="1"/>
    <col min="2065" max="2065" width="9.875" style="109" bestFit="1" customWidth="1"/>
    <col min="2066" max="2304" width="9" style="109"/>
    <col min="2305" max="2305" width="5" style="109" customWidth="1"/>
    <col min="2306" max="2306" width="40.875" style="109" customWidth="1"/>
    <col min="2307" max="2307" width="10.125" style="109" customWidth="1"/>
    <col min="2308" max="2308" width="10.75" style="109" customWidth="1"/>
    <col min="2309" max="2309" width="10" style="109" customWidth="1"/>
    <col min="2310" max="2310" width="9.625" style="109" bestFit="1" customWidth="1"/>
    <col min="2311" max="2311" width="10.75" style="109" customWidth="1"/>
    <col min="2312" max="2312" width="12.25" style="109" customWidth="1"/>
    <col min="2313" max="2313" width="11.625" style="109" customWidth="1"/>
    <col min="2314" max="2314" width="9.75" style="109" customWidth="1"/>
    <col min="2315" max="2315" width="9.875" style="109" customWidth="1"/>
    <col min="2316" max="2316" width="12" style="109" customWidth="1"/>
    <col min="2317" max="2317" width="9.875" style="109" customWidth="1"/>
    <col min="2318" max="2319" width="10.375" style="109" customWidth="1"/>
    <col min="2320" max="2320" width="16.25" style="109" customWidth="1"/>
    <col min="2321" max="2321" width="9.875" style="109" bestFit="1" customWidth="1"/>
    <col min="2322" max="2560" width="9" style="109"/>
    <col min="2561" max="2561" width="5" style="109" customWidth="1"/>
    <col min="2562" max="2562" width="40.875" style="109" customWidth="1"/>
    <col min="2563" max="2563" width="10.125" style="109" customWidth="1"/>
    <col min="2564" max="2564" width="10.75" style="109" customWidth="1"/>
    <col min="2565" max="2565" width="10" style="109" customWidth="1"/>
    <col min="2566" max="2566" width="9.625" style="109" bestFit="1" customWidth="1"/>
    <col min="2567" max="2567" width="10.75" style="109" customWidth="1"/>
    <col min="2568" max="2568" width="12.25" style="109" customWidth="1"/>
    <col min="2569" max="2569" width="11.625" style="109" customWidth="1"/>
    <col min="2570" max="2570" width="9.75" style="109" customWidth="1"/>
    <col min="2571" max="2571" width="9.875" style="109" customWidth="1"/>
    <col min="2572" max="2572" width="12" style="109" customWidth="1"/>
    <col min="2573" max="2573" width="9.875" style="109" customWidth="1"/>
    <col min="2574" max="2575" width="10.375" style="109" customWidth="1"/>
    <col min="2576" max="2576" width="16.25" style="109" customWidth="1"/>
    <col min="2577" max="2577" width="9.875" style="109" bestFit="1" customWidth="1"/>
    <col min="2578" max="2816" width="9" style="109"/>
    <col min="2817" max="2817" width="5" style="109" customWidth="1"/>
    <col min="2818" max="2818" width="40.875" style="109" customWidth="1"/>
    <col min="2819" max="2819" width="10.125" style="109" customWidth="1"/>
    <col min="2820" max="2820" width="10.75" style="109" customWidth="1"/>
    <col min="2821" max="2821" width="10" style="109" customWidth="1"/>
    <col min="2822" max="2822" width="9.625" style="109" bestFit="1" customWidth="1"/>
    <col min="2823" max="2823" width="10.75" style="109" customWidth="1"/>
    <col min="2824" max="2824" width="12.25" style="109" customWidth="1"/>
    <col min="2825" max="2825" width="11.625" style="109" customWidth="1"/>
    <col min="2826" max="2826" width="9.75" style="109" customWidth="1"/>
    <col min="2827" max="2827" width="9.875" style="109" customWidth="1"/>
    <col min="2828" max="2828" width="12" style="109" customWidth="1"/>
    <col min="2829" max="2829" width="9.875" style="109" customWidth="1"/>
    <col min="2830" max="2831" width="10.375" style="109" customWidth="1"/>
    <col min="2832" max="2832" width="16.25" style="109" customWidth="1"/>
    <col min="2833" max="2833" width="9.875" style="109" bestFit="1" customWidth="1"/>
    <col min="2834" max="3072" width="9" style="109"/>
    <col min="3073" max="3073" width="5" style="109" customWidth="1"/>
    <col min="3074" max="3074" width="40.875" style="109" customWidth="1"/>
    <col min="3075" max="3075" width="10.125" style="109" customWidth="1"/>
    <col min="3076" max="3076" width="10.75" style="109" customWidth="1"/>
    <col min="3077" max="3077" width="10" style="109" customWidth="1"/>
    <col min="3078" max="3078" width="9.625" style="109" bestFit="1" customWidth="1"/>
    <col min="3079" max="3079" width="10.75" style="109" customWidth="1"/>
    <col min="3080" max="3080" width="12.25" style="109" customWidth="1"/>
    <col min="3081" max="3081" width="11.625" style="109" customWidth="1"/>
    <col min="3082" max="3082" width="9.75" style="109" customWidth="1"/>
    <col min="3083" max="3083" width="9.875" style="109" customWidth="1"/>
    <col min="3084" max="3084" width="12" style="109" customWidth="1"/>
    <col min="3085" max="3085" width="9.875" style="109" customWidth="1"/>
    <col min="3086" max="3087" width="10.375" style="109" customWidth="1"/>
    <col min="3088" max="3088" width="16.25" style="109" customWidth="1"/>
    <col min="3089" max="3089" width="9.875" style="109" bestFit="1" customWidth="1"/>
    <col min="3090" max="3328" width="9" style="109"/>
    <col min="3329" max="3329" width="5" style="109" customWidth="1"/>
    <col min="3330" max="3330" width="40.875" style="109" customWidth="1"/>
    <col min="3331" max="3331" width="10.125" style="109" customWidth="1"/>
    <col min="3332" max="3332" width="10.75" style="109" customWidth="1"/>
    <col min="3333" max="3333" width="10" style="109" customWidth="1"/>
    <col min="3334" max="3334" width="9.625" style="109" bestFit="1" customWidth="1"/>
    <col min="3335" max="3335" width="10.75" style="109" customWidth="1"/>
    <col min="3336" max="3336" width="12.25" style="109" customWidth="1"/>
    <col min="3337" max="3337" width="11.625" style="109" customWidth="1"/>
    <col min="3338" max="3338" width="9.75" style="109" customWidth="1"/>
    <col min="3339" max="3339" width="9.875" style="109" customWidth="1"/>
    <col min="3340" max="3340" width="12" style="109" customWidth="1"/>
    <col min="3341" max="3341" width="9.875" style="109" customWidth="1"/>
    <col min="3342" max="3343" width="10.375" style="109" customWidth="1"/>
    <col min="3344" max="3344" width="16.25" style="109" customWidth="1"/>
    <col min="3345" max="3345" width="9.875" style="109" bestFit="1" customWidth="1"/>
    <col min="3346" max="3584" width="9" style="109"/>
    <col min="3585" max="3585" width="5" style="109" customWidth="1"/>
    <col min="3586" max="3586" width="40.875" style="109" customWidth="1"/>
    <col min="3587" max="3587" width="10.125" style="109" customWidth="1"/>
    <col min="3588" max="3588" width="10.75" style="109" customWidth="1"/>
    <col min="3589" max="3589" width="10" style="109" customWidth="1"/>
    <col min="3590" max="3590" width="9.625" style="109" bestFit="1" customWidth="1"/>
    <col min="3591" max="3591" width="10.75" style="109" customWidth="1"/>
    <col min="3592" max="3592" width="12.25" style="109" customWidth="1"/>
    <col min="3593" max="3593" width="11.625" style="109" customWidth="1"/>
    <col min="3594" max="3594" width="9.75" style="109" customWidth="1"/>
    <col min="3595" max="3595" width="9.875" style="109" customWidth="1"/>
    <col min="3596" max="3596" width="12" style="109" customWidth="1"/>
    <col min="3597" max="3597" width="9.875" style="109" customWidth="1"/>
    <col min="3598" max="3599" width="10.375" style="109" customWidth="1"/>
    <col min="3600" max="3600" width="16.25" style="109" customWidth="1"/>
    <col min="3601" max="3601" width="9.875" style="109" bestFit="1" customWidth="1"/>
    <col min="3602" max="3840" width="9" style="109"/>
    <col min="3841" max="3841" width="5" style="109" customWidth="1"/>
    <col min="3842" max="3842" width="40.875" style="109" customWidth="1"/>
    <col min="3843" max="3843" width="10.125" style="109" customWidth="1"/>
    <col min="3844" max="3844" width="10.75" style="109" customWidth="1"/>
    <col min="3845" max="3845" width="10" style="109" customWidth="1"/>
    <col min="3846" max="3846" width="9.625" style="109" bestFit="1" customWidth="1"/>
    <col min="3847" max="3847" width="10.75" style="109" customWidth="1"/>
    <col min="3848" max="3848" width="12.25" style="109" customWidth="1"/>
    <col min="3849" max="3849" width="11.625" style="109" customWidth="1"/>
    <col min="3850" max="3850" width="9.75" style="109" customWidth="1"/>
    <col min="3851" max="3851" width="9.875" style="109" customWidth="1"/>
    <col min="3852" max="3852" width="12" style="109" customWidth="1"/>
    <col min="3853" max="3853" width="9.875" style="109" customWidth="1"/>
    <col min="3854" max="3855" width="10.375" style="109" customWidth="1"/>
    <col min="3856" max="3856" width="16.25" style="109" customWidth="1"/>
    <col min="3857" max="3857" width="9.875" style="109" bestFit="1" customWidth="1"/>
    <col min="3858" max="4096" width="9" style="109"/>
    <col min="4097" max="4097" width="5" style="109" customWidth="1"/>
    <col min="4098" max="4098" width="40.875" style="109" customWidth="1"/>
    <col min="4099" max="4099" width="10.125" style="109" customWidth="1"/>
    <col min="4100" max="4100" width="10.75" style="109" customWidth="1"/>
    <col min="4101" max="4101" width="10" style="109" customWidth="1"/>
    <col min="4102" max="4102" width="9.625" style="109" bestFit="1" customWidth="1"/>
    <col min="4103" max="4103" width="10.75" style="109" customWidth="1"/>
    <col min="4104" max="4104" width="12.25" style="109" customWidth="1"/>
    <col min="4105" max="4105" width="11.625" style="109" customWidth="1"/>
    <col min="4106" max="4106" width="9.75" style="109" customWidth="1"/>
    <col min="4107" max="4107" width="9.875" style="109" customWidth="1"/>
    <col min="4108" max="4108" width="12" style="109" customWidth="1"/>
    <col min="4109" max="4109" width="9.875" style="109" customWidth="1"/>
    <col min="4110" max="4111" width="10.375" style="109" customWidth="1"/>
    <col min="4112" max="4112" width="16.25" style="109" customWidth="1"/>
    <col min="4113" max="4113" width="9.875" style="109" bestFit="1" customWidth="1"/>
    <col min="4114" max="4352" width="9" style="109"/>
    <col min="4353" max="4353" width="5" style="109" customWidth="1"/>
    <col min="4354" max="4354" width="40.875" style="109" customWidth="1"/>
    <col min="4355" max="4355" width="10.125" style="109" customWidth="1"/>
    <col min="4356" max="4356" width="10.75" style="109" customWidth="1"/>
    <col min="4357" max="4357" width="10" style="109" customWidth="1"/>
    <col min="4358" max="4358" width="9.625" style="109" bestFit="1" customWidth="1"/>
    <col min="4359" max="4359" width="10.75" style="109" customWidth="1"/>
    <col min="4360" max="4360" width="12.25" style="109" customWidth="1"/>
    <col min="4361" max="4361" width="11.625" style="109" customWidth="1"/>
    <col min="4362" max="4362" width="9.75" style="109" customWidth="1"/>
    <col min="4363" max="4363" width="9.875" style="109" customWidth="1"/>
    <col min="4364" max="4364" width="12" style="109" customWidth="1"/>
    <col min="4365" max="4365" width="9.875" style="109" customWidth="1"/>
    <col min="4366" max="4367" width="10.375" style="109" customWidth="1"/>
    <col min="4368" max="4368" width="16.25" style="109" customWidth="1"/>
    <col min="4369" max="4369" width="9.875" style="109" bestFit="1" customWidth="1"/>
    <col min="4370" max="4608" width="9" style="109"/>
    <col min="4609" max="4609" width="5" style="109" customWidth="1"/>
    <col min="4610" max="4610" width="40.875" style="109" customWidth="1"/>
    <col min="4611" max="4611" width="10.125" style="109" customWidth="1"/>
    <col min="4612" max="4612" width="10.75" style="109" customWidth="1"/>
    <col min="4613" max="4613" width="10" style="109" customWidth="1"/>
    <col min="4614" max="4614" width="9.625" style="109" bestFit="1" customWidth="1"/>
    <col min="4615" max="4615" width="10.75" style="109" customWidth="1"/>
    <col min="4616" max="4616" width="12.25" style="109" customWidth="1"/>
    <col min="4617" max="4617" width="11.625" style="109" customWidth="1"/>
    <col min="4618" max="4618" width="9.75" style="109" customWidth="1"/>
    <col min="4619" max="4619" width="9.875" style="109" customWidth="1"/>
    <col min="4620" max="4620" width="12" style="109" customWidth="1"/>
    <col min="4621" max="4621" width="9.875" style="109" customWidth="1"/>
    <col min="4622" max="4623" width="10.375" style="109" customWidth="1"/>
    <col min="4624" max="4624" width="16.25" style="109" customWidth="1"/>
    <col min="4625" max="4625" width="9.875" style="109" bestFit="1" customWidth="1"/>
    <col min="4626" max="4864" width="9" style="109"/>
    <col min="4865" max="4865" width="5" style="109" customWidth="1"/>
    <col min="4866" max="4866" width="40.875" style="109" customWidth="1"/>
    <col min="4867" max="4867" width="10.125" style="109" customWidth="1"/>
    <col min="4868" max="4868" width="10.75" style="109" customWidth="1"/>
    <col min="4869" max="4869" width="10" style="109" customWidth="1"/>
    <col min="4870" max="4870" width="9.625" style="109" bestFit="1" customWidth="1"/>
    <col min="4871" max="4871" width="10.75" style="109" customWidth="1"/>
    <col min="4872" max="4872" width="12.25" style="109" customWidth="1"/>
    <col min="4873" max="4873" width="11.625" style="109" customWidth="1"/>
    <col min="4874" max="4874" width="9.75" style="109" customWidth="1"/>
    <col min="4875" max="4875" width="9.875" style="109" customWidth="1"/>
    <col min="4876" max="4876" width="12" style="109" customWidth="1"/>
    <col min="4877" max="4877" width="9.875" style="109" customWidth="1"/>
    <col min="4878" max="4879" width="10.375" style="109" customWidth="1"/>
    <col min="4880" max="4880" width="16.25" style="109" customWidth="1"/>
    <col min="4881" max="4881" width="9.875" style="109" bestFit="1" customWidth="1"/>
    <col min="4882" max="5120" width="9" style="109"/>
    <col min="5121" max="5121" width="5" style="109" customWidth="1"/>
    <col min="5122" max="5122" width="40.875" style="109" customWidth="1"/>
    <col min="5123" max="5123" width="10.125" style="109" customWidth="1"/>
    <col min="5124" max="5124" width="10.75" style="109" customWidth="1"/>
    <col min="5125" max="5125" width="10" style="109" customWidth="1"/>
    <col min="5126" max="5126" width="9.625" style="109" bestFit="1" customWidth="1"/>
    <col min="5127" max="5127" width="10.75" style="109" customWidth="1"/>
    <col min="5128" max="5128" width="12.25" style="109" customWidth="1"/>
    <col min="5129" max="5129" width="11.625" style="109" customWidth="1"/>
    <col min="5130" max="5130" width="9.75" style="109" customWidth="1"/>
    <col min="5131" max="5131" width="9.875" style="109" customWidth="1"/>
    <col min="5132" max="5132" width="12" style="109" customWidth="1"/>
    <col min="5133" max="5133" width="9.875" style="109" customWidth="1"/>
    <col min="5134" max="5135" width="10.375" style="109" customWidth="1"/>
    <col min="5136" max="5136" width="16.25" style="109" customWidth="1"/>
    <col min="5137" max="5137" width="9.875" style="109" bestFit="1" customWidth="1"/>
    <col min="5138" max="5376" width="9" style="109"/>
    <col min="5377" max="5377" width="5" style="109" customWidth="1"/>
    <col min="5378" max="5378" width="40.875" style="109" customWidth="1"/>
    <col min="5379" max="5379" width="10.125" style="109" customWidth="1"/>
    <col min="5380" max="5380" width="10.75" style="109" customWidth="1"/>
    <col min="5381" max="5381" width="10" style="109" customWidth="1"/>
    <col min="5382" max="5382" width="9.625" style="109" bestFit="1" customWidth="1"/>
    <col min="5383" max="5383" width="10.75" style="109" customWidth="1"/>
    <col min="5384" max="5384" width="12.25" style="109" customWidth="1"/>
    <col min="5385" max="5385" width="11.625" style="109" customWidth="1"/>
    <col min="5386" max="5386" width="9.75" style="109" customWidth="1"/>
    <col min="5387" max="5387" width="9.875" style="109" customWidth="1"/>
    <col min="5388" max="5388" width="12" style="109" customWidth="1"/>
    <col min="5389" max="5389" width="9.875" style="109" customWidth="1"/>
    <col min="5390" max="5391" width="10.375" style="109" customWidth="1"/>
    <col min="5392" max="5392" width="16.25" style="109" customWidth="1"/>
    <col min="5393" max="5393" width="9.875" style="109" bestFit="1" customWidth="1"/>
    <col min="5394" max="5632" width="9" style="109"/>
    <col min="5633" max="5633" width="5" style="109" customWidth="1"/>
    <col min="5634" max="5634" width="40.875" style="109" customWidth="1"/>
    <col min="5635" max="5635" width="10.125" style="109" customWidth="1"/>
    <col min="5636" max="5636" width="10.75" style="109" customWidth="1"/>
    <col min="5637" max="5637" width="10" style="109" customWidth="1"/>
    <col min="5638" max="5638" width="9.625" style="109" bestFit="1" customWidth="1"/>
    <col min="5639" max="5639" width="10.75" style="109" customWidth="1"/>
    <col min="5640" max="5640" width="12.25" style="109" customWidth="1"/>
    <col min="5641" max="5641" width="11.625" style="109" customWidth="1"/>
    <col min="5642" max="5642" width="9.75" style="109" customWidth="1"/>
    <col min="5643" max="5643" width="9.875" style="109" customWidth="1"/>
    <col min="5644" max="5644" width="12" style="109" customWidth="1"/>
    <col min="5645" max="5645" width="9.875" style="109" customWidth="1"/>
    <col min="5646" max="5647" width="10.375" style="109" customWidth="1"/>
    <col min="5648" max="5648" width="16.25" style="109" customWidth="1"/>
    <col min="5649" max="5649" width="9.875" style="109" bestFit="1" customWidth="1"/>
    <col min="5650" max="5888" width="9" style="109"/>
    <col min="5889" max="5889" width="5" style="109" customWidth="1"/>
    <col min="5890" max="5890" width="40.875" style="109" customWidth="1"/>
    <col min="5891" max="5891" width="10.125" style="109" customWidth="1"/>
    <col min="5892" max="5892" width="10.75" style="109" customWidth="1"/>
    <col min="5893" max="5893" width="10" style="109" customWidth="1"/>
    <col min="5894" max="5894" width="9.625" style="109" bestFit="1" customWidth="1"/>
    <col min="5895" max="5895" width="10.75" style="109" customWidth="1"/>
    <col min="5896" max="5896" width="12.25" style="109" customWidth="1"/>
    <col min="5897" max="5897" width="11.625" style="109" customWidth="1"/>
    <col min="5898" max="5898" width="9.75" style="109" customWidth="1"/>
    <col min="5899" max="5899" width="9.875" style="109" customWidth="1"/>
    <col min="5900" max="5900" width="12" style="109" customWidth="1"/>
    <col min="5901" max="5901" width="9.875" style="109" customWidth="1"/>
    <col min="5902" max="5903" width="10.375" style="109" customWidth="1"/>
    <col min="5904" max="5904" width="16.25" style="109" customWidth="1"/>
    <col min="5905" max="5905" width="9.875" style="109" bestFit="1" customWidth="1"/>
    <col min="5906" max="6144" width="9" style="109"/>
    <col min="6145" max="6145" width="5" style="109" customWidth="1"/>
    <col min="6146" max="6146" width="40.875" style="109" customWidth="1"/>
    <col min="6147" max="6147" width="10.125" style="109" customWidth="1"/>
    <col min="6148" max="6148" width="10.75" style="109" customWidth="1"/>
    <col min="6149" max="6149" width="10" style="109" customWidth="1"/>
    <col min="6150" max="6150" width="9.625" style="109" bestFit="1" customWidth="1"/>
    <col min="6151" max="6151" width="10.75" style="109" customWidth="1"/>
    <col min="6152" max="6152" width="12.25" style="109" customWidth="1"/>
    <col min="6153" max="6153" width="11.625" style="109" customWidth="1"/>
    <col min="6154" max="6154" width="9.75" style="109" customWidth="1"/>
    <col min="6155" max="6155" width="9.875" style="109" customWidth="1"/>
    <col min="6156" max="6156" width="12" style="109" customWidth="1"/>
    <col min="6157" max="6157" width="9.875" style="109" customWidth="1"/>
    <col min="6158" max="6159" width="10.375" style="109" customWidth="1"/>
    <col min="6160" max="6160" width="16.25" style="109" customWidth="1"/>
    <col min="6161" max="6161" width="9.875" style="109" bestFit="1" customWidth="1"/>
    <col min="6162" max="6400" width="9" style="109"/>
    <col min="6401" max="6401" width="5" style="109" customWidth="1"/>
    <col min="6402" max="6402" width="40.875" style="109" customWidth="1"/>
    <col min="6403" max="6403" width="10.125" style="109" customWidth="1"/>
    <col min="6404" max="6404" width="10.75" style="109" customWidth="1"/>
    <col min="6405" max="6405" width="10" style="109" customWidth="1"/>
    <col min="6406" max="6406" width="9.625" style="109" bestFit="1" customWidth="1"/>
    <col min="6407" max="6407" width="10.75" style="109" customWidth="1"/>
    <col min="6408" max="6408" width="12.25" style="109" customWidth="1"/>
    <col min="6409" max="6409" width="11.625" style="109" customWidth="1"/>
    <col min="6410" max="6410" width="9.75" style="109" customWidth="1"/>
    <col min="6411" max="6411" width="9.875" style="109" customWidth="1"/>
    <col min="6412" max="6412" width="12" style="109" customWidth="1"/>
    <col min="6413" max="6413" width="9.875" style="109" customWidth="1"/>
    <col min="6414" max="6415" width="10.375" style="109" customWidth="1"/>
    <col min="6416" max="6416" width="16.25" style="109" customWidth="1"/>
    <col min="6417" max="6417" width="9.875" style="109" bestFit="1" customWidth="1"/>
    <col min="6418" max="6656" width="9" style="109"/>
    <col min="6657" max="6657" width="5" style="109" customWidth="1"/>
    <col min="6658" max="6658" width="40.875" style="109" customWidth="1"/>
    <col min="6659" max="6659" width="10.125" style="109" customWidth="1"/>
    <col min="6660" max="6660" width="10.75" style="109" customWidth="1"/>
    <col min="6661" max="6661" width="10" style="109" customWidth="1"/>
    <col min="6662" max="6662" width="9.625" style="109" bestFit="1" customWidth="1"/>
    <col min="6663" max="6663" width="10.75" style="109" customWidth="1"/>
    <col min="6664" max="6664" width="12.25" style="109" customWidth="1"/>
    <col min="6665" max="6665" width="11.625" style="109" customWidth="1"/>
    <col min="6666" max="6666" width="9.75" style="109" customWidth="1"/>
    <col min="6667" max="6667" width="9.875" style="109" customWidth="1"/>
    <col min="6668" max="6668" width="12" style="109" customWidth="1"/>
    <col min="6669" max="6669" width="9.875" style="109" customWidth="1"/>
    <col min="6670" max="6671" width="10.375" style="109" customWidth="1"/>
    <col min="6672" max="6672" width="16.25" style="109" customWidth="1"/>
    <col min="6673" max="6673" width="9.875" style="109" bestFit="1" customWidth="1"/>
    <col min="6674" max="6912" width="9" style="109"/>
    <col min="6913" max="6913" width="5" style="109" customWidth="1"/>
    <col min="6914" max="6914" width="40.875" style="109" customWidth="1"/>
    <col min="6915" max="6915" width="10.125" style="109" customWidth="1"/>
    <col min="6916" max="6916" width="10.75" style="109" customWidth="1"/>
    <col min="6917" max="6917" width="10" style="109" customWidth="1"/>
    <col min="6918" max="6918" width="9.625" style="109" bestFit="1" customWidth="1"/>
    <col min="6919" max="6919" width="10.75" style="109" customWidth="1"/>
    <col min="6920" max="6920" width="12.25" style="109" customWidth="1"/>
    <col min="6921" max="6921" width="11.625" style="109" customWidth="1"/>
    <col min="6922" max="6922" width="9.75" style="109" customWidth="1"/>
    <col min="6923" max="6923" width="9.875" style="109" customWidth="1"/>
    <col min="6924" max="6924" width="12" style="109" customWidth="1"/>
    <col min="6925" max="6925" width="9.875" style="109" customWidth="1"/>
    <col min="6926" max="6927" width="10.375" style="109" customWidth="1"/>
    <col min="6928" max="6928" width="16.25" style="109" customWidth="1"/>
    <col min="6929" max="6929" width="9.875" style="109" bestFit="1" customWidth="1"/>
    <col min="6930" max="7168" width="9" style="109"/>
    <col min="7169" max="7169" width="5" style="109" customWidth="1"/>
    <col min="7170" max="7170" width="40.875" style="109" customWidth="1"/>
    <col min="7171" max="7171" width="10.125" style="109" customWidth="1"/>
    <col min="7172" max="7172" width="10.75" style="109" customWidth="1"/>
    <col min="7173" max="7173" width="10" style="109" customWidth="1"/>
    <col min="7174" max="7174" width="9.625" style="109" bestFit="1" customWidth="1"/>
    <col min="7175" max="7175" width="10.75" style="109" customWidth="1"/>
    <col min="7176" max="7176" width="12.25" style="109" customWidth="1"/>
    <col min="7177" max="7177" width="11.625" style="109" customWidth="1"/>
    <col min="7178" max="7178" width="9.75" style="109" customWidth="1"/>
    <col min="7179" max="7179" width="9.875" style="109" customWidth="1"/>
    <col min="7180" max="7180" width="12" style="109" customWidth="1"/>
    <col min="7181" max="7181" width="9.875" style="109" customWidth="1"/>
    <col min="7182" max="7183" width="10.375" style="109" customWidth="1"/>
    <col min="7184" max="7184" width="16.25" style="109" customWidth="1"/>
    <col min="7185" max="7185" width="9.875" style="109" bestFit="1" customWidth="1"/>
    <col min="7186" max="7424" width="9" style="109"/>
    <col min="7425" max="7425" width="5" style="109" customWidth="1"/>
    <col min="7426" max="7426" width="40.875" style="109" customWidth="1"/>
    <col min="7427" max="7427" width="10.125" style="109" customWidth="1"/>
    <col min="7428" max="7428" width="10.75" style="109" customWidth="1"/>
    <col min="7429" max="7429" width="10" style="109" customWidth="1"/>
    <col min="7430" max="7430" width="9.625" style="109" bestFit="1" customWidth="1"/>
    <col min="7431" max="7431" width="10.75" style="109" customWidth="1"/>
    <col min="7432" max="7432" width="12.25" style="109" customWidth="1"/>
    <col min="7433" max="7433" width="11.625" style="109" customWidth="1"/>
    <col min="7434" max="7434" width="9.75" style="109" customWidth="1"/>
    <col min="7435" max="7435" width="9.875" style="109" customWidth="1"/>
    <col min="7436" max="7436" width="12" style="109" customWidth="1"/>
    <col min="7437" max="7437" width="9.875" style="109" customWidth="1"/>
    <col min="7438" max="7439" width="10.375" style="109" customWidth="1"/>
    <col min="7440" max="7440" width="16.25" style="109" customWidth="1"/>
    <col min="7441" max="7441" width="9.875" style="109" bestFit="1" customWidth="1"/>
    <col min="7442" max="7680" width="9" style="109"/>
    <col min="7681" max="7681" width="5" style="109" customWidth="1"/>
    <col min="7682" max="7682" width="40.875" style="109" customWidth="1"/>
    <col min="7683" max="7683" width="10.125" style="109" customWidth="1"/>
    <col min="7684" max="7684" width="10.75" style="109" customWidth="1"/>
    <col min="7685" max="7685" width="10" style="109" customWidth="1"/>
    <col min="7686" max="7686" width="9.625" style="109" bestFit="1" customWidth="1"/>
    <col min="7687" max="7687" width="10.75" style="109" customWidth="1"/>
    <col min="7688" max="7688" width="12.25" style="109" customWidth="1"/>
    <col min="7689" max="7689" width="11.625" style="109" customWidth="1"/>
    <col min="7690" max="7690" width="9.75" style="109" customWidth="1"/>
    <col min="7691" max="7691" width="9.875" style="109" customWidth="1"/>
    <col min="7692" max="7692" width="12" style="109" customWidth="1"/>
    <col min="7693" max="7693" width="9.875" style="109" customWidth="1"/>
    <col min="7694" max="7695" width="10.375" style="109" customWidth="1"/>
    <col min="7696" max="7696" width="16.25" style="109" customWidth="1"/>
    <col min="7697" max="7697" width="9.875" style="109" bestFit="1" customWidth="1"/>
    <col min="7698" max="7936" width="9" style="109"/>
    <col min="7937" max="7937" width="5" style="109" customWidth="1"/>
    <col min="7938" max="7938" width="40.875" style="109" customWidth="1"/>
    <col min="7939" max="7939" width="10.125" style="109" customWidth="1"/>
    <col min="7940" max="7940" width="10.75" style="109" customWidth="1"/>
    <col min="7941" max="7941" width="10" style="109" customWidth="1"/>
    <col min="7942" max="7942" width="9.625" style="109" bestFit="1" customWidth="1"/>
    <col min="7943" max="7943" width="10.75" style="109" customWidth="1"/>
    <col min="7944" max="7944" width="12.25" style="109" customWidth="1"/>
    <col min="7945" max="7945" width="11.625" style="109" customWidth="1"/>
    <col min="7946" max="7946" width="9.75" style="109" customWidth="1"/>
    <col min="7947" max="7947" width="9.875" style="109" customWidth="1"/>
    <col min="7948" max="7948" width="12" style="109" customWidth="1"/>
    <col min="7949" max="7949" width="9.875" style="109" customWidth="1"/>
    <col min="7950" max="7951" width="10.375" style="109" customWidth="1"/>
    <col min="7952" max="7952" width="16.25" style="109" customWidth="1"/>
    <col min="7953" max="7953" width="9.875" style="109" bestFit="1" customWidth="1"/>
    <col min="7954" max="8192" width="9" style="109"/>
    <col min="8193" max="8193" width="5" style="109" customWidth="1"/>
    <col min="8194" max="8194" width="40.875" style="109" customWidth="1"/>
    <col min="8195" max="8195" width="10.125" style="109" customWidth="1"/>
    <col min="8196" max="8196" width="10.75" style="109" customWidth="1"/>
    <col min="8197" max="8197" width="10" style="109" customWidth="1"/>
    <col min="8198" max="8198" width="9.625" style="109" bestFit="1" customWidth="1"/>
    <col min="8199" max="8199" width="10.75" style="109" customWidth="1"/>
    <col min="8200" max="8200" width="12.25" style="109" customWidth="1"/>
    <col min="8201" max="8201" width="11.625" style="109" customWidth="1"/>
    <col min="8202" max="8202" width="9.75" style="109" customWidth="1"/>
    <col min="8203" max="8203" width="9.875" style="109" customWidth="1"/>
    <col min="8204" max="8204" width="12" style="109" customWidth="1"/>
    <col min="8205" max="8205" width="9.875" style="109" customWidth="1"/>
    <col min="8206" max="8207" width="10.375" style="109" customWidth="1"/>
    <col min="8208" max="8208" width="16.25" style="109" customWidth="1"/>
    <col min="8209" max="8209" width="9.875" style="109" bestFit="1" customWidth="1"/>
    <col min="8210" max="8448" width="9" style="109"/>
    <col min="8449" max="8449" width="5" style="109" customWidth="1"/>
    <col min="8450" max="8450" width="40.875" style="109" customWidth="1"/>
    <col min="8451" max="8451" width="10.125" style="109" customWidth="1"/>
    <col min="8452" max="8452" width="10.75" style="109" customWidth="1"/>
    <col min="8453" max="8453" width="10" style="109" customWidth="1"/>
    <col min="8454" max="8454" width="9.625" style="109" bestFit="1" customWidth="1"/>
    <col min="8455" max="8455" width="10.75" style="109" customWidth="1"/>
    <col min="8456" max="8456" width="12.25" style="109" customWidth="1"/>
    <col min="8457" max="8457" width="11.625" style="109" customWidth="1"/>
    <col min="8458" max="8458" width="9.75" style="109" customWidth="1"/>
    <col min="8459" max="8459" width="9.875" style="109" customWidth="1"/>
    <col min="8460" max="8460" width="12" style="109" customWidth="1"/>
    <col min="8461" max="8461" width="9.875" style="109" customWidth="1"/>
    <col min="8462" max="8463" width="10.375" style="109" customWidth="1"/>
    <col min="8464" max="8464" width="16.25" style="109" customWidth="1"/>
    <col min="8465" max="8465" width="9.875" style="109" bestFit="1" customWidth="1"/>
    <col min="8466" max="8704" width="9" style="109"/>
    <col min="8705" max="8705" width="5" style="109" customWidth="1"/>
    <col min="8706" max="8706" width="40.875" style="109" customWidth="1"/>
    <col min="8707" max="8707" width="10.125" style="109" customWidth="1"/>
    <col min="8708" max="8708" width="10.75" style="109" customWidth="1"/>
    <col min="8709" max="8709" width="10" style="109" customWidth="1"/>
    <col min="8710" max="8710" width="9.625" style="109" bestFit="1" customWidth="1"/>
    <col min="8711" max="8711" width="10.75" style="109" customWidth="1"/>
    <col min="8712" max="8712" width="12.25" style="109" customWidth="1"/>
    <col min="8713" max="8713" width="11.625" style="109" customWidth="1"/>
    <col min="8714" max="8714" width="9.75" style="109" customWidth="1"/>
    <col min="8715" max="8715" width="9.875" style="109" customWidth="1"/>
    <col min="8716" max="8716" width="12" style="109" customWidth="1"/>
    <col min="8717" max="8717" width="9.875" style="109" customWidth="1"/>
    <col min="8718" max="8719" width="10.375" style="109" customWidth="1"/>
    <col min="8720" max="8720" width="16.25" style="109" customWidth="1"/>
    <col min="8721" max="8721" width="9.875" style="109" bestFit="1" customWidth="1"/>
    <col min="8722" max="8960" width="9" style="109"/>
    <col min="8961" max="8961" width="5" style="109" customWidth="1"/>
    <col min="8962" max="8962" width="40.875" style="109" customWidth="1"/>
    <col min="8963" max="8963" width="10.125" style="109" customWidth="1"/>
    <col min="8964" max="8964" width="10.75" style="109" customWidth="1"/>
    <col min="8965" max="8965" width="10" style="109" customWidth="1"/>
    <col min="8966" max="8966" width="9.625" style="109" bestFit="1" customWidth="1"/>
    <col min="8967" max="8967" width="10.75" style="109" customWidth="1"/>
    <col min="8968" max="8968" width="12.25" style="109" customWidth="1"/>
    <col min="8969" max="8969" width="11.625" style="109" customWidth="1"/>
    <col min="8970" max="8970" width="9.75" style="109" customWidth="1"/>
    <col min="8971" max="8971" width="9.875" style="109" customWidth="1"/>
    <col min="8972" max="8972" width="12" style="109" customWidth="1"/>
    <col min="8973" max="8973" width="9.875" style="109" customWidth="1"/>
    <col min="8974" max="8975" width="10.375" style="109" customWidth="1"/>
    <col min="8976" max="8976" width="16.25" style="109" customWidth="1"/>
    <col min="8977" max="8977" width="9.875" style="109" bestFit="1" customWidth="1"/>
    <col min="8978" max="9216" width="9" style="109"/>
    <col min="9217" max="9217" width="5" style="109" customWidth="1"/>
    <col min="9218" max="9218" width="40.875" style="109" customWidth="1"/>
    <col min="9219" max="9219" width="10.125" style="109" customWidth="1"/>
    <col min="9220" max="9220" width="10.75" style="109" customWidth="1"/>
    <col min="9221" max="9221" width="10" style="109" customWidth="1"/>
    <col min="9222" max="9222" width="9.625" style="109" bestFit="1" customWidth="1"/>
    <col min="9223" max="9223" width="10.75" style="109" customWidth="1"/>
    <col min="9224" max="9224" width="12.25" style="109" customWidth="1"/>
    <col min="9225" max="9225" width="11.625" style="109" customWidth="1"/>
    <col min="9226" max="9226" width="9.75" style="109" customWidth="1"/>
    <col min="9227" max="9227" width="9.875" style="109" customWidth="1"/>
    <col min="9228" max="9228" width="12" style="109" customWidth="1"/>
    <col min="9229" max="9229" width="9.875" style="109" customWidth="1"/>
    <col min="9230" max="9231" width="10.375" style="109" customWidth="1"/>
    <col min="9232" max="9232" width="16.25" style="109" customWidth="1"/>
    <col min="9233" max="9233" width="9.875" style="109" bestFit="1" customWidth="1"/>
    <col min="9234" max="9472" width="9" style="109"/>
    <col min="9473" max="9473" width="5" style="109" customWidth="1"/>
    <col min="9474" max="9474" width="40.875" style="109" customWidth="1"/>
    <col min="9475" max="9475" width="10.125" style="109" customWidth="1"/>
    <col min="9476" max="9476" width="10.75" style="109" customWidth="1"/>
    <col min="9477" max="9477" width="10" style="109" customWidth="1"/>
    <col min="9478" max="9478" width="9.625" style="109" bestFit="1" customWidth="1"/>
    <col min="9479" max="9479" width="10.75" style="109" customWidth="1"/>
    <col min="9480" max="9480" width="12.25" style="109" customWidth="1"/>
    <col min="9481" max="9481" width="11.625" style="109" customWidth="1"/>
    <col min="9482" max="9482" width="9.75" style="109" customWidth="1"/>
    <col min="9483" max="9483" width="9.875" style="109" customWidth="1"/>
    <col min="9484" max="9484" width="12" style="109" customWidth="1"/>
    <col min="9485" max="9485" width="9.875" style="109" customWidth="1"/>
    <col min="9486" max="9487" width="10.375" style="109" customWidth="1"/>
    <col min="9488" max="9488" width="16.25" style="109" customWidth="1"/>
    <col min="9489" max="9489" width="9.875" style="109" bestFit="1" customWidth="1"/>
    <col min="9490" max="9728" width="9" style="109"/>
    <col min="9729" max="9729" width="5" style="109" customWidth="1"/>
    <col min="9730" max="9730" width="40.875" style="109" customWidth="1"/>
    <col min="9731" max="9731" width="10.125" style="109" customWidth="1"/>
    <col min="9732" max="9732" width="10.75" style="109" customWidth="1"/>
    <col min="9733" max="9733" width="10" style="109" customWidth="1"/>
    <col min="9734" max="9734" width="9.625" style="109" bestFit="1" customWidth="1"/>
    <col min="9735" max="9735" width="10.75" style="109" customWidth="1"/>
    <col min="9736" max="9736" width="12.25" style="109" customWidth="1"/>
    <col min="9737" max="9737" width="11.625" style="109" customWidth="1"/>
    <col min="9738" max="9738" width="9.75" style="109" customWidth="1"/>
    <col min="9739" max="9739" width="9.875" style="109" customWidth="1"/>
    <col min="9740" max="9740" width="12" style="109" customWidth="1"/>
    <col min="9741" max="9741" width="9.875" style="109" customWidth="1"/>
    <col min="9742" max="9743" width="10.375" style="109" customWidth="1"/>
    <col min="9744" max="9744" width="16.25" style="109" customWidth="1"/>
    <col min="9745" max="9745" width="9.875" style="109" bestFit="1" customWidth="1"/>
    <col min="9746" max="9984" width="9" style="109"/>
    <col min="9985" max="9985" width="5" style="109" customWidth="1"/>
    <col min="9986" max="9986" width="40.875" style="109" customWidth="1"/>
    <col min="9987" max="9987" width="10.125" style="109" customWidth="1"/>
    <col min="9988" max="9988" width="10.75" style="109" customWidth="1"/>
    <col min="9989" max="9989" width="10" style="109" customWidth="1"/>
    <col min="9990" max="9990" width="9.625" style="109" bestFit="1" customWidth="1"/>
    <col min="9991" max="9991" width="10.75" style="109" customWidth="1"/>
    <col min="9992" max="9992" width="12.25" style="109" customWidth="1"/>
    <col min="9993" max="9993" width="11.625" style="109" customWidth="1"/>
    <col min="9994" max="9994" width="9.75" style="109" customWidth="1"/>
    <col min="9995" max="9995" width="9.875" style="109" customWidth="1"/>
    <col min="9996" max="9996" width="12" style="109" customWidth="1"/>
    <col min="9997" max="9997" width="9.875" style="109" customWidth="1"/>
    <col min="9998" max="9999" width="10.375" style="109" customWidth="1"/>
    <col min="10000" max="10000" width="16.25" style="109" customWidth="1"/>
    <col min="10001" max="10001" width="9.875" style="109" bestFit="1" customWidth="1"/>
    <col min="10002" max="10240" width="9" style="109"/>
    <col min="10241" max="10241" width="5" style="109" customWidth="1"/>
    <col min="10242" max="10242" width="40.875" style="109" customWidth="1"/>
    <col min="10243" max="10243" width="10.125" style="109" customWidth="1"/>
    <col min="10244" max="10244" width="10.75" style="109" customWidth="1"/>
    <col min="10245" max="10245" width="10" style="109" customWidth="1"/>
    <col min="10246" max="10246" width="9.625" style="109" bestFit="1" customWidth="1"/>
    <col min="10247" max="10247" width="10.75" style="109" customWidth="1"/>
    <col min="10248" max="10248" width="12.25" style="109" customWidth="1"/>
    <col min="10249" max="10249" width="11.625" style="109" customWidth="1"/>
    <col min="10250" max="10250" width="9.75" style="109" customWidth="1"/>
    <col min="10251" max="10251" width="9.875" style="109" customWidth="1"/>
    <col min="10252" max="10252" width="12" style="109" customWidth="1"/>
    <col min="10253" max="10253" width="9.875" style="109" customWidth="1"/>
    <col min="10254" max="10255" width="10.375" style="109" customWidth="1"/>
    <col min="10256" max="10256" width="16.25" style="109" customWidth="1"/>
    <col min="10257" max="10257" width="9.875" style="109" bestFit="1" customWidth="1"/>
    <col min="10258" max="10496" width="9" style="109"/>
    <col min="10497" max="10497" width="5" style="109" customWidth="1"/>
    <col min="10498" max="10498" width="40.875" style="109" customWidth="1"/>
    <col min="10499" max="10499" width="10.125" style="109" customWidth="1"/>
    <col min="10500" max="10500" width="10.75" style="109" customWidth="1"/>
    <col min="10501" max="10501" width="10" style="109" customWidth="1"/>
    <col min="10502" max="10502" width="9.625" style="109" bestFit="1" customWidth="1"/>
    <col min="10503" max="10503" width="10.75" style="109" customWidth="1"/>
    <col min="10504" max="10504" width="12.25" style="109" customWidth="1"/>
    <col min="10505" max="10505" width="11.625" style="109" customWidth="1"/>
    <col min="10506" max="10506" width="9.75" style="109" customWidth="1"/>
    <col min="10507" max="10507" width="9.875" style="109" customWidth="1"/>
    <col min="10508" max="10508" width="12" style="109" customWidth="1"/>
    <col min="10509" max="10509" width="9.875" style="109" customWidth="1"/>
    <col min="10510" max="10511" width="10.375" style="109" customWidth="1"/>
    <col min="10512" max="10512" width="16.25" style="109" customWidth="1"/>
    <col min="10513" max="10513" width="9.875" style="109" bestFit="1" customWidth="1"/>
    <col min="10514" max="10752" width="9" style="109"/>
    <col min="10753" max="10753" width="5" style="109" customWidth="1"/>
    <col min="10754" max="10754" width="40.875" style="109" customWidth="1"/>
    <col min="10755" max="10755" width="10.125" style="109" customWidth="1"/>
    <col min="10756" max="10756" width="10.75" style="109" customWidth="1"/>
    <col min="10757" max="10757" width="10" style="109" customWidth="1"/>
    <col min="10758" max="10758" width="9.625" style="109" bestFit="1" customWidth="1"/>
    <col min="10759" max="10759" width="10.75" style="109" customWidth="1"/>
    <col min="10760" max="10760" width="12.25" style="109" customWidth="1"/>
    <col min="10761" max="10761" width="11.625" style="109" customWidth="1"/>
    <col min="10762" max="10762" width="9.75" style="109" customWidth="1"/>
    <col min="10763" max="10763" width="9.875" style="109" customWidth="1"/>
    <col min="10764" max="10764" width="12" style="109" customWidth="1"/>
    <col min="10765" max="10765" width="9.875" style="109" customWidth="1"/>
    <col min="10766" max="10767" width="10.375" style="109" customWidth="1"/>
    <col min="10768" max="10768" width="16.25" style="109" customWidth="1"/>
    <col min="10769" max="10769" width="9.875" style="109" bestFit="1" customWidth="1"/>
    <col min="10770" max="11008" width="9" style="109"/>
    <col min="11009" max="11009" width="5" style="109" customWidth="1"/>
    <col min="11010" max="11010" width="40.875" style="109" customWidth="1"/>
    <col min="11011" max="11011" width="10.125" style="109" customWidth="1"/>
    <col min="11012" max="11012" width="10.75" style="109" customWidth="1"/>
    <col min="11013" max="11013" width="10" style="109" customWidth="1"/>
    <col min="11014" max="11014" width="9.625" style="109" bestFit="1" customWidth="1"/>
    <col min="11015" max="11015" width="10.75" style="109" customWidth="1"/>
    <col min="11016" max="11016" width="12.25" style="109" customWidth="1"/>
    <col min="11017" max="11017" width="11.625" style="109" customWidth="1"/>
    <col min="11018" max="11018" width="9.75" style="109" customWidth="1"/>
    <col min="11019" max="11019" width="9.875" style="109" customWidth="1"/>
    <col min="11020" max="11020" width="12" style="109" customWidth="1"/>
    <col min="11021" max="11021" width="9.875" style="109" customWidth="1"/>
    <col min="11022" max="11023" width="10.375" style="109" customWidth="1"/>
    <col min="11024" max="11024" width="16.25" style="109" customWidth="1"/>
    <col min="11025" max="11025" width="9.875" style="109" bestFit="1" customWidth="1"/>
    <col min="11026" max="11264" width="9" style="109"/>
    <col min="11265" max="11265" width="5" style="109" customWidth="1"/>
    <col min="11266" max="11266" width="40.875" style="109" customWidth="1"/>
    <col min="11267" max="11267" width="10.125" style="109" customWidth="1"/>
    <col min="11268" max="11268" width="10.75" style="109" customWidth="1"/>
    <col min="11269" max="11269" width="10" style="109" customWidth="1"/>
    <col min="11270" max="11270" width="9.625" style="109" bestFit="1" customWidth="1"/>
    <col min="11271" max="11271" width="10.75" style="109" customWidth="1"/>
    <col min="11272" max="11272" width="12.25" style="109" customWidth="1"/>
    <col min="11273" max="11273" width="11.625" style="109" customWidth="1"/>
    <col min="11274" max="11274" width="9.75" style="109" customWidth="1"/>
    <col min="11275" max="11275" width="9.875" style="109" customWidth="1"/>
    <col min="11276" max="11276" width="12" style="109" customWidth="1"/>
    <col min="11277" max="11277" width="9.875" style="109" customWidth="1"/>
    <col min="11278" max="11279" width="10.375" style="109" customWidth="1"/>
    <col min="11280" max="11280" width="16.25" style="109" customWidth="1"/>
    <col min="11281" max="11281" width="9.875" style="109" bestFit="1" customWidth="1"/>
    <col min="11282" max="11520" width="9" style="109"/>
    <col min="11521" max="11521" width="5" style="109" customWidth="1"/>
    <col min="11522" max="11522" width="40.875" style="109" customWidth="1"/>
    <col min="11523" max="11523" width="10.125" style="109" customWidth="1"/>
    <col min="11524" max="11524" width="10.75" style="109" customWidth="1"/>
    <col min="11525" max="11525" width="10" style="109" customWidth="1"/>
    <col min="11526" max="11526" width="9.625" style="109" bestFit="1" customWidth="1"/>
    <col min="11527" max="11527" width="10.75" style="109" customWidth="1"/>
    <col min="11528" max="11528" width="12.25" style="109" customWidth="1"/>
    <col min="11529" max="11529" width="11.625" style="109" customWidth="1"/>
    <col min="11530" max="11530" width="9.75" style="109" customWidth="1"/>
    <col min="11531" max="11531" width="9.875" style="109" customWidth="1"/>
    <col min="11532" max="11532" width="12" style="109" customWidth="1"/>
    <col min="11533" max="11533" width="9.875" style="109" customWidth="1"/>
    <col min="11534" max="11535" width="10.375" style="109" customWidth="1"/>
    <col min="11536" max="11536" width="16.25" style="109" customWidth="1"/>
    <col min="11537" max="11537" width="9.875" style="109" bestFit="1" customWidth="1"/>
    <col min="11538" max="11776" width="9" style="109"/>
    <col min="11777" max="11777" width="5" style="109" customWidth="1"/>
    <col min="11778" max="11778" width="40.875" style="109" customWidth="1"/>
    <col min="11779" max="11779" width="10.125" style="109" customWidth="1"/>
    <col min="11780" max="11780" width="10.75" style="109" customWidth="1"/>
    <col min="11781" max="11781" width="10" style="109" customWidth="1"/>
    <col min="11782" max="11782" width="9.625" style="109" bestFit="1" customWidth="1"/>
    <col min="11783" max="11783" width="10.75" style="109" customWidth="1"/>
    <col min="11784" max="11784" width="12.25" style="109" customWidth="1"/>
    <col min="11785" max="11785" width="11.625" style="109" customWidth="1"/>
    <col min="11786" max="11786" width="9.75" style="109" customWidth="1"/>
    <col min="11787" max="11787" width="9.875" style="109" customWidth="1"/>
    <col min="11788" max="11788" width="12" style="109" customWidth="1"/>
    <col min="11789" max="11789" width="9.875" style="109" customWidth="1"/>
    <col min="11790" max="11791" width="10.375" style="109" customWidth="1"/>
    <col min="11792" max="11792" width="16.25" style="109" customWidth="1"/>
    <col min="11793" max="11793" width="9.875" style="109" bestFit="1" customWidth="1"/>
    <col min="11794" max="12032" width="9" style="109"/>
    <col min="12033" max="12033" width="5" style="109" customWidth="1"/>
    <col min="12034" max="12034" width="40.875" style="109" customWidth="1"/>
    <col min="12035" max="12035" width="10.125" style="109" customWidth="1"/>
    <col min="12036" max="12036" width="10.75" style="109" customWidth="1"/>
    <col min="12037" max="12037" width="10" style="109" customWidth="1"/>
    <col min="12038" max="12038" width="9.625" style="109" bestFit="1" customWidth="1"/>
    <col min="12039" max="12039" width="10.75" style="109" customWidth="1"/>
    <col min="12040" max="12040" width="12.25" style="109" customWidth="1"/>
    <col min="12041" max="12041" width="11.625" style="109" customWidth="1"/>
    <col min="12042" max="12042" width="9.75" style="109" customWidth="1"/>
    <col min="12043" max="12043" width="9.875" style="109" customWidth="1"/>
    <col min="12044" max="12044" width="12" style="109" customWidth="1"/>
    <col min="12045" max="12045" width="9.875" style="109" customWidth="1"/>
    <col min="12046" max="12047" width="10.375" style="109" customWidth="1"/>
    <col min="12048" max="12048" width="16.25" style="109" customWidth="1"/>
    <col min="12049" max="12049" width="9.875" style="109" bestFit="1" customWidth="1"/>
    <col min="12050" max="12288" width="9" style="109"/>
    <col min="12289" max="12289" width="5" style="109" customWidth="1"/>
    <col min="12290" max="12290" width="40.875" style="109" customWidth="1"/>
    <col min="12291" max="12291" width="10.125" style="109" customWidth="1"/>
    <col min="12292" max="12292" width="10.75" style="109" customWidth="1"/>
    <col min="12293" max="12293" width="10" style="109" customWidth="1"/>
    <col min="12294" max="12294" width="9.625" style="109" bestFit="1" customWidth="1"/>
    <col min="12295" max="12295" width="10.75" style="109" customWidth="1"/>
    <col min="12296" max="12296" width="12.25" style="109" customWidth="1"/>
    <col min="12297" max="12297" width="11.625" style="109" customWidth="1"/>
    <col min="12298" max="12298" width="9.75" style="109" customWidth="1"/>
    <col min="12299" max="12299" width="9.875" style="109" customWidth="1"/>
    <col min="12300" max="12300" width="12" style="109" customWidth="1"/>
    <col min="12301" max="12301" width="9.875" style="109" customWidth="1"/>
    <col min="12302" max="12303" width="10.375" style="109" customWidth="1"/>
    <col min="12304" max="12304" width="16.25" style="109" customWidth="1"/>
    <col min="12305" max="12305" width="9.875" style="109" bestFit="1" customWidth="1"/>
    <col min="12306" max="12544" width="9" style="109"/>
    <col min="12545" max="12545" width="5" style="109" customWidth="1"/>
    <col min="12546" max="12546" width="40.875" style="109" customWidth="1"/>
    <col min="12547" max="12547" width="10.125" style="109" customWidth="1"/>
    <col min="12548" max="12548" width="10.75" style="109" customWidth="1"/>
    <col min="12549" max="12549" width="10" style="109" customWidth="1"/>
    <col min="12550" max="12550" width="9.625" style="109" bestFit="1" customWidth="1"/>
    <col min="12551" max="12551" width="10.75" style="109" customWidth="1"/>
    <col min="12552" max="12552" width="12.25" style="109" customWidth="1"/>
    <col min="12553" max="12553" width="11.625" style="109" customWidth="1"/>
    <col min="12554" max="12554" width="9.75" style="109" customWidth="1"/>
    <col min="12555" max="12555" width="9.875" style="109" customWidth="1"/>
    <col min="12556" max="12556" width="12" style="109" customWidth="1"/>
    <col min="12557" max="12557" width="9.875" style="109" customWidth="1"/>
    <col min="12558" max="12559" width="10.375" style="109" customWidth="1"/>
    <col min="12560" max="12560" width="16.25" style="109" customWidth="1"/>
    <col min="12561" max="12561" width="9.875" style="109" bestFit="1" customWidth="1"/>
    <col min="12562" max="12800" width="9" style="109"/>
    <col min="12801" max="12801" width="5" style="109" customWidth="1"/>
    <col min="12802" max="12802" width="40.875" style="109" customWidth="1"/>
    <col min="12803" max="12803" width="10.125" style="109" customWidth="1"/>
    <col min="12804" max="12804" width="10.75" style="109" customWidth="1"/>
    <col min="12805" max="12805" width="10" style="109" customWidth="1"/>
    <col min="12806" max="12806" width="9.625" style="109" bestFit="1" customWidth="1"/>
    <col min="12807" max="12807" width="10.75" style="109" customWidth="1"/>
    <col min="12808" max="12808" width="12.25" style="109" customWidth="1"/>
    <col min="12809" max="12809" width="11.625" style="109" customWidth="1"/>
    <col min="12810" max="12810" width="9.75" style="109" customWidth="1"/>
    <col min="12811" max="12811" width="9.875" style="109" customWidth="1"/>
    <col min="12812" max="12812" width="12" style="109" customWidth="1"/>
    <col min="12813" max="12813" width="9.875" style="109" customWidth="1"/>
    <col min="12814" max="12815" width="10.375" style="109" customWidth="1"/>
    <col min="12816" max="12816" width="16.25" style="109" customWidth="1"/>
    <col min="12817" max="12817" width="9.875" style="109" bestFit="1" customWidth="1"/>
    <col min="12818" max="13056" width="9" style="109"/>
    <col min="13057" max="13057" width="5" style="109" customWidth="1"/>
    <col min="13058" max="13058" width="40.875" style="109" customWidth="1"/>
    <col min="13059" max="13059" width="10.125" style="109" customWidth="1"/>
    <col min="13060" max="13060" width="10.75" style="109" customWidth="1"/>
    <col min="13061" max="13061" width="10" style="109" customWidth="1"/>
    <col min="13062" max="13062" width="9.625" style="109" bestFit="1" customWidth="1"/>
    <col min="13063" max="13063" width="10.75" style="109" customWidth="1"/>
    <col min="13064" max="13064" width="12.25" style="109" customWidth="1"/>
    <col min="13065" max="13065" width="11.625" style="109" customWidth="1"/>
    <col min="13066" max="13066" width="9.75" style="109" customWidth="1"/>
    <col min="13067" max="13067" width="9.875" style="109" customWidth="1"/>
    <col min="13068" max="13068" width="12" style="109" customWidth="1"/>
    <col min="13069" max="13069" width="9.875" style="109" customWidth="1"/>
    <col min="13070" max="13071" width="10.375" style="109" customWidth="1"/>
    <col min="13072" max="13072" width="16.25" style="109" customWidth="1"/>
    <col min="13073" max="13073" width="9.875" style="109" bestFit="1" customWidth="1"/>
    <col min="13074" max="13312" width="9" style="109"/>
    <col min="13313" max="13313" width="5" style="109" customWidth="1"/>
    <col min="13314" max="13314" width="40.875" style="109" customWidth="1"/>
    <col min="13315" max="13315" width="10.125" style="109" customWidth="1"/>
    <col min="13316" max="13316" width="10.75" style="109" customWidth="1"/>
    <col min="13317" max="13317" width="10" style="109" customWidth="1"/>
    <col min="13318" max="13318" width="9.625" style="109" bestFit="1" customWidth="1"/>
    <col min="13319" max="13319" width="10.75" style="109" customWidth="1"/>
    <col min="13320" max="13320" width="12.25" style="109" customWidth="1"/>
    <col min="13321" max="13321" width="11.625" style="109" customWidth="1"/>
    <col min="13322" max="13322" width="9.75" style="109" customWidth="1"/>
    <col min="13323" max="13323" width="9.875" style="109" customWidth="1"/>
    <col min="13324" max="13324" width="12" style="109" customWidth="1"/>
    <col min="13325" max="13325" width="9.875" style="109" customWidth="1"/>
    <col min="13326" max="13327" width="10.375" style="109" customWidth="1"/>
    <col min="13328" max="13328" width="16.25" style="109" customWidth="1"/>
    <col min="13329" max="13329" width="9.875" style="109" bestFit="1" customWidth="1"/>
    <col min="13330" max="13568" width="9" style="109"/>
    <col min="13569" max="13569" width="5" style="109" customWidth="1"/>
    <col min="13570" max="13570" width="40.875" style="109" customWidth="1"/>
    <col min="13571" max="13571" width="10.125" style="109" customWidth="1"/>
    <col min="13572" max="13572" width="10.75" style="109" customWidth="1"/>
    <col min="13573" max="13573" width="10" style="109" customWidth="1"/>
    <col min="13574" max="13574" width="9.625" style="109" bestFit="1" customWidth="1"/>
    <col min="13575" max="13575" width="10.75" style="109" customWidth="1"/>
    <col min="13576" max="13576" width="12.25" style="109" customWidth="1"/>
    <col min="13577" max="13577" width="11.625" style="109" customWidth="1"/>
    <col min="13578" max="13578" width="9.75" style="109" customWidth="1"/>
    <col min="13579" max="13579" width="9.875" style="109" customWidth="1"/>
    <col min="13580" max="13580" width="12" style="109" customWidth="1"/>
    <col min="13581" max="13581" width="9.875" style="109" customWidth="1"/>
    <col min="13582" max="13583" width="10.375" style="109" customWidth="1"/>
    <col min="13584" max="13584" width="16.25" style="109" customWidth="1"/>
    <col min="13585" max="13585" width="9.875" style="109" bestFit="1" customWidth="1"/>
    <col min="13586" max="13824" width="9" style="109"/>
    <col min="13825" max="13825" width="5" style="109" customWidth="1"/>
    <col min="13826" max="13826" width="40.875" style="109" customWidth="1"/>
    <col min="13827" max="13827" width="10.125" style="109" customWidth="1"/>
    <col min="13828" max="13828" width="10.75" style="109" customWidth="1"/>
    <col min="13829" max="13829" width="10" style="109" customWidth="1"/>
    <col min="13830" max="13830" width="9.625" style="109" bestFit="1" customWidth="1"/>
    <col min="13831" max="13831" width="10.75" style="109" customWidth="1"/>
    <col min="13832" max="13832" width="12.25" style="109" customWidth="1"/>
    <col min="13833" max="13833" width="11.625" style="109" customWidth="1"/>
    <col min="13834" max="13834" width="9.75" style="109" customWidth="1"/>
    <col min="13835" max="13835" width="9.875" style="109" customWidth="1"/>
    <col min="13836" max="13836" width="12" style="109" customWidth="1"/>
    <col min="13837" max="13837" width="9.875" style="109" customWidth="1"/>
    <col min="13838" max="13839" width="10.375" style="109" customWidth="1"/>
    <col min="13840" max="13840" width="16.25" style="109" customWidth="1"/>
    <col min="13841" max="13841" width="9.875" style="109" bestFit="1" customWidth="1"/>
    <col min="13842" max="14080" width="9" style="109"/>
    <col min="14081" max="14081" width="5" style="109" customWidth="1"/>
    <col min="14082" max="14082" width="40.875" style="109" customWidth="1"/>
    <col min="14083" max="14083" width="10.125" style="109" customWidth="1"/>
    <col min="14084" max="14084" width="10.75" style="109" customWidth="1"/>
    <col min="14085" max="14085" width="10" style="109" customWidth="1"/>
    <col min="14086" max="14086" width="9.625" style="109" bestFit="1" customWidth="1"/>
    <col min="14087" max="14087" width="10.75" style="109" customWidth="1"/>
    <col min="14088" max="14088" width="12.25" style="109" customWidth="1"/>
    <col min="14089" max="14089" width="11.625" style="109" customWidth="1"/>
    <col min="14090" max="14090" width="9.75" style="109" customWidth="1"/>
    <col min="14091" max="14091" width="9.875" style="109" customWidth="1"/>
    <col min="14092" max="14092" width="12" style="109" customWidth="1"/>
    <col min="14093" max="14093" width="9.875" style="109" customWidth="1"/>
    <col min="14094" max="14095" width="10.375" style="109" customWidth="1"/>
    <col min="14096" max="14096" width="16.25" style="109" customWidth="1"/>
    <col min="14097" max="14097" width="9.875" style="109" bestFit="1" customWidth="1"/>
    <col min="14098" max="14336" width="9" style="109"/>
    <col min="14337" max="14337" width="5" style="109" customWidth="1"/>
    <col min="14338" max="14338" width="40.875" style="109" customWidth="1"/>
    <col min="14339" max="14339" width="10.125" style="109" customWidth="1"/>
    <col min="14340" max="14340" width="10.75" style="109" customWidth="1"/>
    <col min="14341" max="14341" width="10" style="109" customWidth="1"/>
    <col min="14342" max="14342" width="9.625" style="109" bestFit="1" customWidth="1"/>
    <col min="14343" max="14343" width="10.75" style="109" customWidth="1"/>
    <col min="14344" max="14344" width="12.25" style="109" customWidth="1"/>
    <col min="14345" max="14345" width="11.625" style="109" customWidth="1"/>
    <col min="14346" max="14346" width="9.75" style="109" customWidth="1"/>
    <col min="14347" max="14347" width="9.875" style="109" customWidth="1"/>
    <col min="14348" max="14348" width="12" style="109" customWidth="1"/>
    <col min="14349" max="14349" width="9.875" style="109" customWidth="1"/>
    <col min="14350" max="14351" width="10.375" style="109" customWidth="1"/>
    <col min="14352" max="14352" width="16.25" style="109" customWidth="1"/>
    <col min="14353" max="14353" width="9.875" style="109" bestFit="1" customWidth="1"/>
    <col min="14354" max="14592" width="9" style="109"/>
    <col min="14593" max="14593" width="5" style="109" customWidth="1"/>
    <col min="14594" max="14594" width="40.875" style="109" customWidth="1"/>
    <col min="14595" max="14595" width="10.125" style="109" customWidth="1"/>
    <col min="14596" max="14596" width="10.75" style="109" customWidth="1"/>
    <col min="14597" max="14597" width="10" style="109" customWidth="1"/>
    <col min="14598" max="14598" width="9.625" style="109" bestFit="1" customWidth="1"/>
    <col min="14599" max="14599" width="10.75" style="109" customWidth="1"/>
    <col min="14600" max="14600" width="12.25" style="109" customWidth="1"/>
    <col min="14601" max="14601" width="11.625" style="109" customWidth="1"/>
    <col min="14602" max="14602" width="9.75" style="109" customWidth="1"/>
    <col min="14603" max="14603" width="9.875" style="109" customWidth="1"/>
    <col min="14604" max="14604" width="12" style="109" customWidth="1"/>
    <col min="14605" max="14605" width="9.875" style="109" customWidth="1"/>
    <col min="14606" max="14607" width="10.375" style="109" customWidth="1"/>
    <col min="14608" max="14608" width="16.25" style="109" customWidth="1"/>
    <col min="14609" max="14609" width="9.875" style="109" bestFit="1" customWidth="1"/>
    <col min="14610" max="14848" width="9" style="109"/>
    <col min="14849" max="14849" width="5" style="109" customWidth="1"/>
    <col min="14850" max="14850" width="40.875" style="109" customWidth="1"/>
    <col min="14851" max="14851" width="10.125" style="109" customWidth="1"/>
    <col min="14852" max="14852" width="10.75" style="109" customWidth="1"/>
    <col min="14853" max="14853" width="10" style="109" customWidth="1"/>
    <col min="14854" max="14854" width="9.625" style="109" bestFit="1" customWidth="1"/>
    <col min="14855" max="14855" width="10.75" style="109" customWidth="1"/>
    <col min="14856" max="14856" width="12.25" style="109" customWidth="1"/>
    <col min="14857" max="14857" width="11.625" style="109" customWidth="1"/>
    <col min="14858" max="14858" width="9.75" style="109" customWidth="1"/>
    <col min="14859" max="14859" width="9.875" style="109" customWidth="1"/>
    <col min="14860" max="14860" width="12" style="109" customWidth="1"/>
    <col min="14861" max="14861" width="9.875" style="109" customWidth="1"/>
    <col min="14862" max="14863" width="10.375" style="109" customWidth="1"/>
    <col min="14864" max="14864" width="16.25" style="109" customWidth="1"/>
    <col min="14865" max="14865" width="9.875" style="109" bestFit="1" customWidth="1"/>
    <col min="14866" max="15104" width="9" style="109"/>
    <col min="15105" max="15105" width="5" style="109" customWidth="1"/>
    <col min="15106" max="15106" width="40.875" style="109" customWidth="1"/>
    <col min="15107" max="15107" width="10.125" style="109" customWidth="1"/>
    <col min="15108" max="15108" width="10.75" style="109" customWidth="1"/>
    <col min="15109" max="15109" width="10" style="109" customWidth="1"/>
    <col min="15110" max="15110" width="9.625" style="109" bestFit="1" customWidth="1"/>
    <col min="15111" max="15111" width="10.75" style="109" customWidth="1"/>
    <col min="15112" max="15112" width="12.25" style="109" customWidth="1"/>
    <col min="15113" max="15113" width="11.625" style="109" customWidth="1"/>
    <col min="15114" max="15114" width="9.75" style="109" customWidth="1"/>
    <col min="15115" max="15115" width="9.875" style="109" customWidth="1"/>
    <col min="15116" max="15116" width="12" style="109" customWidth="1"/>
    <col min="15117" max="15117" width="9.875" style="109" customWidth="1"/>
    <col min="15118" max="15119" width="10.375" style="109" customWidth="1"/>
    <col min="15120" max="15120" width="16.25" style="109" customWidth="1"/>
    <col min="15121" max="15121" width="9.875" style="109" bestFit="1" customWidth="1"/>
    <col min="15122" max="15360" width="9" style="109"/>
    <col min="15361" max="15361" width="5" style="109" customWidth="1"/>
    <col min="15362" max="15362" width="40.875" style="109" customWidth="1"/>
    <col min="15363" max="15363" width="10.125" style="109" customWidth="1"/>
    <col min="15364" max="15364" width="10.75" style="109" customWidth="1"/>
    <col min="15365" max="15365" width="10" style="109" customWidth="1"/>
    <col min="15366" max="15366" width="9.625" style="109" bestFit="1" customWidth="1"/>
    <col min="15367" max="15367" width="10.75" style="109" customWidth="1"/>
    <col min="15368" max="15368" width="12.25" style="109" customWidth="1"/>
    <col min="15369" max="15369" width="11.625" style="109" customWidth="1"/>
    <col min="15370" max="15370" width="9.75" style="109" customWidth="1"/>
    <col min="15371" max="15371" width="9.875" style="109" customWidth="1"/>
    <col min="15372" max="15372" width="12" style="109" customWidth="1"/>
    <col min="15373" max="15373" width="9.875" style="109" customWidth="1"/>
    <col min="15374" max="15375" width="10.375" style="109" customWidth="1"/>
    <col min="15376" max="15376" width="16.25" style="109" customWidth="1"/>
    <col min="15377" max="15377" width="9.875" style="109" bestFit="1" customWidth="1"/>
    <col min="15378" max="15616" width="9" style="109"/>
    <col min="15617" max="15617" width="5" style="109" customWidth="1"/>
    <col min="15618" max="15618" width="40.875" style="109" customWidth="1"/>
    <col min="15619" max="15619" width="10.125" style="109" customWidth="1"/>
    <col min="15620" max="15620" width="10.75" style="109" customWidth="1"/>
    <col min="15621" max="15621" width="10" style="109" customWidth="1"/>
    <col min="15622" max="15622" width="9.625" style="109" bestFit="1" customWidth="1"/>
    <col min="15623" max="15623" width="10.75" style="109" customWidth="1"/>
    <col min="15624" max="15624" width="12.25" style="109" customWidth="1"/>
    <col min="15625" max="15625" width="11.625" style="109" customWidth="1"/>
    <col min="15626" max="15626" width="9.75" style="109" customWidth="1"/>
    <col min="15627" max="15627" width="9.875" style="109" customWidth="1"/>
    <col min="15628" max="15628" width="12" style="109" customWidth="1"/>
    <col min="15629" max="15629" width="9.875" style="109" customWidth="1"/>
    <col min="15630" max="15631" width="10.375" style="109" customWidth="1"/>
    <col min="15632" max="15632" width="16.25" style="109" customWidth="1"/>
    <col min="15633" max="15633" width="9.875" style="109" bestFit="1" customWidth="1"/>
    <col min="15634" max="15872" width="9" style="109"/>
    <col min="15873" max="15873" width="5" style="109" customWidth="1"/>
    <col min="15874" max="15874" width="40.875" style="109" customWidth="1"/>
    <col min="15875" max="15875" width="10.125" style="109" customWidth="1"/>
    <col min="15876" max="15876" width="10.75" style="109" customWidth="1"/>
    <col min="15877" max="15877" width="10" style="109" customWidth="1"/>
    <col min="15878" max="15878" width="9.625" style="109" bestFit="1" customWidth="1"/>
    <col min="15879" max="15879" width="10.75" style="109" customWidth="1"/>
    <col min="15880" max="15880" width="12.25" style="109" customWidth="1"/>
    <col min="15881" max="15881" width="11.625" style="109" customWidth="1"/>
    <col min="15882" max="15882" width="9.75" style="109" customWidth="1"/>
    <col min="15883" max="15883" width="9.875" style="109" customWidth="1"/>
    <col min="15884" max="15884" width="12" style="109" customWidth="1"/>
    <col min="15885" max="15885" width="9.875" style="109" customWidth="1"/>
    <col min="15886" max="15887" width="10.375" style="109" customWidth="1"/>
    <col min="15888" max="15888" width="16.25" style="109" customWidth="1"/>
    <col min="15889" max="15889" width="9.875" style="109" bestFit="1" customWidth="1"/>
    <col min="15890" max="16128" width="9" style="109"/>
    <col min="16129" max="16129" width="5" style="109" customWidth="1"/>
    <col min="16130" max="16130" width="40.875" style="109" customWidth="1"/>
    <col min="16131" max="16131" width="10.125" style="109" customWidth="1"/>
    <col min="16132" max="16132" width="10.75" style="109" customWidth="1"/>
    <col min="16133" max="16133" width="10" style="109" customWidth="1"/>
    <col min="16134" max="16134" width="9.625" style="109" bestFit="1" customWidth="1"/>
    <col min="16135" max="16135" width="10.75" style="109" customWidth="1"/>
    <col min="16136" max="16136" width="12.25" style="109" customWidth="1"/>
    <col min="16137" max="16137" width="11.625" style="109" customWidth="1"/>
    <col min="16138" max="16138" width="9.75" style="109" customWidth="1"/>
    <col min="16139" max="16139" width="9.875" style="109" customWidth="1"/>
    <col min="16140" max="16140" width="12" style="109" customWidth="1"/>
    <col min="16141" max="16141" width="9.875" style="109" customWidth="1"/>
    <col min="16142" max="16143" width="10.375" style="109" customWidth="1"/>
    <col min="16144" max="16144" width="16.25" style="109" customWidth="1"/>
    <col min="16145" max="16145" width="9.875" style="109" bestFit="1" customWidth="1"/>
    <col min="16146" max="16384" width="9" style="109"/>
  </cols>
  <sheetData>
    <row r="1" spans="1:16" x14ac:dyDescent="0.25">
      <c r="A1" s="987" t="s">
        <v>689</v>
      </c>
      <c r="B1" s="987"/>
      <c r="C1" s="987"/>
      <c r="D1" s="987"/>
      <c r="E1" s="987"/>
      <c r="F1" s="987"/>
      <c r="G1" s="987"/>
      <c r="H1" s="987"/>
      <c r="I1" s="987"/>
      <c r="J1" s="987"/>
      <c r="K1" s="987"/>
      <c r="L1" s="987"/>
      <c r="M1" s="987"/>
      <c r="N1" s="987"/>
      <c r="O1" s="987"/>
      <c r="P1" s="987"/>
    </row>
    <row r="2" spans="1:16" x14ac:dyDescent="0.25">
      <c r="A2" s="371"/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</row>
    <row r="3" spans="1:16" ht="16.5" thickBot="1" x14ac:dyDescent="0.3"/>
    <row r="4" spans="1:16" s="115" customFormat="1" ht="77.25" thickBot="1" x14ac:dyDescent="0.3">
      <c r="A4" s="110"/>
      <c r="B4" s="111" t="s">
        <v>146</v>
      </c>
      <c r="C4" s="112" t="s">
        <v>31</v>
      </c>
      <c r="D4" s="112" t="s">
        <v>32</v>
      </c>
      <c r="E4" s="112" t="s">
        <v>33</v>
      </c>
      <c r="F4" s="113" t="s">
        <v>491</v>
      </c>
      <c r="G4" s="113" t="s">
        <v>280</v>
      </c>
      <c r="H4" s="112" t="s">
        <v>382</v>
      </c>
      <c r="I4" s="114" t="s">
        <v>52</v>
      </c>
      <c r="J4" s="114" t="s">
        <v>60</v>
      </c>
      <c r="K4" s="113" t="s">
        <v>281</v>
      </c>
      <c r="L4" s="112" t="s">
        <v>383</v>
      </c>
      <c r="M4" s="114" t="s">
        <v>78</v>
      </c>
      <c r="N4" s="113" t="s">
        <v>73</v>
      </c>
      <c r="O4" s="112" t="s">
        <v>48</v>
      </c>
      <c r="P4" s="112" t="s">
        <v>271</v>
      </c>
    </row>
    <row r="5" spans="1:16" s="115" customFormat="1" ht="16.5" thickBot="1" x14ac:dyDescent="0.3">
      <c r="A5" s="110"/>
      <c r="B5" s="111"/>
      <c r="C5" s="112" t="s">
        <v>164</v>
      </c>
      <c r="D5" s="112" t="s">
        <v>165</v>
      </c>
      <c r="E5" s="112" t="s">
        <v>166</v>
      </c>
      <c r="F5" s="113" t="s">
        <v>167</v>
      </c>
      <c r="G5" s="113" t="s">
        <v>272</v>
      </c>
      <c r="H5" s="112" t="s">
        <v>285</v>
      </c>
      <c r="I5" s="114" t="s">
        <v>168</v>
      </c>
      <c r="J5" s="114" t="s">
        <v>169</v>
      </c>
      <c r="K5" s="113" t="s">
        <v>170</v>
      </c>
      <c r="L5" s="112" t="s">
        <v>286</v>
      </c>
      <c r="M5" s="262"/>
      <c r="N5" s="113"/>
      <c r="O5" s="112" t="s">
        <v>283</v>
      </c>
      <c r="P5" s="112" t="s">
        <v>284</v>
      </c>
    </row>
    <row r="6" spans="1:16" s="118" customFormat="1" ht="16.5" thickBot="1" x14ac:dyDescent="0.3">
      <c r="A6" s="116"/>
      <c r="B6" s="116" t="s">
        <v>147</v>
      </c>
      <c r="C6" s="116" t="s">
        <v>148</v>
      </c>
      <c r="D6" s="116" t="s">
        <v>149</v>
      </c>
      <c r="E6" s="116" t="s">
        <v>150</v>
      </c>
      <c r="F6" s="117" t="s">
        <v>151</v>
      </c>
      <c r="G6" s="117" t="s">
        <v>152</v>
      </c>
      <c r="H6" s="116" t="s">
        <v>34</v>
      </c>
      <c r="I6" s="268" t="s">
        <v>35</v>
      </c>
      <c r="J6" s="116" t="s">
        <v>36</v>
      </c>
      <c r="K6" s="117" t="s">
        <v>37</v>
      </c>
      <c r="L6" s="116" t="s">
        <v>38</v>
      </c>
      <c r="M6" s="269" t="s">
        <v>39</v>
      </c>
      <c r="N6" s="117" t="s">
        <v>40</v>
      </c>
      <c r="O6" s="116" t="s">
        <v>278</v>
      </c>
      <c r="P6" s="116" t="s">
        <v>289</v>
      </c>
    </row>
    <row r="7" spans="1:16" s="122" customFormat="1" x14ac:dyDescent="0.25">
      <c r="A7" s="119"/>
      <c r="B7" s="120"/>
      <c r="C7" s="121"/>
      <c r="D7" s="121"/>
      <c r="E7" s="121"/>
      <c r="F7" s="121"/>
      <c r="G7" s="125"/>
      <c r="H7" s="124"/>
      <c r="I7" s="121"/>
      <c r="J7" s="121"/>
      <c r="K7" s="125"/>
      <c r="L7" s="124"/>
      <c r="M7" s="121"/>
      <c r="N7" s="125"/>
      <c r="O7" s="263"/>
      <c r="P7" s="124"/>
    </row>
    <row r="8" spans="1:16" s="353" customFormat="1" x14ac:dyDescent="0.25">
      <c r="A8" s="347"/>
      <c r="B8" s="348" t="s">
        <v>384</v>
      </c>
      <c r="C8" s="349">
        <v>478948</v>
      </c>
      <c r="D8" s="349">
        <v>114698</v>
      </c>
      <c r="E8" s="349">
        <v>5077852</v>
      </c>
      <c r="F8" s="350">
        <v>40689</v>
      </c>
      <c r="G8" s="351">
        <v>12570407</v>
      </c>
      <c r="H8" s="352">
        <f>SUM(C8:G8)</f>
        <v>18282594</v>
      </c>
      <c r="I8" s="349">
        <v>30997455</v>
      </c>
      <c r="J8" s="349">
        <v>4538282</v>
      </c>
      <c r="K8" s="351">
        <v>903191</v>
      </c>
      <c r="L8" s="352">
        <f>SUM(I8:K8)</f>
        <v>36438928</v>
      </c>
      <c r="M8" s="349">
        <v>250000</v>
      </c>
      <c r="N8" s="351">
        <v>2916264</v>
      </c>
      <c r="O8" s="352">
        <f>SUM(M8:N8)</f>
        <v>3166264</v>
      </c>
      <c r="P8" s="352">
        <f>SUM(O8+L8+H8)</f>
        <v>57887786</v>
      </c>
    </row>
    <row r="9" spans="1:16" s="353" customFormat="1" x14ac:dyDescent="0.25">
      <c r="A9" s="347"/>
      <c r="B9" s="576" t="s">
        <v>978</v>
      </c>
      <c r="C9" s="349">
        <v>478630</v>
      </c>
      <c r="D9" s="349">
        <v>114847</v>
      </c>
      <c r="E9" s="349">
        <v>8202173</v>
      </c>
      <c r="F9" s="766">
        <v>41014</v>
      </c>
      <c r="G9" s="351">
        <v>13701859</v>
      </c>
      <c r="H9" s="352">
        <f>SUM(C9:G9)</f>
        <v>22538523</v>
      </c>
      <c r="I9" s="349">
        <v>28461078</v>
      </c>
      <c r="J9" s="349">
        <v>4530947</v>
      </c>
      <c r="K9" s="351">
        <v>974097</v>
      </c>
      <c r="L9" s="352">
        <f>SUM(I9:K9)</f>
        <v>33966122</v>
      </c>
      <c r="M9" s="349">
        <v>109885</v>
      </c>
      <c r="N9" s="351">
        <v>2085542</v>
      </c>
      <c r="O9" s="352">
        <f>SUM(M9:N9)</f>
        <v>2195427</v>
      </c>
      <c r="P9" s="352">
        <f>SUM(O9+L9+H9)</f>
        <v>58700072</v>
      </c>
    </row>
    <row r="10" spans="1:16" x14ac:dyDescent="0.25">
      <c r="A10" s="119"/>
      <c r="B10" s="354"/>
      <c r="C10" s="126"/>
      <c r="D10" s="127"/>
      <c r="E10" s="127"/>
      <c r="F10" s="127"/>
      <c r="G10" s="355"/>
      <c r="H10" s="124"/>
      <c r="I10" s="126"/>
      <c r="J10" s="126"/>
      <c r="K10" s="128"/>
      <c r="L10" s="129"/>
      <c r="M10" s="126"/>
      <c r="N10" s="128"/>
      <c r="O10" s="264"/>
      <c r="P10" s="124"/>
    </row>
    <row r="11" spans="1:16" x14ac:dyDescent="0.25">
      <c r="A11" s="119" t="s">
        <v>504</v>
      </c>
      <c r="B11" s="147" t="s">
        <v>505</v>
      </c>
      <c r="C11" s="126"/>
      <c r="D11" s="126"/>
      <c r="E11" s="126"/>
      <c r="F11" s="126"/>
      <c r="G11" s="355"/>
      <c r="H11" s="124"/>
      <c r="I11" s="126"/>
      <c r="J11" s="126"/>
      <c r="K11" s="355"/>
      <c r="L11" s="129"/>
      <c r="M11" s="126"/>
      <c r="N11" s="355"/>
      <c r="O11" s="264"/>
      <c r="P11" s="124"/>
    </row>
    <row r="12" spans="1:16" x14ac:dyDescent="0.25">
      <c r="A12" s="119"/>
      <c r="B12" s="147" t="s">
        <v>81</v>
      </c>
      <c r="C12" s="126"/>
      <c r="D12" s="126"/>
      <c r="E12" s="126"/>
      <c r="F12" s="126"/>
      <c r="G12" s="355"/>
      <c r="H12" s="124"/>
      <c r="I12" s="126"/>
      <c r="J12" s="126"/>
      <c r="K12" s="355"/>
      <c r="L12" s="129"/>
      <c r="M12" s="126"/>
      <c r="N12" s="355"/>
      <c r="O12" s="264"/>
      <c r="P12" s="124"/>
    </row>
    <row r="13" spans="1:16" x14ac:dyDescent="0.25">
      <c r="A13" s="119"/>
      <c r="B13" s="576" t="s">
        <v>82</v>
      </c>
      <c r="C13" s="126"/>
      <c r="D13" s="126"/>
      <c r="E13" s="126"/>
      <c r="F13" s="126"/>
      <c r="G13" s="355"/>
      <c r="H13" s="124"/>
      <c r="I13" s="126"/>
      <c r="J13" s="126"/>
      <c r="K13" s="355"/>
      <c r="L13" s="129"/>
      <c r="M13" s="126"/>
      <c r="N13" s="355"/>
      <c r="O13" s="264"/>
      <c r="P13" s="124"/>
    </row>
    <row r="14" spans="1:16" ht="31.5" x14ac:dyDescent="0.25">
      <c r="A14" s="134"/>
      <c r="B14" s="360" t="s">
        <v>690</v>
      </c>
      <c r="C14" s="131"/>
      <c r="D14" s="132"/>
      <c r="E14" s="132"/>
      <c r="F14" s="132"/>
      <c r="G14" s="142"/>
      <c r="H14" s="124"/>
      <c r="I14" s="357"/>
      <c r="J14" s="357"/>
      <c r="K14" s="361"/>
      <c r="L14" s="129"/>
      <c r="M14" s="357"/>
      <c r="N14" s="361"/>
      <c r="O14" s="358"/>
      <c r="P14" s="124"/>
    </row>
    <row r="15" spans="1:16" ht="31.5" x14ac:dyDescent="0.25">
      <c r="A15" s="134"/>
      <c r="B15" s="626" t="s">
        <v>1049</v>
      </c>
      <c r="C15" s="131"/>
      <c r="D15" s="132"/>
      <c r="E15" s="132">
        <v>44508</v>
      </c>
      <c r="F15" s="132"/>
      <c r="G15" s="266"/>
      <c r="H15" s="124">
        <f t="shared" ref="H15:H17" si="0">SUM(C15:G15)</f>
        <v>44508</v>
      </c>
      <c r="I15" s="357"/>
      <c r="J15" s="357"/>
      <c r="K15" s="361"/>
      <c r="L15" s="129">
        <f t="shared" ref="L15:L17" si="1">SUM(I15:K15)</f>
        <v>0</v>
      </c>
      <c r="M15" s="357"/>
      <c r="N15" s="361"/>
      <c r="O15" s="358"/>
      <c r="P15" s="124">
        <f t="shared" ref="P15:P17" si="2">O15+L15+H15</f>
        <v>44508</v>
      </c>
    </row>
    <row r="16" spans="1:16" x14ac:dyDescent="0.25">
      <c r="A16" s="134"/>
      <c r="B16" s="626" t="s">
        <v>1051</v>
      </c>
      <c r="C16" s="131"/>
      <c r="D16" s="132"/>
      <c r="E16" s="132">
        <v>-13</v>
      </c>
      <c r="F16" s="132"/>
      <c r="G16" s="266"/>
      <c r="H16" s="124">
        <f t="shared" si="0"/>
        <v>-13</v>
      </c>
      <c r="I16" s="357">
        <v>13</v>
      </c>
      <c r="J16" s="357"/>
      <c r="K16" s="361"/>
      <c r="L16" s="129">
        <f t="shared" ref="L16" si="3">SUM(I16:K16)</f>
        <v>13</v>
      </c>
      <c r="M16" s="357"/>
      <c r="N16" s="361"/>
      <c r="O16" s="358"/>
      <c r="P16" s="124">
        <f t="shared" ref="P16" si="4">O16+L16+H16</f>
        <v>0</v>
      </c>
    </row>
    <row r="17" spans="1:16" ht="31.5" x14ac:dyDescent="0.25">
      <c r="A17" s="134"/>
      <c r="B17" s="626" t="s">
        <v>1126</v>
      </c>
      <c r="C17" s="131"/>
      <c r="D17" s="132"/>
      <c r="E17" s="132"/>
      <c r="F17" s="132">
        <v>7645</v>
      </c>
      <c r="G17" s="266"/>
      <c r="H17" s="124">
        <f t="shared" si="0"/>
        <v>7645</v>
      </c>
      <c r="I17" s="357"/>
      <c r="J17" s="357"/>
      <c r="K17" s="361"/>
      <c r="L17" s="129">
        <f t="shared" si="1"/>
        <v>0</v>
      </c>
      <c r="M17" s="357"/>
      <c r="N17" s="361"/>
      <c r="O17" s="358"/>
      <c r="P17" s="124">
        <f t="shared" si="2"/>
        <v>7645</v>
      </c>
    </row>
    <row r="18" spans="1:16" ht="31.5" x14ac:dyDescent="0.25">
      <c r="A18" s="134"/>
      <c r="B18" s="626" t="s">
        <v>1050</v>
      </c>
      <c r="C18" s="569"/>
      <c r="D18" s="141"/>
      <c r="E18" s="141">
        <v>-164433</v>
      </c>
      <c r="F18" s="141"/>
      <c r="G18" s="627">
        <v>164433</v>
      </c>
      <c r="H18" s="124">
        <f t="shared" ref="H18" si="5">SUM(C18:G18)</f>
        <v>0</v>
      </c>
      <c r="I18" s="357"/>
      <c r="J18" s="357"/>
      <c r="K18" s="361"/>
      <c r="L18" s="129">
        <f t="shared" ref="L18" si="6">SUM(I18:K18)</f>
        <v>0</v>
      </c>
      <c r="M18" s="357"/>
      <c r="N18" s="361"/>
      <c r="O18" s="358"/>
      <c r="P18" s="124">
        <f t="shared" ref="P18" si="7">O18+L18+H18</f>
        <v>0</v>
      </c>
    </row>
    <row r="19" spans="1:16" x14ac:dyDescent="0.25">
      <c r="A19" s="130"/>
      <c r="B19" s="362"/>
      <c r="C19" s="131"/>
      <c r="D19" s="132"/>
      <c r="E19" s="132"/>
      <c r="F19" s="133"/>
      <c r="G19" s="133"/>
      <c r="H19" s="124"/>
      <c r="I19" s="357"/>
      <c r="J19" s="357"/>
      <c r="K19" s="361"/>
      <c r="L19" s="129"/>
      <c r="M19" s="357"/>
      <c r="N19" s="361"/>
      <c r="O19" s="358"/>
      <c r="P19" s="124"/>
    </row>
    <row r="20" spans="1:16" ht="31.5" x14ac:dyDescent="0.25">
      <c r="A20" s="119"/>
      <c r="B20" s="147" t="s">
        <v>83</v>
      </c>
      <c r="C20" s="126"/>
      <c r="D20" s="126"/>
      <c r="E20" s="126"/>
      <c r="F20" s="126"/>
      <c r="G20" s="355"/>
      <c r="H20" s="124"/>
      <c r="I20" s="126"/>
      <c r="J20" s="126"/>
      <c r="K20" s="355"/>
      <c r="L20" s="129"/>
      <c r="M20" s="126"/>
      <c r="N20" s="355"/>
      <c r="O20" s="264"/>
      <c r="P20" s="124"/>
    </row>
    <row r="21" spans="1:16" x14ac:dyDescent="0.25">
      <c r="A21" s="119"/>
      <c r="B21" s="576" t="s">
        <v>84</v>
      </c>
      <c r="C21" s="126"/>
      <c r="D21" s="126"/>
      <c r="E21" s="126"/>
      <c r="F21" s="126"/>
      <c r="G21" s="355"/>
      <c r="H21" s="124"/>
      <c r="I21" s="126"/>
      <c r="J21" s="126"/>
      <c r="K21" s="355"/>
      <c r="L21" s="129"/>
      <c r="M21" s="126"/>
      <c r="N21" s="355"/>
      <c r="O21" s="264"/>
      <c r="P21" s="124"/>
    </row>
    <row r="22" spans="1:16" ht="31.5" x14ac:dyDescent="0.25">
      <c r="A22" s="119"/>
      <c r="B22" s="360" t="s">
        <v>690</v>
      </c>
      <c r="C22" s="126"/>
      <c r="D22" s="126"/>
      <c r="E22" s="126"/>
      <c r="F22" s="126"/>
      <c r="G22" s="355"/>
      <c r="H22" s="124"/>
      <c r="I22" s="126"/>
      <c r="J22" s="126"/>
      <c r="K22" s="355"/>
      <c r="L22" s="129"/>
      <c r="M22" s="126"/>
      <c r="N22" s="355"/>
      <c r="O22" s="264"/>
      <c r="P22" s="124"/>
    </row>
    <row r="23" spans="1:16" x14ac:dyDescent="0.25">
      <c r="A23" s="119"/>
      <c r="B23" s="625" t="s">
        <v>1052</v>
      </c>
      <c r="C23" s="126"/>
      <c r="D23" s="126"/>
      <c r="E23" s="126">
        <v>-954</v>
      </c>
      <c r="F23" s="126"/>
      <c r="G23" s="355"/>
      <c r="H23" s="124">
        <f t="shared" ref="H23" si="8">SUM(C23:G23)</f>
        <v>-954</v>
      </c>
      <c r="I23" s="126">
        <v>954</v>
      </c>
      <c r="J23" s="126"/>
      <c r="K23" s="355"/>
      <c r="L23" s="129">
        <f t="shared" ref="L23" si="9">SUM(I23:K23)</f>
        <v>954</v>
      </c>
      <c r="M23" s="126"/>
      <c r="N23" s="355"/>
      <c r="O23" s="264"/>
      <c r="P23" s="124">
        <f t="shared" ref="P23" si="10">O23+L23+H23</f>
        <v>0</v>
      </c>
    </row>
    <row r="24" spans="1:16" ht="31.5" x14ac:dyDescent="0.25">
      <c r="A24" s="119"/>
      <c r="B24" s="625" t="s">
        <v>1053</v>
      </c>
      <c r="C24" s="126">
        <v>-2</v>
      </c>
      <c r="D24" s="126"/>
      <c r="E24" s="126">
        <v>2</v>
      </c>
      <c r="F24" s="126"/>
      <c r="G24" s="355"/>
      <c r="H24" s="124">
        <f t="shared" ref="H24:H29" si="11">SUM(C24:G24)</f>
        <v>0</v>
      </c>
      <c r="I24" s="126"/>
      <c r="J24" s="126"/>
      <c r="K24" s="355"/>
      <c r="L24" s="129">
        <f t="shared" ref="L24:L29" si="12">SUM(I24:K24)</f>
        <v>0</v>
      </c>
      <c r="M24" s="126"/>
      <c r="N24" s="355"/>
      <c r="O24" s="264"/>
      <c r="P24" s="124">
        <f t="shared" ref="P24:P29" si="13">O24+L24+H24</f>
        <v>0</v>
      </c>
    </row>
    <row r="25" spans="1:16" ht="31.5" x14ac:dyDescent="0.25">
      <c r="A25" s="119"/>
      <c r="B25" s="625" t="s">
        <v>1054</v>
      </c>
      <c r="C25" s="126">
        <v>-7031</v>
      </c>
      <c r="D25" s="126"/>
      <c r="E25" s="126">
        <v>18517</v>
      </c>
      <c r="F25" s="126"/>
      <c r="G25" s="355"/>
      <c r="H25" s="124">
        <f t="shared" si="11"/>
        <v>11486</v>
      </c>
      <c r="I25" s="126">
        <v>-11486</v>
      </c>
      <c r="J25" s="126"/>
      <c r="K25" s="355"/>
      <c r="L25" s="129">
        <f t="shared" si="12"/>
        <v>-11486</v>
      </c>
      <c r="M25" s="126"/>
      <c r="N25" s="355"/>
      <c r="O25" s="264"/>
      <c r="P25" s="124">
        <f t="shared" si="13"/>
        <v>0</v>
      </c>
    </row>
    <row r="26" spans="1:16" ht="31.5" x14ac:dyDescent="0.25">
      <c r="A26" s="119"/>
      <c r="B26" s="625" t="s">
        <v>1055</v>
      </c>
      <c r="C26" s="126"/>
      <c r="D26" s="126"/>
      <c r="E26" s="126">
        <v>-50</v>
      </c>
      <c r="F26" s="126"/>
      <c r="G26" s="355">
        <v>50</v>
      </c>
      <c r="H26" s="124">
        <f t="shared" si="11"/>
        <v>0</v>
      </c>
      <c r="I26" s="126"/>
      <c r="J26" s="126"/>
      <c r="K26" s="355"/>
      <c r="L26" s="129">
        <f t="shared" si="12"/>
        <v>0</v>
      </c>
      <c r="M26" s="126"/>
      <c r="N26" s="355"/>
      <c r="O26" s="264"/>
      <c r="P26" s="124">
        <f t="shared" si="13"/>
        <v>0</v>
      </c>
    </row>
    <row r="27" spans="1:16" x14ac:dyDescent="0.25">
      <c r="A27" s="119"/>
      <c r="B27" s="625" t="s">
        <v>1056</v>
      </c>
      <c r="C27" s="126"/>
      <c r="D27" s="126"/>
      <c r="E27" s="126"/>
      <c r="F27" s="126"/>
      <c r="G27" s="355">
        <v>5000</v>
      </c>
      <c r="H27" s="124">
        <f t="shared" si="11"/>
        <v>5000</v>
      </c>
      <c r="I27" s="126"/>
      <c r="J27" s="126"/>
      <c r="K27" s="355">
        <v>-5000</v>
      </c>
      <c r="L27" s="129">
        <f t="shared" si="12"/>
        <v>-5000</v>
      </c>
      <c r="M27" s="126"/>
      <c r="N27" s="355"/>
      <c r="O27" s="264"/>
      <c r="P27" s="124">
        <f t="shared" si="13"/>
        <v>0</v>
      </c>
    </row>
    <row r="28" spans="1:16" ht="31.5" x14ac:dyDescent="0.25">
      <c r="A28" s="119"/>
      <c r="B28" s="625" t="s">
        <v>1057</v>
      </c>
      <c r="C28" s="126"/>
      <c r="D28" s="126"/>
      <c r="E28" s="126"/>
      <c r="F28" s="126"/>
      <c r="G28" s="355">
        <v>-3500</v>
      </c>
      <c r="H28" s="124">
        <f t="shared" si="11"/>
        <v>-3500</v>
      </c>
      <c r="I28" s="126"/>
      <c r="J28" s="126"/>
      <c r="K28" s="355">
        <v>3500</v>
      </c>
      <c r="L28" s="129">
        <f t="shared" si="12"/>
        <v>3500</v>
      </c>
      <c r="M28" s="126"/>
      <c r="N28" s="355"/>
      <c r="O28" s="264"/>
      <c r="P28" s="124">
        <f t="shared" si="13"/>
        <v>0</v>
      </c>
    </row>
    <row r="29" spans="1:16" ht="31.5" x14ac:dyDescent="0.25">
      <c r="A29" s="119"/>
      <c r="B29" s="625" t="s">
        <v>1058</v>
      </c>
      <c r="C29" s="126"/>
      <c r="D29" s="126"/>
      <c r="E29" s="126"/>
      <c r="F29" s="126"/>
      <c r="G29" s="355">
        <v>-50000</v>
      </c>
      <c r="H29" s="124">
        <f t="shared" si="11"/>
        <v>-50000</v>
      </c>
      <c r="I29" s="126"/>
      <c r="J29" s="126"/>
      <c r="K29" s="355">
        <v>50000</v>
      </c>
      <c r="L29" s="129">
        <f t="shared" si="12"/>
        <v>50000</v>
      </c>
      <c r="M29" s="126"/>
      <c r="N29" s="355"/>
      <c r="O29" s="264"/>
      <c r="P29" s="124">
        <f t="shared" si="13"/>
        <v>0</v>
      </c>
    </row>
    <row r="30" spans="1:16" x14ac:dyDescent="0.25">
      <c r="A30" s="119"/>
      <c r="B30" s="360"/>
      <c r="C30" s="126"/>
      <c r="D30" s="126"/>
      <c r="E30" s="126"/>
      <c r="F30" s="126"/>
      <c r="G30" s="355"/>
      <c r="H30" s="124"/>
      <c r="I30" s="126"/>
      <c r="J30" s="126"/>
      <c r="K30" s="355"/>
      <c r="L30" s="129"/>
      <c r="M30" s="126"/>
      <c r="N30" s="355"/>
      <c r="O30" s="264"/>
      <c r="P30" s="124"/>
    </row>
    <row r="31" spans="1:16" s="574" customFormat="1" ht="31.5" x14ac:dyDescent="0.25">
      <c r="A31" s="921"/>
      <c r="B31" s="360" t="s">
        <v>387</v>
      </c>
      <c r="C31" s="922"/>
      <c r="D31" s="922"/>
      <c r="E31" s="922"/>
      <c r="F31" s="922"/>
      <c r="G31" s="680"/>
      <c r="H31" s="570"/>
      <c r="I31" s="922"/>
      <c r="J31" s="922"/>
      <c r="K31" s="680"/>
      <c r="L31" s="572"/>
      <c r="M31" s="922"/>
      <c r="N31" s="680"/>
      <c r="O31" s="923"/>
      <c r="P31" s="570"/>
    </row>
    <row r="32" spans="1:16" ht="31.5" x14ac:dyDescent="0.25">
      <c r="A32" s="119"/>
      <c r="B32" s="626" t="s">
        <v>1000</v>
      </c>
      <c r="C32" s="126"/>
      <c r="D32" s="126"/>
      <c r="E32" s="126"/>
      <c r="F32" s="126"/>
      <c r="G32" s="355">
        <v>250</v>
      </c>
      <c r="H32" s="124">
        <f t="shared" ref="H32" si="14">SUM(C32:G32)</f>
        <v>250</v>
      </c>
      <c r="I32" s="126"/>
      <c r="J32" s="126"/>
      <c r="K32" s="680"/>
      <c r="L32" s="129">
        <f t="shared" ref="L32" si="15">SUM(I32:K32)</f>
        <v>0</v>
      </c>
      <c r="M32" s="126"/>
      <c r="N32" s="355"/>
      <c r="O32" s="264"/>
      <c r="P32" s="124">
        <f t="shared" ref="P32" si="16">O32+L32+H32</f>
        <v>250</v>
      </c>
    </row>
    <row r="33" spans="1:16" ht="31.5" x14ac:dyDescent="0.25">
      <c r="A33" s="119"/>
      <c r="B33" s="626" t="s">
        <v>1001</v>
      </c>
      <c r="C33" s="126"/>
      <c r="D33" s="126"/>
      <c r="E33" s="126"/>
      <c r="F33" s="126"/>
      <c r="G33" s="355">
        <v>500</v>
      </c>
      <c r="H33" s="124">
        <f t="shared" ref="H33:H34" si="17">SUM(C33:G33)</f>
        <v>500</v>
      </c>
      <c r="I33" s="126"/>
      <c r="J33" s="126"/>
      <c r="K33" s="680"/>
      <c r="L33" s="129">
        <f t="shared" ref="L33" si="18">SUM(I33:K33)</f>
        <v>0</v>
      </c>
      <c r="M33" s="126"/>
      <c r="N33" s="355"/>
      <c r="O33" s="264"/>
      <c r="P33" s="124">
        <f t="shared" ref="P33" si="19">O33+L33+H33</f>
        <v>500</v>
      </c>
    </row>
    <row r="34" spans="1:16" s="574" customFormat="1" ht="31.5" x14ac:dyDescent="0.25">
      <c r="A34" s="921"/>
      <c r="B34" s="626" t="s">
        <v>1017</v>
      </c>
      <c r="C34" s="922"/>
      <c r="D34" s="922"/>
      <c r="E34" s="922"/>
      <c r="F34" s="922"/>
      <c r="G34" s="680">
        <v>2483</v>
      </c>
      <c r="H34" s="570">
        <f t="shared" si="17"/>
        <v>2483</v>
      </c>
      <c r="I34" s="922"/>
      <c r="J34" s="922"/>
      <c r="K34" s="680"/>
      <c r="L34" s="572">
        <f t="shared" ref="L34" si="20">SUM(I34:K34)</f>
        <v>0</v>
      </c>
      <c r="M34" s="922"/>
      <c r="N34" s="680"/>
      <c r="O34" s="923"/>
      <c r="P34" s="570">
        <f t="shared" ref="P34" si="21">O34+L34+H34</f>
        <v>2483</v>
      </c>
    </row>
    <row r="35" spans="1:16" s="574" customFormat="1" ht="31.5" x14ac:dyDescent="0.25">
      <c r="A35" s="921"/>
      <c r="B35" s="626" t="s">
        <v>1023</v>
      </c>
      <c r="C35" s="922"/>
      <c r="D35" s="922"/>
      <c r="E35" s="922">
        <v>27500</v>
      </c>
      <c r="F35" s="922"/>
      <c r="G35" s="680"/>
      <c r="H35" s="570">
        <f t="shared" ref="H35" si="22">SUM(C35:G35)</f>
        <v>27500</v>
      </c>
      <c r="I35" s="922">
        <v>3000</v>
      </c>
      <c r="J35" s="922"/>
      <c r="K35" s="680"/>
      <c r="L35" s="572">
        <f t="shared" ref="L35" si="23">SUM(I35:K35)</f>
        <v>3000</v>
      </c>
      <c r="M35" s="922"/>
      <c r="N35" s="680"/>
      <c r="O35" s="923"/>
      <c r="P35" s="570">
        <f t="shared" ref="P35" si="24">O35+L35+H35</f>
        <v>30500</v>
      </c>
    </row>
    <row r="36" spans="1:16" s="574" customFormat="1" x14ac:dyDescent="0.25">
      <c r="A36" s="567"/>
      <c r="B36" s="739" t="s">
        <v>1120</v>
      </c>
      <c r="C36" s="569"/>
      <c r="D36" s="141"/>
      <c r="E36" s="141">
        <v>40000</v>
      </c>
      <c r="F36" s="141"/>
      <c r="G36" s="773"/>
      <c r="H36" s="570">
        <f>SUM(C36:G36)</f>
        <v>40000</v>
      </c>
      <c r="I36" s="569"/>
      <c r="J36" s="569"/>
      <c r="K36" s="571"/>
      <c r="L36" s="572">
        <f>SUM(I36:K36)</f>
        <v>0</v>
      </c>
      <c r="M36" s="569"/>
      <c r="N36" s="571"/>
      <c r="O36" s="573"/>
      <c r="P36" s="570">
        <f>O36+L36+H36</f>
        <v>40000</v>
      </c>
    </row>
    <row r="37" spans="1:16" x14ac:dyDescent="0.25">
      <c r="A37" s="119"/>
      <c r="B37" s="360"/>
      <c r="C37" s="126"/>
      <c r="D37" s="126"/>
      <c r="E37" s="126"/>
      <c r="F37" s="126"/>
      <c r="G37" s="355"/>
      <c r="H37" s="124"/>
      <c r="I37" s="126"/>
      <c r="J37" s="126"/>
      <c r="K37" s="355"/>
      <c r="L37" s="129"/>
      <c r="M37" s="126"/>
      <c r="N37" s="355"/>
      <c r="O37" s="264"/>
      <c r="P37" s="124"/>
    </row>
    <row r="38" spans="1:16" x14ac:dyDescent="0.25">
      <c r="A38" s="134"/>
      <c r="B38" s="138" t="s">
        <v>108</v>
      </c>
      <c r="C38" s="131"/>
      <c r="D38" s="132"/>
      <c r="E38" s="132"/>
      <c r="F38" s="132"/>
      <c r="G38" s="142"/>
      <c r="H38" s="124"/>
      <c r="I38" s="131"/>
      <c r="J38" s="131"/>
      <c r="K38" s="133"/>
      <c r="L38" s="129"/>
      <c r="M38" s="131"/>
      <c r="N38" s="133"/>
      <c r="O38" s="265"/>
      <c r="P38" s="124"/>
    </row>
    <row r="39" spans="1:16" ht="31.5" x14ac:dyDescent="0.25">
      <c r="A39" s="134"/>
      <c r="B39" s="360" t="s">
        <v>690</v>
      </c>
      <c r="C39" s="131"/>
      <c r="D39" s="132"/>
      <c r="E39" s="132"/>
      <c r="F39" s="132"/>
      <c r="G39" s="142"/>
      <c r="H39" s="124"/>
      <c r="I39" s="131"/>
      <c r="J39" s="131"/>
      <c r="K39" s="133"/>
      <c r="L39" s="129"/>
      <c r="M39" s="131"/>
      <c r="N39" s="133"/>
      <c r="O39" s="265"/>
      <c r="P39" s="124"/>
    </row>
    <row r="40" spans="1:16" s="574" customFormat="1" x14ac:dyDescent="0.25">
      <c r="A40" s="567"/>
      <c r="B40" s="626" t="s">
        <v>930</v>
      </c>
      <c r="C40" s="569">
        <v>2730</v>
      </c>
      <c r="D40" s="141">
        <v>716</v>
      </c>
      <c r="E40" s="141"/>
      <c r="F40" s="141"/>
      <c r="G40" s="266">
        <v>-3446</v>
      </c>
      <c r="H40" s="570">
        <f>SUM(C40:G40)</f>
        <v>0</v>
      </c>
      <c r="I40" s="582"/>
      <c r="J40" s="582"/>
      <c r="K40" s="583"/>
      <c r="L40" s="572">
        <f>SUM(I40:K40)</f>
        <v>0</v>
      </c>
      <c r="M40" s="582"/>
      <c r="N40" s="583"/>
      <c r="O40" s="584"/>
      <c r="P40" s="570">
        <f>O40+L40+H40</f>
        <v>0</v>
      </c>
    </row>
    <row r="41" spans="1:16" s="574" customFormat="1" x14ac:dyDescent="0.25">
      <c r="A41" s="567"/>
      <c r="B41" s="626" t="s">
        <v>1059</v>
      </c>
      <c r="C41" s="569">
        <v>569</v>
      </c>
      <c r="D41" s="141">
        <v>325</v>
      </c>
      <c r="E41" s="141">
        <v>193</v>
      </c>
      <c r="F41" s="141"/>
      <c r="G41" s="266">
        <v>-1087</v>
      </c>
      <c r="H41" s="570">
        <f>SUM(C41:G41)</f>
        <v>0</v>
      </c>
      <c r="I41" s="582"/>
      <c r="J41" s="582"/>
      <c r="K41" s="583"/>
      <c r="L41" s="572">
        <f>SUM(I41:K41)</f>
        <v>0</v>
      </c>
      <c r="M41" s="582"/>
      <c r="N41" s="583"/>
      <c r="O41" s="584"/>
      <c r="P41" s="570">
        <f>O41+L41+H41</f>
        <v>0</v>
      </c>
    </row>
    <row r="42" spans="1:16" s="574" customFormat="1" x14ac:dyDescent="0.25">
      <c r="A42" s="567"/>
      <c r="B42" s="626"/>
      <c r="C42" s="569"/>
      <c r="D42" s="141"/>
      <c r="E42" s="141"/>
      <c r="F42" s="141"/>
      <c r="G42" s="266"/>
      <c r="H42" s="570"/>
      <c r="I42" s="582"/>
      <c r="J42" s="582"/>
      <c r="K42" s="583"/>
      <c r="L42" s="572"/>
      <c r="M42" s="582"/>
      <c r="N42" s="583"/>
      <c r="O42" s="584"/>
      <c r="P42" s="570"/>
    </row>
    <row r="43" spans="1:16" s="574" customFormat="1" ht="31.5" x14ac:dyDescent="0.25">
      <c r="A43" s="921"/>
      <c r="B43" s="360" t="s">
        <v>387</v>
      </c>
      <c r="C43" s="922"/>
      <c r="D43" s="922"/>
      <c r="E43" s="922"/>
      <c r="F43" s="922"/>
      <c r="G43" s="680"/>
      <c r="H43" s="570"/>
      <c r="I43" s="922"/>
      <c r="J43" s="922"/>
      <c r="K43" s="680"/>
      <c r="L43" s="572"/>
      <c r="M43" s="922"/>
      <c r="N43" s="680"/>
      <c r="O43" s="923"/>
      <c r="P43" s="570"/>
    </row>
    <row r="44" spans="1:16" x14ac:dyDescent="0.25">
      <c r="A44" s="119"/>
      <c r="B44" s="626" t="s">
        <v>930</v>
      </c>
      <c r="C44" s="126"/>
      <c r="D44" s="126"/>
      <c r="E44" s="126"/>
      <c r="F44" s="126"/>
      <c r="G44" s="355">
        <v>1000</v>
      </c>
      <c r="H44" s="124">
        <f t="shared" ref="H44" si="25">SUM(C44:G44)</f>
        <v>1000</v>
      </c>
      <c r="I44" s="126"/>
      <c r="J44" s="126"/>
      <c r="K44" s="680"/>
      <c r="L44" s="129">
        <f t="shared" ref="L44" si="26">SUM(I44:K44)</f>
        <v>0</v>
      </c>
      <c r="M44" s="126"/>
      <c r="N44" s="355"/>
      <c r="O44" s="264"/>
      <c r="P44" s="124">
        <f t="shared" ref="P44" si="27">O44+L44+H44</f>
        <v>1000</v>
      </c>
    </row>
    <row r="45" spans="1:16" x14ac:dyDescent="0.25">
      <c r="A45" s="119"/>
      <c r="B45" s="626"/>
      <c r="C45" s="126"/>
      <c r="D45" s="126"/>
      <c r="E45" s="126"/>
      <c r="F45" s="126"/>
      <c r="G45" s="355"/>
      <c r="H45" s="124"/>
      <c r="I45" s="126"/>
      <c r="J45" s="126"/>
      <c r="K45" s="680"/>
      <c r="L45" s="129"/>
      <c r="M45" s="126"/>
      <c r="N45" s="355"/>
      <c r="O45" s="264"/>
      <c r="P45" s="124"/>
    </row>
    <row r="46" spans="1:16" s="574" customFormat="1" x14ac:dyDescent="0.25">
      <c r="A46" s="567"/>
      <c r="B46" s="360" t="s">
        <v>411</v>
      </c>
      <c r="C46" s="569"/>
      <c r="D46" s="141"/>
      <c r="E46" s="141"/>
      <c r="F46" s="141"/>
      <c r="G46" s="266"/>
      <c r="H46" s="570"/>
      <c r="I46" s="582"/>
      <c r="J46" s="582"/>
      <c r="K46" s="583"/>
      <c r="L46" s="572"/>
      <c r="M46" s="582"/>
      <c r="N46" s="583"/>
      <c r="O46" s="584"/>
      <c r="P46" s="570"/>
    </row>
    <row r="47" spans="1:16" s="574" customFormat="1" ht="47.25" x14ac:dyDescent="0.25">
      <c r="A47" s="567"/>
      <c r="B47" s="626" t="s">
        <v>983</v>
      </c>
      <c r="C47" s="569"/>
      <c r="D47" s="141"/>
      <c r="E47" s="141"/>
      <c r="F47" s="141"/>
      <c r="G47" s="266">
        <v>-1098</v>
      </c>
      <c r="H47" s="570">
        <f>SUM(C47:G47)</f>
        <v>-1098</v>
      </c>
      <c r="I47" s="582"/>
      <c r="J47" s="582"/>
      <c r="K47" s="583"/>
      <c r="L47" s="572">
        <f>SUM(I47:K47)</f>
        <v>0</v>
      </c>
      <c r="M47" s="582"/>
      <c r="N47" s="583"/>
      <c r="O47" s="584"/>
      <c r="P47" s="570">
        <f>O47+L47+H47</f>
        <v>-1098</v>
      </c>
    </row>
    <row r="48" spans="1:16" s="574" customFormat="1" ht="89.25" customHeight="1" x14ac:dyDescent="0.25">
      <c r="A48" s="567"/>
      <c r="B48" s="626" t="s">
        <v>984</v>
      </c>
      <c r="C48" s="569"/>
      <c r="D48" s="141"/>
      <c r="E48" s="141"/>
      <c r="F48" s="141"/>
      <c r="G48" s="266">
        <v>-500</v>
      </c>
      <c r="H48" s="570">
        <f>SUM(C48:G48)</f>
        <v>-500</v>
      </c>
      <c r="I48" s="582"/>
      <c r="J48" s="582"/>
      <c r="K48" s="583"/>
      <c r="L48" s="572">
        <f>SUM(I48:K48)</f>
        <v>0</v>
      </c>
      <c r="M48" s="582"/>
      <c r="N48" s="583"/>
      <c r="O48" s="584"/>
      <c r="P48" s="570">
        <f>O48+L48+H48</f>
        <v>-500</v>
      </c>
    </row>
    <row r="49" spans="1:16" s="574" customFormat="1" x14ac:dyDescent="0.25">
      <c r="A49" s="567"/>
      <c r="B49" s="568"/>
      <c r="C49" s="569"/>
      <c r="D49" s="141"/>
      <c r="E49" s="141"/>
      <c r="F49" s="141"/>
      <c r="G49" s="627"/>
      <c r="H49" s="570"/>
      <c r="I49" s="582"/>
      <c r="J49" s="582"/>
      <c r="K49" s="583"/>
      <c r="L49" s="572"/>
      <c r="M49" s="582"/>
      <c r="N49" s="583"/>
      <c r="O49" s="584"/>
      <c r="P49" s="570"/>
    </row>
    <row r="50" spans="1:16" x14ac:dyDescent="0.25">
      <c r="A50" s="134"/>
      <c r="B50" s="138" t="s">
        <v>85</v>
      </c>
      <c r="C50" s="131"/>
      <c r="D50" s="132"/>
      <c r="E50" s="132"/>
      <c r="F50" s="132"/>
      <c r="G50" s="142"/>
      <c r="H50" s="124"/>
      <c r="I50" s="131"/>
      <c r="J50" s="131"/>
      <c r="K50" s="133"/>
      <c r="L50" s="129"/>
      <c r="M50" s="131"/>
      <c r="N50" s="133"/>
      <c r="O50" s="265"/>
      <c r="P50" s="124"/>
    </row>
    <row r="51" spans="1:16" ht="31.5" x14ac:dyDescent="0.25">
      <c r="A51" s="134"/>
      <c r="B51" s="360" t="s">
        <v>690</v>
      </c>
      <c r="C51" s="131"/>
      <c r="D51" s="132"/>
      <c r="E51" s="132"/>
      <c r="F51" s="132"/>
      <c r="G51" s="142"/>
      <c r="H51" s="124"/>
      <c r="I51" s="131"/>
      <c r="J51" s="131"/>
      <c r="K51" s="133"/>
      <c r="L51" s="129"/>
      <c r="M51" s="131"/>
      <c r="N51" s="133"/>
      <c r="O51" s="265"/>
      <c r="P51" s="124"/>
    </row>
    <row r="52" spans="1:16" ht="31.5" x14ac:dyDescent="0.25">
      <c r="A52" s="134"/>
      <c r="B52" s="568" t="s">
        <v>1060</v>
      </c>
      <c r="C52" s="131">
        <v>-298</v>
      </c>
      <c r="D52" s="132"/>
      <c r="E52" s="132">
        <v>298</v>
      </c>
      <c r="F52" s="132"/>
      <c r="G52" s="142"/>
      <c r="H52" s="572">
        <f t="shared" ref="H52:H55" si="28">SUM(C52:G52)</f>
        <v>0</v>
      </c>
      <c r="I52" s="582"/>
      <c r="J52" s="582"/>
      <c r="K52" s="583"/>
      <c r="L52" s="572">
        <f t="shared" ref="L52:L55" si="29">SUM(I52:K52)</f>
        <v>0</v>
      </c>
      <c r="M52" s="582"/>
      <c r="N52" s="583"/>
      <c r="O52" s="584"/>
      <c r="P52" s="572">
        <f t="shared" ref="P52:P55" si="30">O52+L52+H52</f>
        <v>0</v>
      </c>
    </row>
    <row r="53" spans="1:16" x14ac:dyDescent="0.25">
      <c r="A53" s="134"/>
      <c r="B53" s="568" t="s">
        <v>1061</v>
      </c>
      <c r="C53" s="131"/>
      <c r="D53" s="132"/>
      <c r="E53" s="132">
        <v>-4052</v>
      </c>
      <c r="F53" s="132"/>
      <c r="G53" s="142"/>
      <c r="H53" s="572">
        <f t="shared" si="28"/>
        <v>-4052</v>
      </c>
      <c r="I53" s="582"/>
      <c r="J53" s="582"/>
      <c r="K53" s="583"/>
      <c r="L53" s="572">
        <f t="shared" si="29"/>
        <v>0</v>
      </c>
      <c r="M53" s="582"/>
      <c r="N53" s="583"/>
      <c r="O53" s="584"/>
      <c r="P53" s="572">
        <f t="shared" si="30"/>
        <v>-4052</v>
      </c>
    </row>
    <row r="54" spans="1:16" x14ac:dyDescent="0.25">
      <c r="A54" s="134"/>
      <c r="B54" s="568" t="s">
        <v>1062</v>
      </c>
      <c r="C54" s="131">
        <v>3391</v>
      </c>
      <c r="D54" s="132"/>
      <c r="E54" s="132"/>
      <c r="F54" s="132"/>
      <c r="G54" s="142"/>
      <c r="H54" s="572">
        <f t="shared" si="28"/>
        <v>3391</v>
      </c>
      <c r="I54" s="582"/>
      <c r="J54" s="582"/>
      <c r="K54" s="583"/>
      <c r="L54" s="572">
        <f t="shared" si="29"/>
        <v>0</v>
      </c>
      <c r="M54" s="582"/>
      <c r="N54" s="583"/>
      <c r="O54" s="584"/>
      <c r="P54" s="572">
        <f t="shared" si="30"/>
        <v>3391</v>
      </c>
    </row>
    <row r="55" spans="1:16" x14ac:dyDescent="0.25">
      <c r="A55" s="134"/>
      <c r="B55" s="568" t="s">
        <v>1063</v>
      </c>
      <c r="C55" s="131"/>
      <c r="D55" s="132">
        <v>661</v>
      </c>
      <c r="E55" s="132"/>
      <c r="F55" s="132"/>
      <c r="G55" s="142"/>
      <c r="H55" s="572">
        <f t="shared" si="28"/>
        <v>661</v>
      </c>
      <c r="I55" s="582"/>
      <c r="J55" s="582"/>
      <c r="K55" s="583"/>
      <c r="L55" s="572">
        <f t="shared" si="29"/>
        <v>0</v>
      </c>
      <c r="M55" s="582"/>
      <c r="N55" s="583"/>
      <c r="O55" s="584"/>
      <c r="P55" s="572">
        <f t="shared" si="30"/>
        <v>661</v>
      </c>
    </row>
    <row r="56" spans="1:16" x14ac:dyDescent="0.25">
      <c r="A56" s="134"/>
      <c r="B56" s="568"/>
      <c r="C56" s="131"/>
      <c r="D56" s="132"/>
      <c r="E56" s="132"/>
      <c r="F56" s="132"/>
      <c r="G56" s="142"/>
      <c r="H56" s="572"/>
      <c r="I56" s="582"/>
      <c r="J56" s="582"/>
      <c r="K56" s="583"/>
      <c r="L56" s="572"/>
      <c r="M56" s="582"/>
      <c r="N56" s="583"/>
      <c r="O56" s="584"/>
      <c r="P56" s="572"/>
    </row>
    <row r="57" spans="1:16" s="574" customFormat="1" ht="31.5" x14ac:dyDescent="0.25">
      <c r="A57" s="567"/>
      <c r="B57" s="360" t="s">
        <v>387</v>
      </c>
      <c r="C57" s="569"/>
      <c r="D57" s="141"/>
      <c r="E57" s="141"/>
      <c r="F57" s="141"/>
      <c r="G57" s="266"/>
      <c r="H57" s="572"/>
      <c r="I57" s="582"/>
      <c r="J57" s="582"/>
      <c r="K57" s="583"/>
      <c r="L57" s="572"/>
      <c r="M57" s="582"/>
      <c r="N57" s="583"/>
      <c r="O57" s="584"/>
      <c r="P57" s="572"/>
    </row>
    <row r="58" spans="1:16" s="574" customFormat="1" x14ac:dyDescent="0.25">
      <c r="A58" s="567"/>
      <c r="B58" s="568" t="s">
        <v>1062</v>
      </c>
      <c r="C58" s="569">
        <v>3992</v>
      </c>
      <c r="D58" s="141"/>
      <c r="E58" s="141"/>
      <c r="F58" s="141"/>
      <c r="G58" s="266"/>
      <c r="H58" s="572">
        <f t="shared" ref="H58:H59" si="31">SUM(C58:G58)</f>
        <v>3992</v>
      </c>
      <c r="I58" s="582"/>
      <c r="J58" s="582"/>
      <c r="K58" s="583"/>
      <c r="L58" s="572">
        <f t="shared" ref="L58:L59" si="32">SUM(I58:K58)</f>
        <v>0</v>
      </c>
      <c r="M58" s="582"/>
      <c r="N58" s="583"/>
      <c r="O58" s="584"/>
      <c r="P58" s="572">
        <f t="shared" ref="P58:P59" si="33">O58+L58+H58</f>
        <v>3992</v>
      </c>
    </row>
    <row r="59" spans="1:16" s="574" customFormat="1" x14ac:dyDescent="0.25">
      <c r="A59" s="567"/>
      <c r="B59" s="568" t="s">
        <v>1063</v>
      </c>
      <c r="C59" s="569"/>
      <c r="D59" s="141">
        <v>778</v>
      </c>
      <c r="E59" s="141"/>
      <c r="F59" s="141"/>
      <c r="G59" s="266"/>
      <c r="H59" s="572">
        <f t="shared" si="31"/>
        <v>778</v>
      </c>
      <c r="I59" s="582"/>
      <c r="J59" s="582"/>
      <c r="K59" s="583"/>
      <c r="L59" s="572">
        <f t="shared" si="32"/>
        <v>0</v>
      </c>
      <c r="M59" s="582"/>
      <c r="N59" s="583"/>
      <c r="O59" s="584"/>
      <c r="P59" s="572">
        <f t="shared" si="33"/>
        <v>778</v>
      </c>
    </row>
    <row r="60" spans="1:16" x14ac:dyDescent="0.25">
      <c r="A60" s="134"/>
      <c r="B60" s="568"/>
      <c r="C60" s="131"/>
      <c r="D60" s="132"/>
      <c r="E60" s="132"/>
      <c r="F60" s="132"/>
      <c r="G60" s="142"/>
      <c r="H60" s="572"/>
      <c r="I60" s="582"/>
      <c r="J60" s="582"/>
      <c r="K60" s="583"/>
      <c r="L60" s="572"/>
      <c r="M60" s="582"/>
      <c r="N60" s="583"/>
      <c r="O60" s="584"/>
      <c r="P60" s="572"/>
    </row>
    <row r="61" spans="1:16" x14ac:dyDescent="0.25">
      <c r="A61" s="134"/>
      <c r="B61" s="770" t="s">
        <v>86</v>
      </c>
      <c r="C61" s="131"/>
      <c r="D61" s="132"/>
      <c r="E61" s="132"/>
      <c r="F61" s="132"/>
      <c r="G61" s="142"/>
      <c r="H61" s="570"/>
      <c r="I61" s="582"/>
      <c r="J61" s="582"/>
      <c r="K61" s="583"/>
      <c r="L61" s="572"/>
      <c r="M61" s="582"/>
      <c r="N61" s="583"/>
      <c r="O61" s="584"/>
      <c r="P61" s="570"/>
    </row>
    <row r="62" spans="1:16" ht="31.5" x14ac:dyDescent="0.25">
      <c r="A62" s="134"/>
      <c r="B62" s="360" t="s">
        <v>1121</v>
      </c>
      <c r="C62" s="131"/>
      <c r="D62" s="132"/>
      <c r="E62" s="132"/>
      <c r="F62" s="132"/>
      <c r="G62" s="142"/>
      <c r="H62" s="570"/>
      <c r="I62" s="582"/>
      <c r="J62" s="582"/>
      <c r="K62" s="583"/>
      <c r="L62" s="572"/>
      <c r="M62" s="582"/>
      <c r="N62" s="583"/>
      <c r="O62" s="584"/>
      <c r="P62" s="570"/>
    </row>
    <row r="63" spans="1:16" x14ac:dyDescent="0.25">
      <c r="A63" s="134"/>
      <c r="B63" s="568" t="s">
        <v>1122</v>
      </c>
      <c r="C63" s="131"/>
      <c r="D63" s="132"/>
      <c r="E63" s="132"/>
      <c r="F63" s="132"/>
      <c r="G63" s="142"/>
      <c r="H63" s="572">
        <f t="shared" ref="H63" si="34">SUM(C63:G63)</f>
        <v>0</v>
      </c>
      <c r="I63" s="582">
        <v>65000</v>
      </c>
      <c r="J63" s="582"/>
      <c r="K63" s="583"/>
      <c r="L63" s="572">
        <f t="shared" ref="L63" si="35">SUM(I63:K63)</f>
        <v>65000</v>
      </c>
      <c r="M63" s="582"/>
      <c r="N63" s="583"/>
      <c r="O63" s="584"/>
      <c r="P63" s="572">
        <f t="shared" ref="P63" si="36">O63+L63+H63</f>
        <v>65000</v>
      </c>
    </row>
    <row r="64" spans="1:16" x14ac:dyDescent="0.25">
      <c r="A64" s="134"/>
      <c r="B64" s="568"/>
      <c r="C64" s="131"/>
      <c r="D64" s="132"/>
      <c r="E64" s="132"/>
      <c r="F64" s="132"/>
      <c r="G64" s="142"/>
      <c r="H64" s="570"/>
      <c r="I64" s="582"/>
      <c r="J64" s="582"/>
      <c r="K64" s="583"/>
      <c r="L64" s="572"/>
      <c r="M64" s="582"/>
      <c r="N64" s="583"/>
      <c r="O64" s="584"/>
      <c r="P64" s="570"/>
    </row>
    <row r="65" spans="1:16" ht="31.5" x14ac:dyDescent="0.25">
      <c r="A65" s="134"/>
      <c r="B65" s="138" t="s">
        <v>110</v>
      </c>
      <c r="C65" s="131"/>
      <c r="D65" s="132"/>
      <c r="E65" s="132"/>
      <c r="F65" s="132"/>
      <c r="G65" s="142"/>
      <c r="H65" s="124"/>
      <c r="I65" s="131"/>
      <c r="J65" s="131"/>
      <c r="K65" s="133"/>
      <c r="L65" s="129"/>
      <c r="M65" s="131"/>
      <c r="N65" s="133"/>
      <c r="O65" s="265"/>
      <c r="P65" s="124"/>
    </row>
    <row r="66" spans="1:16" ht="31.5" x14ac:dyDescent="0.25">
      <c r="A66" s="134"/>
      <c r="B66" s="360" t="s">
        <v>690</v>
      </c>
      <c r="C66" s="131"/>
      <c r="D66" s="132"/>
      <c r="E66" s="132"/>
      <c r="F66" s="132"/>
      <c r="G66" s="142"/>
      <c r="H66" s="124"/>
      <c r="I66" s="131"/>
      <c r="J66" s="131"/>
      <c r="K66" s="133"/>
      <c r="L66" s="129"/>
      <c r="M66" s="131"/>
      <c r="N66" s="133"/>
      <c r="O66" s="265"/>
      <c r="P66" s="124"/>
    </row>
    <row r="67" spans="1:16" x14ac:dyDescent="0.25">
      <c r="A67" s="134"/>
      <c r="B67" s="568" t="s">
        <v>1064</v>
      </c>
      <c r="C67" s="131"/>
      <c r="D67" s="132"/>
      <c r="E67" s="132"/>
      <c r="F67" s="132"/>
      <c r="G67" s="142">
        <v>-2400</v>
      </c>
      <c r="H67" s="572">
        <f t="shared" ref="H67" si="37">SUM(C67:G67)</f>
        <v>-2400</v>
      </c>
      <c r="I67" s="582"/>
      <c r="J67" s="582"/>
      <c r="K67" s="583">
        <v>2400</v>
      </c>
      <c r="L67" s="572">
        <f t="shared" ref="L67" si="38">SUM(I67:K67)</f>
        <v>2400</v>
      </c>
      <c r="M67" s="582"/>
      <c r="N67" s="583"/>
      <c r="O67" s="584"/>
      <c r="P67" s="572">
        <f t="shared" ref="P67" si="39">O67+L67+H67</f>
        <v>0</v>
      </c>
    </row>
    <row r="68" spans="1:16" s="574" customFormat="1" x14ac:dyDescent="0.25">
      <c r="A68" s="567"/>
      <c r="B68" s="568"/>
      <c r="C68" s="569"/>
      <c r="D68" s="141"/>
      <c r="E68" s="141"/>
      <c r="F68" s="141"/>
      <c r="G68" s="627"/>
      <c r="H68" s="572"/>
      <c r="I68" s="582"/>
      <c r="J68" s="582"/>
      <c r="K68" s="583"/>
      <c r="L68" s="572"/>
      <c r="M68" s="582"/>
      <c r="N68" s="583"/>
      <c r="O68" s="584"/>
      <c r="P68" s="572"/>
    </row>
    <row r="69" spans="1:16" s="122" customFormat="1" x14ac:dyDescent="0.25">
      <c r="A69" s="134" t="s">
        <v>41</v>
      </c>
      <c r="B69" s="123" t="s">
        <v>42</v>
      </c>
      <c r="C69" s="135"/>
      <c r="D69" s="135"/>
      <c r="E69" s="135"/>
      <c r="F69" s="135"/>
      <c r="G69" s="137"/>
      <c r="H69" s="129"/>
      <c r="I69" s="135"/>
      <c r="J69" s="135"/>
      <c r="K69" s="137"/>
      <c r="L69" s="129"/>
      <c r="M69" s="135"/>
      <c r="N69" s="137"/>
      <c r="O69" s="129"/>
      <c r="P69" s="129"/>
    </row>
    <row r="70" spans="1:16" x14ac:dyDescent="0.25">
      <c r="A70" s="134"/>
      <c r="B70" s="138" t="s">
        <v>692</v>
      </c>
      <c r="C70" s="131"/>
      <c r="D70" s="132"/>
      <c r="E70" s="132"/>
      <c r="F70" s="132"/>
      <c r="G70" s="142"/>
      <c r="H70" s="124"/>
      <c r="I70" s="131"/>
      <c r="J70" s="131"/>
      <c r="K70" s="133"/>
      <c r="L70" s="129"/>
      <c r="M70" s="131"/>
      <c r="N70" s="133"/>
      <c r="O70" s="265"/>
      <c r="P70" s="124"/>
    </row>
    <row r="71" spans="1:16" x14ac:dyDescent="0.25">
      <c r="A71" s="134"/>
      <c r="B71" s="363" t="s">
        <v>426</v>
      </c>
      <c r="C71" s="131"/>
      <c r="D71" s="132"/>
      <c r="E71" s="132"/>
      <c r="F71" s="132"/>
      <c r="G71" s="142"/>
      <c r="H71" s="124"/>
      <c r="I71" s="131"/>
      <c r="J71" s="131"/>
      <c r="K71" s="133"/>
      <c r="L71" s="129"/>
      <c r="M71" s="131"/>
      <c r="N71" s="133"/>
      <c r="O71" s="265"/>
      <c r="P71" s="124"/>
    </row>
    <row r="72" spans="1:16" ht="31.5" x14ac:dyDescent="0.25">
      <c r="A72" s="134"/>
      <c r="B72" s="139" t="s">
        <v>1038</v>
      </c>
      <c r="C72" s="131"/>
      <c r="D72" s="132"/>
      <c r="E72" s="132"/>
      <c r="F72" s="132"/>
      <c r="G72" s="142"/>
      <c r="H72" s="124">
        <f>SUM(C72:G72)</f>
        <v>0</v>
      </c>
      <c r="I72" s="357"/>
      <c r="J72" s="357">
        <v>1876</v>
      </c>
      <c r="K72" s="361"/>
      <c r="L72" s="129">
        <f>SUM(I72:K72)</f>
        <v>1876</v>
      </c>
      <c r="M72" s="357"/>
      <c r="N72" s="361"/>
      <c r="O72" s="358"/>
      <c r="P72" s="124">
        <f>O72+L72+H72</f>
        <v>1876</v>
      </c>
    </row>
    <row r="73" spans="1:16" ht="31.5" x14ac:dyDescent="0.25">
      <c r="A73" s="134"/>
      <c r="B73" s="139" t="s">
        <v>1037</v>
      </c>
      <c r="C73" s="131"/>
      <c r="D73" s="132"/>
      <c r="E73" s="132"/>
      <c r="F73" s="132"/>
      <c r="G73" s="142"/>
      <c r="H73" s="124">
        <f>SUM(C73:G73)</f>
        <v>0</v>
      </c>
      <c r="I73" s="357"/>
      <c r="J73" s="357">
        <v>-1876</v>
      </c>
      <c r="K73" s="361"/>
      <c r="L73" s="129">
        <f t="shared" ref="L73" si="40">SUM(I73:K73)</f>
        <v>-1876</v>
      </c>
      <c r="M73" s="357"/>
      <c r="N73" s="361"/>
      <c r="O73" s="358"/>
      <c r="P73" s="124">
        <f t="shared" ref="P73" si="41">O73+L73+H73</f>
        <v>-1876</v>
      </c>
    </row>
    <row r="74" spans="1:16" ht="31.5" x14ac:dyDescent="0.25">
      <c r="A74" s="134"/>
      <c r="B74" s="139" t="s">
        <v>1029</v>
      </c>
      <c r="C74" s="131"/>
      <c r="D74" s="132"/>
      <c r="E74" s="132"/>
      <c r="F74" s="132"/>
      <c r="G74" s="142"/>
      <c r="H74" s="124">
        <f t="shared" ref="H74:H78" si="42">SUM(C74:G74)</f>
        <v>0</v>
      </c>
      <c r="I74" s="357"/>
      <c r="J74" s="357">
        <v>1824</v>
      </c>
      <c r="K74" s="361"/>
      <c r="L74" s="129">
        <f t="shared" ref="L74:L78" si="43">SUM(I74:K74)</f>
        <v>1824</v>
      </c>
      <c r="M74" s="357"/>
      <c r="N74" s="361"/>
      <c r="O74" s="358"/>
      <c r="P74" s="124">
        <f t="shared" ref="P74:P78" si="44">O74+L74+H74</f>
        <v>1824</v>
      </c>
    </row>
    <row r="75" spans="1:16" ht="31.5" x14ac:dyDescent="0.25">
      <c r="A75" s="134"/>
      <c r="B75" s="139" t="s">
        <v>1031</v>
      </c>
      <c r="C75" s="131"/>
      <c r="D75" s="132"/>
      <c r="E75" s="132"/>
      <c r="F75" s="132"/>
      <c r="G75" s="142"/>
      <c r="H75" s="124">
        <f t="shared" si="42"/>
        <v>0</v>
      </c>
      <c r="I75" s="357"/>
      <c r="J75" s="357">
        <v>1634</v>
      </c>
      <c r="K75" s="361"/>
      <c r="L75" s="129">
        <f t="shared" ref="L75" si="45">SUM(I75:K75)</f>
        <v>1634</v>
      </c>
      <c r="M75" s="357"/>
      <c r="N75" s="361"/>
      <c r="O75" s="358"/>
      <c r="P75" s="124">
        <f t="shared" ref="P75" si="46">O75+L75+H75</f>
        <v>1634</v>
      </c>
    </row>
    <row r="76" spans="1:16" ht="36.75" customHeight="1" x14ac:dyDescent="0.25">
      <c r="A76" s="134"/>
      <c r="B76" s="139" t="s">
        <v>1030</v>
      </c>
      <c r="C76" s="131"/>
      <c r="D76" s="132"/>
      <c r="E76" s="132"/>
      <c r="F76" s="132"/>
      <c r="G76" s="142"/>
      <c r="H76" s="124">
        <f t="shared" si="42"/>
        <v>0</v>
      </c>
      <c r="I76" s="357"/>
      <c r="J76" s="357">
        <f>-1824-1634</f>
        <v>-3458</v>
      </c>
      <c r="K76" s="361"/>
      <c r="L76" s="129">
        <f t="shared" si="43"/>
        <v>-3458</v>
      </c>
      <c r="M76" s="357"/>
      <c r="N76" s="361"/>
      <c r="O76" s="358"/>
      <c r="P76" s="124">
        <f t="shared" si="44"/>
        <v>-3458</v>
      </c>
    </row>
    <row r="77" spans="1:16" ht="31.5" x14ac:dyDescent="0.25">
      <c r="A77" s="134"/>
      <c r="B77" s="139" t="s">
        <v>1034</v>
      </c>
      <c r="C77" s="131"/>
      <c r="D77" s="132"/>
      <c r="E77" s="132"/>
      <c r="F77" s="132"/>
      <c r="G77" s="142"/>
      <c r="H77" s="124">
        <f t="shared" si="42"/>
        <v>0</v>
      </c>
      <c r="I77" s="357"/>
      <c r="J77" s="357">
        <v>1556</v>
      </c>
      <c r="K77" s="361"/>
      <c r="L77" s="129">
        <f t="shared" ref="L77" si="47">SUM(I77:K77)</f>
        <v>1556</v>
      </c>
      <c r="M77" s="357"/>
      <c r="N77" s="361"/>
      <c r="O77" s="358"/>
      <c r="P77" s="124">
        <f t="shared" ref="P77" si="48">O77+L77+H77</f>
        <v>1556</v>
      </c>
    </row>
    <row r="78" spans="1:16" ht="40.5" customHeight="1" x14ac:dyDescent="0.25">
      <c r="A78" s="134"/>
      <c r="B78" s="139" t="s">
        <v>1033</v>
      </c>
      <c r="C78" s="131"/>
      <c r="D78" s="132"/>
      <c r="E78" s="132"/>
      <c r="F78" s="132"/>
      <c r="G78" s="142"/>
      <c r="H78" s="124">
        <f t="shared" si="42"/>
        <v>0</v>
      </c>
      <c r="I78" s="357"/>
      <c r="J78" s="357">
        <v>-1556</v>
      </c>
      <c r="K78" s="361"/>
      <c r="L78" s="129">
        <f t="shared" si="43"/>
        <v>-1556</v>
      </c>
      <c r="M78" s="357"/>
      <c r="N78" s="361"/>
      <c r="O78" s="358"/>
      <c r="P78" s="124">
        <f t="shared" si="44"/>
        <v>-1556</v>
      </c>
    </row>
    <row r="79" spans="1:16" x14ac:dyDescent="0.25">
      <c r="A79" s="134"/>
      <c r="B79" s="138"/>
      <c r="C79" s="131"/>
      <c r="D79" s="132"/>
      <c r="E79" s="132"/>
      <c r="F79" s="132"/>
      <c r="G79" s="142"/>
      <c r="H79" s="124"/>
      <c r="I79" s="131"/>
      <c r="J79" s="131"/>
      <c r="K79" s="133"/>
      <c r="L79" s="129"/>
      <c r="M79" s="131"/>
      <c r="N79" s="133"/>
      <c r="O79" s="265"/>
      <c r="P79" s="124"/>
    </row>
    <row r="80" spans="1:16" ht="31.5" x14ac:dyDescent="0.25">
      <c r="A80" s="134"/>
      <c r="B80" s="360" t="s">
        <v>691</v>
      </c>
      <c r="C80" s="131"/>
      <c r="D80" s="132"/>
      <c r="E80" s="132"/>
      <c r="F80" s="132"/>
      <c r="G80" s="142"/>
      <c r="H80" s="124"/>
      <c r="I80" s="131"/>
      <c r="J80" s="131"/>
      <c r="K80" s="133"/>
      <c r="L80" s="129"/>
      <c r="M80" s="131"/>
      <c r="N80" s="133"/>
      <c r="O80" s="265"/>
      <c r="P80" s="124"/>
    </row>
    <row r="81" spans="1:16" ht="47.25" x14ac:dyDescent="0.25">
      <c r="A81" s="134"/>
      <c r="B81" s="139" t="s">
        <v>1065</v>
      </c>
      <c r="C81" s="131"/>
      <c r="D81" s="132"/>
      <c r="E81" s="132">
        <v>343</v>
      </c>
      <c r="F81" s="132"/>
      <c r="G81" s="142"/>
      <c r="H81" s="124">
        <f>SUM(C81:G81)</f>
        <v>343</v>
      </c>
      <c r="I81" s="357"/>
      <c r="J81" s="357">
        <v>-201804</v>
      </c>
      <c r="K81" s="361">
        <v>201461</v>
      </c>
      <c r="L81" s="129">
        <f>SUM(I81:K81)</f>
        <v>-343</v>
      </c>
      <c r="M81" s="357"/>
      <c r="N81" s="361"/>
      <c r="O81" s="358"/>
      <c r="P81" s="124">
        <f>O81+L81+H81</f>
        <v>0</v>
      </c>
    </row>
    <row r="82" spans="1:16" ht="31.5" x14ac:dyDescent="0.25">
      <c r="A82" s="134"/>
      <c r="B82" s="139" t="s">
        <v>1066</v>
      </c>
      <c r="C82" s="131"/>
      <c r="D82" s="132"/>
      <c r="E82" s="132"/>
      <c r="F82" s="132"/>
      <c r="G82" s="142"/>
      <c r="H82" s="124">
        <f t="shared" ref="H82:H85" si="49">SUM(C82:G82)</f>
        <v>0</v>
      </c>
      <c r="I82" s="357">
        <v>29703</v>
      </c>
      <c r="J82" s="357">
        <v>-29703</v>
      </c>
      <c r="K82" s="361"/>
      <c r="L82" s="129">
        <f t="shared" ref="L82:L85" si="50">SUM(I82:K82)</f>
        <v>0</v>
      </c>
      <c r="M82" s="357"/>
      <c r="N82" s="361"/>
      <c r="O82" s="358"/>
      <c r="P82" s="124">
        <f t="shared" ref="P82:P85" si="51">O82+L82+H82</f>
        <v>0</v>
      </c>
    </row>
    <row r="83" spans="1:16" ht="31.5" x14ac:dyDescent="0.25">
      <c r="A83" s="134"/>
      <c r="B83" s="139" t="s">
        <v>1072</v>
      </c>
      <c r="C83" s="131"/>
      <c r="D83" s="132"/>
      <c r="E83" s="132"/>
      <c r="F83" s="132"/>
      <c r="G83" s="142"/>
      <c r="H83" s="124">
        <f t="shared" si="49"/>
        <v>0</v>
      </c>
      <c r="I83" s="357">
        <v>19236</v>
      </c>
      <c r="J83" s="357">
        <v>-19236</v>
      </c>
      <c r="K83" s="361"/>
      <c r="L83" s="129">
        <f t="shared" ref="L83" si="52">SUM(I83:K83)</f>
        <v>0</v>
      </c>
      <c r="M83" s="357"/>
      <c r="N83" s="361"/>
      <c r="O83" s="358"/>
      <c r="P83" s="124">
        <f t="shared" ref="P83" si="53">O83+L83+H83</f>
        <v>0</v>
      </c>
    </row>
    <row r="84" spans="1:16" ht="31.5" x14ac:dyDescent="0.25">
      <c r="A84" s="134"/>
      <c r="B84" s="139" t="s">
        <v>1067</v>
      </c>
      <c r="C84" s="131"/>
      <c r="D84" s="132"/>
      <c r="E84" s="132">
        <v>438</v>
      </c>
      <c r="F84" s="132"/>
      <c r="G84" s="142"/>
      <c r="H84" s="124">
        <f t="shared" ref="H84" si="54">SUM(C84:G84)</f>
        <v>438</v>
      </c>
      <c r="I84" s="357">
        <v>5706</v>
      </c>
      <c r="J84" s="357">
        <v>-6144</v>
      </c>
      <c r="K84" s="361"/>
      <c r="L84" s="129">
        <f t="shared" ref="L84" si="55">SUM(I84:K84)</f>
        <v>-438</v>
      </c>
      <c r="M84" s="357"/>
      <c r="N84" s="361"/>
      <c r="O84" s="358"/>
      <c r="P84" s="124">
        <f t="shared" ref="P84" si="56">O84+L84+H84</f>
        <v>0</v>
      </c>
    </row>
    <row r="85" spans="1:16" ht="31.5" x14ac:dyDescent="0.25">
      <c r="A85" s="134"/>
      <c r="B85" s="139" t="s">
        <v>1068</v>
      </c>
      <c r="C85" s="131"/>
      <c r="D85" s="132"/>
      <c r="E85" s="132">
        <v>1793</v>
      </c>
      <c r="F85" s="132"/>
      <c r="G85" s="142"/>
      <c r="H85" s="124">
        <f t="shared" si="49"/>
        <v>1793</v>
      </c>
      <c r="I85" s="357">
        <v>11222</v>
      </c>
      <c r="J85" s="357">
        <v>-13015</v>
      </c>
      <c r="K85" s="361"/>
      <c r="L85" s="129">
        <f t="shared" si="50"/>
        <v>-1793</v>
      </c>
      <c r="M85" s="357"/>
      <c r="N85" s="361"/>
      <c r="O85" s="358"/>
      <c r="P85" s="124">
        <f t="shared" si="51"/>
        <v>0</v>
      </c>
    </row>
    <row r="86" spans="1:16" ht="31.5" x14ac:dyDescent="0.25">
      <c r="A86" s="134"/>
      <c r="B86" s="139" t="s">
        <v>1069</v>
      </c>
      <c r="C86" s="131"/>
      <c r="D86" s="132"/>
      <c r="E86" s="132">
        <v>1968</v>
      </c>
      <c r="F86" s="132"/>
      <c r="G86" s="629"/>
      <c r="H86" s="124">
        <f t="shared" ref="H86:H87" si="57">SUM(C86:G86)</f>
        <v>1968</v>
      </c>
      <c r="I86" s="357">
        <v>13764</v>
      </c>
      <c r="J86" s="357">
        <v>-15732</v>
      </c>
      <c r="K86" s="361"/>
      <c r="L86" s="129">
        <f t="shared" ref="L86:L87" si="58">SUM(I86:K86)</f>
        <v>-1968</v>
      </c>
      <c r="M86" s="357"/>
      <c r="N86" s="361"/>
      <c r="O86" s="358"/>
      <c r="P86" s="124">
        <f t="shared" ref="P86:P87" si="59">O86+L86+H86</f>
        <v>0</v>
      </c>
    </row>
    <row r="87" spans="1:16" ht="31.5" x14ac:dyDescent="0.25">
      <c r="A87" s="130"/>
      <c r="B87" s="362" t="s">
        <v>1070</v>
      </c>
      <c r="C87" s="131"/>
      <c r="D87" s="132"/>
      <c r="E87" s="132"/>
      <c r="F87" s="133"/>
      <c r="G87" s="133"/>
      <c r="H87" s="124">
        <f t="shared" si="57"/>
        <v>0</v>
      </c>
      <c r="I87" s="357">
        <v>4144</v>
      </c>
      <c r="J87" s="357"/>
      <c r="K87" s="361"/>
      <c r="L87" s="129">
        <f t="shared" si="58"/>
        <v>4144</v>
      </c>
      <c r="M87" s="357"/>
      <c r="N87" s="361"/>
      <c r="O87" s="358"/>
      <c r="P87" s="124">
        <f t="shared" si="59"/>
        <v>4144</v>
      </c>
    </row>
    <row r="88" spans="1:16" x14ac:dyDescent="0.25">
      <c r="A88" s="130"/>
      <c r="B88" s="362" t="s">
        <v>1071</v>
      </c>
      <c r="C88" s="131"/>
      <c r="D88" s="132"/>
      <c r="E88" s="132"/>
      <c r="F88" s="132"/>
      <c r="G88" s="629"/>
      <c r="H88" s="124">
        <f t="shared" ref="H88:H95" si="60">SUM(C88:G88)</f>
        <v>0</v>
      </c>
      <c r="I88" s="357">
        <v>78</v>
      </c>
      <c r="J88" s="357">
        <f>-4144-78</f>
        <v>-4222</v>
      </c>
      <c r="K88" s="361"/>
      <c r="L88" s="129">
        <f t="shared" ref="L88:L95" si="61">SUM(I88:K88)</f>
        <v>-4144</v>
      </c>
      <c r="M88" s="357"/>
      <c r="N88" s="361"/>
      <c r="O88" s="358"/>
      <c r="P88" s="124">
        <f t="shared" ref="P88:P95" si="62">O88+L88+H88</f>
        <v>-4144</v>
      </c>
    </row>
    <row r="89" spans="1:16" ht="31.5" x14ac:dyDescent="0.25">
      <c r="A89" s="130"/>
      <c r="B89" s="362" t="s">
        <v>1073</v>
      </c>
      <c r="C89" s="131"/>
      <c r="D89" s="132"/>
      <c r="E89" s="132"/>
      <c r="F89" s="132"/>
      <c r="G89" s="629"/>
      <c r="H89" s="124">
        <f t="shared" si="60"/>
        <v>0</v>
      </c>
      <c r="I89" s="357">
        <v>44794</v>
      </c>
      <c r="J89" s="357">
        <v>-44794</v>
      </c>
      <c r="K89" s="361"/>
      <c r="L89" s="129">
        <f t="shared" si="61"/>
        <v>0</v>
      </c>
      <c r="M89" s="357"/>
      <c r="N89" s="361"/>
      <c r="O89" s="358"/>
      <c r="P89" s="124">
        <f t="shared" si="62"/>
        <v>0</v>
      </c>
    </row>
    <row r="90" spans="1:16" ht="31.5" x14ac:dyDescent="0.25">
      <c r="A90" s="130"/>
      <c r="B90" s="362" t="s">
        <v>1074</v>
      </c>
      <c r="C90" s="131"/>
      <c r="D90" s="132"/>
      <c r="E90" s="132"/>
      <c r="F90" s="132"/>
      <c r="G90" s="629"/>
      <c r="H90" s="124">
        <f t="shared" si="60"/>
        <v>0</v>
      </c>
      <c r="I90" s="357">
        <v>11205</v>
      </c>
      <c r="J90" s="357">
        <v>-11205</v>
      </c>
      <c r="K90" s="361"/>
      <c r="L90" s="129">
        <f t="shared" si="61"/>
        <v>0</v>
      </c>
      <c r="M90" s="357"/>
      <c r="N90" s="361"/>
      <c r="O90" s="358"/>
      <c r="P90" s="124">
        <f t="shared" si="62"/>
        <v>0</v>
      </c>
    </row>
    <row r="91" spans="1:16" ht="47.25" x14ac:dyDescent="0.25">
      <c r="A91" s="130"/>
      <c r="B91" s="362" t="s">
        <v>1075</v>
      </c>
      <c r="C91" s="131"/>
      <c r="D91" s="132"/>
      <c r="E91" s="132"/>
      <c r="F91" s="132"/>
      <c r="G91" s="629"/>
      <c r="H91" s="124">
        <f t="shared" si="60"/>
        <v>0</v>
      </c>
      <c r="I91" s="357">
        <v>1372</v>
      </c>
      <c r="J91" s="357">
        <v>-1372</v>
      </c>
      <c r="K91" s="361"/>
      <c r="L91" s="129">
        <f t="shared" si="61"/>
        <v>0</v>
      </c>
      <c r="M91" s="357"/>
      <c r="N91" s="361"/>
      <c r="O91" s="358"/>
      <c r="P91" s="124">
        <f t="shared" si="62"/>
        <v>0</v>
      </c>
    </row>
    <row r="92" spans="1:16" ht="47.25" x14ac:dyDescent="0.25">
      <c r="A92" s="130"/>
      <c r="B92" s="362" t="s">
        <v>1076</v>
      </c>
      <c r="C92" s="131"/>
      <c r="D92" s="132"/>
      <c r="E92" s="132"/>
      <c r="F92" s="132"/>
      <c r="G92" s="629"/>
      <c r="H92" s="124">
        <f t="shared" si="60"/>
        <v>0</v>
      </c>
      <c r="I92" s="357">
        <v>395</v>
      </c>
      <c r="J92" s="357">
        <v>-395</v>
      </c>
      <c r="K92" s="361"/>
      <c r="L92" s="129">
        <f t="shared" si="61"/>
        <v>0</v>
      </c>
      <c r="M92" s="357"/>
      <c r="N92" s="361"/>
      <c r="O92" s="358"/>
      <c r="P92" s="124">
        <f t="shared" si="62"/>
        <v>0</v>
      </c>
    </row>
    <row r="93" spans="1:16" ht="47.25" x14ac:dyDescent="0.25">
      <c r="A93" s="130"/>
      <c r="B93" s="362" t="s">
        <v>1077</v>
      </c>
      <c r="C93" s="131"/>
      <c r="D93" s="132"/>
      <c r="E93" s="132"/>
      <c r="F93" s="132"/>
      <c r="G93" s="629"/>
      <c r="H93" s="124">
        <f t="shared" si="60"/>
        <v>0</v>
      </c>
      <c r="I93" s="357">
        <v>3615</v>
      </c>
      <c r="J93" s="357">
        <v>-3615</v>
      </c>
      <c r="K93" s="361"/>
      <c r="L93" s="129">
        <f t="shared" si="61"/>
        <v>0</v>
      </c>
      <c r="M93" s="357"/>
      <c r="N93" s="361"/>
      <c r="O93" s="358"/>
      <c r="P93" s="124">
        <f t="shared" si="62"/>
        <v>0</v>
      </c>
    </row>
    <row r="94" spans="1:16" ht="63" x14ac:dyDescent="0.25">
      <c r="A94" s="130"/>
      <c r="B94" s="362" t="s">
        <v>1078</v>
      </c>
      <c r="C94" s="131"/>
      <c r="D94" s="132"/>
      <c r="E94" s="132">
        <v>-4107</v>
      </c>
      <c r="F94" s="132"/>
      <c r="G94" s="629"/>
      <c r="H94" s="124">
        <f t="shared" si="60"/>
        <v>-4107</v>
      </c>
      <c r="I94" s="357">
        <v>1800</v>
      </c>
      <c r="J94" s="357">
        <v>2307</v>
      </c>
      <c r="K94" s="361"/>
      <c r="L94" s="129">
        <f t="shared" si="61"/>
        <v>4107</v>
      </c>
      <c r="M94" s="357"/>
      <c r="N94" s="361"/>
      <c r="O94" s="358"/>
      <c r="P94" s="124">
        <f t="shared" si="62"/>
        <v>0</v>
      </c>
    </row>
    <row r="95" spans="1:16" ht="47.25" x14ac:dyDescent="0.25">
      <c r="A95" s="130"/>
      <c r="B95" s="362" t="s">
        <v>1079</v>
      </c>
      <c r="C95" s="131"/>
      <c r="D95" s="132"/>
      <c r="E95" s="132"/>
      <c r="F95" s="132"/>
      <c r="G95" s="629"/>
      <c r="H95" s="124">
        <f t="shared" si="60"/>
        <v>0</v>
      </c>
      <c r="I95" s="357">
        <v>127</v>
      </c>
      <c r="J95" s="357">
        <v>-127</v>
      </c>
      <c r="K95" s="361"/>
      <c r="L95" s="129">
        <f t="shared" si="61"/>
        <v>0</v>
      </c>
      <c r="M95" s="357"/>
      <c r="N95" s="361"/>
      <c r="O95" s="358"/>
      <c r="P95" s="124">
        <f t="shared" si="62"/>
        <v>0</v>
      </c>
    </row>
    <row r="96" spans="1:16" x14ac:dyDescent="0.25">
      <c r="A96" s="130"/>
      <c r="B96" s="362"/>
      <c r="C96" s="131"/>
      <c r="D96" s="132"/>
      <c r="E96" s="132"/>
      <c r="F96" s="132"/>
      <c r="G96" s="629"/>
      <c r="H96" s="124"/>
      <c r="I96" s="357"/>
      <c r="J96" s="357"/>
      <c r="K96" s="361"/>
      <c r="L96" s="129"/>
      <c r="M96" s="357"/>
      <c r="N96" s="361"/>
      <c r="O96" s="358"/>
      <c r="P96" s="124"/>
    </row>
    <row r="97" spans="1:16" ht="31.5" x14ac:dyDescent="0.25">
      <c r="A97" s="134"/>
      <c r="B97" s="360" t="s">
        <v>387</v>
      </c>
      <c r="C97" s="131"/>
      <c r="D97" s="132"/>
      <c r="E97" s="132"/>
      <c r="F97" s="132"/>
      <c r="G97" s="142"/>
      <c r="H97" s="124"/>
      <c r="I97" s="357"/>
      <c r="J97" s="357"/>
      <c r="K97" s="361"/>
      <c r="L97" s="129"/>
      <c r="M97" s="357"/>
      <c r="N97" s="361"/>
      <c r="O97" s="358"/>
      <c r="P97" s="124"/>
    </row>
    <row r="98" spans="1:16" s="574" customFormat="1" ht="95.25" customHeight="1" x14ac:dyDescent="0.25">
      <c r="A98" s="567"/>
      <c r="B98" s="626" t="s">
        <v>1026</v>
      </c>
      <c r="C98" s="569"/>
      <c r="D98" s="141"/>
      <c r="E98" s="141"/>
      <c r="F98" s="141"/>
      <c r="G98" s="266"/>
      <c r="H98" s="570">
        <f t="shared" ref="H98:H99" si="63">SUM(C98:G98)</f>
        <v>0</v>
      </c>
      <c r="I98" s="582">
        <v>2738</v>
      </c>
      <c r="J98" s="582"/>
      <c r="K98" s="583"/>
      <c r="L98" s="572">
        <f t="shared" ref="L98" si="64">SUM(I98:K98)</f>
        <v>2738</v>
      </c>
      <c r="M98" s="582"/>
      <c r="N98" s="583"/>
      <c r="O98" s="584"/>
      <c r="P98" s="570">
        <f t="shared" ref="P98" si="65">O98+L98+H98</f>
        <v>2738</v>
      </c>
    </row>
    <row r="99" spans="1:16" s="574" customFormat="1" ht="78.75" x14ac:dyDescent="0.25">
      <c r="A99" s="567"/>
      <c r="B99" s="626" t="s">
        <v>1027</v>
      </c>
      <c r="C99" s="569"/>
      <c r="D99" s="141"/>
      <c r="E99" s="141"/>
      <c r="F99" s="141"/>
      <c r="G99" s="266"/>
      <c r="H99" s="570">
        <f t="shared" si="63"/>
        <v>0</v>
      </c>
      <c r="I99" s="582"/>
      <c r="J99" s="582">
        <v>5756</v>
      </c>
      <c r="K99" s="583"/>
      <c r="L99" s="572">
        <f t="shared" ref="L99" si="66">SUM(I99:K99)</f>
        <v>5756</v>
      </c>
      <c r="M99" s="582"/>
      <c r="N99" s="583"/>
      <c r="O99" s="584"/>
      <c r="P99" s="570">
        <f t="shared" ref="P99" si="67">O99+L99+H99</f>
        <v>5756</v>
      </c>
    </row>
    <row r="100" spans="1:16" x14ac:dyDescent="0.25">
      <c r="A100" s="134"/>
      <c r="B100" s="139"/>
      <c r="C100" s="131"/>
      <c r="D100" s="132"/>
      <c r="E100" s="132"/>
      <c r="F100" s="132"/>
      <c r="G100" s="142"/>
      <c r="H100" s="124"/>
      <c r="I100" s="357"/>
      <c r="J100" s="357"/>
      <c r="K100" s="361"/>
      <c r="L100" s="129"/>
      <c r="M100" s="357"/>
      <c r="N100" s="361"/>
      <c r="O100" s="358"/>
      <c r="P100" s="124"/>
    </row>
    <row r="101" spans="1:16" ht="31.5" x14ac:dyDescent="0.25">
      <c r="A101" s="134"/>
      <c r="B101" s="360" t="s">
        <v>386</v>
      </c>
      <c r="C101" s="131"/>
      <c r="D101" s="132"/>
      <c r="E101" s="132"/>
      <c r="F101" s="132"/>
      <c r="G101" s="142"/>
      <c r="H101" s="124"/>
      <c r="I101" s="357"/>
      <c r="J101" s="357"/>
      <c r="K101" s="361"/>
      <c r="L101" s="129"/>
      <c r="M101" s="357"/>
      <c r="N101" s="361"/>
      <c r="O101" s="358"/>
      <c r="P101" s="124"/>
    </row>
    <row r="102" spans="1:16" s="574" customFormat="1" ht="47.25" x14ac:dyDescent="0.25">
      <c r="A102" s="567"/>
      <c r="B102" s="626" t="s">
        <v>1008</v>
      </c>
      <c r="C102" s="569"/>
      <c r="D102" s="141"/>
      <c r="E102" s="141"/>
      <c r="F102" s="141"/>
      <c r="G102" s="266"/>
      <c r="H102" s="570">
        <f t="shared" ref="H102" si="68">SUM(C102:G102)</f>
        <v>0</v>
      </c>
      <c r="I102" s="582"/>
      <c r="J102" s="582">
        <v>3300</v>
      </c>
      <c r="K102" s="583"/>
      <c r="L102" s="572">
        <f t="shared" ref="L102" si="69">SUM(I102:K102)</f>
        <v>3300</v>
      </c>
      <c r="M102" s="582"/>
      <c r="N102" s="583"/>
      <c r="O102" s="584"/>
      <c r="P102" s="570">
        <f t="shared" ref="P102" si="70">O102+L102+H102</f>
        <v>3300</v>
      </c>
    </row>
    <row r="103" spans="1:16" s="574" customFormat="1" ht="47.25" x14ac:dyDescent="0.25">
      <c r="A103" s="567"/>
      <c r="B103" s="626" t="s">
        <v>1009</v>
      </c>
      <c r="C103" s="569"/>
      <c r="D103" s="141"/>
      <c r="E103" s="141"/>
      <c r="F103" s="141"/>
      <c r="G103" s="266"/>
      <c r="H103" s="570">
        <f t="shared" ref="H103" si="71">SUM(C103:G103)</f>
        <v>0</v>
      </c>
      <c r="I103" s="582">
        <v>11115</v>
      </c>
      <c r="J103" s="582"/>
      <c r="K103" s="583"/>
      <c r="L103" s="572">
        <f t="shared" ref="L103" si="72">SUM(I103:K103)</f>
        <v>11115</v>
      </c>
      <c r="M103" s="582"/>
      <c r="N103" s="583"/>
      <c r="O103" s="584"/>
      <c r="P103" s="570">
        <f t="shared" ref="P103" si="73">O103+L103+H103</f>
        <v>11115</v>
      </c>
    </row>
    <row r="104" spans="1:16" s="574" customFormat="1" ht="47.25" x14ac:dyDescent="0.25">
      <c r="A104" s="567"/>
      <c r="B104" s="739" t="s">
        <v>1011</v>
      </c>
      <c r="C104" s="569"/>
      <c r="D104" s="141"/>
      <c r="E104" s="141"/>
      <c r="F104" s="141"/>
      <c r="G104" s="773"/>
      <c r="H104" s="572">
        <f>SUM(C104:G104)</f>
        <v>0</v>
      </c>
      <c r="I104" s="569">
        <v>188</v>
      </c>
      <c r="J104" s="569"/>
      <c r="K104" s="571"/>
      <c r="L104" s="572">
        <f t="shared" ref="L104" si="74">SUM(I104:K104)</f>
        <v>188</v>
      </c>
      <c r="M104" s="569"/>
      <c r="N104" s="571"/>
      <c r="O104" s="573"/>
      <c r="P104" s="572">
        <f t="shared" ref="P104" si="75">O104+L104+H104</f>
        <v>188</v>
      </c>
    </row>
    <row r="105" spans="1:16" x14ac:dyDescent="0.25">
      <c r="A105" s="134"/>
      <c r="B105" s="140"/>
      <c r="C105" s="131"/>
      <c r="D105" s="132"/>
      <c r="E105" s="132"/>
      <c r="F105" s="132"/>
      <c r="G105" s="142"/>
      <c r="H105" s="124"/>
      <c r="I105" s="357"/>
      <c r="J105" s="357"/>
      <c r="K105" s="361"/>
      <c r="L105" s="129"/>
      <c r="M105" s="357"/>
      <c r="N105" s="361"/>
      <c r="O105" s="358"/>
      <c r="P105" s="124"/>
    </row>
    <row r="106" spans="1:16" x14ac:dyDescent="0.25">
      <c r="A106" s="134"/>
      <c r="B106" s="138" t="s">
        <v>88</v>
      </c>
      <c r="C106" s="131"/>
      <c r="D106" s="132"/>
      <c r="E106" s="132"/>
      <c r="F106" s="132"/>
      <c r="G106" s="142"/>
      <c r="H106" s="129"/>
      <c r="I106" s="131"/>
      <c r="J106" s="131"/>
      <c r="K106" s="133"/>
      <c r="L106" s="129"/>
      <c r="M106" s="131"/>
      <c r="N106" s="133"/>
      <c r="O106" s="265"/>
      <c r="P106" s="129"/>
    </row>
    <row r="107" spans="1:16" x14ac:dyDescent="0.25">
      <c r="A107" s="134"/>
      <c r="B107" s="360" t="s">
        <v>507</v>
      </c>
      <c r="C107" s="131"/>
      <c r="D107" s="132"/>
      <c r="E107" s="132"/>
      <c r="F107" s="132"/>
      <c r="G107" s="142"/>
      <c r="H107" s="129"/>
      <c r="I107" s="131"/>
      <c r="J107" s="131"/>
      <c r="K107" s="133"/>
      <c r="L107" s="129"/>
      <c r="M107" s="131"/>
      <c r="N107" s="133"/>
      <c r="O107" s="265"/>
      <c r="P107" s="129"/>
    </row>
    <row r="108" spans="1:16" s="574" customFormat="1" ht="31.5" x14ac:dyDescent="0.25">
      <c r="A108" s="567"/>
      <c r="B108" s="626" t="s">
        <v>1043</v>
      </c>
      <c r="C108" s="569"/>
      <c r="D108" s="141"/>
      <c r="E108" s="141"/>
      <c r="F108" s="141"/>
      <c r="G108" s="266"/>
      <c r="H108" s="570">
        <f>SUM(C108:G108)</f>
        <v>0</v>
      </c>
      <c r="I108" s="582">
        <v>23000</v>
      </c>
      <c r="J108" s="582"/>
      <c r="K108" s="583"/>
      <c r="L108" s="572">
        <f>SUM(I108:K108)</f>
        <v>23000</v>
      </c>
      <c r="M108" s="582"/>
      <c r="N108" s="583"/>
      <c r="O108" s="584"/>
      <c r="P108" s="570">
        <f>O108+L108+H108</f>
        <v>23000</v>
      </c>
    </row>
    <row r="109" spans="1:16" x14ac:dyDescent="0.25">
      <c r="A109" s="130"/>
      <c r="B109" s="362"/>
      <c r="C109" s="131"/>
      <c r="D109" s="132"/>
      <c r="E109" s="132"/>
      <c r="F109" s="132"/>
      <c r="G109" s="629"/>
      <c r="H109" s="124"/>
      <c r="I109" s="131"/>
      <c r="J109" s="131"/>
      <c r="K109" s="133"/>
      <c r="L109" s="129"/>
      <c r="M109" s="131"/>
      <c r="N109" s="133"/>
      <c r="O109" s="265"/>
      <c r="P109" s="124"/>
    </row>
    <row r="110" spans="1:16" x14ac:dyDescent="0.25">
      <c r="A110" s="130"/>
      <c r="B110" s="363" t="s">
        <v>426</v>
      </c>
      <c r="C110" s="131"/>
      <c r="D110" s="132"/>
      <c r="E110" s="132"/>
      <c r="F110" s="132"/>
      <c r="G110" s="629"/>
      <c r="H110" s="124"/>
      <c r="I110" s="131"/>
      <c r="J110" s="131"/>
      <c r="K110" s="133"/>
      <c r="L110" s="129"/>
      <c r="M110" s="131"/>
      <c r="N110" s="133"/>
      <c r="O110" s="265"/>
      <c r="P110" s="124"/>
    </row>
    <row r="111" spans="1:16" ht="31.5" x14ac:dyDescent="0.25">
      <c r="A111" s="130"/>
      <c r="B111" s="362" t="s">
        <v>1035</v>
      </c>
      <c r="C111" s="131"/>
      <c r="D111" s="132"/>
      <c r="E111" s="132"/>
      <c r="F111" s="132"/>
      <c r="G111" s="629"/>
      <c r="H111" s="124">
        <f t="shared" ref="H111:H152" si="76">SUM(C111:G111)</f>
        <v>0</v>
      </c>
      <c r="I111" s="569">
        <v>4100</v>
      </c>
      <c r="J111" s="131"/>
      <c r="K111" s="133"/>
      <c r="L111" s="129">
        <f t="shared" ref="L111:L126" si="77">SUM(I111:K111)</f>
        <v>4100</v>
      </c>
      <c r="M111" s="131"/>
      <c r="N111" s="133"/>
      <c r="O111" s="265"/>
      <c r="P111" s="124">
        <f t="shared" ref="P111:P126" si="78">O111+L111+H111</f>
        <v>4100</v>
      </c>
    </row>
    <row r="112" spans="1:16" ht="31.5" x14ac:dyDescent="0.25">
      <c r="A112" s="130"/>
      <c r="B112" s="362" t="s">
        <v>1036</v>
      </c>
      <c r="C112" s="131"/>
      <c r="D112" s="132"/>
      <c r="E112" s="132"/>
      <c r="F112" s="132"/>
      <c r="G112" s="629"/>
      <c r="H112" s="124">
        <f t="shared" si="76"/>
        <v>0</v>
      </c>
      <c r="I112" s="131">
        <v>-4100</v>
      </c>
      <c r="J112" s="131"/>
      <c r="K112" s="133"/>
      <c r="L112" s="129">
        <f t="shared" si="77"/>
        <v>-4100</v>
      </c>
      <c r="M112" s="131"/>
      <c r="N112" s="133"/>
      <c r="O112" s="265"/>
      <c r="P112" s="124">
        <f t="shared" si="78"/>
        <v>-4100</v>
      </c>
    </row>
    <row r="113" spans="1:16" ht="47.25" x14ac:dyDescent="0.25">
      <c r="A113" s="130"/>
      <c r="B113" s="362" t="s">
        <v>1039</v>
      </c>
      <c r="C113" s="131"/>
      <c r="D113" s="132"/>
      <c r="E113" s="132"/>
      <c r="F113" s="132"/>
      <c r="G113" s="629"/>
      <c r="H113" s="124">
        <f t="shared" si="76"/>
        <v>0</v>
      </c>
      <c r="I113" s="569">
        <v>13555</v>
      </c>
      <c r="J113" s="131"/>
      <c r="K113" s="133"/>
      <c r="L113" s="129">
        <f t="shared" ref="L113" si="79">SUM(I113:K113)</f>
        <v>13555</v>
      </c>
      <c r="M113" s="131"/>
      <c r="N113" s="133"/>
      <c r="O113" s="265"/>
      <c r="P113" s="124">
        <f t="shared" ref="P113" si="80">O113+L113+H113</f>
        <v>13555</v>
      </c>
    </row>
    <row r="114" spans="1:16" ht="31.5" x14ac:dyDescent="0.25">
      <c r="A114" s="130"/>
      <c r="B114" s="626" t="s">
        <v>1040</v>
      </c>
      <c r="C114" s="131"/>
      <c r="D114" s="132"/>
      <c r="E114" s="132"/>
      <c r="F114" s="132"/>
      <c r="G114" s="629"/>
      <c r="H114" s="129">
        <f t="shared" si="76"/>
        <v>0</v>
      </c>
      <c r="I114" s="131">
        <v>-13555</v>
      </c>
      <c r="J114" s="131"/>
      <c r="K114" s="133"/>
      <c r="L114" s="129">
        <f t="shared" ref="L114" si="81">SUM(I114:K114)</f>
        <v>-13555</v>
      </c>
      <c r="M114" s="131"/>
      <c r="N114" s="133"/>
      <c r="O114" s="265"/>
      <c r="P114" s="129">
        <f t="shared" ref="P114" si="82">O114+L114+H114</f>
        <v>-13555</v>
      </c>
    </row>
    <row r="115" spans="1:16" ht="63" x14ac:dyDescent="0.25">
      <c r="A115" s="130"/>
      <c r="B115" s="362" t="s">
        <v>1041</v>
      </c>
      <c r="C115" s="131"/>
      <c r="D115" s="132"/>
      <c r="E115" s="141">
        <v>3615</v>
      </c>
      <c r="F115" s="132"/>
      <c r="G115" s="629"/>
      <c r="H115" s="129">
        <f>SUM(C115:G115)</f>
        <v>3615</v>
      </c>
      <c r="I115" s="131">
        <v>13389</v>
      </c>
      <c r="J115" s="131"/>
      <c r="K115" s="133"/>
      <c r="L115" s="129">
        <f>SUM(I115:K115)</f>
        <v>13389</v>
      </c>
      <c r="M115" s="131"/>
      <c r="N115" s="133"/>
      <c r="O115" s="265"/>
      <c r="P115" s="129">
        <f>O115+L115+H115</f>
        <v>17004</v>
      </c>
    </row>
    <row r="116" spans="1:16" ht="31.5" x14ac:dyDescent="0.25">
      <c r="A116" s="130"/>
      <c r="B116" s="362" t="s">
        <v>1042</v>
      </c>
      <c r="C116" s="131"/>
      <c r="D116" s="132"/>
      <c r="E116" s="132"/>
      <c r="F116" s="132"/>
      <c r="G116" s="629"/>
      <c r="H116" s="124">
        <f t="shared" ref="H116:H117" si="83">SUM(C116:G116)</f>
        <v>0</v>
      </c>
      <c r="I116" s="569">
        <v>-17004</v>
      </c>
      <c r="J116" s="131"/>
      <c r="K116" s="133"/>
      <c r="L116" s="129">
        <f t="shared" ref="L116:L117" si="84">SUM(I116:K116)</f>
        <v>-17004</v>
      </c>
      <c r="M116" s="131"/>
      <c r="N116" s="133"/>
      <c r="O116" s="265"/>
      <c r="P116" s="124">
        <f t="shared" ref="P116:P117" si="85">O116+L116+H116</f>
        <v>-17004</v>
      </c>
    </row>
    <row r="117" spans="1:16" ht="31.5" x14ac:dyDescent="0.25">
      <c r="A117" s="130"/>
      <c r="B117" s="362" t="s">
        <v>1046</v>
      </c>
      <c r="C117" s="131"/>
      <c r="D117" s="132"/>
      <c r="E117" s="132">
        <v>185216</v>
      </c>
      <c r="F117" s="132"/>
      <c r="G117" s="629"/>
      <c r="H117" s="124">
        <f t="shared" si="83"/>
        <v>185216</v>
      </c>
      <c r="I117" s="131">
        <v>-185216</v>
      </c>
      <c r="J117" s="131"/>
      <c r="K117" s="133"/>
      <c r="L117" s="129">
        <f t="shared" si="84"/>
        <v>-185216</v>
      </c>
      <c r="M117" s="131"/>
      <c r="N117" s="133"/>
      <c r="O117" s="265"/>
      <c r="P117" s="124">
        <f t="shared" si="85"/>
        <v>0</v>
      </c>
    </row>
    <row r="118" spans="1:16" x14ac:dyDescent="0.25">
      <c r="A118" s="130"/>
      <c r="B118" s="362"/>
      <c r="C118" s="131"/>
      <c r="D118" s="132"/>
      <c r="E118" s="132"/>
      <c r="F118" s="132"/>
      <c r="G118" s="629"/>
      <c r="H118" s="124"/>
      <c r="I118" s="569"/>
      <c r="J118" s="131"/>
      <c r="K118" s="133"/>
      <c r="L118" s="129"/>
      <c r="M118" s="131"/>
      <c r="N118" s="133"/>
      <c r="O118" s="265"/>
      <c r="P118" s="124"/>
    </row>
    <row r="119" spans="1:16" ht="47.25" x14ac:dyDescent="0.25">
      <c r="A119" s="130"/>
      <c r="B119" s="360" t="s">
        <v>1045</v>
      </c>
      <c r="C119" s="131"/>
      <c r="D119" s="132"/>
      <c r="E119" s="132"/>
      <c r="F119" s="132"/>
      <c r="G119" s="629"/>
      <c r="H119" s="124"/>
      <c r="I119" s="569"/>
      <c r="J119" s="131"/>
      <c r="K119" s="133"/>
      <c r="L119" s="129"/>
      <c r="M119" s="131"/>
      <c r="N119" s="133"/>
      <c r="O119" s="265"/>
      <c r="P119" s="124"/>
    </row>
    <row r="120" spans="1:16" ht="31.5" x14ac:dyDescent="0.25">
      <c r="A120" s="130"/>
      <c r="B120" s="362" t="s">
        <v>1046</v>
      </c>
      <c r="C120" s="131"/>
      <c r="D120" s="132"/>
      <c r="E120" s="132"/>
      <c r="F120" s="132"/>
      <c r="G120" s="629"/>
      <c r="H120" s="124">
        <f t="shared" si="76"/>
        <v>0</v>
      </c>
      <c r="I120" s="131">
        <v>393730</v>
      </c>
      <c r="J120" s="131"/>
      <c r="K120" s="133"/>
      <c r="L120" s="129">
        <f t="shared" si="77"/>
        <v>393730</v>
      </c>
      <c r="M120" s="131"/>
      <c r="N120" s="133"/>
      <c r="O120" s="265"/>
      <c r="P120" s="124">
        <f t="shared" si="78"/>
        <v>393730</v>
      </c>
    </row>
    <row r="121" spans="1:16" x14ac:dyDescent="0.25">
      <c r="A121" s="130"/>
      <c r="B121" s="362"/>
      <c r="C121" s="131"/>
      <c r="D121" s="132"/>
      <c r="E121" s="132"/>
      <c r="F121" s="132"/>
      <c r="G121" s="629"/>
      <c r="H121" s="124"/>
      <c r="I121" s="131"/>
      <c r="J121" s="131"/>
      <c r="K121" s="133"/>
      <c r="L121" s="129"/>
      <c r="M121" s="131"/>
      <c r="N121" s="133"/>
      <c r="O121" s="265"/>
      <c r="P121" s="124"/>
    </row>
    <row r="122" spans="1:16" ht="31.5" x14ac:dyDescent="0.25">
      <c r="A122" s="130"/>
      <c r="B122" s="368" t="s">
        <v>690</v>
      </c>
      <c r="C122" s="131"/>
      <c r="D122" s="132"/>
      <c r="E122" s="132"/>
      <c r="F122" s="132"/>
      <c r="G122" s="629"/>
      <c r="H122" s="124"/>
      <c r="I122" s="131"/>
      <c r="J122" s="131"/>
      <c r="K122" s="133"/>
      <c r="L122" s="129"/>
      <c r="M122" s="131"/>
      <c r="N122" s="133"/>
      <c r="O122" s="265"/>
      <c r="P122" s="124"/>
    </row>
    <row r="123" spans="1:16" ht="31.5" x14ac:dyDescent="0.25">
      <c r="A123" s="130"/>
      <c r="B123" s="362" t="s">
        <v>1046</v>
      </c>
      <c r="C123" s="131">
        <v>3743</v>
      </c>
      <c r="D123" s="132">
        <v>657</v>
      </c>
      <c r="E123" s="132">
        <v>-4400</v>
      </c>
      <c r="F123" s="132"/>
      <c r="G123" s="629"/>
      <c r="H123" s="124">
        <f t="shared" si="76"/>
        <v>0</v>
      </c>
      <c r="I123" s="131"/>
      <c r="J123" s="131"/>
      <c r="K123" s="133"/>
      <c r="L123" s="129">
        <f t="shared" si="77"/>
        <v>0</v>
      </c>
      <c r="M123" s="131"/>
      <c r="N123" s="133"/>
      <c r="O123" s="265"/>
      <c r="P123" s="124">
        <f t="shared" si="78"/>
        <v>0</v>
      </c>
    </row>
    <row r="124" spans="1:16" x14ac:dyDescent="0.25">
      <c r="A124" s="130"/>
      <c r="B124" s="362" t="s">
        <v>1080</v>
      </c>
      <c r="C124" s="131"/>
      <c r="D124" s="132"/>
      <c r="E124" s="132">
        <v>1889</v>
      </c>
      <c r="F124" s="132"/>
      <c r="G124" s="629"/>
      <c r="H124" s="124">
        <f t="shared" si="76"/>
        <v>1889</v>
      </c>
      <c r="I124" s="131">
        <v>-1889</v>
      </c>
      <c r="J124" s="131"/>
      <c r="K124" s="133"/>
      <c r="L124" s="129">
        <f t="shared" si="77"/>
        <v>-1889</v>
      </c>
      <c r="M124" s="131"/>
      <c r="N124" s="133"/>
      <c r="O124" s="265"/>
      <c r="P124" s="124">
        <f t="shared" si="78"/>
        <v>0</v>
      </c>
    </row>
    <row r="125" spans="1:16" x14ac:dyDescent="0.25">
      <c r="A125" s="130"/>
      <c r="B125" s="362" t="s">
        <v>1081</v>
      </c>
      <c r="C125" s="131"/>
      <c r="D125" s="132"/>
      <c r="E125" s="132">
        <v>120</v>
      </c>
      <c r="F125" s="132"/>
      <c r="G125" s="629"/>
      <c r="H125" s="124">
        <f t="shared" si="76"/>
        <v>120</v>
      </c>
      <c r="I125" s="131">
        <v>-120</v>
      </c>
      <c r="J125" s="131"/>
      <c r="K125" s="133"/>
      <c r="L125" s="129">
        <f t="shared" si="77"/>
        <v>-120</v>
      </c>
      <c r="M125" s="131"/>
      <c r="N125" s="133"/>
      <c r="O125" s="265"/>
      <c r="P125" s="124">
        <f t="shared" si="78"/>
        <v>0</v>
      </c>
    </row>
    <row r="126" spans="1:16" x14ac:dyDescent="0.25">
      <c r="A126" s="130"/>
      <c r="B126" s="362" t="s">
        <v>1082</v>
      </c>
      <c r="C126" s="131"/>
      <c r="D126" s="132"/>
      <c r="E126" s="132">
        <v>139</v>
      </c>
      <c r="F126" s="132"/>
      <c r="G126" s="629"/>
      <c r="H126" s="124">
        <f t="shared" si="76"/>
        <v>139</v>
      </c>
      <c r="I126" s="131">
        <v>-139</v>
      </c>
      <c r="J126" s="131"/>
      <c r="K126" s="133"/>
      <c r="L126" s="129">
        <f t="shared" si="77"/>
        <v>-139</v>
      </c>
      <c r="M126" s="131"/>
      <c r="N126" s="133"/>
      <c r="O126" s="265"/>
      <c r="P126" s="124">
        <f t="shared" si="78"/>
        <v>0</v>
      </c>
    </row>
    <row r="127" spans="1:16" x14ac:dyDescent="0.25">
      <c r="A127" s="130"/>
      <c r="B127" s="362" t="s">
        <v>1083</v>
      </c>
      <c r="C127" s="131"/>
      <c r="D127" s="132"/>
      <c r="E127" s="132">
        <v>-39616</v>
      </c>
      <c r="F127" s="132"/>
      <c r="G127" s="629"/>
      <c r="H127" s="124">
        <f t="shared" si="76"/>
        <v>-39616</v>
      </c>
      <c r="I127" s="131">
        <v>37416</v>
      </c>
      <c r="J127" s="131">
        <v>2200</v>
      </c>
      <c r="K127" s="133"/>
      <c r="L127" s="129">
        <f t="shared" ref="L127:L129" si="86">SUM(I127:K127)</f>
        <v>39616</v>
      </c>
      <c r="M127" s="131"/>
      <c r="N127" s="133"/>
      <c r="O127" s="265"/>
      <c r="P127" s="124">
        <f t="shared" ref="P127:P129" si="87">O127+L127+H127</f>
        <v>0</v>
      </c>
    </row>
    <row r="128" spans="1:16" x14ac:dyDescent="0.25">
      <c r="A128" s="130"/>
      <c r="B128" s="362" t="s">
        <v>1095</v>
      </c>
      <c r="C128" s="131"/>
      <c r="D128" s="132"/>
      <c r="E128" s="132">
        <v>55468</v>
      </c>
      <c r="F128" s="132"/>
      <c r="G128" s="629"/>
      <c r="H128" s="124">
        <f t="shared" si="76"/>
        <v>55468</v>
      </c>
      <c r="I128" s="131">
        <v>-55468</v>
      </c>
      <c r="J128" s="131"/>
      <c r="K128" s="133"/>
      <c r="L128" s="129">
        <f t="shared" ref="L128" si="88">SUM(I128:K128)</f>
        <v>-55468</v>
      </c>
      <c r="M128" s="131"/>
      <c r="N128" s="133"/>
      <c r="O128" s="265"/>
      <c r="P128" s="124">
        <f t="shared" ref="P128" si="89">O128+L128+H128</f>
        <v>0</v>
      </c>
    </row>
    <row r="129" spans="1:16" ht="47.25" x14ac:dyDescent="0.25">
      <c r="A129" s="130"/>
      <c r="B129" s="362" t="s">
        <v>1084</v>
      </c>
      <c r="C129" s="131"/>
      <c r="D129" s="132"/>
      <c r="E129" s="132">
        <v>23811</v>
      </c>
      <c r="F129" s="132"/>
      <c r="G129" s="629"/>
      <c r="H129" s="124">
        <f t="shared" si="76"/>
        <v>23811</v>
      </c>
      <c r="I129" s="131">
        <v>-23811</v>
      </c>
      <c r="J129" s="131"/>
      <c r="K129" s="133"/>
      <c r="L129" s="129">
        <f t="shared" si="86"/>
        <v>-23811</v>
      </c>
      <c r="M129" s="131"/>
      <c r="N129" s="133"/>
      <c r="O129" s="265"/>
      <c r="P129" s="124">
        <f t="shared" si="87"/>
        <v>0</v>
      </c>
    </row>
    <row r="130" spans="1:16" ht="31.5" x14ac:dyDescent="0.25">
      <c r="A130" s="130"/>
      <c r="B130" s="362" t="s">
        <v>1090</v>
      </c>
      <c r="C130" s="131"/>
      <c r="D130" s="132"/>
      <c r="E130" s="132">
        <v>18301</v>
      </c>
      <c r="F130" s="132"/>
      <c r="G130" s="142"/>
      <c r="H130" s="124">
        <f>SUM(C130:G130)</f>
        <v>18301</v>
      </c>
      <c r="I130" s="131">
        <v>-18301</v>
      </c>
      <c r="J130" s="131"/>
      <c r="K130" s="133"/>
      <c r="L130" s="129">
        <f>SUM(I130:K130)</f>
        <v>-18301</v>
      </c>
      <c r="M130" s="131"/>
      <c r="N130" s="133"/>
      <c r="O130" s="265"/>
      <c r="P130" s="124">
        <f>O130+L130+H130</f>
        <v>0</v>
      </c>
    </row>
    <row r="131" spans="1:16" ht="31.5" x14ac:dyDescent="0.25">
      <c r="A131" s="130"/>
      <c r="B131" s="362" t="s">
        <v>1085</v>
      </c>
      <c r="C131" s="131"/>
      <c r="D131" s="132"/>
      <c r="E131" s="132">
        <v>2832</v>
      </c>
      <c r="F131" s="132"/>
      <c r="G131" s="142"/>
      <c r="H131" s="124">
        <f t="shared" si="76"/>
        <v>2832</v>
      </c>
      <c r="I131" s="131">
        <v>-2832</v>
      </c>
      <c r="J131" s="131"/>
      <c r="K131" s="133"/>
      <c r="L131" s="129">
        <f t="shared" ref="L131:L146" si="90">SUM(I131:K131)</f>
        <v>-2832</v>
      </c>
      <c r="M131" s="131"/>
      <c r="N131" s="133"/>
      <c r="O131" s="265"/>
      <c r="P131" s="124">
        <f t="shared" ref="P131:P146" si="91">O131+L131+H131</f>
        <v>0</v>
      </c>
    </row>
    <row r="132" spans="1:16" ht="31.5" x14ac:dyDescent="0.25">
      <c r="A132" s="130"/>
      <c r="B132" s="362" t="s">
        <v>1091</v>
      </c>
      <c r="C132" s="131"/>
      <c r="D132" s="132"/>
      <c r="E132" s="132">
        <v>15945</v>
      </c>
      <c r="F132" s="132"/>
      <c r="G132" s="142"/>
      <c r="H132" s="124">
        <f t="shared" si="76"/>
        <v>15945</v>
      </c>
      <c r="I132" s="131">
        <v>-15945</v>
      </c>
      <c r="J132" s="131"/>
      <c r="K132" s="133"/>
      <c r="L132" s="129">
        <f t="shared" ref="L132" si="92">SUM(I132:K132)</f>
        <v>-15945</v>
      </c>
      <c r="M132" s="131"/>
      <c r="N132" s="133"/>
      <c r="O132" s="265"/>
      <c r="P132" s="124">
        <f t="shared" ref="P132" si="93">O132+L132+H132</f>
        <v>0</v>
      </c>
    </row>
    <row r="133" spans="1:16" ht="31.5" x14ac:dyDescent="0.25">
      <c r="A133" s="130"/>
      <c r="B133" s="362" t="s">
        <v>1092</v>
      </c>
      <c r="C133" s="131"/>
      <c r="D133" s="132"/>
      <c r="E133" s="132">
        <v>39102</v>
      </c>
      <c r="F133" s="132"/>
      <c r="G133" s="142"/>
      <c r="H133" s="124">
        <f t="shared" si="76"/>
        <v>39102</v>
      </c>
      <c r="I133" s="131">
        <v>-39102</v>
      </c>
      <c r="J133" s="131"/>
      <c r="K133" s="133"/>
      <c r="L133" s="129">
        <f t="shared" ref="L133" si="94">SUM(I133:K133)</f>
        <v>-39102</v>
      </c>
      <c r="M133" s="131"/>
      <c r="N133" s="133"/>
      <c r="O133" s="265"/>
      <c r="P133" s="124">
        <f t="shared" ref="P133" si="95">O133+L133+H133</f>
        <v>0</v>
      </c>
    </row>
    <row r="134" spans="1:16" ht="31.5" x14ac:dyDescent="0.25">
      <c r="A134" s="130"/>
      <c r="B134" s="362" t="s">
        <v>1096</v>
      </c>
      <c r="C134" s="131"/>
      <c r="D134" s="132"/>
      <c r="E134" s="132">
        <v>5214</v>
      </c>
      <c r="F134" s="132"/>
      <c r="G134" s="142"/>
      <c r="H134" s="124">
        <f t="shared" si="76"/>
        <v>5214</v>
      </c>
      <c r="I134" s="131">
        <v>-5214</v>
      </c>
      <c r="J134" s="131"/>
      <c r="K134" s="133"/>
      <c r="L134" s="129">
        <f t="shared" ref="L134" si="96">SUM(I134:K134)</f>
        <v>-5214</v>
      </c>
      <c r="M134" s="131"/>
      <c r="N134" s="133"/>
      <c r="O134" s="265"/>
      <c r="P134" s="124">
        <f t="shared" ref="P134" si="97">O134+L134+H134</f>
        <v>0</v>
      </c>
    </row>
    <row r="135" spans="1:16" x14ac:dyDescent="0.25">
      <c r="A135" s="130"/>
      <c r="B135" s="362" t="s">
        <v>1093</v>
      </c>
      <c r="C135" s="131"/>
      <c r="D135" s="132"/>
      <c r="E135" s="132">
        <v>13130</v>
      </c>
      <c r="F135" s="132"/>
      <c r="G135" s="142"/>
      <c r="H135" s="124">
        <f>SUM(C135:G135)</f>
        <v>13130</v>
      </c>
      <c r="I135" s="131">
        <v>-13130</v>
      </c>
      <c r="J135" s="131"/>
      <c r="K135" s="133"/>
      <c r="L135" s="129">
        <f t="shared" ref="L135" si="98">SUM(I135:K135)</f>
        <v>-13130</v>
      </c>
      <c r="M135" s="131"/>
      <c r="N135" s="133"/>
      <c r="O135" s="265"/>
      <c r="P135" s="124">
        <f t="shared" ref="P135" si="99">O135+L135+H135</f>
        <v>0</v>
      </c>
    </row>
    <row r="136" spans="1:16" x14ac:dyDescent="0.25">
      <c r="A136" s="130"/>
      <c r="B136" s="362" t="s">
        <v>1094</v>
      </c>
      <c r="C136" s="131"/>
      <c r="D136" s="132"/>
      <c r="E136" s="132">
        <v>33824</v>
      </c>
      <c r="F136" s="132"/>
      <c r="G136" s="142"/>
      <c r="H136" s="124">
        <f>SUM(C136:G136)</f>
        <v>33824</v>
      </c>
      <c r="I136" s="131">
        <v>-33824</v>
      </c>
      <c r="J136" s="131"/>
      <c r="K136" s="133"/>
      <c r="L136" s="129">
        <f t="shared" ref="L136" si="100">SUM(I136:K136)</f>
        <v>-33824</v>
      </c>
      <c r="M136" s="131"/>
      <c r="N136" s="133"/>
      <c r="O136" s="265"/>
      <c r="P136" s="124">
        <f t="shared" ref="P136" si="101">O136+L136+H136</f>
        <v>0</v>
      </c>
    </row>
    <row r="137" spans="1:16" x14ac:dyDescent="0.25">
      <c r="A137" s="130"/>
      <c r="B137" s="362" t="s">
        <v>1086</v>
      </c>
      <c r="C137" s="131"/>
      <c r="D137" s="132"/>
      <c r="E137" s="132">
        <v>8149</v>
      </c>
      <c r="F137" s="132"/>
      <c r="G137" s="142"/>
      <c r="H137" s="124">
        <f t="shared" si="76"/>
        <v>8149</v>
      </c>
      <c r="I137" s="131">
        <v>-5863</v>
      </c>
      <c r="J137" s="131"/>
      <c r="K137" s="133"/>
      <c r="L137" s="129">
        <f t="shared" si="90"/>
        <v>-5863</v>
      </c>
      <c r="M137" s="131"/>
      <c r="N137" s="133"/>
      <c r="O137" s="265"/>
      <c r="P137" s="124">
        <f t="shared" si="91"/>
        <v>2286</v>
      </c>
    </row>
    <row r="138" spans="1:16" x14ac:dyDescent="0.25">
      <c r="A138" s="130"/>
      <c r="B138" s="362" t="s">
        <v>1087</v>
      </c>
      <c r="C138" s="131"/>
      <c r="D138" s="132"/>
      <c r="E138" s="132">
        <v>583</v>
      </c>
      <c r="F138" s="132"/>
      <c r="G138" s="142"/>
      <c r="H138" s="124">
        <f t="shared" si="76"/>
        <v>583</v>
      </c>
      <c r="I138" s="131">
        <v>-2869</v>
      </c>
      <c r="J138" s="131"/>
      <c r="K138" s="133"/>
      <c r="L138" s="129">
        <f t="shared" si="90"/>
        <v>-2869</v>
      </c>
      <c r="M138" s="131"/>
      <c r="N138" s="133"/>
      <c r="O138" s="265"/>
      <c r="P138" s="124">
        <f t="shared" si="91"/>
        <v>-2286</v>
      </c>
    </row>
    <row r="139" spans="1:16" x14ac:dyDescent="0.25">
      <c r="A139" s="130"/>
      <c r="B139" s="739" t="s">
        <v>1088</v>
      </c>
      <c r="C139" s="131"/>
      <c r="D139" s="132"/>
      <c r="E139" s="132">
        <v>-3264</v>
      </c>
      <c r="F139" s="132"/>
      <c r="G139" s="142"/>
      <c r="H139" s="124">
        <f t="shared" si="76"/>
        <v>-3264</v>
      </c>
      <c r="I139" s="131"/>
      <c r="J139" s="131"/>
      <c r="K139" s="133"/>
      <c r="L139" s="129">
        <f t="shared" si="90"/>
        <v>0</v>
      </c>
      <c r="M139" s="131"/>
      <c r="N139" s="133"/>
      <c r="O139" s="265"/>
      <c r="P139" s="124">
        <f t="shared" si="91"/>
        <v>-3264</v>
      </c>
    </row>
    <row r="140" spans="1:16" x14ac:dyDescent="0.25">
      <c r="A140" s="130"/>
      <c r="B140" s="739" t="s">
        <v>1089</v>
      </c>
      <c r="C140" s="131"/>
      <c r="D140" s="132"/>
      <c r="E140" s="132"/>
      <c r="F140" s="132"/>
      <c r="G140" s="142"/>
      <c r="H140" s="124">
        <f t="shared" si="76"/>
        <v>0</v>
      </c>
      <c r="I140" s="131">
        <v>3264</v>
      </c>
      <c r="J140" s="131"/>
      <c r="K140" s="133"/>
      <c r="L140" s="129">
        <f t="shared" si="90"/>
        <v>3264</v>
      </c>
      <c r="M140" s="131"/>
      <c r="N140" s="133"/>
      <c r="O140" s="265"/>
      <c r="P140" s="124">
        <f t="shared" si="91"/>
        <v>3264</v>
      </c>
    </row>
    <row r="141" spans="1:16" ht="63" x14ac:dyDescent="0.25">
      <c r="A141" s="130"/>
      <c r="B141" s="362" t="s">
        <v>1097</v>
      </c>
      <c r="C141" s="131"/>
      <c r="D141" s="132"/>
      <c r="E141" s="132">
        <v>73579</v>
      </c>
      <c r="F141" s="132"/>
      <c r="G141" s="142"/>
      <c r="H141" s="124">
        <f t="shared" si="76"/>
        <v>73579</v>
      </c>
      <c r="I141" s="131">
        <v>-73579</v>
      </c>
      <c r="J141" s="131"/>
      <c r="K141" s="133"/>
      <c r="L141" s="129">
        <f t="shared" si="90"/>
        <v>-73579</v>
      </c>
      <c r="M141" s="131"/>
      <c r="N141" s="133"/>
      <c r="O141" s="265"/>
      <c r="P141" s="124">
        <f t="shared" si="91"/>
        <v>0</v>
      </c>
    </row>
    <row r="142" spans="1:16" ht="75" customHeight="1" x14ac:dyDescent="0.25">
      <c r="A142" s="130"/>
      <c r="B142" s="362" t="s">
        <v>1099</v>
      </c>
      <c r="C142" s="131"/>
      <c r="D142" s="132"/>
      <c r="E142" s="132">
        <v>8999</v>
      </c>
      <c r="F142" s="132"/>
      <c r="G142" s="142"/>
      <c r="H142" s="124">
        <f t="shared" si="76"/>
        <v>8999</v>
      </c>
      <c r="I142" s="131">
        <v>-8999</v>
      </c>
      <c r="J142" s="131"/>
      <c r="K142" s="133"/>
      <c r="L142" s="129">
        <f t="shared" ref="L142" si="102">SUM(I142:K142)</f>
        <v>-8999</v>
      </c>
      <c r="M142" s="131"/>
      <c r="N142" s="133"/>
      <c r="O142" s="265"/>
      <c r="P142" s="124">
        <f t="shared" ref="P142" si="103">O142+L142+H142</f>
        <v>0</v>
      </c>
    </row>
    <row r="143" spans="1:16" ht="31.5" x14ac:dyDescent="0.25">
      <c r="A143" s="130"/>
      <c r="B143" s="362" t="s">
        <v>1098</v>
      </c>
      <c r="C143" s="131"/>
      <c r="D143" s="132"/>
      <c r="E143" s="132">
        <v>54837</v>
      </c>
      <c r="F143" s="132"/>
      <c r="G143" s="142"/>
      <c r="H143" s="124">
        <f t="shared" si="76"/>
        <v>54837</v>
      </c>
      <c r="I143" s="131">
        <v>-54837</v>
      </c>
      <c r="J143" s="131"/>
      <c r="K143" s="133"/>
      <c r="L143" s="129">
        <f t="shared" si="90"/>
        <v>-54837</v>
      </c>
      <c r="M143" s="131"/>
      <c r="N143" s="133"/>
      <c r="O143" s="265"/>
      <c r="P143" s="124">
        <f t="shared" si="91"/>
        <v>0</v>
      </c>
    </row>
    <row r="144" spans="1:16" ht="78.75" x14ac:dyDescent="0.25">
      <c r="A144" s="130"/>
      <c r="B144" s="362" t="s">
        <v>1109</v>
      </c>
      <c r="C144" s="131"/>
      <c r="D144" s="132"/>
      <c r="E144" s="132"/>
      <c r="F144" s="132"/>
      <c r="G144" s="142"/>
      <c r="H144" s="124">
        <f t="shared" si="76"/>
        <v>0</v>
      </c>
      <c r="I144" s="131">
        <v>21590</v>
      </c>
      <c r="J144" s="131">
        <v>-21590</v>
      </c>
      <c r="K144" s="133"/>
      <c r="L144" s="129">
        <f t="shared" ref="L144" si="104">SUM(I144:K144)</f>
        <v>0</v>
      </c>
      <c r="M144" s="131"/>
      <c r="N144" s="133"/>
      <c r="O144" s="265"/>
      <c r="P144" s="124">
        <f t="shared" ref="P144" si="105">O144+L144+H144</f>
        <v>0</v>
      </c>
    </row>
    <row r="145" spans="1:16" ht="47.25" x14ac:dyDescent="0.25">
      <c r="A145" s="130"/>
      <c r="B145" s="362" t="s">
        <v>1100</v>
      </c>
      <c r="C145" s="131">
        <v>-3260</v>
      </c>
      <c r="D145" s="132">
        <v>-1232</v>
      </c>
      <c r="E145" s="132">
        <v>-73742</v>
      </c>
      <c r="F145" s="132"/>
      <c r="G145" s="142"/>
      <c r="H145" s="124">
        <f t="shared" si="76"/>
        <v>-78234</v>
      </c>
      <c r="I145" s="131">
        <v>78234</v>
      </c>
      <c r="J145" s="131"/>
      <c r="K145" s="133"/>
      <c r="L145" s="129">
        <f t="shared" si="90"/>
        <v>78234</v>
      </c>
      <c r="M145" s="131"/>
      <c r="N145" s="133"/>
      <c r="O145" s="265"/>
      <c r="P145" s="124">
        <f t="shared" si="91"/>
        <v>0</v>
      </c>
    </row>
    <row r="146" spans="1:16" x14ac:dyDescent="0.25">
      <c r="A146" s="130"/>
      <c r="B146" s="362" t="s">
        <v>1101</v>
      </c>
      <c r="C146" s="131"/>
      <c r="D146" s="132"/>
      <c r="E146" s="132">
        <v>32017</v>
      </c>
      <c r="F146" s="132"/>
      <c r="G146" s="142"/>
      <c r="H146" s="124">
        <f t="shared" si="76"/>
        <v>32017</v>
      </c>
      <c r="I146" s="131">
        <v>-32017</v>
      </c>
      <c r="J146" s="131"/>
      <c r="K146" s="133"/>
      <c r="L146" s="129">
        <f t="shared" si="90"/>
        <v>-32017</v>
      </c>
      <c r="M146" s="131"/>
      <c r="N146" s="133"/>
      <c r="O146" s="265"/>
      <c r="P146" s="124">
        <f t="shared" si="91"/>
        <v>0</v>
      </c>
    </row>
    <row r="147" spans="1:16" x14ac:dyDescent="0.25">
      <c r="A147" s="130"/>
      <c r="B147" s="362" t="s">
        <v>1102</v>
      </c>
      <c r="C147" s="131"/>
      <c r="D147" s="132"/>
      <c r="E147" s="132">
        <v>4356</v>
      </c>
      <c r="F147" s="132"/>
      <c r="G147" s="142"/>
      <c r="H147" s="124">
        <f t="shared" si="76"/>
        <v>4356</v>
      </c>
      <c r="I147" s="131">
        <v>-4356</v>
      </c>
      <c r="J147" s="131"/>
      <c r="K147" s="133"/>
      <c r="L147" s="129">
        <f t="shared" ref="L147:L152" si="106">SUM(I147:K147)</f>
        <v>-4356</v>
      </c>
      <c r="M147" s="131"/>
      <c r="N147" s="133"/>
      <c r="O147" s="265"/>
      <c r="P147" s="124">
        <f t="shared" ref="P147:P152" si="107">O147+L147+H147</f>
        <v>0</v>
      </c>
    </row>
    <row r="148" spans="1:16" x14ac:dyDescent="0.25">
      <c r="A148" s="130"/>
      <c r="B148" s="362" t="s">
        <v>1108</v>
      </c>
      <c r="C148" s="131"/>
      <c r="D148" s="132"/>
      <c r="E148" s="132">
        <v>-38626</v>
      </c>
      <c r="F148" s="132"/>
      <c r="G148" s="142"/>
      <c r="H148" s="124">
        <f t="shared" si="76"/>
        <v>-38626</v>
      </c>
      <c r="I148" s="131">
        <v>38626</v>
      </c>
      <c r="J148" s="131"/>
      <c r="K148" s="133"/>
      <c r="L148" s="129">
        <f t="shared" ref="L148" si="108">SUM(I148:K148)</f>
        <v>38626</v>
      </c>
      <c r="M148" s="131"/>
      <c r="N148" s="133"/>
      <c r="O148" s="265"/>
      <c r="P148" s="124">
        <f t="shared" ref="P148" si="109">O148+L148+H148</f>
        <v>0</v>
      </c>
    </row>
    <row r="149" spans="1:16" ht="31.5" x14ac:dyDescent="0.25">
      <c r="A149" s="130"/>
      <c r="B149" s="362" t="s">
        <v>1103</v>
      </c>
      <c r="C149" s="131"/>
      <c r="D149" s="132"/>
      <c r="E149" s="132">
        <v>776</v>
      </c>
      <c r="F149" s="132"/>
      <c r="G149" s="142"/>
      <c r="H149" s="124">
        <f t="shared" si="76"/>
        <v>776</v>
      </c>
      <c r="I149" s="131">
        <v>-776</v>
      </c>
      <c r="J149" s="131"/>
      <c r="K149" s="133"/>
      <c r="L149" s="129">
        <f t="shared" si="106"/>
        <v>-776</v>
      </c>
      <c r="M149" s="131"/>
      <c r="N149" s="133"/>
      <c r="O149" s="265"/>
      <c r="P149" s="124">
        <f t="shared" si="107"/>
        <v>0</v>
      </c>
    </row>
    <row r="150" spans="1:16" x14ac:dyDescent="0.25">
      <c r="A150" s="130"/>
      <c r="B150" s="362" t="s">
        <v>1104</v>
      </c>
      <c r="C150" s="131">
        <v>-3200</v>
      </c>
      <c r="D150" s="132"/>
      <c r="E150" s="132">
        <v>-31933</v>
      </c>
      <c r="F150" s="132"/>
      <c r="G150" s="142"/>
      <c r="H150" s="124">
        <f t="shared" si="76"/>
        <v>-35133</v>
      </c>
      <c r="I150" s="131">
        <v>35133</v>
      </c>
      <c r="J150" s="131"/>
      <c r="K150" s="133"/>
      <c r="L150" s="129">
        <f t="shared" si="106"/>
        <v>35133</v>
      </c>
      <c r="M150" s="131"/>
      <c r="N150" s="133"/>
      <c r="O150" s="265"/>
      <c r="P150" s="124">
        <f t="shared" si="107"/>
        <v>0</v>
      </c>
    </row>
    <row r="151" spans="1:16" ht="31.5" x14ac:dyDescent="0.25">
      <c r="A151" s="130"/>
      <c r="B151" s="362" t="s">
        <v>1105</v>
      </c>
      <c r="C151" s="131"/>
      <c r="D151" s="132"/>
      <c r="E151" s="132">
        <v>863</v>
      </c>
      <c r="F151" s="132"/>
      <c r="G151" s="142"/>
      <c r="H151" s="124">
        <f t="shared" si="76"/>
        <v>863</v>
      </c>
      <c r="I151" s="131">
        <v>-863</v>
      </c>
      <c r="J151" s="131"/>
      <c r="K151" s="133"/>
      <c r="L151" s="129">
        <f t="shared" si="106"/>
        <v>-863</v>
      </c>
      <c r="M151" s="131"/>
      <c r="N151" s="133"/>
      <c r="O151" s="265"/>
      <c r="P151" s="124">
        <f t="shared" si="107"/>
        <v>0</v>
      </c>
    </row>
    <row r="152" spans="1:16" x14ac:dyDescent="0.25">
      <c r="A152" s="130"/>
      <c r="B152" s="362" t="s">
        <v>1106</v>
      </c>
      <c r="C152" s="131"/>
      <c r="D152" s="132"/>
      <c r="E152" s="132">
        <v>-53</v>
      </c>
      <c r="F152" s="132"/>
      <c r="G152" s="142"/>
      <c r="H152" s="124">
        <f t="shared" si="76"/>
        <v>-53</v>
      </c>
      <c r="I152" s="131">
        <v>53</v>
      </c>
      <c r="J152" s="131"/>
      <c r="K152" s="133"/>
      <c r="L152" s="129">
        <f t="shared" si="106"/>
        <v>53</v>
      </c>
      <c r="M152" s="131"/>
      <c r="N152" s="133"/>
      <c r="O152" s="265"/>
      <c r="P152" s="124">
        <f t="shared" si="107"/>
        <v>0</v>
      </c>
    </row>
    <row r="153" spans="1:16" ht="31.5" x14ac:dyDescent="0.25">
      <c r="A153" s="130"/>
      <c r="B153" s="362" t="s">
        <v>1107</v>
      </c>
      <c r="C153" s="131"/>
      <c r="D153" s="132"/>
      <c r="E153" s="132"/>
      <c r="F153" s="132"/>
      <c r="G153" s="142"/>
      <c r="H153" s="124">
        <f t="shared" ref="H153" si="110">SUM(C153:G153)</f>
        <v>0</v>
      </c>
      <c r="I153" s="131">
        <v>262211</v>
      </c>
      <c r="J153" s="131">
        <v>-262211</v>
      </c>
      <c r="K153" s="133"/>
      <c r="L153" s="129">
        <f t="shared" ref="L153" si="111">SUM(I153:K153)</f>
        <v>0</v>
      </c>
      <c r="M153" s="131"/>
      <c r="N153" s="133"/>
      <c r="O153" s="265"/>
      <c r="P153" s="124">
        <f t="shared" ref="P153" si="112">O153+L153+H153</f>
        <v>0</v>
      </c>
    </row>
    <row r="154" spans="1:16" x14ac:dyDescent="0.25">
      <c r="A154" s="130"/>
      <c r="B154" s="362"/>
      <c r="C154" s="131"/>
      <c r="D154" s="132"/>
      <c r="E154" s="132"/>
      <c r="F154" s="132"/>
      <c r="G154" s="142"/>
      <c r="H154" s="124"/>
      <c r="I154" s="131"/>
      <c r="J154" s="131"/>
      <c r="K154" s="133"/>
      <c r="L154" s="129"/>
      <c r="M154" s="131"/>
      <c r="N154" s="133"/>
      <c r="O154" s="265"/>
      <c r="P154" s="124"/>
    </row>
    <row r="155" spans="1:16" ht="31.5" x14ac:dyDescent="0.25">
      <c r="A155" s="134"/>
      <c r="B155" s="360" t="s">
        <v>387</v>
      </c>
      <c r="C155" s="131"/>
      <c r="D155" s="132"/>
      <c r="E155" s="132"/>
      <c r="F155" s="132"/>
      <c r="G155" s="142"/>
      <c r="H155" s="129"/>
      <c r="I155" s="131"/>
      <c r="J155" s="131"/>
      <c r="K155" s="133"/>
      <c r="L155" s="129"/>
      <c r="M155" s="131"/>
      <c r="N155" s="133"/>
      <c r="O155" s="265"/>
      <c r="P155" s="129"/>
    </row>
    <row r="156" spans="1:16" s="574" customFormat="1" ht="31.5" x14ac:dyDescent="0.25">
      <c r="A156" s="567"/>
      <c r="B156" s="626" t="s">
        <v>1018</v>
      </c>
      <c r="C156" s="569"/>
      <c r="D156" s="141"/>
      <c r="E156" s="141">
        <v>15000</v>
      </c>
      <c r="F156" s="141"/>
      <c r="G156" s="627"/>
      <c r="H156" s="570">
        <f>SUM(C156:G156)</f>
        <v>15000</v>
      </c>
      <c r="I156" s="582"/>
      <c r="J156" s="582"/>
      <c r="K156" s="583"/>
      <c r="L156" s="572">
        <f>SUM(I156:K156)</f>
        <v>0</v>
      </c>
      <c r="M156" s="582"/>
      <c r="N156" s="583"/>
      <c r="O156" s="584"/>
      <c r="P156" s="570">
        <f>O156+L156+H156</f>
        <v>15000</v>
      </c>
    </row>
    <row r="157" spans="1:16" s="574" customFormat="1" ht="31.5" x14ac:dyDescent="0.25">
      <c r="A157" s="567"/>
      <c r="B157" s="626" t="s">
        <v>1020</v>
      </c>
      <c r="C157" s="569"/>
      <c r="D157" s="141"/>
      <c r="E157" s="141"/>
      <c r="F157" s="571"/>
      <c r="G157" s="571"/>
      <c r="H157" s="570">
        <f t="shared" ref="H157:H161" si="113">SUM(C157:G157)</f>
        <v>0</v>
      </c>
      <c r="I157" s="582">
        <v>2264</v>
      </c>
      <c r="J157" s="582"/>
      <c r="K157" s="583"/>
      <c r="L157" s="572">
        <f t="shared" ref="L157:L161" si="114">SUM(I157:K157)</f>
        <v>2264</v>
      </c>
      <c r="M157" s="582"/>
      <c r="N157" s="583"/>
      <c r="O157" s="584"/>
      <c r="P157" s="570">
        <f t="shared" ref="P157:P161" si="115">O157+L157+H157</f>
        <v>2264</v>
      </c>
    </row>
    <row r="158" spans="1:16" s="574" customFormat="1" ht="31.5" x14ac:dyDescent="0.25">
      <c r="A158" s="567"/>
      <c r="B158" s="626" t="s">
        <v>1021</v>
      </c>
      <c r="C158" s="569"/>
      <c r="D158" s="141"/>
      <c r="E158" s="141"/>
      <c r="F158" s="571"/>
      <c r="G158" s="571"/>
      <c r="H158" s="570">
        <f t="shared" si="113"/>
        <v>0</v>
      </c>
      <c r="I158" s="582">
        <v>30163</v>
      </c>
      <c r="J158" s="582"/>
      <c r="K158" s="583"/>
      <c r="L158" s="572">
        <f t="shared" si="114"/>
        <v>30163</v>
      </c>
      <c r="M158" s="582"/>
      <c r="N158" s="583"/>
      <c r="O158" s="584"/>
      <c r="P158" s="570">
        <f t="shared" si="115"/>
        <v>30163</v>
      </c>
    </row>
    <row r="159" spans="1:16" s="574" customFormat="1" ht="31.5" x14ac:dyDescent="0.25">
      <c r="A159" s="567"/>
      <c r="B159" s="626" t="s">
        <v>1022</v>
      </c>
      <c r="C159" s="569"/>
      <c r="D159" s="141"/>
      <c r="E159" s="141"/>
      <c r="F159" s="571"/>
      <c r="G159" s="571"/>
      <c r="H159" s="570">
        <f t="shared" si="113"/>
        <v>0</v>
      </c>
      <c r="I159" s="582">
        <v>6755</v>
      </c>
      <c r="J159" s="582"/>
      <c r="K159" s="583"/>
      <c r="L159" s="572">
        <f t="shared" si="114"/>
        <v>6755</v>
      </c>
      <c r="M159" s="582"/>
      <c r="N159" s="583"/>
      <c r="O159" s="584"/>
      <c r="P159" s="570">
        <f t="shared" si="115"/>
        <v>6755</v>
      </c>
    </row>
    <row r="160" spans="1:16" s="574" customFormat="1" ht="48" customHeight="1" x14ac:dyDescent="0.25">
      <c r="A160" s="567"/>
      <c r="B160" s="626" t="s">
        <v>1024</v>
      </c>
      <c r="C160" s="569"/>
      <c r="D160" s="141"/>
      <c r="E160" s="141"/>
      <c r="F160" s="571"/>
      <c r="G160" s="571"/>
      <c r="H160" s="570">
        <f t="shared" si="113"/>
        <v>0</v>
      </c>
      <c r="I160" s="582">
        <v>105000</v>
      </c>
      <c r="J160" s="582"/>
      <c r="K160" s="583"/>
      <c r="L160" s="572">
        <f t="shared" si="114"/>
        <v>105000</v>
      </c>
      <c r="M160" s="582"/>
      <c r="N160" s="583"/>
      <c r="O160" s="584"/>
      <c r="P160" s="570">
        <f t="shared" si="115"/>
        <v>105000</v>
      </c>
    </row>
    <row r="161" spans="1:16" s="574" customFormat="1" ht="31.5" x14ac:dyDescent="0.25">
      <c r="A161" s="567"/>
      <c r="B161" s="626" t="s">
        <v>1025</v>
      </c>
      <c r="C161" s="569"/>
      <c r="D161" s="141"/>
      <c r="E161" s="141">
        <v>5588</v>
      </c>
      <c r="F161" s="571"/>
      <c r="G161" s="571"/>
      <c r="H161" s="570">
        <f t="shared" si="113"/>
        <v>5588</v>
      </c>
      <c r="I161" s="582"/>
      <c r="J161" s="582"/>
      <c r="K161" s="583"/>
      <c r="L161" s="572">
        <f t="shared" si="114"/>
        <v>0</v>
      </c>
      <c r="M161" s="582"/>
      <c r="N161" s="583"/>
      <c r="O161" s="584"/>
      <c r="P161" s="570">
        <f t="shared" si="115"/>
        <v>5588</v>
      </c>
    </row>
    <row r="162" spans="1:16" s="574" customFormat="1" x14ac:dyDescent="0.25">
      <c r="A162" s="567"/>
      <c r="B162" s="626" t="s">
        <v>1123</v>
      </c>
      <c r="C162" s="569"/>
      <c r="D162" s="141"/>
      <c r="E162" s="141">
        <v>5000</v>
      </c>
      <c r="F162" s="571"/>
      <c r="G162" s="571"/>
      <c r="H162" s="570">
        <f>SUM(C162:G162)</f>
        <v>5000</v>
      </c>
      <c r="I162" s="582"/>
      <c r="J162" s="582"/>
      <c r="K162" s="583"/>
      <c r="L162" s="572">
        <f>SUM(I162:K162)</f>
        <v>0</v>
      </c>
      <c r="M162" s="582"/>
      <c r="N162" s="583"/>
      <c r="O162" s="584"/>
      <c r="P162" s="570">
        <f>O162+L162+H162</f>
        <v>5000</v>
      </c>
    </row>
    <row r="163" spans="1:16" x14ac:dyDescent="0.25">
      <c r="A163" s="130"/>
      <c r="B163" s="362"/>
      <c r="C163" s="131"/>
      <c r="D163" s="132"/>
      <c r="E163" s="132"/>
      <c r="F163" s="133"/>
      <c r="G163" s="133"/>
      <c r="H163" s="129"/>
      <c r="I163" s="131"/>
      <c r="J163" s="131"/>
      <c r="K163" s="133"/>
      <c r="L163" s="129"/>
      <c r="M163" s="131"/>
      <c r="N163" s="133"/>
      <c r="O163" s="265"/>
      <c r="P163" s="124"/>
    </row>
    <row r="164" spans="1:16" ht="31.5" x14ac:dyDescent="0.25">
      <c r="A164" s="134"/>
      <c r="B164" s="360" t="s">
        <v>386</v>
      </c>
      <c r="C164" s="131"/>
      <c r="D164" s="132"/>
      <c r="E164" s="132"/>
      <c r="F164" s="132"/>
      <c r="G164" s="142"/>
      <c r="H164" s="124"/>
      <c r="I164" s="131"/>
      <c r="J164" s="131"/>
      <c r="K164" s="133"/>
      <c r="L164" s="129"/>
      <c r="M164" s="131"/>
      <c r="N164" s="133"/>
      <c r="O164" s="265"/>
      <c r="P164" s="124"/>
    </row>
    <row r="165" spans="1:16" s="574" customFormat="1" ht="31.5" x14ac:dyDescent="0.25">
      <c r="A165" s="567"/>
      <c r="B165" s="626" t="s">
        <v>1019</v>
      </c>
      <c r="C165" s="569"/>
      <c r="D165" s="141"/>
      <c r="E165" s="141"/>
      <c r="F165" s="141"/>
      <c r="G165" s="266"/>
      <c r="H165" s="570">
        <f>SUM(C165:G165)</f>
        <v>0</v>
      </c>
      <c r="I165" s="582">
        <v>12840</v>
      </c>
      <c r="J165" s="582"/>
      <c r="K165" s="583"/>
      <c r="L165" s="572">
        <f>SUM(I165:K165)</f>
        <v>12840</v>
      </c>
      <c r="M165" s="582"/>
      <c r="N165" s="583"/>
      <c r="O165" s="584"/>
      <c r="P165" s="570">
        <f>O165+L165+H165</f>
        <v>12840</v>
      </c>
    </row>
    <row r="166" spans="1:16" s="574" customFormat="1" ht="31.5" x14ac:dyDescent="0.25">
      <c r="A166" s="567"/>
      <c r="B166" s="626" t="s">
        <v>1010</v>
      </c>
      <c r="C166" s="569"/>
      <c r="D166" s="141"/>
      <c r="E166" s="141"/>
      <c r="F166" s="141"/>
      <c r="G166" s="627"/>
      <c r="H166" s="570">
        <f>SUM(C166:G166)</f>
        <v>0</v>
      </c>
      <c r="I166" s="582">
        <v>26000</v>
      </c>
      <c r="J166" s="582"/>
      <c r="K166" s="583"/>
      <c r="L166" s="572">
        <f>SUM(I166:K166)</f>
        <v>26000</v>
      </c>
      <c r="M166" s="582"/>
      <c r="N166" s="583"/>
      <c r="O166" s="584"/>
      <c r="P166" s="570">
        <f>O166+L166+H166</f>
        <v>26000</v>
      </c>
    </row>
    <row r="167" spans="1:16" s="574" customFormat="1" ht="47.25" x14ac:dyDescent="0.25">
      <c r="A167" s="567"/>
      <c r="B167" s="739" t="s">
        <v>1015</v>
      </c>
      <c r="C167" s="569"/>
      <c r="D167" s="141"/>
      <c r="E167" s="141">
        <v>305</v>
      </c>
      <c r="F167" s="141"/>
      <c r="G167" s="924"/>
      <c r="H167" s="572">
        <f t="shared" ref="H167" si="116">SUM(C167:G167)</f>
        <v>305</v>
      </c>
      <c r="I167" s="569">
        <v>3426</v>
      </c>
      <c r="J167" s="569"/>
      <c r="K167" s="571"/>
      <c r="L167" s="572">
        <f t="shared" ref="L167" si="117">SUM(I167:K167)</f>
        <v>3426</v>
      </c>
      <c r="M167" s="569"/>
      <c r="N167" s="571"/>
      <c r="O167" s="573"/>
      <c r="P167" s="572">
        <f t="shared" ref="P167" si="118">O167+L167+H167</f>
        <v>3731</v>
      </c>
    </row>
    <row r="168" spans="1:16" s="574" customFormat="1" x14ac:dyDescent="0.25">
      <c r="A168" s="567"/>
      <c r="B168" s="739" t="s">
        <v>1016</v>
      </c>
      <c r="C168" s="569"/>
      <c r="D168" s="141"/>
      <c r="E168" s="141"/>
      <c r="F168" s="141"/>
      <c r="G168" s="924"/>
      <c r="H168" s="572">
        <f t="shared" ref="H168" si="119">SUM(C168:G168)</f>
        <v>0</v>
      </c>
      <c r="I168" s="569">
        <v>250</v>
      </c>
      <c r="J168" s="569"/>
      <c r="K168" s="571"/>
      <c r="L168" s="572">
        <f t="shared" ref="L168" si="120">SUM(I168:K168)</f>
        <v>250</v>
      </c>
      <c r="M168" s="569"/>
      <c r="N168" s="571"/>
      <c r="O168" s="573"/>
      <c r="P168" s="572">
        <f t="shared" ref="P168" si="121">O168+L168+H168</f>
        <v>250</v>
      </c>
    </row>
    <row r="169" spans="1:16" x14ac:dyDescent="0.25">
      <c r="A169" s="130"/>
      <c r="B169" s="362"/>
      <c r="C169" s="131"/>
      <c r="D169" s="131"/>
      <c r="E169" s="131"/>
      <c r="F169" s="132"/>
      <c r="G169" s="629"/>
      <c r="H169" s="129"/>
      <c r="I169" s="131"/>
      <c r="J169" s="131"/>
      <c r="K169" s="142"/>
      <c r="L169" s="129"/>
      <c r="M169" s="131"/>
      <c r="N169" s="142"/>
      <c r="O169" s="265"/>
      <c r="P169" s="124"/>
    </row>
    <row r="170" spans="1:16" x14ac:dyDescent="0.25">
      <c r="A170" s="130"/>
      <c r="B170" s="575" t="s">
        <v>537</v>
      </c>
      <c r="C170" s="131"/>
      <c r="D170" s="131"/>
      <c r="E170" s="131"/>
      <c r="F170" s="132"/>
      <c r="G170" s="629"/>
      <c r="H170" s="129"/>
      <c r="I170" s="131"/>
      <c r="J170" s="131"/>
      <c r="K170" s="142"/>
      <c r="L170" s="129"/>
      <c r="M170" s="131"/>
      <c r="N170" s="142"/>
      <c r="O170" s="265"/>
      <c r="P170" s="124"/>
    </row>
    <row r="171" spans="1:16" x14ac:dyDescent="0.25">
      <c r="A171" s="130"/>
      <c r="B171" s="368" t="s">
        <v>507</v>
      </c>
      <c r="C171" s="131"/>
      <c r="D171" s="131"/>
      <c r="E171" s="131"/>
      <c r="F171" s="132"/>
      <c r="G171" s="629"/>
      <c r="H171" s="129"/>
      <c r="I171" s="131"/>
      <c r="J171" s="131"/>
      <c r="K171" s="142"/>
      <c r="L171" s="129"/>
      <c r="M171" s="131"/>
      <c r="N171" s="142"/>
      <c r="O171" s="265"/>
      <c r="P171" s="124"/>
    </row>
    <row r="172" spans="1:16" x14ac:dyDescent="0.25">
      <c r="A172" s="130"/>
      <c r="B172" s="739" t="s">
        <v>1044</v>
      </c>
      <c r="C172" s="131"/>
      <c r="D172" s="131"/>
      <c r="E172" s="131"/>
      <c r="F172" s="132"/>
      <c r="G172" s="629"/>
      <c r="H172" s="129">
        <f t="shared" ref="H172:H174" si="122">SUM(C172:G172)</f>
        <v>0</v>
      </c>
      <c r="I172" s="131">
        <v>3988</v>
      </c>
      <c r="J172" s="131"/>
      <c r="K172" s="142"/>
      <c r="L172" s="129">
        <f t="shared" ref="L172" si="123">SUM(I172:K172)</f>
        <v>3988</v>
      </c>
      <c r="M172" s="131"/>
      <c r="N172" s="142"/>
      <c r="O172" s="265"/>
      <c r="P172" s="124">
        <f t="shared" ref="P172" si="124">O172+L172+H172</f>
        <v>3988</v>
      </c>
    </row>
    <row r="173" spans="1:16" s="574" customFormat="1" x14ac:dyDescent="0.25">
      <c r="A173" s="768"/>
      <c r="B173" s="739"/>
      <c r="C173" s="569"/>
      <c r="D173" s="569"/>
      <c r="E173" s="569"/>
      <c r="F173" s="141"/>
      <c r="G173" s="627"/>
      <c r="H173" s="572"/>
      <c r="I173" s="569"/>
      <c r="J173" s="569"/>
      <c r="K173" s="266"/>
      <c r="L173" s="572"/>
      <c r="M173" s="569"/>
      <c r="N173" s="266"/>
      <c r="O173" s="573"/>
      <c r="P173" s="570"/>
    </row>
    <row r="174" spans="1:16" s="574" customFormat="1" ht="31.5" x14ac:dyDescent="0.25">
      <c r="A174" s="768"/>
      <c r="B174" s="769" t="s">
        <v>691</v>
      </c>
      <c r="C174" s="569"/>
      <c r="D174" s="569"/>
      <c r="E174" s="569">
        <v>100000</v>
      </c>
      <c r="F174" s="141"/>
      <c r="G174" s="627"/>
      <c r="H174" s="572">
        <f t="shared" si="122"/>
        <v>100000</v>
      </c>
      <c r="I174" s="569">
        <v>-200000</v>
      </c>
      <c r="J174" s="569">
        <v>100000</v>
      </c>
      <c r="K174" s="266"/>
      <c r="L174" s="572">
        <f t="shared" ref="L174" si="125">SUM(I174:K174)</f>
        <v>-100000</v>
      </c>
      <c r="M174" s="569"/>
      <c r="N174" s="266"/>
      <c r="O174" s="573"/>
      <c r="P174" s="570">
        <f t="shared" ref="P174" si="126">O174+L174+H174</f>
        <v>0</v>
      </c>
    </row>
    <row r="175" spans="1:16" s="574" customFormat="1" x14ac:dyDescent="0.25">
      <c r="A175" s="768"/>
      <c r="B175" s="739"/>
      <c r="C175" s="569"/>
      <c r="D175" s="569"/>
      <c r="E175" s="569"/>
      <c r="F175" s="141"/>
      <c r="G175" s="627"/>
      <c r="H175" s="572"/>
      <c r="I175" s="569"/>
      <c r="J175" s="569"/>
      <c r="K175" s="266"/>
      <c r="L175" s="572"/>
      <c r="M175" s="569"/>
      <c r="N175" s="266"/>
      <c r="O175" s="573"/>
      <c r="P175" s="570"/>
    </row>
    <row r="176" spans="1:16" x14ac:dyDescent="0.25">
      <c r="A176" s="130"/>
      <c r="B176" s="739"/>
      <c r="C176" s="131"/>
      <c r="D176" s="131"/>
      <c r="E176" s="131"/>
      <c r="F176" s="132"/>
      <c r="G176" s="629"/>
      <c r="H176" s="129"/>
      <c r="I176" s="131"/>
      <c r="J176" s="131"/>
      <c r="K176" s="142"/>
      <c r="L176" s="129"/>
      <c r="M176" s="131"/>
      <c r="N176" s="142"/>
      <c r="O176" s="265"/>
      <c r="P176" s="124"/>
    </row>
    <row r="177" spans="1:16" ht="31.5" x14ac:dyDescent="0.25">
      <c r="A177" s="130"/>
      <c r="B177" s="925" t="s">
        <v>115</v>
      </c>
      <c r="C177" s="131"/>
      <c r="D177" s="131"/>
      <c r="E177" s="131"/>
      <c r="F177" s="132"/>
      <c r="G177" s="629"/>
      <c r="H177" s="129"/>
      <c r="I177" s="131"/>
      <c r="J177" s="131"/>
      <c r="K177" s="142"/>
      <c r="L177" s="129"/>
      <c r="M177" s="131"/>
      <c r="N177" s="142"/>
      <c r="O177" s="265"/>
      <c r="P177" s="124"/>
    </row>
    <row r="178" spans="1:16" ht="31.5" x14ac:dyDescent="0.25">
      <c r="A178" s="130"/>
      <c r="B178" s="769" t="s">
        <v>1048</v>
      </c>
      <c r="C178" s="131"/>
      <c r="D178" s="131"/>
      <c r="E178" s="131"/>
      <c r="F178" s="132"/>
      <c r="G178" s="629"/>
      <c r="H178" s="129"/>
      <c r="I178" s="131"/>
      <c r="J178" s="131"/>
      <c r="K178" s="142"/>
      <c r="L178" s="129"/>
      <c r="M178" s="131"/>
      <c r="N178" s="142"/>
      <c r="O178" s="265"/>
      <c r="P178" s="124"/>
    </row>
    <row r="179" spans="1:16" x14ac:dyDescent="0.25">
      <c r="A179" s="130"/>
      <c r="B179" s="739" t="s">
        <v>1047</v>
      </c>
      <c r="C179" s="131"/>
      <c r="D179" s="131"/>
      <c r="E179" s="131">
        <v>10743</v>
      </c>
      <c r="F179" s="132"/>
      <c r="G179" s="629"/>
      <c r="H179" s="129">
        <f t="shared" ref="H179" si="127">SUM(C179:G179)</f>
        <v>10743</v>
      </c>
      <c r="I179" s="131"/>
      <c r="J179" s="131"/>
      <c r="K179" s="142"/>
      <c r="L179" s="129">
        <f t="shared" ref="L179" si="128">SUM(I179:K179)</f>
        <v>0</v>
      </c>
      <c r="M179" s="131"/>
      <c r="N179" s="142"/>
      <c r="O179" s="265"/>
      <c r="P179" s="124">
        <f t="shared" ref="P179" si="129">O179+L179+H179</f>
        <v>10743</v>
      </c>
    </row>
    <row r="180" spans="1:16" x14ac:dyDescent="0.25">
      <c r="A180" s="130"/>
      <c r="B180" s="739"/>
      <c r="C180" s="131"/>
      <c r="D180" s="131"/>
      <c r="E180" s="131"/>
      <c r="F180" s="132"/>
      <c r="G180" s="629"/>
      <c r="H180" s="124"/>
      <c r="I180" s="131"/>
      <c r="J180" s="131"/>
      <c r="K180" s="142"/>
      <c r="L180" s="129"/>
      <c r="M180" s="131"/>
      <c r="N180" s="142"/>
      <c r="O180" s="265"/>
      <c r="P180" s="124"/>
    </row>
    <row r="181" spans="1:16" ht="31.5" x14ac:dyDescent="0.25">
      <c r="A181" s="130"/>
      <c r="B181" s="368" t="s">
        <v>690</v>
      </c>
      <c r="C181" s="131"/>
      <c r="D181" s="132"/>
      <c r="E181" s="132"/>
      <c r="F181" s="132"/>
      <c r="G181" s="629"/>
      <c r="H181" s="124"/>
      <c r="I181" s="131"/>
      <c r="J181" s="131"/>
      <c r="K181" s="133"/>
      <c r="L181" s="129"/>
      <c r="M181" s="131"/>
      <c r="N181" s="133"/>
      <c r="O181" s="265"/>
      <c r="P181" s="124"/>
    </row>
    <row r="182" spans="1:16" x14ac:dyDescent="0.25">
      <c r="A182" s="130"/>
      <c r="B182" s="362" t="s">
        <v>1111</v>
      </c>
      <c r="C182" s="131"/>
      <c r="D182" s="132"/>
      <c r="E182" s="132">
        <v>16829</v>
      </c>
      <c r="F182" s="132"/>
      <c r="G182" s="629"/>
      <c r="H182" s="124">
        <f t="shared" ref="H182:H184" si="130">SUM(C182:G182)</f>
        <v>16829</v>
      </c>
      <c r="I182" s="131"/>
      <c r="J182" s="131"/>
      <c r="K182" s="133"/>
      <c r="L182" s="129">
        <f t="shared" ref="L182:L184" si="131">SUM(I182:K182)</f>
        <v>0</v>
      </c>
      <c r="M182" s="131"/>
      <c r="N182" s="133"/>
      <c r="O182" s="265"/>
      <c r="P182" s="124">
        <f t="shared" ref="P182:P184" si="132">O182+L182+H182</f>
        <v>16829</v>
      </c>
    </row>
    <row r="183" spans="1:16" x14ac:dyDescent="0.25">
      <c r="A183" s="130"/>
      <c r="B183" s="362" t="s">
        <v>1112</v>
      </c>
      <c r="C183" s="131"/>
      <c r="D183" s="132"/>
      <c r="E183" s="132">
        <v>-13000</v>
      </c>
      <c r="F183" s="132"/>
      <c r="G183" s="629"/>
      <c r="H183" s="124">
        <f t="shared" ref="H183" si="133">SUM(C183:G183)</f>
        <v>-13000</v>
      </c>
      <c r="I183" s="131"/>
      <c r="J183" s="131"/>
      <c r="K183" s="133"/>
      <c r="L183" s="129">
        <f t="shared" ref="L183" si="134">SUM(I183:K183)</f>
        <v>0</v>
      </c>
      <c r="M183" s="131"/>
      <c r="N183" s="133"/>
      <c r="O183" s="265"/>
      <c r="P183" s="124">
        <f t="shared" ref="P183" si="135">O183+L183+H183</f>
        <v>-13000</v>
      </c>
    </row>
    <row r="184" spans="1:16" x14ac:dyDescent="0.25">
      <c r="A184" s="130"/>
      <c r="B184" s="362" t="s">
        <v>1110</v>
      </c>
      <c r="C184" s="131"/>
      <c r="D184" s="132"/>
      <c r="E184" s="132">
        <v>-3829</v>
      </c>
      <c r="F184" s="132"/>
      <c r="G184" s="629"/>
      <c r="H184" s="124">
        <f t="shared" si="130"/>
        <v>-3829</v>
      </c>
      <c r="I184" s="131"/>
      <c r="J184" s="131"/>
      <c r="K184" s="133"/>
      <c r="L184" s="129">
        <f t="shared" si="131"/>
        <v>0</v>
      </c>
      <c r="M184" s="131"/>
      <c r="N184" s="133"/>
      <c r="O184" s="265"/>
      <c r="P184" s="124">
        <f t="shared" si="132"/>
        <v>-3829</v>
      </c>
    </row>
    <row r="185" spans="1:16" x14ac:dyDescent="0.25">
      <c r="A185" s="130"/>
      <c r="B185" s="362"/>
      <c r="C185" s="131"/>
      <c r="D185" s="131"/>
      <c r="E185" s="131"/>
      <c r="F185" s="132"/>
      <c r="G185" s="629"/>
      <c r="H185" s="129"/>
      <c r="I185" s="131"/>
      <c r="J185" s="131"/>
      <c r="K185" s="142"/>
      <c r="L185" s="129"/>
      <c r="M185" s="131"/>
      <c r="N185" s="142"/>
      <c r="O185" s="265"/>
      <c r="P185" s="124"/>
    </row>
    <row r="186" spans="1:16" s="122" customFormat="1" x14ac:dyDescent="0.25">
      <c r="A186" s="134" t="s">
        <v>583</v>
      </c>
      <c r="B186" s="123" t="s">
        <v>584</v>
      </c>
      <c r="C186" s="135"/>
      <c r="D186" s="135"/>
      <c r="E186" s="135"/>
      <c r="F186" s="135"/>
      <c r="G186" s="137"/>
      <c r="H186" s="129"/>
      <c r="I186" s="135"/>
      <c r="J186" s="135"/>
      <c r="K186" s="137"/>
      <c r="L186" s="129"/>
      <c r="M186" s="135"/>
      <c r="N186" s="137"/>
      <c r="O186" s="129"/>
      <c r="P186" s="129"/>
    </row>
    <row r="187" spans="1:16" x14ac:dyDescent="0.25">
      <c r="A187" s="134"/>
      <c r="B187" s="138" t="s">
        <v>90</v>
      </c>
      <c r="C187" s="131"/>
      <c r="D187" s="132"/>
      <c r="E187" s="132"/>
      <c r="F187" s="132"/>
      <c r="G187" s="142"/>
      <c r="H187" s="124"/>
      <c r="I187" s="131"/>
      <c r="J187" s="131"/>
      <c r="K187" s="133"/>
      <c r="L187" s="129"/>
      <c r="M187" s="131"/>
      <c r="N187" s="133"/>
      <c r="O187" s="265"/>
      <c r="P187" s="124"/>
    </row>
    <row r="188" spans="1:16" ht="31.5" x14ac:dyDescent="0.25">
      <c r="A188" s="134"/>
      <c r="B188" s="368" t="s">
        <v>387</v>
      </c>
      <c r="C188" s="131"/>
      <c r="D188" s="131"/>
      <c r="E188" s="131"/>
      <c r="F188" s="131"/>
      <c r="G188" s="142"/>
      <c r="H188" s="124"/>
      <c r="I188" s="357"/>
      <c r="J188" s="357"/>
      <c r="K188" s="628"/>
      <c r="L188" s="129"/>
      <c r="M188" s="357"/>
      <c r="N188" s="628"/>
      <c r="O188" s="358"/>
      <c r="P188" s="124"/>
    </row>
    <row r="189" spans="1:16" s="574" customFormat="1" ht="36.75" customHeight="1" x14ac:dyDescent="0.25">
      <c r="A189" s="567"/>
      <c r="B189" s="739" t="s">
        <v>1127</v>
      </c>
      <c r="C189" s="569"/>
      <c r="D189" s="141"/>
      <c r="E189" s="141">
        <v>127000</v>
      </c>
      <c r="F189" s="141"/>
      <c r="G189" s="924"/>
      <c r="H189" s="572">
        <f>SUM(C189:G189)</f>
        <v>127000</v>
      </c>
      <c r="I189" s="569"/>
      <c r="J189" s="569"/>
      <c r="K189" s="571"/>
      <c r="L189" s="572">
        <f>SUM(I189:K189)</f>
        <v>0</v>
      </c>
      <c r="M189" s="569"/>
      <c r="N189" s="571"/>
      <c r="O189" s="573"/>
      <c r="P189" s="572">
        <f>O189+L189+H189</f>
        <v>127000</v>
      </c>
    </row>
    <row r="190" spans="1:16" x14ac:dyDescent="0.25">
      <c r="A190" s="134"/>
      <c r="B190" s="140"/>
      <c r="C190" s="131"/>
      <c r="D190" s="131"/>
      <c r="E190" s="131"/>
      <c r="F190" s="131"/>
      <c r="G190" s="142"/>
      <c r="H190" s="124"/>
      <c r="I190" s="131"/>
      <c r="J190" s="131"/>
      <c r="K190" s="142"/>
      <c r="L190" s="129"/>
      <c r="M190" s="131"/>
      <c r="N190" s="142"/>
      <c r="O190" s="265"/>
      <c r="P190" s="124"/>
    </row>
    <row r="191" spans="1:16" s="122" customFormat="1" x14ac:dyDescent="0.25">
      <c r="A191" s="134" t="s">
        <v>91</v>
      </c>
      <c r="B191" s="123" t="s">
        <v>1002</v>
      </c>
      <c r="C191" s="135"/>
      <c r="D191" s="135"/>
      <c r="E191" s="135"/>
      <c r="F191" s="135"/>
      <c r="G191" s="135"/>
      <c r="H191" s="129"/>
      <c r="I191" s="135"/>
      <c r="J191" s="135"/>
      <c r="K191" s="135"/>
      <c r="L191" s="129"/>
      <c r="M191" s="135"/>
      <c r="N191" s="135"/>
      <c r="O191" s="129"/>
      <c r="P191" s="124"/>
    </row>
    <row r="192" spans="1:16" s="122" customFormat="1" x14ac:dyDescent="0.25">
      <c r="A192" s="134"/>
      <c r="B192" s="123" t="s">
        <v>92</v>
      </c>
      <c r="C192" s="135"/>
      <c r="D192" s="135"/>
      <c r="E192" s="135"/>
      <c r="F192" s="135"/>
      <c r="G192" s="137"/>
      <c r="H192" s="129"/>
      <c r="I192" s="135"/>
      <c r="J192" s="135"/>
      <c r="K192" s="137"/>
      <c r="L192" s="129"/>
      <c r="M192" s="135"/>
      <c r="N192" s="137"/>
      <c r="O192" s="129"/>
      <c r="P192" s="124"/>
    </row>
    <row r="193" spans="1:16" s="122" customFormat="1" ht="31.5" x14ac:dyDescent="0.25">
      <c r="A193" s="134"/>
      <c r="B193" s="716" t="s">
        <v>387</v>
      </c>
      <c r="C193" s="135"/>
      <c r="D193" s="135"/>
      <c r="E193" s="135"/>
      <c r="F193" s="135"/>
      <c r="G193" s="137"/>
      <c r="H193" s="129"/>
      <c r="I193" s="135"/>
      <c r="J193" s="135"/>
      <c r="K193" s="137"/>
      <c r="L193" s="129"/>
      <c r="M193" s="135"/>
      <c r="N193" s="137"/>
      <c r="O193" s="129"/>
      <c r="P193" s="124"/>
    </row>
    <row r="194" spans="1:16" s="122" customFormat="1" x14ac:dyDescent="0.25">
      <c r="A194" s="134"/>
      <c r="B194" s="585" t="s">
        <v>1297</v>
      </c>
      <c r="C194" s="135"/>
      <c r="D194" s="135"/>
      <c r="E194" s="135"/>
      <c r="F194" s="135"/>
      <c r="G194" s="628">
        <v>150000</v>
      </c>
      <c r="H194" s="124">
        <f t="shared" ref="H194:H196" si="136">SUM(C194:G194)</f>
        <v>150000</v>
      </c>
      <c r="I194" s="131"/>
      <c r="J194" s="131"/>
      <c r="K194" s="133"/>
      <c r="L194" s="129">
        <f t="shared" ref="L194:L196" si="137">SUM(I194:K194)</f>
        <v>0</v>
      </c>
      <c r="M194" s="131"/>
      <c r="N194" s="133"/>
      <c r="O194" s="265"/>
      <c r="P194" s="124">
        <f t="shared" ref="P194:P196" si="138">O194+L194+H194</f>
        <v>150000</v>
      </c>
    </row>
    <row r="195" spans="1:16" s="122" customFormat="1" ht="31.5" x14ac:dyDescent="0.25">
      <c r="A195" s="134"/>
      <c r="B195" s="585" t="s">
        <v>1142</v>
      </c>
      <c r="C195" s="135"/>
      <c r="D195" s="135"/>
      <c r="E195" s="135"/>
      <c r="F195" s="135"/>
      <c r="G195" s="628">
        <v>10242</v>
      </c>
      <c r="H195" s="124">
        <f t="shared" si="136"/>
        <v>10242</v>
      </c>
      <c r="I195" s="131"/>
      <c r="J195" s="131"/>
      <c r="K195" s="133"/>
      <c r="L195" s="129">
        <f t="shared" si="137"/>
        <v>0</v>
      </c>
      <c r="M195" s="131"/>
      <c r="N195" s="133"/>
      <c r="O195" s="265"/>
      <c r="P195" s="124">
        <f t="shared" si="138"/>
        <v>10242</v>
      </c>
    </row>
    <row r="196" spans="1:16" s="122" customFormat="1" ht="31.5" customHeight="1" x14ac:dyDescent="0.25">
      <c r="A196" s="134"/>
      <c r="B196" s="585" t="s">
        <v>1143</v>
      </c>
      <c r="C196" s="135"/>
      <c r="D196" s="135"/>
      <c r="E196" s="135"/>
      <c r="F196" s="135"/>
      <c r="G196" s="628">
        <v>87102</v>
      </c>
      <c r="H196" s="124">
        <f t="shared" si="136"/>
        <v>87102</v>
      </c>
      <c r="I196" s="131"/>
      <c r="J196" s="131"/>
      <c r="K196" s="133"/>
      <c r="L196" s="129">
        <f t="shared" si="137"/>
        <v>0</v>
      </c>
      <c r="M196" s="131"/>
      <c r="N196" s="133"/>
      <c r="O196" s="265"/>
      <c r="P196" s="124">
        <f t="shared" si="138"/>
        <v>87102</v>
      </c>
    </row>
    <row r="197" spans="1:16" s="122" customFormat="1" x14ac:dyDescent="0.25">
      <c r="A197" s="134"/>
      <c r="B197" s="123"/>
      <c r="C197" s="135"/>
      <c r="D197" s="135"/>
      <c r="E197" s="135"/>
      <c r="F197" s="135"/>
      <c r="G197" s="137"/>
      <c r="H197" s="129"/>
      <c r="I197" s="135"/>
      <c r="J197" s="135"/>
      <c r="K197" s="137"/>
      <c r="L197" s="129"/>
      <c r="M197" s="135"/>
      <c r="N197" s="137"/>
      <c r="O197" s="129"/>
      <c r="P197" s="124"/>
    </row>
    <row r="198" spans="1:16" x14ac:dyDescent="0.25">
      <c r="A198" s="134"/>
      <c r="B198" s="138" t="s">
        <v>720</v>
      </c>
      <c r="C198" s="131"/>
      <c r="D198" s="132"/>
      <c r="E198" s="132"/>
      <c r="F198" s="132"/>
      <c r="G198" s="142"/>
      <c r="H198" s="129"/>
      <c r="I198" s="131"/>
      <c r="J198" s="131"/>
      <c r="K198" s="133"/>
      <c r="L198" s="129"/>
      <c r="M198" s="131"/>
      <c r="N198" s="133"/>
      <c r="O198" s="265"/>
      <c r="P198" s="129"/>
    </row>
    <row r="199" spans="1:16" ht="31.5" x14ac:dyDescent="0.25">
      <c r="A199" s="134"/>
      <c r="B199" s="360" t="s">
        <v>387</v>
      </c>
      <c r="C199" s="131"/>
      <c r="D199" s="132"/>
      <c r="E199" s="132"/>
      <c r="F199" s="132"/>
      <c r="G199" s="142"/>
      <c r="H199" s="129"/>
      <c r="I199" s="131"/>
      <c r="J199" s="131"/>
      <c r="K199" s="133"/>
      <c r="L199" s="129"/>
      <c r="M199" s="131"/>
      <c r="N199" s="133"/>
      <c r="O199" s="265"/>
      <c r="P199" s="129"/>
    </row>
    <row r="200" spans="1:16" x14ac:dyDescent="0.25">
      <c r="A200" s="134"/>
      <c r="B200" s="767" t="s">
        <v>1003</v>
      </c>
      <c r="C200" s="131"/>
      <c r="D200" s="132"/>
      <c r="E200" s="132"/>
      <c r="F200" s="132"/>
      <c r="G200" s="142">
        <v>1000</v>
      </c>
      <c r="H200" s="124">
        <f>SUM(C200:G200)</f>
        <v>1000</v>
      </c>
      <c r="I200" s="131"/>
      <c r="J200" s="131"/>
      <c r="K200" s="133"/>
      <c r="L200" s="129">
        <f>SUM(I200:K200)</f>
        <v>0</v>
      </c>
      <c r="M200" s="131"/>
      <c r="N200" s="133"/>
      <c r="O200" s="265"/>
      <c r="P200" s="124">
        <f>O200+L200+H200</f>
        <v>1000</v>
      </c>
    </row>
    <row r="201" spans="1:16" x14ac:dyDescent="0.25">
      <c r="A201" s="134"/>
      <c r="B201" s="140"/>
      <c r="C201" s="131"/>
      <c r="D201" s="132"/>
      <c r="E201" s="132"/>
      <c r="F201" s="132"/>
      <c r="G201" s="142"/>
      <c r="H201" s="124"/>
      <c r="I201" s="131"/>
      <c r="J201" s="131"/>
      <c r="K201" s="133"/>
      <c r="L201" s="129"/>
      <c r="M201" s="131"/>
      <c r="N201" s="133"/>
      <c r="O201" s="265"/>
      <c r="P201" s="124"/>
    </row>
    <row r="202" spans="1:16" s="122" customFormat="1" x14ac:dyDescent="0.25">
      <c r="A202" s="134" t="s">
        <v>95</v>
      </c>
      <c r="B202" s="123" t="s">
        <v>43</v>
      </c>
      <c r="C202" s="135"/>
      <c r="D202" s="135"/>
      <c r="E202" s="135"/>
      <c r="F202" s="135"/>
      <c r="G202" s="135"/>
      <c r="H202" s="129"/>
      <c r="I202" s="135"/>
      <c r="J202" s="135"/>
      <c r="K202" s="135"/>
      <c r="L202" s="129"/>
      <c r="M202" s="135"/>
      <c r="N202" s="135"/>
      <c r="O202" s="129"/>
      <c r="P202" s="124"/>
    </row>
    <row r="203" spans="1:16" x14ac:dyDescent="0.25">
      <c r="A203" s="134"/>
      <c r="B203" s="138" t="s">
        <v>96</v>
      </c>
      <c r="C203" s="131"/>
      <c r="D203" s="132"/>
      <c r="E203" s="132"/>
      <c r="F203" s="132"/>
      <c r="G203" s="142"/>
      <c r="H203" s="129"/>
      <c r="I203" s="131"/>
      <c r="J203" s="131"/>
      <c r="K203" s="133"/>
      <c r="L203" s="129"/>
      <c r="M203" s="131"/>
      <c r="N203" s="133"/>
      <c r="O203" s="265"/>
      <c r="P203" s="129"/>
    </row>
    <row r="204" spans="1:16" ht="31.5" x14ac:dyDescent="0.25">
      <c r="A204" s="134"/>
      <c r="B204" s="360" t="s">
        <v>386</v>
      </c>
      <c r="C204" s="131"/>
      <c r="D204" s="132"/>
      <c r="E204" s="132"/>
      <c r="F204" s="132"/>
      <c r="G204" s="142"/>
      <c r="H204" s="124"/>
      <c r="I204" s="131"/>
      <c r="J204" s="131"/>
      <c r="K204" s="133"/>
      <c r="L204" s="129"/>
      <c r="M204" s="131"/>
      <c r="N204" s="133"/>
      <c r="O204" s="265"/>
      <c r="P204" s="124"/>
    </row>
    <row r="205" spans="1:16" s="574" customFormat="1" ht="78.75" x14ac:dyDescent="0.25">
      <c r="A205" s="567"/>
      <c r="B205" s="568" t="s">
        <v>1014</v>
      </c>
      <c r="C205" s="569"/>
      <c r="D205" s="141"/>
      <c r="E205" s="141"/>
      <c r="F205" s="141"/>
      <c r="G205" s="266"/>
      <c r="H205" s="570">
        <f t="shared" ref="H205" si="139">SUM(C205:G205)</f>
        <v>0</v>
      </c>
      <c r="I205" s="569"/>
      <c r="J205" s="569"/>
      <c r="K205" s="571">
        <v>10000</v>
      </c>
      <c r="L205" s="572">
        <f t="shared" ref="L205" si="140">SUM(I205:K205)</f>
        <v>10000</v>
      </c>
      <c r="M205" s="569"/>
      <c r="N205" s="571"/>
      <c r="O205" s="573"/>
      <c r="P205" s="570">
        <f t="shared" ref="P205" si="141">O205+L205+H205</f>
        <v>10000</v>
      </c>
    </row>
    <row r="206" spans="1:16" x14ac:dyDescent="0.25">
      <c r="A206" s="134"/>
      <c r="B206" s="139"/>
      <c r="C206" s="131"/>
      <c r="D206" s="132"/>
      <c r="E206" s="132"/>
      <c r="F206" s="132"/>
      <c r="G206" s="142"/>
      <c r="H206" s="124"/>
      <c r="I206" s="131"/>
      <c r="J206" s="131"/>
      <c r="K206" s="133"/>
      <c r="L206" s="129"/>
      <c r="M206" s="131"/>
      <c r="N206" s="133"/>
      <c r="O206" s="265"/>
      <c r="P206" s="124"/>
    </row>
    <row r="207" spans="1:16" x14ac:dyDescent="0.25">
      <c r="A207" s="134"/>
      <c r="B207" s="360" t="s">
        <v>411</v>
      </c>
      <c r="C207" s="131"/>
      <c r="D207" s="132"/>
      <c r="E207" s="132"/>
      <c r="F207" s="132"/>
      <c r="G207" s="142"/>
      <c r="H207" s="124"/>
      <c r="I207" s="131"/>
      <c r="J207" s="131"/>
      <c r="K207" s="133"/>
      <c r="L207" s="129"/>
      <c r="M207" s="131"/>
      <c r="N207" s="133"/>
      <c r="O207" s="265"/>
      <c r="P207" s="124"/>
    </row>
    <row r="208" spans="1:16" ht="31.5" x14ac:dyDescent="0.25">
      <c r="A208" s="134"/>
      <c r="B208" s="139" t="s">
        <v>998</v>
      </c>
      <c r="C208" s="131"/>
      <c r="D208" s="132"/>
      <c r="E208" s="132"/>
      <c r="F208" s="132"/>
      <c r="G208" s="266">
        <v>-150</v>
      </c>
      <c r="H208" s="124">
        <f t="shared" ref="H208" si="142">SUM(C208:G208)</f>
        <v>-150</v>
      </c>
      <c r="I208" s="131"/>
      <c r="J208" s="131"/>
      <c r="K208" s="133"/>
      <c r="L208" s="129">
        <f t="shared" ref="L208" si="143">SUM(I208:K208)</f>
        <v>0</v>
      </c>
      <c r="M208" s="131"/>
      <c r="N208" s="133"/>
      <c r="O208" s="265"/>
      <c r="P208" s="124">
        <f t="shared" ref="P208" si="144">O208+L208+H208</f>
        <v>-150</v>
      </c>
    </row>
    <row r="209" spans="1:16" x14ac:dyDescent="0.25">
      <c r="A209" s="134"/>
      <c r="B209" s="139"/>
      <c r="C209" s="131"/>
      <c r="D209" s="132"/>
      <c r="E209" s="132"/>
      <c r="F209" s="132"/>
      <c r="G209" s="266"/>
      <c r="H209" s="124"/>
      <c r="I209" s="131"/>
      <c r="J209" s="131"/>
      <c r="K209" s="133"/>
      <c r="L209" s="129"/>
      <c r="M209" s="131"/>
      <c r="N209" s="133"/>
      <c r="O209" s="265"/>
      <c r="P209" s="124"/>
    </row>
    <row r="210" spans="1:16" x14ac:dyDescent="0.25">
      <c r="A210" s="134"/>
      <c r="B210" s="138" t="s">
        <v>97</v>
      </c>
      <c r="C210" s="131"/>
      <c r="D210" s="132"/>
      <c r="E210" s="132"/>
      <c r="F210" s="132"/>
      <c r="G210" s="142"/>
      <c r="H210" s="124"/>
      <c r="I210" s="131"/>
      <c r="J210" s="131"/>
      <c r="K210" s="133"/>
      <c r="L210" s="129"/>
      <c r="M210" s="131"/>
      <c r="N210" s="133"/>
      <c r="O210" s="265"/>
      <c r="P210" s="124"/>
    </row>
    <row r="211" spans="1:16" ht="31.5" x14ac:dyDescent="0.25">
      <c r="A211" s="134"/>
      <c r="B211" s="360" t="s">
        <v>386</v>
      </c>
      <c r="C211" s="131"/>
      <c r="D211" s="132"/>
      <c r="E211" s="132"/>
      <c r="F211" s="132"/>
      <c r="G211" s="142"/>
      <c r="H211" s="124"/>
      <c r="I211" s="131"/>
      <c r="J211" s="131"/>
      <c r="K211" s="133"/>
      <c r="L211" s="129"/>
      <c r="M211" s="131"/>
      <c r="N211" s="133"/>
      <c r="O211" s="265"/>
      <c r="P211" s="124"/>
    </row>
    <row r="212" spans="1:16" s="574" customFormat="1" ht="47.25" x14ac:dyDescent="0.25">
      <c r="A212" s="567"/>
      <c r="B212" s="568" t="s">
        <v>1012</v>
      </c>
      <c r="C212" s="569"/>
      <c r="D212" s="141"/>
      <c r="E212" s="141"/>
      <c r="F212" s="141"/>
      <c r="G212" s="266">
        <v>368</v>
      </c>
      <c r="H212" s="570">
        <f t="shared" ref="H212" si="145">SUM(C212:G212)</f>
        <v>368</v>
      </c>
      <c r="I212" s="569"/>
      <c r="J212" s="569"/>
      <c r="K212" s="571"/>
      <c r="L212" s="572">
        <f t="shared" ref="L212" si="146">SUM(I212:K212)</f>
        <v>0</v>
      </c>
      <c r="M212" s="569"/>
      <c r="N212" s="571"/>
      <c r="O212" s="573"/>
      <c r="P212" s="570">
        <f t="shared" ref="P212" si="147">O212+L212+H212</f>
        <v>368</v>
      </c>
    </row>
    <row r="213" spans="1:16" s="574" customFormat="1" x14ac:dyDescent="0.25">
      <c r="A213" s="567"/>
      <c r="B213" s="568"/>
      <c r="C213" s="569"/>
      <c r="D213" s="141"/>
      <c r="E213" s="141"/>
      <c r="F213" s="141"/>
      <c r="G213" s="266"/>
      <c r="H213" s="570"/>
      <c r="I213" s="569"/>
      <c r="J213" s="569"/>
      <c r="K213" s="571"/>
      <c r="L213" s="572"/>
      <c r="M213" s="569"/>
      <c r="N213" s="571"/>
      <c r="O213" s="573"/>
      <c r="P213" s="570"/>
    </row>
    <row r="214" spans="1:16" s="574" customFormat="1" ht="31.5" x14ac:dyDescent="0.25">
      <c r="A214" s="567"/>
      <c r="B214" s="360" t="s">
        <v>691</v>
      </c>
      <c r="C214" s="569"/>
      <c r="D214" s="141"/>
      <c r="E214" s="141"/>
      <c r="F214" s="141"/>
      <c r="G214" s="266"/>
      <c r="H214" s="570"/>
      <c r="I214" s="569"/>
      <c r="J214" s="569"/>
      <c r="K214" s="571"/>
      <c r="L214" s="572"/>
      <c r="M214" s="569"/>
      <c r="N214" s="571"/>
      <c r="O214" s="573"/>
      <c r="P214" s="570"/>
    </row>
    <row r="215" spans="1:16" ht="47.25" x14ac:dyDescent="0.25">
      <c r="A215" s="134"/>
      <c r="B215" s="139" t="s">
        <v>1113</v>
      </c>
      <c r="C215" s="131"/>
      <c r="D215" s="132"/>
      <c r="E215" s="132"/>
      <c r="F215" s="132"/>
      <c r="G215" s="142">
        <v>-21000</v>
      </c>
      <c r="H215" s="124">
        <f t="shared" ref="H215:H218" si="148">SUM(C215:G215)</f>
        <v>-21000</v>
      </c>
      <c r="I215" s="131"/>
      <c r="J215" s="131"/>
      <c r="K215" s="133">
        <v>21000</v>
      </c>
      <c r="L215" s="129">
        <f t="shared" ref="L215:L218" si="149">SUM(I215:K215)</f>
        <v>21000</v>
      </c>
      <c r="M215" s="131"/>
      <c r="N215" s="133"/>
      <c r="O215" s="265"/>
      <c r="P215" s="124">
        <f t="shared" ref="P215:P218" si="150">O215+L215+H215</f>
        <v>0</v>
      </c>
    </row>
    <row r="216" spans="1:16" x14ac:dyDescent="0.25">
      <c r="A216" s="134"/>
      <c r="B216" s="139"/>
      <c r="C216" s="131"/>
      <c r="D216" s="132"/>
      <c r="E216" s="132"/>
      <c r="F216" s="132"/>
      <c r="G216" s="142"/>
      <c r="H216" s="124"/>
      <c r="I216" s="131"/>
      <c r="J216" s="131"/>
      <c r="K216" s="133"/>
      <c r="L216" s="129"/>
      <c r="M216" s="131"/>
      <c r="N216" s="133"/>
      <c r="O216" s="265"/>
      <c r="P216" s="124"/>
    </row>
    <row r="217" spans="1:16" x14ac:dyDescent="0.25">
      <c r="A217" s="134"/>
      <c r="B217" s="363" t="s">
        <v>411</v>
      </c>
      <c r="C217" s="131"/>
      <c r="D217" s="132"/>
      <c r="E217" s="132"/>
      <c r="F217" s="132"/>
      <c r="G217" s="142"/>
      <c r="H217" s="124"/>
      <c r="I217" s="131"/>
      <c r="J217" s="131"/>
      <c r="K217" s="133"/>
      <c r="L217" s="129"/>
      <c r="M217" s="131"/>
      <c r="N217" s="133"/>
      <c r="O217" s="265"/>
      <c r="P217" s="124"/>
    </row>
    <row r="218" spans="1:16" ht="58.5" customHeight="1" x14ac:dyDescent="0.25">
      <c r="A218" s="134"/>
      <c r="B218" s="139" t="s">
        <v>985</v>
      </c>
      <c r="C218" s="131"/>
      <c r="D218" s="132"/>
      <c r="E218" s="132"/>
      <c r="F218" s="132"/>
      <c r="G218" s="142">
        <v>-600</v>
      </c>
      <c r="H218" s="124">
        <f t="shared" si="148"/>
        <v>-600</v>
      </c>
      <c r="I218" s="131"/>
      <c r="J218" s="131"/>
      <c r="K218" s="133"/>
      <c r="L218" s="129">
        <f t="shared" si="149"/>
        <v>0</v>
      </c>
      <c r="M218" s="131"/>
      <c r="N218" s="133"/>
      <c r="O218" s="265"/>
      <c r="P218" s="124">
        <f t="shared" si="150"/>
        <v>-600</v>
      </c>
    </row>
    <row r="219" spans="1:16" x14ac:dyDescent="0.25">
      <c r="A219" s="134"/>
      <c r="B219" s="139"/>
      <c r="C219" s="131"/>
      <c r="D219" s="132"/>
      <c r="E219" s="132"/>
      <c r="F219" s="132"/>
      <c r="G219" s="142"/>
      <c r="H219" s="124"/>
      <c r="I219" s="131"/>
      <c r="J219" s="131"/>
      <c r="K219" s="133"/>
      <c r="L219" s="129"/>
      <c r="M219" s="131"/>
      <c r="N219" s="133"/>
      <c r="O219" s="265"/>
      <c r="P219" s="124"/>
    </row>
    <row r="220" spans="1:16" x14ac:dyDescent="0.25">
      <c r="A220" s="134"/>
      <c r="B220" s="138" t="s">
        <v>98</v>
      </c>
      <c r="C220" s="131"/>
      <c r="D220" s="132"/>
      <c r="E220" s="132"/>
      <c r="F220" s="132"/>
      <c r="G220" s="142"/>
      <c r="H220" s="124"/>
      <c r="I220" s="131"/>
      <c r="J220" s="131"/>
      <c r="K220" s="133"/>
      <c r="L220" s="129"/>
      <c r="M220" s="131"/>
      <c r="N220" s="133"/>
      <c r="O220" s="265"/>
      <c r="P220" s="124"/>
    </row>
    <row r="221" spans="1:16" ht="31.5" x14ac:dyDescent="0.25">
      <c r="A221" s="134"/>
      <c r="B221" s="360" t="s">
        <v>691</v>
      </c>
      <c r="C221" s="131"/>
      <c r="D221" s="132"/>
      <c r="E221" s="132"/>
      <c r="F221" s="141"/>
      <c r="G221" s="142"/>
      <c r="H221" s="124"/>
      <c r="I221" s="131"/>
      <c r="J221" s="131"/>
      <c r="K221" s="133"/>
      <c r="L221" s="129"/>
      <c r="M221" s="131"/>
      <c r="N221" s="133"/>
      <c r="O221" s="265"/>
      <c r="P221" s="124"/>
    </row>
    <row r="222" spans="1:16" ht="31.5" x14ac:dyDescent="0.25">
      <c r="A222" s="134"/>
      <c r="B222" s="139" t="s">
        <v>1114</v>
      </c>
      <c r="C222" s="131"/>
      <c r="D222" s="132"/>
      <c r="E222" s="132"/>
      <c r="F222" s="132"/>
      <c r="G222" s="142">
        <v>-1221</v>
      </c>
      <c r="H222" s="124">
        <f t="shared" ref="H222:H223" si="151">SUM(C222:G222)</f>
        <v>-1221</v>
      </c>
      <c r="I222" s="131">
        <v>1221</v>
      </c>
      <c r="J222" s="131"/>
      <c r="K222" s="133"/>
      <c r="L222" s="129">
        <f t="shared" ref="L222:L223" si="152">SUM(I222:K222)</f>
        <v>1221</v>
      </c>
      <c r="M222" s="131"/>
      <c r="N222" s="133"/>
      <c r="O222" s="265"/>
      <c r="P222" s="124">
        <f t="shared" ref="P222:P223" si="153">O222+L222+H222</f>
        <v>0</v>
      </c>
    </row>
    <row r="223" spans="1:16" x14ac:dyDescent="0.25">
      <c r="A223" s="134"/>
      <c r="B223" s="139" t="s">
        <v>1115</v>
      </c>
      <c r="C223" s="131">
        <v>443</v>
      </c>
      <c r="D223" s="132"/>
      <c r="E223" s="132">
        <v>119</v>
      </c>
      <c r="F223" s="132"/>
      <c r="G223" s="142">
        <v>-562</v>
      </c>
      <c r="H223" s="124">
        <f t="shared" si="151"/>
        <v>0</v>
      </c>
      <c r="I223" s="131"/>
      <c r="J223" s="131"/>
      <c r="K223" s="133"/>
      <c r="L223" s="129">
        <f t="shared" si="152"/>
        <v>0</v>
      </c>
      <c r="M223" s="131"/>
      <c r="N223" s="133"/>
      <c r="O223" s="265"/>
      <c r="P223" s="124">
        <f t="shared" si="153"/>
        <v>0</v>
      </c>
    </row>
    <row r="224" spans="1:16" x14ac:dyDescent="0.25">
      <c r="A224" s="134"/>
      <c r="B224" s="139" t="s">
        <v>931</v>
      </c>
      <c r="C224" s="131">
        <v>80</v>
      </c>
      <c r="D224" s="132">
        <v>195</v>
      </c>
      <c r="E224" s="132">
        <v>-160</v>
      </c>
      <c r="F224" s="132"/>
      <c r="G224" s="142">
        <v>-115</v>
      </c>
      <c r="H224" s="124">
        <f>SUM(C224:G224)</f>
        <v>0</v>
      </c>
      <c r="I224" s="131"/>
      <c r="J224" s="131"/>
      <c r="K224" s="133"/>
      <c r="L224" s="129">
        <f>SUM(I224:K224)</f>
        <v>0</v>
      </c>
      <c r="M224" s="131"/>
      <c r="N224" s="133"/>
      <c r="O224" s="265"/>
      <c r="P224" s="124">
        <f>O224+L224+H224</f>
        <v>0</v>
      </c>
    </row>
    <row r="225" spans="1:16" x14ac:dyDescent="0.25">
      <c r="A225" s="134"/>
      <c r="B225" s="139" t="s">
        <v>1116</v>
      </c>
      <c r="C225" s="131">
        <v>40</v>
      </c>
      <c r="D225" s="132">
        <v>8</v>
      </c>
      <c r="E225" s="132">
        <v>-48</v>
      </c>
      <c r="F225" s="132"/>
      <c r="G225" s="142"/>
      <c r="H225" s="124">
        <f>SUM(C225:G225)</f>
        <v>0</v>
      </c>
      <c r="I225" s="131"/>
      <c r="J225" s="131"/>
      <c r="K225" s="133"/>
      <c r="L225" s="129">
        <f>SUM(I225:K225)</f>
        <v>0</v>
      </c>
      <c r="M225" s="131"/>
      <c r="N225" s="133"/>
      <c r="O225" s="265"/>
      <c r="P225" s="124">
        <f>O225+L225+H225</f>
        <v>0</v>
      </c>
    </row>
    <row r="226" spans="1:16" x14ac:dyDescent="0.25">
      <c r="A226" s="134"/>
      <c r="B226" s="140"/>
      <c r="C226" s="131"/>
      <c r="D226" s="132"/>
      <c r="E226" s="132"/>
      <c r="F226" s="132"/>
      <c r="G226" s="142"/>
      <c r="H226" s="124"/>
      <c r="I226" s="131"/>
      <c r="J226" s="131"/>
      <c r="K226" s="133"/>
      <c r="L226" s="129"/>
      <c r="M226" s="131"/>
      <c r="N226" s="133"/>
      <c r="O226" s="265"/>
      <c r="P226" s="124"/>
    </row>
    <row r="227" spans="1:16" ht="31.5" x14ac:dyDescent="0.25">
      <c r="A227" s="134"/>
      <c r="B227" s="360" t="s">
        <v>387</v>
      </c>
      <c r="C227" s="131"/>
      <c r="D227" s="132"/>
      <c r="E227" s="132"/>
      <c r="F227" s="132"/>
      <c r="G227" s="142"/>
      <c r="H227" s="124"/>
      <c r="I227" s="131"/>
      <c r="J227" s="131"/>
      <c r="K227" s="133"/>
      <c r="L227" s="129"/>
      <c r="M227" s="131"/>
      <c r="N227" s="133"/>
      <c r="O227" s="265"/>
      <c r="P227" s="124"/>
    </row>
    <row r="228" spans="1:16" ht="31.5" x14ac:dyDescent="0.25">
      <c r="A228" s="134"/>
      <c r="B228" s="139" t="s">
        <v>1004</v>
      </c>
      <c r="C228" s="131"/>
      <c r="D228" s="132"/>
      <c r="E228" s="132"/>
      <c r="F228" s="132"/>
      <c r="G228" s="142">
        <v>800</v>
      </c>
      <c r="H228" s="124">
        <f t="shared" ref="H228:H230" si="154">SUM(C228:G228)</f>
        <v>800</v>
      </c>
      <c r="I228" s="131"/>
      <c r="J228" s="131"/>
      <c r="K228" s="133"/>
      <c r="L228" s="129">
        <f t="shared" ref="L228:L230" si="155">SUM(I228:K228)</f>
        <v>0</v>
      </c>
      <c r="M228" s="131"/>
      <c r="N228" s="133"/>
      <c r="O228" s="265"/>
      <c r="P228" s="124">
        <f t="shared" ref="P228:P230" si="156">O228+L228+H228</f>
        <v>800</v>
      </c>
    </row>
    <row r="229" spans="1:16" ht="31.5" x14ac:dyDescent="0.25">
      <c r="A229" s="134"/>
      <c r="B229" s="139" t="s">
        <v>1028</v>
      </c>
      <c r="C229" s="131"/>
      <c r="D229" s="132"/>
      <c r="E229" s="132"/>
      <c r="F229" s="132"/>
      <c r="G229" s="142">
        <v>2000</v>
      </c>
      <c r="H229" s="124">
        <f t="shared" si="154"/>
        <v>2000</v>
      </c>
      <c r="I229" s="131"/>
      <c r="J229" s="131"/>
      <c r="K229" s="133"/>
      <c r="L229" s="129">
        <f t="shared" si="155"/>
        <v>0</v>
      </c>
      <c r="M229" s="131"/>
      <c r="N229" s="133"/>
      <c r="O229" s="265"/>
      <c r="P229" s="124">
        <f t="shared" si="156"/>
        <v>2000</v>
      </c>
    </row>
    <row r="230" spans="1:16" ht="47.25" x14ac:dyDescent="0.25">
      <c r="A230" s="134"/>
      <c r="B230" s="139" t="s">
        <v>1301</v>
      </c>
      <c r="C230" s="131"/>
      <c r="D230" s="132"/>
      <c r="E230" s="132"/>
      <c r="F230" s="132"/>
      <c r="G230" s="142">
        <v>30000</v>
      </c>
      <c r="H230" s="124">
        <f t="shared" si="154"/>
        <v>30000</v>
      </c>
      <c r="I230" s="131"/>
      <c r="J230" s="131"/>
      <c r="K230" s="133"/>
      <c r="L230" s="129">
        <f t="shared" si="155"/>
        <v>0</v>
      </c>
      <c r="M230" s="131"/>
      <c r="N230" s="133"/>
      <c r="O230" s="265"/>
      <c r="P230" s="124">
        <f t="shared" si="156"/>
        <v>30000</v>
      </c>
    </row>
    <row r="231" spans="1:16" x14ac:dyDescent="0.25">
      <c r="A231" s="134"/>
      <c r="B231" s="139"/>
      <c r="C231" s="131"/>
      <c r="D231" s="132"/>
      <c r="E231" s="141"/>
      <c r="F231" s="132"/>
      <c r="G231" s="142"/>
      <c r="H231" s="124"/>
      <c r="I231" s="131"/>
      <c r="J231" s="131"/>
      <c r="K231" s="133"/>
      <c r="L231" s="129"/>
      <c r="M231" s="131"/>
      <c r="N231" s="133"/>
      <c r="O231" s="265"/>
      <c r="P231" s="124"/>
    </row>
    <row r="232" spans="1:16" ht="31.5" x14ac:dyDescent="0.25">
      <c r="A232" s="134"/>
      <c r="B232" s="360" t="s">
        <v>386</v>
      </c>
      <c r="C232" s="131"/>
      <c r="D232" s="132"/>
      <c r="E232" s="141"/>
      <c r="F232" s="132"/>
      <c r="G232" s="142"/>
      <c r="H232" s="124"/>
      <c r="I232" s="131"/>
      <c r="J232" s="131"/>
      <c r="K232" s="133"/>
      <c r="L232" s="129"/>
      <c r="M232" s="131"/>
      <c r="N232" s="133"/>
      <c r="O232" s="265"/>
      <c r="P232" s="124"/>
    </row>
    <row r="233" spans="1:16" ht="31.5" x14ac:dyDescent="0.25">
      <c r="A233" s="134"/>
      <c r="B233" s="139" t="s">
        <v>1013</v>
      </c>
      <c r="C233" s="131"/>
      <c r="D233" s="132"/>
      <c r="E233" s="132"/>
      <c r="F233" s="132"/>
      <c r="G233" s="142">
        <v>2540</v>
      </c>
      <c r="H233" s="124">
        <f t="shared" ref="H233" si="157">SUM(C233:G233)</f>
        <v>2540</v>
      </c>
      <c r="I233" s="131"/>
      <c r="J233" s="131"/>
      <c r="K233" s="133"/>
      <c r="L233" s="129">
        <f t="shared" ref="L233" si="158">SUM(I233:K233)</f>
        <v>0</v>
      </c>
      <c r="M233" s="131"/>
      <c r="N233" s="133"/>
      <c r="O233" s="265"/>
      <c r="P233" s="124">
        <f t="shared" ref="P233" si="159">O233+L233+H233</f>
        <v>2540</v>
      </c>
    </row>
    <row r="234" spans="1:16" x14ac:dyDescent="0.25">
      <c r="A234" s="134"/>
      <c r="B234" s="140"/>
      <c r="C234" s="131"/>
      <c r="D234" s="132"/>
      <c r="E234" s="132"/>
      <c r="F234" s="132"/>
      <c r="G234" s="142"/>
      <c r="H234" s="124"/>
      <c r="I234" s="131"/>
      <c r="J234" s="131"/>
      <c r="K234" s="133"/>
      <c r="L234" s="129"/>
      <c r="M234" s="131"/>
      <c r="N234" s="133"/>
      <c r="O234" s="265"/>
      <c r="P234" s="124"/>
    </row>
    <row r="235" spans="1:16" x14ac:dyDescent="0.25">
      <c r="A235" s="134"/>
      <c r="B235" s="363" t="s">
        <v>582</v>
      </c>
      <c r="C235" s="131"/>
      <c r="D235" s="132"/>
      <c r="E235" s="132"/>
      <c r="F235" s="132"/>
      <c r="G235" s="142"/>
      <c r="H235" s="124"/>
      <c r="I235" s="131"/>
      <c r="J235" s="131"/>
      <c r="K235" s="133"/>
      <c r="L235" s="129"/>
      <c r="M235" s="131"/>
      <c r="N235" s="133"/>
      <c r="O235" s="265"/>
      <c r="P235" s="124"/>
    </row>
    <row r="236" spans="1:16" ht="63" x14ac:dyDescent="0.25">
      <c r="A236" s="134"/>
      <c r="B236" s="139" t="s">
        <v>981</v>
      </c>
      <c r="C236" s="131"/>
      <c r="D236" s="132"/>
      <c r="E236" s="132"/>
      <c r="F236" s="132"/>
      <c r="G236" s="266">
        <v>-400</v>
      </c>
      <c r="H236" s="129">
        <f>SUM(C236:G236)</f>
        <v>-400</v>
      </c>
      <c r="I236" s="131"/>
      <c r="J236" s="131"/>
      <c r="K236" s="133"/>
      <c r="L236" s="129">
        <f>SUM(I236:K236)</f>
        <v>0</v>
      </c>
      <c r="M236" s="131"/>
      <c r="N236" s="133"/>
      <c r="O236" s="265"/>
      <c r="P236" s="129">
        <f>O236+L236+H236</f>
        <v>-400</v>
      </c>
    </row>
    <row r="237" spans="1:16" ht="63" x14ac:dyDescent="0.25">
      <c r="A237" s="134"/>
      <c r="B237" s="139" t="s">
        <v>999</v>
      </c>
      <c r="C237" s="131"/>
      <c r="D237" s="132"/>
      <c r="E237" s="141"/>
      <c r="F237" s="132"/>
      <c r="G237" s="142">
        <v>-2477</v>
      </c>
      <c r="H237" s="124">
        <f>SUM(C237:G237)</f>
        <v>-2477</v>
      </c>
      <c r="I237" s="131"/>
      <c r="J237" s="131"/>
      <c r="K237" s="133"/>
      <c r="L237" s="129">
        <f>SUM(I237:K237)</f>
        <v>0</v>
      </c>
      <c r="M237" s="131"/>
      <c r="N237" s="133"/>
      <c r="O237" s="265"/>
      <c r="P237" s="124">
        <f>O237+L237+H237</f>
        <v>-2477</v>
      </c>
    </row>
    <row r="238" spans="1:16" ht="94.5" x14ac:dyDescent="0.25">
      <c r="A238" s="134"/>
      <c r="B238" s="626" t="s">
        <v>982</v>
      </c>
      <c r="C238" s="131"/>
      <c r="D238" s="132"/>
      <c r="E238" s="132"/>
      <c r="F238" s="132"/>
      <c r="G238" s="266">
        <v>-1248</v>
      </c>
      <c r="H238" s="129">
        <f>SUM(C238:G238)</f>
        <v>-1248</v>
      </c>
      <c r="I238" s="131"/>
      <c r="J238" s="131"/>
      <c r="K238" s="133"/>
      <c r="L238" s="129">
        <f>SUM(I238:K238)</f>
        <v>0</v>
      </c>
      <c r="M238" s="131"/>
      <c r="N238" s="133"/>
      <c r="O238" s="265"/>
      <c r="P238" s="129">
        <f>O238+L238+H238</f>
        <v>-1248</v>
      </c>
    </row>
    <row r="239" spans="1:16" s="574" customFormat="1" x14ac:dyDescent="0.25">
      <c r="A239" s="567"/>
      <c r="B239" s="568"/>
      <c r="C239" s="569"/>
      <c r="D239" s="141"/>
      <c r="E239" s="141"/>
      <c r="F239" s="141"/>
      <c r="G239" s="266"/>
      <c r="H239" s="570"/>
      <c r="I239" s="569"/>
      <c r="J239" s="569"/>
      <c r="K239" s="571"/>
      <c r="L239" s="572"/>
      <c r="M239" s="569"/>
      <c r="N239" s="571"/>
      <c r="O239" s="573"/>
      <c r="P239" s="570"/>
    </row>
    <row r="240" spans="1:16" s="359" customFormat="1" x14ac:dyDescent="0.25">
      <c r="A240" s="364"/>
      <c r="B240" s="402" t="s">
        <v>99</v>
      </c>
      <c r="C240" s="356"/>
      <c r="D240" s="365"/>
      <c r="E240" s="365"/>
      <c r="F240" s="366"/>
      <c r="G240" s="366"/>
      <c r="H240" s="124"/>
      <c r="I240" s="356"/>
      <c r="J240" s="356"/>
      <c r="K240" s="366"/>
      <c r="L240" s="129"/>
      <c r="M240" s="356"/>
      <c r="N240" s="366"/>
      <c r="O240" s="367"/>
      <c r="P240" s="124"/>
    </row>
    <row r="241" spans="1:16" x14ac:dyDescent="0.25">
      <c r="A241" s="134"/>
      <c r="B241" s="363" t="s">
        <v>410</v>
      </c>
      <c r="C241" s="131"/>
      <c r="D241" s="132"/>
      <c r="E241" s="141"/>
      <c r="F241" s="132"/>
      <c r="G241" s="266"/>
      <c r="H241" s="124"/>
      <c r="I241" s="131"/>
      <c r="J241" s="131"/>
      <c r="K241" s="133"/>
      <c r="L241" s="129"/>
      <c r="M241" s="131"/>
      <c r="N241" s="133"/>
      <c r="O241" s="265"/>
      <c r="P241" s="124"/>
    </row>
    <row r="242" spans="1:16" x14ac:dyDescent="0.25">
      <c r="A242" s="134"/>
      <c r="B242" s="139" t="s">
        <v>411</v>
      </c>
      <c r="C242" s="131"/>
      <c r="D242" s="132"/>
      <c r="E242" s="132"/>
      <c r="F242" s="132"/>
      <c r="G242" s="142"/>
      <c r="H242" s="124"/>
      <c r="I242" s="131"/>
      <c r="J242" s="131"/>
      <c r="K242" s="133"/>
      <c r="L242" s="129"/>
      <c r="M242" s="131"/>
      <c r="N242" s="133"/>
      <c r="O242" s="265"/>
      <c r="P242" s="124"/>
    </row>
    <row r="243" spans="1:16" ht="32.25" customHeight="1" x14ac:dyDescent="0.25">
      <c r="A243" s="134"/>
      <c r="B243" s="362" t="s">
        <v>923</v>
      </c>
      <c r="C243" s="131">
        <v>-2000</v>
      </c>
      <c r="D243" s="132">
        <v>-351</v>
      </c>
      <c r="E243" s="132"/>
      <c r="F243" s="132"/>
      <c r="G243" s="267"/>
      <c r="H243" s="124">
        <f t="shared" ref="H243" si="160">SUM(C243:G243)</f>
        <v>-2351</v>
      </c>
      <c r="I243" s="131"/>
      <c r="J243" s="131"/>
      <c r="K243" s="133"/>
      <c r="L243" s="129">
        <f t="shared" ref="L243" si="161">SUM(I243:K243)</f>
        <v>0</v>
      </c>
      <c r="M243" s="131"/>
      <c r="N243" s="133"/>
      <c r="O243" s="265"/>
      <c r="P243" s="124">
        <f t="shared" ref="P243" si="162">O243+L243+H243</f>
        <v>-2351</v>
      </c>
    </row>
    <row r="244" spans="1:16" x14ac:dyDescent="0.25">
      <c r="A244" s="134"/>
      <c r="B244" s="362"/>
      <c r="C244" s="131"/>
      <c r="D244" s="132"/>
      <c r="E244" s="132"/>
      <c r="F244" s="132"/>
      <c r="G244" s="267"/>
      <c r="H244" s="124"/>
      <c r="I244" s="131"/>
      <c r="J244" s="131"/>
      <c r="K244" s="133"/>
      <c r="L244" s="129"/>
      <c r="M244" s="131"/>
      <c r="N244" s="133"/>
      <c r="O244" s="265"/>
      <c r="P244" s="124"/>
    </row>
    <row r="245" spans="1:16" x14ac:dyDescent="0.25">
      <c r="A245" s="134"/>
      <c r="B245" s="363" t="s">
        <v>581</v>
      </c>
      <c r="C245" s="131"/>
      <c r="D245" s="132"/>
      <c r="E245" s="141"/>
      <c r="F245" s="132"/>
      <c r="G245" s="266"/>
      <c r="H245" s="124"/>
      <c r="I245" s="131"/>
      <c r="J245" s="131"/>
      <c r="K245" s="133"/>
      <c r="L245" s="129"/>
      <c r="M245" s="131"/>
      <c r="N245" s="133"/>
      <c r="O245" s="265"/>
      <c r="P245" s="124"/>
    </row>
    <row r="246" spans="1:16" x14ac:dyDescent="0.25">
      <c r="A246" s="134"/>
      <c r="B246" s="139" t="s">
        <v>411</v>
      </c>
      <c r="C246" s="131"/>
      <c r="D246" s="132"/>
      <c r="E246" s="132"/>
      <c r="F246" s="132"/>
      <c r="G246" s="142"/>
      <c r="H246" s="124"/>
      <c r="I246" s="131"/>
      <c r="J246" s="131"/>
      <c r="K246" s="133"/>
      <c r="L246" s="129"/>
      <c r="M246" s="131"/>
      <c r="N246" s="133"/>
      <c r="O246" s="265"/>
      <c r="P246" s="124"/>
    </row>
    <row r="247" spans="1:16" ht="31.5" x14ac:dyDescent="0.25">
      <c r="A247" s="134"/>
      <c r="B247" s="362" t="s">
        <v>924</v>
      </c>
      <c r="C247" s="131">
        <v>-7500</v>
      </c>
      <c r="D247" s="132">
        <v>-1316</v>
      </c>
      <c r="E247" s="132"/>
      <c r="F247" s="132"/>
      <c r="G247" s="267"/>
      <c r="H247" s="124">
        <f t="shared" ref="H247" si="163">SUM(C247:G247)</f>
        <v>-8816</v>
      </c>
      <c r="I247" s="131"/>
      <c r="J247" s="131"/>
      <c r="K247" s="133"/>
      <c r="L247" s="129">
        <f t="shared" ref="L247" si="164">SUM(I247:K247)</f>
        <v>0</v>
      </c>
      <c r="M247" s="131"/>
      <c r="N247" s="133"/>
      <c r="O247" s="265"/>
      <c r="P247" s="124">
        <f t="shared" ref="P247" si="165">O247+L247+H247</f>
        <v>-8816</v>
      </c>
    </row>
    <row r="248" spans="1:16" x14ac:dyDescent="0.25">
      <c r="A248" s="134"/>
      <c r="B248" s="362"/>
      <c r="C248" s="131"/>
      <c r="D248" s="132"/>
      <c r="E248" s="132"/>
      <c r="F248" s="132"/>
      <c r="G248" s="267"/>
      <c r="H248" s="124"/>
      <c r="I248" s="131"/>
      <c r="J248" s="131"/>
      <c r="K248" s="133"/>
      <c r="L248" s="129"/>
      <c r="M248" s="131"/>
      <c r="N248" s="133"/>
      <c r="O248" s="265"/>
      <c r="P248" s="124"/>
    </row>
    <row r="249" spans="1:16" ht="31.5" x14ac:dyDescent="0.25">
      <c r="A249" s="134"/>
      <c r="B249" s="575" t="s">
        <v>252</v>
      </c>
      <c r="C249" s="131"/>
      <c r="D249" s="132"/>
      <c r="E249" s="132"/>
      <c r="F249" s="132"/>
      <c r="G249" s="267"/>
      <c r="H249" s="124"/>
      <c r="I249" s="131"/>
      <c r="J249" s="131"/>
      <c r="K249" s="133"/>
      <c r="L249" s="129"/>
      <c r="M249" s="131"/>
      <c r="N249" s="133"/>
      <c r="O249" s="265"/>
      <c r="P249" s="124"/>
    </row>
    <row r="250" spans="1:16" ht="31.5" x14ac:dyDescent="0.25">
      <c r="A250" s="134"/>
      <c r="B250" s="769" t="s">
        <v>387</v>
      </c>
      <c r="C250" s="131"/>
      <c r="D250" s="132"/>
      <c r="E250" s="132"/>
      <c r="F250" s="132"/>
      <c r="G250" s="267"/>
      <c r="H250" s="124"/>
      <c r="I250" s="131"/>
      <c r="J250" s="131"/>
      <c r="K250" s="133"/>
      <c r="L250" s="129"/>
      <c r="M250" s="131"/>
      <c r="N250" s="133"/>
      <c r="O250" s="265"/>
      <c r="P250" s="124"/>
    </row>
    <row r="251" spans="1:16" x14ac:dyDescent="0.25">
      <c r="A251" s="134"/>
      <c r="B251" s="362" t="s">
        <v>1005</v>
      </c>
      <c r="C251" s="131"/>
      <c r="D251" s="132"/>
      <c r="E251" s="132"/>
      <c r="F251" s="132"/>
      <c r="G251" s="267">
        <v>2286</v>
      </c>
      <c r="H251" s="124">
        <f t="shared" ref="H251" si="166">SUM(C251:G251)</f>
        <v>2286</v>
      </c>
      <c r="I251" s="131"/>
      <c r="J251" s="131"/>
      <c r="K251" s="133"/>
      <c r="L251" s="129">
        <f t="shared" ref="L251" si="167">SUM(I251:K251)</f>
        <v>0</v>
      </c>
      <c r="M251" s="131"/>
      <c r="N251" s="133"/>
      <c r="O251" s="265"/>
      <c r="P251" s="124">
        <f t="shared" ref="P251" si="168">O251+L251+H251</f>
        <v>2286</v>
      </c>
    </row>
    <row r="252" spans="1:16" x14ac:dyDescent="0.25">
      <c r="A252" s="134"/>
      <c r="B252" s="362"/>
      <c r="C252" s="131"/>
      <c r="D252" s="132"/>
      <c r="E252" s="132"/>
      <c r="F252" s="132"/>
      <c r="G252" s="267"/>
      <c r="H252" s="124"/>
      <c r="I252" s="131"/>
      <c r="J252" s="131"/>
      <c r="K252" s="133"/>
      <c r="L252" s="129"/>
      <c r="M252" s="131"/>
      <c r="N252" s="133"/>
      <c r="O252" s="265"/>
      <c r="P252" s="124"/>
    </row>
    <row r="253" spans="1:16" ht="31.5" x14ac:dyDescent="0.25">
      <c r="A253" s="134"/>
      <c r="B253" s="368" t="s">
        <v>386</v>
      </c>
      <c r="C253" s="131"/>
      <c r="D253" s="132"/>
      <c r="E253" s="132"/>
      <c r="F253" s="132"/>
      <c r="G253" s="267"/>
      <c r="H253" s="124"/>
      <c r="I253" s="131"/>
      <c r="J253" s="131"/>
      <c r="K253" s="133"/>
      <c r="L253" s="129"/>
      <c r="M253" s="131"/>
      <c r="N253" s="133"/>
      <c r="O253" s="265"/>
      <c r="P253" s="124"/>
    </row>
    <row r="254" spans="1:16" x14ac:dyDescent="0.25">
      <c r="A254" s="134"/>
      <c r="B254" s="362" t="s">
        <v>1006</v>
      </c>
      <c r="C254" s="131"/>
      <c r="D254" s="132"/>
      <c r="E254" s="132"/>
      <c r="F254" s="132"/>
      <c r="G254" s="267">
        <v>2000</v>
      </c>
      <c r="H254" s="124">
        <f t="shared" ref="H254" si="169">SUM(C254:G254)</f>
        <v>2000</v>
      </c>
      <c r="I254" s="131"/>
      <c r="J254" s="131"/>
      <c r="K254" s="133"/>
      <c r="L254" s="129">
        <f t="shared" ref="L254" si="170">SUM(I254:K254)</f>
        <v>0</v>
      </c>
      <c r="M254" s="131"/>
      <c r="N254" s="133"/>
      <c r="O254" s="265"/>
      <c r="P254" s="124">
        <f t="shared" ref="P254" si="171">O254+L254+H254</f>
        <v>2000</v>
      </c>
    </row>
    <row r="255" spans="1:16" x14ac:dyDescent="0.25">
      <c r="A255" s="134"/>
      <c r="B255" s="362"/>
      <c r="C255" s="131"/>
      <c r="D255" s="132"/>
      <c r="E255" s="132"/>
      <c r="F255" s="132"/>
      <c r="G255" s="267"/>
      <c r="H255" s="124"/>
      <c r="I255" s="131"/>
      <c r="J255" s="131"/>
      <c r="K255" s="133"/>
      <c r="L255" s="129"/>
      <c r="M255" s="131"/>
      <c r="N255" s="133"/>
      <c r="O255" s="265"/>
      <c r="P255" s="124"/>
    </row>
    <row r="256" spans="1:16" ht="31.5" x14ac:dyDescent="0.25">
      <c r="A256" s="134"/>
      <c r="B256" s="360" t="s">
        <v>691</v>
      </c>
      <c r="C256" s="131"/>
      <c r="D256" s="132"/>
      <c r="E256" s="132"/>
      <c r="F256" s="141"/>
      <c r="G256" s="142"/>
      <c r="H256" s="124"/>
      <c r="I256" s="131"/>
      <c r="J256" s="131"/>
      <c r="K256" s="133"/>
      <c r="L256" s="129"/>
      <c r="M256" s="131"/>
      <c r="N256" s="133"/>
      <c r="O256" s="265"/>
      <c r="P256" s="124"/>
    </row>
    <row r="257" spans="1:16" ht="31.5" x14ac:dyDescent="0.25">
      <c r="A257" s="134"/>
      <c r="B257" s="139" t="s">
        <v>1117</v>
      </c>
      <c r="C257" s="131"/>
      <c r="D257" s="132"/>
      <c r="E257" s="132"/>
      <c r="F257" s="132"/>
      <c r="G257" s="142">
        <v>-70000</v>
      </c>
      <c r="H257" s="124">
        <f t="shared" ref="H257" si="172">SUM(C257:G257)</f>
        <v>-70000</v>
      </c>
      <c r="I257" s="131"/>
      <c r="J257" s="131"/>
      <c r="K257" s="133">
        <v>70000</v>
      </c>
      <c r="L257" s="129">
        <f t="shared" ref="L257" si="173">SUM(I257:K257)</f>
        <v>70000</v>
      </c>
      <c r="M257" s="131"/>
      <c r="N257" s="133"/>
      <c r="O257" s="265"/>
      <c r="P257" s="124">
        <f t="shared" ref="P257" si="174">O257+L257+H257</f>
        <v>0</v>
      </c>
    </row>
    <row r="258" spans="1:16" x14ac:dyDescent="0.25">
      <c r="A258" s="134"/>
      <c r="B258" s="139"/>
      <c r="C258" s="131"/>
      <c r="D258" s="132"/>
      <c r="E258" s="132"/>
      <c r="F258" s="132"/>
      <c r="G258" s="142"/>
      <c r="H258" s="124"/>
      <c r="I258" s="131"/>
      <c r="J258" s="131"/>
      <c r="K258" s="133"/>
      <c r="L258" s="129"/>
      <c r="M258" s="131"/>
      <c r="N258" s="133"/>
      <c r="O258" s="265"/>
      <c r="P258" s="124"/>
    </row>
    <row r="259" spans="1:16" x14ac:dyDescent="0.25">
      <c r="A259" s="134"/>
      <c r="B259" s="575" t="s">
        <v>253</v>
      </c>
      <c r="C259" s="131"/>
      <c r="D259" s="132"/>
      <c r="E259" s="132"/>
      <c r="F259" s="132"/>
      <c r="G259" s="267"/>
      <c r="H259" s="124"/>
      <c r="I259" s="131"/>
      <c r="J259" s="131"/>
      <c r="K259" s="133"/>
      <c r="L259" s="129"/>
      <c r="M259" s="131"/>
      <c r="N259" s="133"/>
      <c r="O259" s="265"/>
      <c r="P259" s="124"/>
    </row>
    <row r="260" spans="1:16" s="574" customFormat="1" ht="31.5" x14ac:dyDescent="0.25">
      <c r="A260" s="567"/>
      <c r="B260" s="360" t="s">
        <v>386</v>
      </c>
      <c r="C260" s="569"/>
      <c r="D260" s="141"/>
      <c r="E260" s="141"/>
      <c r="F260" s="141"/>
      <c r="G260" s="773"/>
      <c r="H260" s="570"/>
      <c r="I260" s="569"/>
      <c r="J260" s="569"/>
      <c r="K260" s="571"/>
      <c r="L260" s="572"/>
      <c r="M260" s="569"/>
      <c r="N260" s="571"/>
      <c r="O260" s="573"/>
      <c r="P260" s="570"/>
    </row>
    <row r="261" spans="1:16" s="574" customFormat="1" x14ac:dyDescent="0.25">
      <c r="A261" s="567"/>
      <c r="B261" s="568" t="s">
        <v>1128</v>
      </c>
      <c r="C261" s="569"/>
      <c r="D261" s="141"/>
      <c r="E261" s="141"/>
      <c r="F261" s="141"/>
      <c r="G261" s="773">
        <v>3406</v>
      </c>
      <c r="H261" s="570">
        <f t="shared" ref="H261" si="175">SUM(C261:G261)</f>
        <v>3406</v>
      </c>
      <c r="I261" s="569"/>
      <c r="J261" s="569"/>
      <c r="K261" s="571"/>
      <c r="L261" s="572">
        <f t="shared" ref="L261" si="176">SUM(I261:K261)</f>
        <v>0</v>
      </c>
      <c r="M261" s="569"/>
      <c r="N261" s="571"/>
      <c r="O261" s="573"/>
      <c r="P261" s="570">
        <f t="shared" ref="P261" si="177">O261+L261+H261</f>
        <v>3406</v>
      </c>
    </row>
    <row r="262" spans="1:16" s="574" customFormat="1" x14ac:dyDescent="0.25">
      <c r="A262" s="567"/>
      <c r="B262" s="568"/>
      <c r="C262" s="569"/>
      <c r="D262" s="141"/>
      <c r="E262" s="141"/>
      <c r="F262" s="141"/>
      <c r="G262" s="773"/>
      <c r="H262" s="570"/>
      <c r="I262" s="569"/>
      <c r="J262" s="569"/>
      <c r="K262" s="571"/>
      <c r="L262" s="572"/>
      <c r="M262" s="569"/>
      <c r="N262" s="571"/>
      <c r="O262" s="573"/>
      <c r="P262" s="570"/>
    </row>
    <row r="263" spans="1:16" ht="31.5" x14ac:dyDescent="0.25">
      <c r="A263" s="134"/>
      <c r="B263" s="360" t="s">
        <v>387</v>
      </c>
      <c r="C263" s="131"/>
      <c r="D263" s="132"/>
      <c r="E263" s="132"/>
      <c r="F263" s="132"/>
      <c r="G263" s="267"/>
      <c r="H263" s="124"/>
      <c r="I263" s="131"/>
      <c r="J263" s="131"/>
      <c r="K263" s="133"/>
      <c r="L263" s="129"/>
      <c r="M263" s="131"/>
      <c r="N263" s="133"/>
      <c r="O263" s="265"/>
      <c r="P263" s="124"/>
    </row>
    <row r="264" spans="1:16" x14ac:dyDescent="0.25">
      <c r="A264" s="134"/>
      <c r="B264" s="739" t="s">
        <v>1007</v>
      </c>
      <c r="C264" s="131"/>
      <c r="D264" s="132"/>
      <c r="E264" s="132"/>
      <c r="F264" s="132"/>
      <c r="G264" s="267">
        <v>10000</v>
      </c>
      <c r="H264" s="124">
        <f t="shared" ref="H264" si="178">SUM(C264:G264)</f>
        <v>10000</v>
      </c>
      <c r="I264" s="131"/>
      <c r="J264" s="131"/>
      <c r="K264" s="133"/>
      <c r="L264" s="129">
        <f t="shared" ref="L264" si="179">SUM(I264:K264)</f>
        <v>0</v>
      </c>
      <c r="M264" s="131"/>
      <c r="N264" s="133"/>
      <c r="O264" s="265"/>
      <c r="P264" s="124">
        <f t="shared" ref="P264" si="180">O264+L264+H264</f>
        <v>10000</v>
      </c>
    </row>
    <row r="265" spans="1:16" x14ac:dyDescent="0.25">
      <c r="A265" s="134"/>
      <c r="B265" s="739"/>
      <c r="C265" s="131"/>
      <c r="D265" s="132"/>
      <c r="E265" s="132"/>
      <c r="F265" s="132"/>
      <c r="G265" s="267"/>
      <c r="H265" s="124"/>
      <c r="I265" s="131"/>
      <c r="J265" s="131"/>
      <c r="K265" s="133"/>
      <c r="L265" s="129"/>
      <c r="M265" s="131"/>
      <c r="N265" s="133"/>
      <c r="O265" s="265"/>
      <c r="P265" s="124"/>
    </row>
    <row r="266" spans="1:16" ht="31.5" x14ac:dyDescent="0.25">
      <c r="A266" s="134"/>
      <c r="B266" s="769" t="s">
        <v>691</v>
      </c>
      <c r="C266" s="131"/>
      <c r="D266" s="132"/>
      <c r="E266" s="132"/>
      <c r="F266" s="132"/>
      <c r="G266" s="267"/>
      <c r="H266" s="124"/>
      <c r="I266" s="131"/>
      <c r="J266" s="131"/>
      <c r="K266" s="133"/>
      <c r="L266" s="129"/>
      <c r="M266" s="131"/>
      <c r="N266" s="133"/>
      <c r="O266" s="265"/>
      <c r="P266" s="124"/>
    </row>
    <row r="267" spans="1:16" x14ac:dyDescent="0.25">
      <c r="A267" s="134"/>
      <c r="B267" s="739" t="s">
        <v>1118</v>
      </c>
      <c r="C267" s="131"/>
      <c r="D267" s="132"/>
      <c r="E267" s="132"/>
      <c r="F267" s="132"/>
      <c r="G267" s="267">
        <v>-6457</v>
      </c>
      <c r="H267" s="124">
        <f t="shared" ref="H267" si="181">SUM(C267:G267)</f>
        <v>-6457</v>
      </c>
      <c r="I267" s="131"/>
      <c r="J267" s="131"/>
      <c r="K267" s="133">
        <v>6457</v>
      </c>
      <c r="L267" s="129">
        <f t="shared" ref="L267" si="182">SUM(I267:K267)</f>
        <v>6457</v>
      </c>
      <c r="M267" s="131"/>
      <c r="N267" s="133"/>
      <c r="O267" s="265"/>
      <c r="P267" s="124">
        <f t="shared" ref="P267" si="183">O267+L267+H267</f>
        <v>0</v>
      </c>
    </row>
    <row r="268" spans="1:16" x14ac:dyDescent="0.25">
      <c r="A268" s="134"/>
      <c r="B268" s="739" t="s">
        <v>1119</v>
      </c>
      <c r="C268" s="131"/>
      <c r="D268" s="132"/>
      <c r="E268" s="132"/>
      <c r="F268" s="132"/>
      <c r="G268" s="267">
        <v>-1500</v>
      </c>
      <c r="H268" s="124">
        <f t="shared" ref="H268" si="184">SUM(C268:G268)</f>
        <v>-1500</v>
      </c>
      <c r="I268" s="131"/>
      <c r="J268" s="131"/>
      <c r="K268" s="133">
        <v>1500</v>
      </c>
      <c r="L268" s="129">
        <f t="shared" ref="L268" si="185">SUM(I268:K268)</f>
        <v>1500</v>
      </c>
      <c r="M268" s="131"/>
      <c r="N268" s="133"/>
      <c r="O268" s="265"/>
      <c r="P268" s="124">
        <f t="shared" ref="P268" si="186">O268+L268+H268</f>
        <v>0</v>
      </c>
    </row>
    <row r="269" spans="1:16" x14ac:dyDescent="0.25">
      <c r="A269" s="134"/>
      <c r="B269" s="362"/>
      <c r="C269" s="131"/>
      <c r="D269" s="132"/>
      <c r="E269" s="132"/>
      <c r="F269" s="132"/>
      <c r="G269" s="267"/>
      <c r="H269" s="124"/>
      <c r="I269" s="131"/>
      <c r="J269" s="131"/>
      <c r="K269" s="133"/>
      <c r="L269" s="129"/>
      <c r="M269" s="131"/>
      <c r="N269" s="133"/>
      <c r="O269" s="265"/>
      <c r="P269" s="124"/>
    </row>
    <row r="270" spans="1:16" x14ac:dyDescent="0.25">
      <c r="A270" s="134" t="s">
        <v>101</v>
      </c>
      <c r="B270" s="575" t="s">
        <v>320</v>
      </c>
      <c r="C270" s="131"/>
      <c r="D270" s="132"/>
      <c r="E270" s="132"/>
      <c r="F270" s="132"/>
      <c r="G270" s="267"/>
      <c r="H270" s="124"/>
      <c r="I270" s="131"/>
      <c r="J270" s="131"/>
      <c r="K270" s="133"/>
      <c r="L270" s="129"/>
      <c r="M270" s="131"/>
      <c r="N270" s="133"/>
      <c r="O270" s="265"/>
      <c r="P270" s="124"/>
    </row>
    <row r="271" spans="1:16" x14ac:dyDescent="0.25">
      <c r="A271" s="134"/>
      <c r="B271" s="575" t="s">
        <v>103</v>
      </c>
      <c r="C271" s="131"/>
      <c r="D271" s="132"/>
      <c r="E271" s="132"/>
      <c r="F271" s="132"/>
      <c r="G271" s="267"/>
      <c r="H271" s="124"/>
      <c r="I271" s="131"/>
      <c r="J271" s="131"/>
      <c r="K271" s="133"/>
      <c r="L271" s="129"/>
      <c r="M271" s="131"/>
      <c r="N271" s="133"/>
      <c r="O271" s="265"/>
      <c r="P271" s="124"/>
    </row>
    <row r="272" spans="1:16" x14ac:dyDescent="0.25">
      <c r="A272" s="134"/>
      <c r="B272" s="368" t="s">
        <v>411</v>
      </c>
      <c r="C272" s="131"/>
      <c r="D272" s="132"/>
      <c r="E272" s="132"/>
      <c r="F272" s="132"/>
      <c r="G272" s="267"/>
      <c r="H272" s="124"/>
      <c r="I272" s="131"/>
      <c r="J272" s="131"/>
      <c r="K272" s="133"/>
      <c r="L272" s="129"/>
      <c r="M272" s="131"/>
      <c r="N272" s="133"/>
      <c r="O272" s="265"/>
      <c r="P272" s="124"/>
    </row>
    <row r="273" spans="1:16" ht="47.25" x14ac:dyDescent="0.25">
      <c r="A273" s="134"/>
      <c r="B273" s="362" t="s">
        <v>986</v>
      </c>
      <c r="C273" s="131"/>
      <c r="D273" s="132"/>
      <c r="E273" s="132"/>
      <c r="F273" s="132"/>
      <c r="G273" s="267">
        <v>-45</v>
      </c>
      <c r="H273" s="124">
        <f t="shared" ref="H273" si="187">SUM(C273:G273)</f>
        <v>-45</v>
      </c>
      <c r="I273" s="131"/>
      <c r="J273" s="131"/>
      <c r="K273" s="133"/>
      <c r="L273" s="129">
        <f t="shared" ref="L273" si="188">SUM(I273:K273)</f>
        <v>0</v>
      </c>
      <c r="M273" s="131"/>
      <c r="N273" s="133"/>
      <c r="O273" s="265"/>
      <c r="P273" s="124">
        <f t="shared" ref="P273" si="189">O273+L273+H273</f>
        <v>-45</v>
      </c>
    </row>
    <row r="274" spans="1:16" x14ac:dyDescent="0.25">
      <c r="A274" s="134"/>
      <c r="B274" s="362"/>
      <c r="C274" s="131"/>
      <c r="D274" s="132"/>
      <c r="E274" s="132"/>
      <c r="F274" s="132"/>
      <c r="G274" s="267"/>
      <c r="H274" s="124"/>
      <c r="I274" s="131"/>
      <c r="J274" s="131"/>
      <c r="K274" s="133"/>
      <c r="L274" s="129"/>
      <c r="M274" s="131"/>
      <c r="N274" s="133"/>
      <c r="O274" s="265"/>
      <c r="P274" s="124"/>
    </row>
    <row r="275" spans="1:16" ht="31.5" x14ac:dyDescent="0.25">
      <c r="A275" s="134"/>
      <c r="B275" s="360" t="s">
        <v>691</v>
      </c>
      <c r="C275" s="131">
        <v>1977</v>
      </c>
      <c r="D275" s="132">
        <v>177</v>
      </c>
      <c r="E275" s="132">
        <v>117</v>
      </c>
      <c r="F275" s="132"/>
      <c r="G275" s="267">
        <v>-2621</v>
      </c>
      <c r="H275" s="124">
        <f t="shared" ref="H275" si="190">SUM(C275:G275)</f>
        <v>-350</v>
      </c>
      <c r="I275" s="131"/>
      <c r="J275" s="131"/>
      <c r="K275" s="133">
        <v>350</v>
      </c>
      <c r="L275" s="129">
        <f t="shared" ref="L275" si="191">SUM(I275:K275)</f>
        <v>350</v>
      </c>
      <c r="M275" s="131"/>
      <c r="N275" s="133"/>
      <c r="O275" s="265"/>
      <c r="P275" s="124">
        <f t="shared" ref="P275" si="192">O275+L275+H275</f>
        <v>0</v>
      </c>
    </row>
    <row r="276" spans="1:16" x14ac:dyDescent="0.25">
      <c r="A276" s="134"/>
      <c r="B276" s="362"/>
      <c r="C276" s="131"/>
      <c r="D276" s="132"/>
      <c r="E276" s="132"/>
      <c r="F276" s="132"/>
      <c r="G276" s="267"/>
      <c r="H276" s="124"/>
      <c r="I276" s="131"/>
      <c r="J276" s="131"/>
      <c r="K276" s="133"/>
      <c r="L276" s="129"/>
      <c r="M276" s="131"/>
      <c r="N276" s="133"/>
      <c r="O276" s="265"/>
      <c r="P276" s="124"/>
    </row>
    <row r="277" spans="1:16" x14ac:dyDescent="0.25">
      <c r="A277" s="134"/>
      <c r="B277" s="575" t="s">
        <v>104</v>
      </c>
      <c r="C277" s="131"/>
      <c r="D277" s="132"/>
      <c r="E277" s="132"/>
      <c r="F277" s="132"/>
      <c r="G277" s="267"/>
      <c r="H277" s="124"/>
      <c r="I277" s="131"/>
      <c r="J277" s="131"/>
      <c r="K277" s="133"/>
      <c r="L277" s="129"/>
      <c r="M277" s="131"/>
      <c r="N277" s="133"/>
      <c r="O277" s="265"/>
      <c r="P277" s="124"/>
    </row>
    <row r="278" spans="1:16" x14ac:dyDescent="0.25">
      <c r="A278" s="134"/>
      <c r="B278" s="368" t="s">
        <v>411</v>
      </c>
      <c r="C278" s="131"/>
      <c r="D278" s="132"/>
      <c r="E278" s="132"/>
      <c r="F278" s="132"/>
      <c r="G278" s="267"/>
      <c r="H278" s="124"/>
      <c r="I278" s="131"/>
      <c r="J278" s="131"/>
      <c r="K278" s="133"/>
      <c r="L278" s="129"/>
      <c r="M278" s="131"/>
      <c r="N278" s="133"/>
      <c r="O278" s="265"/>
      <c r="P278" s="124"/>
    </row>
    <row r="279" spans="1:16" ht="63" x14ac:dyDescent="0.25">
      <c r="A279" s="134"/>
      <c r="B279" s="362" t="s">
        <v>987</v>
      </c>
      <c r="C279" s="131"/>
      <c r="D279" s="132"/>
      <c r="E279" s="132"/>
      <c r="F279" s="132"/>
      <c r="G279" s="267">
        <v>-60</v>
      </c>
      <c r="H279" s="124">
        <f t="shared" ref="H279:H291" si="193">SUM(C279:G279)</f>
        <v>-60</v>
      </c>
      <c r="I279" s="131"/>
      <c r="J279" s="131"/>
      <c r="K279" s="133"/>
      <c r="L279" s="129">
        <f t="shared" ref="L279:L291" si="194">SUM(I279:K279)</f>
        <v>0</v>
      </c>
      <c r="M279" s="131"/>
      <c r="N279" s="133"/>
      <c r="O279" s="265"/>
      <c r="P279" s="124">
        <f t="shared" ref="P279:P291" si="195">O279+L279+H279</f>
        <v>-60</v>
      </c>
    </row>
    <row r="280" spans="1:16" ht="63" x14ac:dyDescent="0.25">
      <c r="A280" s="134"/>
      <c r="B280" s="739" t="s">
        <v>988</v>
      </c>
      <c r="C280" s="131"/>
      <c r="D280" s="132"/>
      <c r="E280" s="132"/>
      <c r="F280" s="132"/>
      <c r="G280" s="267">
        <v>-50</v>
      </c>
      <c r="H280" s="124">
        <f t="shared" si="193"/>
        <v>-50</v>
      </c>
      <c r="I280" s="131"/>
      <c r="J280" s="131"/>
      <c r="K280" s="133"/>
      <c r="L280" s="129">
        <f t="shared" si="194"/>
        <v>0</v>
      </c>
      <c r="M280" s="131"/>
      <c r="N280" s="133"/>
      <c r="O280" s="265"/>
      <c r="P280" s="124">
        <f t="shared" si="195"/>
        <v>-50</v>
      </c>
    </row>
    <row r="281" spans="1:16" ht="63" x14ac:dyDescent="0.25">
      <c r="A281" s="134"/>
      <c r="B281" s="362" t="s">
        <v>989</v>
      </c>
      <c r="C281" s="131"/>
      <c r="D281" s="132"/>
      <c r="E281" s="132"/>
      <c r="F281" s="132"/>
      <c r="G281" s="267">
        <v>-50</v>
      </c>
      <c r="H281" s="124">
        <f t="shared" si="193"/>
        <v>-50</v>
      </c>
      <c r="I281" s="131"/>
      <c r="J281" s="131"/>
      <c r="K281" s="133"/>
      <c r="L281" s="129">
        <f t="shared" si="194"/>
        <v>0</v>
      </c>
      <c r="M281" s="131"/>
      <c r="N281" s="133"/>
      <c r="O281" s="265"/>
      <c r="P281" s="124">
        <f t="shared" si="195"/>
        <v>-50</v>
      </c>
    </row>
    <row r="282" spans="1:16" ht="47.25" x14ac:dyDescent="0.25">
      <c r="A282" s="134"/>
      <c r="B282" s="362" t="s">
        <v>992</v>
      </c>
      <c r="C282" s="131"/>
      <c r="D282" s="132"/>
      <c r="E282" s="132"/>
      <c r="F282" s="132"/>
      <c r="G282" s="267">
        <v>-100</v>
      </c>
      <c r="H282" s="124">
        <f>SUM(C282:G282)</f>
        <v>-100</v>
      </c>
      <c r="I282" s="131"/>
      <c r="J282" s="131"/>
      <c r="K282" s="133"/>
      <c r="L282" s="129">
        <f>SUM(I282:K282)</f>
        <v>0</v>
      </c>
      <c r="M282" s="131"/>
      <c r="N282" s="133"/>
      <c r="O282" s="265"/>
      <c r="P282" s="124">
        <f>O282+L282+H282</f>
        <v>-100</v>
      </c>
    </row>
    <row r="283" spans="1:16" ht="47.25" x14ac:dyDescent="0.25">
      <c r="A283" s="134"/>
      <c r="B283" s="362" t="s">
        <v>993</v>
      </c>
      <c r="C283" s="131"/>
      <c r="D283" s="132"/>
      <c r="E283" s="132"/>
      <c r="F283" s="132"/>
      <c r="G283" s="267">
        <v>-100</v>
      </c>
      <c r="H283" s="124">
        <f>SUM(C283:G283)</f>
        <v>-100</v>
      </c>
      <c r="I283" s="131"/>
      <c r="J283" s="131"/>
      <c r="K283" s="133"/>
      <c r="L283" s="129">
        <f>SUM(I283:K283)</f>
        <v>0</v>
      </c>
      <c r="M283" s="131"/>
      <c r="N283" s="133"/>
      <c r="O283" s="265"/>
      <c r="P283" s="124">
        <f>O283+L283+H283</f>
        <v>-100</v>
      </c>
    </row>
    <row r="284" spans="1:16" ht="63" customHeight="1" x14ac:dyDescent="0.25">
      <c r="A284" s="134"/>
      <c r="B284" s="362" t="s">
        <v>994</v>
      </c>
      <c r="C284" s="131"/>
      <c r="D284" s="132"/>
      <c r="E284" s="132"/>
      <c r="F284" s="132"/>
      <c r="G284" s="267">
        <v>-200</v>
      </c>
      <c r="H284" s="124">
        <f t="shared" ref="H284:H286" si="196">SUM(C284:G284)</f>
        <v>-200</v>
      </c>
      <c r="I284" s="131"/>
      <c r="J284" s="131"/>
      <c r="K284" s="133"/>
      <c r="L284" s="129">
        <f t="shared" ref="L284:L286" si="197">SUM(I284:K284)</f>
        <v>0</v>
      </c>
      <c r="M284" s="131"/>
      <c r="N284" s="133"/>
      <c r="O284" s="265"/>
      <c r="P284" s="124">
        <f t="shared" ref="P284:P286" si="198">O284+L284+H284</f>
        <v>-200</v>
      </c>
    </row>
    <row r="285" spans="1:16" ht="47.25" x14ac:dyDescent="0.25">
      <c r="A285" s="134"/>
      <c r="B285" s="362" t="s">
        <v>995</v>
      </c>
      <c r="C285" s="131"/>
      <c r="D285" s="132"/>
      <c r="E285" s="132"/>
      <c r="F285" s="132"/>
      <c r="G285" s="267">
        <v>-100</v>
      </c>
      <c r="H285" s="124">
        <f t="shared" si="196"/>
        <v>-100</v>
      </c>
      <c r="I285" s="131"/>
      <c r="J285" s="131"/>
      <c r="K285" s="133"/>
      <c r="L285" s="129">
        <f t="shared" si="197"/>
        <v>0</v>
      </c>
      <c r="M285" s="131"/>
      <c r="N285" s="133"/>
      <c r="O285" s="265"/>
      <c r="P285" s="124">
        <f t="shared" si="198"/>
        <v>-100</v>
      </c>
    </row>
    <row r="286" spans="1:16" ht="78.75" x14ac:dyDescent="0.25">
      <c r="A286" s="134"/>
      <c r="B286" s="362" t="s">
        <v>996</v>
      </c>
      <c r="C286" s="131"/>
      <c r="D286" s="132"/>
      <c r="E286" s="132"/>
      <c r="F286" s="132"/>
      <c r="G286" s="267">
        <v>-300</v>
      </c>
      <c r="H286" s="124">
        <f t="shared" si="196"/>
        <v>-300</v>
      </c>
      <c r="I286" s="131"/>
      <c r="J286" s="131"/>
      <c r="K286" s="133"/>
      <c r="L286" s="129">
        <f t="shared" si="197"/>
        <v>0</v>
      </c>
      <c r="M286" s="131"/>
      <c r="N286" s="133"/>
      <c r="O286" s="265"/>
      <c r="P286" s="124">
        <f t="shared" si="198"/>
        <v>-300</v>
      </c>
    </row>
    <row r="287" spans="1:16" ht="78.75" x14ac:dyDescent="0.25">
      <c r="A287" s="134"/>
      <c r="B287" s="362" t="s">
        <v>997</v>
      </c>
      <c r="C287" s="131"/>
      <c r="D287" s="132"/>
      <c r="E287" s="132"/>
      <c r="F287" s="132"/>
      <c r="G287" s="267">
        <v>-100</v>
      </c>
      <c r="H287" s="129">
        <f>SUM(C287:G287)</f>
        <v>-100</v>
      </c>
      <c r="I287" s="131"/>
      <c r="J287" s="131"/>
      <c r="K287" s="133"/>
      <c r="L287" s="129">
        <f>SUM(I287:K287)</f>
        <v>0</v>
      </c>
      <c r="M287" s="131"/>
      <c r="N287" s="133"/>
      <c r="O287" s="265"/>
      <c r="P287" s="129">
        <f>O287+L287+H287</f>
        <v>-100</v>
      </c>
    </row>
    <row r="288" spans="1:16" ht="47.25" x14ac:dyDescent="0.25">
      <c r="A288" s="134"/>
      <c r="B288" s="362" t="s">
        <v>990</v>
      </c>
      <c r="C288" s="131"/>
      <c r="D288" s="132"/>
      <c r="E288" s="132"/>
      <c r="F288" s="132"/>
      <c r="G288" s="267">
        <v>-50</v>
      </c>
      <c r="H288" s="124">
        <f t="shared" si="193"/>
        <v>-50</v>
      </c>
      <c r="I288" s="131"/>
      <c r="J288" s="131"/>
      <c r="K288" s="133"/>
      <c r="L288" s="129">
        <f t="shared" si="194"/>
        <v>0</v>
      </c>
      <c r="M288" s="131"/>
      <c r="N288" s="133"/>
      <c r="O288" s="265"/>
      <c r="P288" s="124">
        <f t="shared" si="195"/>
        <v>-50</v>
      </c>
    </row>
    <row r="289" spans="1:16" ht="47.25" x14ac:dyDescent="0.25">
      <c r="A289" s="134"/>
      <c r="B289" s="362" t="s">
        <v>991</v>
      </c>
      <c r="C289" s="131"/>
      <c r="D289" s="132"/>
      <c r="E289" s="132"/>
      <c r="F289" s="132"/>
      <c r="G289" s="267">
        <v>-50</v>
      </c>
      <c r="H289" s="124">
        <f t="shared" si="193"/>
        <v>-50</v>
      </c>
      <c r="I289" s="131"/>
      <c r="J289" s="131"/>
      <c r="K289" s="133"/>
      <c r="L289" s="129">
        <f t="shared" si="194"/>
        <v>0</v>
      </c>
      <c r="M289" s="131"/>
      <c r="N289" s="133"/>
      <c r="O289" s="265"/>
      <c r="P289" s="124">
        <f t="shared" si="195"/>
        <v>-50</v>
      </c>
    </row>
    <row r="290" spans="1:16" x14ac:dyDescent="0.25">
      <c r="A290" s="134"/>
      <c r="B290" s="362"/>
      <c r="C290" s="131"/>
      <c r="D290" s="132"/>
      <c r="E290" s="132"/>
      <c r="F290" s="132"/>
      <c r="G290" s="267"/>
      <c r="H290" s="124"/>
      <c r="I290" s="131"/>
      <c r="J290" s="131"/>
      <c r="K290" s="133"/>
      <c r="L290" s="129"/>
      <c r="M290" s="131"/>
      <c r="N290" s="133"/>
      <c r="O290" s="265"/>
      <c r="P290" s="124"/>
    </row>
    <row r="291" spans="1:16" ht="31.5" x14ac:dyDescent="0.25">
      <c r="A291" s="134"/>
      <c r="B291" s="363" t="s">
        <v>691</v>
      </c>
      <c r="C291" s="131"/>
      <c r="D291" s="132"/>
      <c r="E291" s="132"/>
      <c r="F291" s="132"/>
      <c r="G291" s="267">
        <v>-820</v>
      </c>
      <c r="H291" s="124">
        <f t="shared" si="193"/>
        <v>-820</v>
      </c>
      <c r="I291" s="131"/>
      <c r="J291" s="131"/>
      <c r="K291" s="133">
        <v>820</v>
      </c>
      <c r="L291" s="129">
        <f t="shared" si="194"/>
        <v>820</v>
      </c>
      <c r="M291" s="131"/>
      <c r="N291" s="133"/>
      <c r="O291" s="265"/>
      <c r="P291" s="124">
        <f t="shared" si="195"/>
        <v>0</v>
      </c>
    </row>
    <row r="292" spans="1:16" x14ac:dyDescent="0.25">
      <c r="A292" s="134"/>
      <c r="B292" s="363"/>
      <c r="C292" s="131"/>
      <c r="D292" s="132"/>
      <c r="E292" s="132"/>
      <c r="F292" s="132"/>
      <c r="G292" s="267"/>
      <c r="H292" s="124"/>
      <c r="I292" s="131"/>
      <c r="J292" s="131"/>
      <c r="K292" s="133"/>
      <c r="L292" s="129"/>
      <c r="M292" s="131"/>
      <c r="N292" s="133"/>
      <c r="O292" s="265"/>
      <c r="P292" s="124"/>
    </row>
    <row r="293" spans="1:16" x14ac:dyDescent="0.25">
      <c r="A293" s="134"/>
      <c r="B293" s="138" t="s">
        <v>72</v>
      </c>
      <c r="C293" s="131"/>
      <c r="D293" s="132"/>
      <c r="E293" s="132"/>
      <c r="F293" s="132"/>
      <c r="G293" s="267"/>
      <c r="H293" s="124"/>
      <c r="I293" s="131"/>
      <c r="J293" s="131"/>
      <c r="K293" s="133"/>
      <c r="L293" s="129"/>
      <c r="M293" s="131"/>
      <c r="N293" s="133"/>
      <c r="O293" s="265"/>
      <c r="P293" s="124"/>
    </row>
    <row r="294" spans="1:16" ht="31.5" x14ac:dyDescent="0.25">
      <c r="A294" s="134"/>
      <c r="B294" s="363" t="s">
        <v>691</v>
      </c>
      <c r="C294" s="131"/>
      <c r="D294" s="132"/>
      <c r="E294" s="132"/>
      <c r="F294" s="132"/>
      <c r="G294" s="267">
        <v>-2100</v>
      </c>
      <c r="H294" s="124">
        <f t="shared" ref="H294" si="199">SUM(C294:G294)</f>
        <v>-2100</v>
      </c>
      <c r="I294" s="131"/>
      <c r="J294" s="131"/>
      <c r="K294" s="133">
        <v>2100</v>
      </c>
      <c r="L294" s="129">
        <f t="shared" ref="L294" si="200">SUM(I294:K294)</f>
        <v>2100</v>
      </c>
      <c r="M294" s="131"/>
      <c r="N294" s="133"/>
      <c r="O294" s="265"/>
      <c r="P294" s="124">
        <f t="shared" ref="P294" si="201">O294+L294+H294</f>
        <v>0</v>
      </c>
    </row>
    <row r="295" spans="1:16" ht="16.5" thickBot="1" x14ac:dyDescent="0.3">
      <c r="A295" s="134"/>
      <c r="B295" s="362"/>
      <c r="C295" s="131"/>
      <c r="D295" s="132"/>
      <c r="E295" s="132"/>
      <c r="F295" s="132"/>
      <c r="G295" s="267"/>
      <c r="H295" s="124"/>
      <c r="I295" s="131"/>
      <c r="J295" s="131"/>
      <c r="K295" s="133"/>
      <c r="L295" s="129"/>
      <c r="M295" s="131"/>
      <c r="N295" s="133"/>
      <c r="O295" s="265"/>
      <c r="P295" s="124"/>
    </row>
    <row r="296" spans="1:16" ht="16.5" thickBot="1" x14ac:dyDescent="0.3">
      <c r="A296" s="143" t="s">
        <v>44</v>
      </c>
      <c r="B296" s="144" t="s">
        <v>45</v>
      </c>
      <c r="C296" s="145">
        <f t="shared" ref="C296:P296" si="202">SUM(C9:C295)</f>
        <v>472304</v>
      </c>
      <c r="D296" s="145">
        <f t="shared" si="202"/>
        <v>115465</v>
      </c>
      <c r="E296" s="145">
        <f t="shared" si="202"/>
        <v>8818919</v>
      </c>
      <c r="F296" s="145">
        <f t="shared" si="202"/>
        <v>48659</v>
      </c>
      <c r="G296" s="145">
        <f t="shared" si="202"/>
        <v>14002812</v>
      </c>
      <c r="H296" s="145">
        <f t="shared" si="202"/>
        <v>23458159</v>
      </c>
      <c r="I296" s="145">
        <f t="shared" si="202"/>
        <v>28982160</v>
      </c>
      <c r="J296" s="145">
        <f t="shared" si="202"/>
        <v>4009345</v>
      </c>
      <c r="K296" s="145">
        <f t="shared" si="202"/>
        <v>1338685</v>
      </c>
      <c r="L296" s="145">
        <f t="shared" si="202"/>
        <v>34330190</v>
      </c>
      <c r="M296" s="145">
        <f t="shared" si="202"/>
        <v>109885</v>
      </c>
      <c r="N296" s="145">
        <f t="shared" si="202"/>
        <v>2085542</v>
      </c>
      <c r="O296" s="145">
        <f t="shared" si="202"/>
        <v>2195427</v>
      </c>
      <c r="P296" s="145">
        <f t="shared" si="202"/>
        <v>59983776</v>
      </c>
    </row>
    <row r="297" spans="1:16" x14ac:dyDescent="0.25">
      <c r="A297" s="146"/>
      <c r="B297" s="147" t="s">
        <v>78</v>
      </c>
      <c r="C297" s="126"/>
      <c r="D297" s="127"/>
      <c r="E297" s="127"/>
      <c r="F297" s="128"/>
      <c r="G297" s="128"/>
      <c r="H297" s="124"/>
      <c r="I297" s="126"/>
      <c r="J297" s="126"/>
      <c r="K297" s="128"/>
      <c r="L297" s="124"/>
      <c r="M297" s="121"/>
      <c r="N297" s="128"/>
      <c r="O297" s="264"/>
      <c r="P297" s="124"/>
    </row>
    <row r="298" spans="1:16" x14ac:dyDescent="0.25">
      <c r="A298" s="146"/>
      <c r="B298" s="771" t="s">
        <v>507</v>
      </c>
      <c r="C298" s="126"/>
      <c r="D298" s="127"/>
      <c r="E298" s="127"/>
      <c r="F298" s="128"/>
      <c r="G298" s="128"/>
      <c r="H298" s="124"/>
      <c r="I298" s="126"/>
      <c r="J298" s="126"/>
      <c r="K298" s="128"/>
      <c r="L298" s="124"/>
      <c r="M298" s="356">
        <v>49884</v>
      </c>
      <c r="N298" s="128"/>
      <c r="O298" s="367">
        <f t="shared" ref="O298" si="203">SUM(M298:N298)</f>
        <v>49884</v>
      </c>
      <c r="P298" s="367">
        <f>SUM(O298)</f>
        <v>49884</v>
      </c>
    </row>
    <row r="299" spans="1:16" s="359" customFormat="1" ht="31.5" x14ac:dyDescent="0.25">
      <c r="A299" s="364"/>
      <c r="B299" s="368" t="s">
        <v>385</v>
      </c>
      <c r="C299" s="356"/>
      <c r="D299" s="365"/>
      <c r="E299" s="365"/>
      <c r="F299" s="366"/>
      <c r="G299" s="366"/>
      <c r="H299" s="367"/>
      <c r="I299" s="356"/>
      <c r="J299" s="356"/>
      <c r="K299" s="366"/>
      <c r="L299" s="367"/>
      <c r="M299" s="356"/>
      <c r="N299" s="366"/>
      <c r="O299" s="367"/>
      <c r="P299" s="367"/>
    </row>
    <row r="300" spans="1:16" s="359" customFormat="1" ht="47.25" x14ac:dyDescent="0.25">
      <c r="A300" s="364"/>
      <c r="B300" s="139" t="s">
        <v>1008</v>
      </c>
      <c r="C300" s="356"/>
      <c r="D300" s="365"/>
      <c r="E300" s="365"/>
      <c r="F300" s="366"/>
      <c r="G300" s="366"/>
      <c r="H300" s="367"/>
      <c r="I300" s="356"/>
      <c r="J300" s="356"/>
      <c r="K300" s="366"/>
      <c r="L300" s="367"/>
      <c r="M300" s="356">
        <v>-3300</v>
      </c>
      <c r="N300" s="366"/>
      <c r="O300" s="367">
        <f t="shared" ref="O300:O302" si="204">SUM(M300:N300)</f>
        <v>-3300</v>
      </c>
      <c r="P300" s="367">
        <f>SUM(O300)</f>
        <v>-3300</v>
      </c>
    </row>
    <row r="301" spans="1:16" s="359" customFormat="1" ht="47.25" x14ac:dyDescent="0.25">
      <c r="A301" s="364"/>
      <c r="B301" s="139" t="s">
        <v>1009</v>
      </c>
      <c r="C301" s="356"/>
      <c r="D301" s="365"/>
      <c r="E301" s="365"/>
      <c r="F301" s="366"/>
      <c r="G301" s="366"/>
      <c r="H301" s="367"/>
      <c r="I301" s="356"/>
      <c r="J301" s="356"/>
      <c r="K301" s="366"/>
      <c r="L301" s="367"/>
      <c r="M301" s="356">
        <v>-11115</v>
      </c>
      <c r="N301" s="366"/>
      <c r="O301" s="367">
        <f t="shared" si="204"/>
        <v>-11115</v>
      </c>
      <c r="P301" s="367">
        <f t="shared" ref="P301:P302" si="205">SUM(O301+L301+H301)</f>
        <v>-11115</v>
      </c>
    </row>
    <row r="302" spans="1:16" s="359" customFormat="1" ht="47.25" x14ac:dyDescent="0.25">
      <c r="A302" s="364"/>
      <c r="B302" s="139" t="s">
        <v>1011</v>
      </c>
      <c r="C302" s="356"/>
      <c r="D302" s="365"/>
      <c r="E302" s="365"/>
      <c r="F302" s="366"/>
      <c r="G302" s="366"/>
      <c r="H302" s="367"/>
      <c r="I302" s="356"/>
      <c r="J302" s="356"/>
      <c r="K302" s="366"/>
      <c r="L302" s="367"/>
      <c r="M302" s="356">
        <v>-188</v>
      </c>
      <c r="N302" s="366"/>
      <c r="O302" s="367">
        <f t="shared" si="204"/>
        <v>-188</v>
      </c>
      <c r="P302" s="367">
        <f t="shared" si="205"/>
        <v>-188</v>
      </c>
    </row>
    <row r="303" spans="1:16" s="359" customFormat="1" ht="31.5" x14ac:dyDescent="0.25">
      <c r="A303" s="592"/>
      <c r="B303" s="139" t="s">
        <v>1019</v>
      </c>
      <c r="C303" s="357"/>
      <c r="D303" s="593"/>
      <c r="E303" s="593"/>
      <c r="F303" s="361"/>
      <c r="G303" s="361"/>
      <c r="H303" s="358"/>
      <c r="I303" s="357"/>
      <c r="J303" s="357"/>
      <c r="K303" s="361"/>
      <c r="L303" s="358"/>
      <c r="M303" s="357">
        <v>-12840</v>
      </c>
      <c r="N303" s="361"/>
      <c r="O303" s="358">
        <f t="shared" ref="O303" si="206">SUM(M303:N303)</f>
        <v>-12840</v>
      </c>
      <c r="P303" s="358">
        <f t="shared" ref="P303" si="207">SUM(O303+L303+H303)</f>
        <v>-12840</v>
      </c>
    </row>
    <row r="304" spans="1:16" s="359" customFormat="1" ht="31.5" x14ac:dyDescent="0.25">
      <c r="A304" s="592"/>
      <c r="B304" s="626" t="s">
        <v>1010</v>
      </c>
      <c r="C304" s="357"/>
      <c r="D304" s="593"/>
      <c r="E304" s="593"/>
      <c r="F304" s="361"/>
      <c r="G304" s="361"/>
      <c r="H304" s="358"/>
      <c r="I304" s="357"/>
      <c r="J304" s="357"/>
      <c r="K304" s="361"/>
      <c r="L304" s="358"/>
      <c r="M304" s="357">
        <v>-26000</v>
      </c>
      <c r="N304" s="361"/>
      <c r="O304" s="358">
        <f t="shared" ref="O304:O312" si="208">SUM(M304:N304)</f>
        <v>-26000</v>
      </c>
      <c r="P304" s="358">
        <f t="shared" ref="P304:P312" si="209">SUM(O304+L304+H304)</f>
        <v>-26000</v>
      </c>
    </row>
    <row r="305" spans="1:16" s="359" customFormat="1" ht="47.25" x14ac:dyDescent="0.25">
      <c r="A305" s="592"/>
      <c r="B305" s="140" t="s">
        <v>1015</v>
      </c>
      <c r="C305" s="357"/>
      <c r="D305" s="593"/>
      <c r="E305" s="593"/>
      <c r="F305" s="361"/>
      <c r="G305" s="361"/>
      <c r="H305" s="358"/>
      <c r="I305" s="357"/>
      <c r="J305" s="357"/>
      <c r="K305" s="361"/>
      <c r="L305" s="358"/>
      <c r="M305" s="357">
        <v>-3731</v>
      </c>
      <c r="N305" s="361"/>
      <c r="O305" s="358">
        <f t="shared" si="208"/>
        <v>-3731</v>
      </c>
      <c r="P305" s="358">
        <f t="shared" si="209"/>
        <v>-3731</v>
      </c>
    </row>
    <row r="306" spans="1:16" s="359" customFormat="1" x14ac:dyDescent="0.25">
      <c r="A306" s="592"/>
      <c r="B306" s="140" t="s">
        <v>1016</v>
      </c>
      <c r="C306" s="357"/>
      <c r="D306" s="593"/>
      <c r="E306" s="593"/>
      <c r="F306" s="361"/>
      <c r="G306" s="361"/>
      <c r="H306" s="358"/>
      <c r="I306" s="357"/>
      <c r="J306" s="357"/>
      <c r="K306" s="361"/>
      <c r="L306" s="358"/>
      <c r="M306" s="357">
        <v>-250</v>
      </c>
      <c r="N306" s="361"/>
      <c r="O306" s="358">
        <f t="shared" si="208"/>
        <v>-250</v>
      </c>
      <c r="P306" s="358">
        <f t="shared" si="209"/>
        <v>-250</v>
      </c>
    </row>
    <row r="307" spans="1:16" s="359" customFormat="1" x14ac:dyDescent="0.25">
      <c r="A307" s="592"/>
      <c r="B307" s="140" t="s">
        <v>1047</v>
      </c>
      <c r="C307" s="357"/>
      <c r="D307" s="593"/>
      <c r="E307" s="593"/>
      <c r="F307" s="361"/>
      <c r="G307" s="361"/>
      <c r="H307" s="358"/>
      <c r="I307" s="357"/>
      <c r="J307" s="357"/>
      <c r="K307" s="361"/>
      <c r="L307" s="358"/>
      <c r="M307" s="357">
        <v>-10743</v>
      </c>
      <c r="N307" s="361"/>
      <c r="O307" s="358">
        <f t="shared" si="208"/>
        <v>-10743</v>
      </c>
      <c r="P307" s="358">
        <f t="shared" si="209"/>
        <v>-10743</v>
      </c>
    </row>
    <row r="308" spans="1:16" s="359" customFormat="1" ht="78.75" x14ac:dyDescent="0.25">
      <c r="A308" s="364"/>
      <c r="B308" s="739" t="s">
        <v>1014</v>
      </c>
      <c r="C308" s="356"/>
      <c r="D308" s="365"/>
      <c r="E308" s="365"/>
      <c r="F308" s="366"/>
      <c r="G308" s="366"/>
      <c r="H308" s="367"/>
      <c r="I308" s="356"/>
      <c r="J308" s="356"/>
      <c r="K308" s="366"/>
      <c r="L308" s="367"/>
      <c r="M308" s="356">
        <v>-10000</v>
      </c>
      <c r="N308" s="366"/>
      <c r="O308" s="367">
        <f t="shared" si="208"/>
        <v>-10000</v>
      </c>
      <c r="P308" s="367">
        <f t="shared" si="209"/>
        <v>-10000</v>
      </c>
    </row>
    <row r="309" spans="1:16" s="359" customFormat="1" ht="47.25" x14ac:dyDescent="0.25">
      <c r="A309" s="364"/>
      <c r="B309" s="772" t="s">
        <v>1012</v>
      </c>
      <c r="C309" s="356"/>
      <c r="D309" s="365"/>
      <c r="E309" s="365"/>
      <c r="F309" s="366"/>
      <c r="G309" s="366"/>
      <c r="H309" s="367"/>
      <c r="I309" s="356"/>
      <c r="J309" s="356"/>
      <c r="K309" s="366"/>
      <c r="L309" s="367"/>
      <c r="M309" s="356">
        <v>-368</v>
      </c>
      <c r="N309" s="366"/>
      <c r="O309" s="367">
        <f t="shared" ref="O309:O310" si="210">SUM(M309:N309)</f>
        <v>-368</v>
      </c>
      <c r="P309" s="367">
        <f t="shared" ref="P309:P310" si="211">SUM(O309+L309+H309)</f>
        <v>-368</v>
      </c>
    </row>
    <row r="310" spans="1:16" s="359" customFormat="1" ht="31.5" x14ac:dyDescent="0.25">
      <c r="A310" s="364"/>
      <c r="B310" s="772" t="s">
        <v>1013</v>
      </c>
      <c r="C310" s="356"/>
      <c r="D310" s="365"/>
      <c r="E310" s="365"/>
      <c r="F310" s="366"/>
      <c r="G310" s="366"/>
      <c r="H310" s="367"/>
      <c r="I310" s="356"/>
      <c r="J310" s="356"/>
      <c r="K310" s="366"/>
      <c r="L310" s="367"/>
      <c r="M310" s="356">
        <v>-2540</v>
      </c>
      <c r="N310" s="366"/>
      <c r="O310" s="367">
        <f t="shared" si="210"/>
        <v>-2540</v>
      </c>
      <c r="P310" s="367">
        <f t="shared" si="211"/>
        <v>-2540</v>
      </c>
    </row>
    <row r="311" spans="1:16" s="359" customFormat="1" x14ac:dyDescent="0.25">
      <c r="A311" s="364"/>
      <c r="B311" s="772" t="s">
        <v>1006</v>
      </c>
      <c r="C311" s="356"/>
      <c r="D311" s="365"/>
      <c r="E311" s="365"/>
      <c r="F311" s="366"/>
      <c r="G311" s="366"/>
      <c r="H311" s="367"/>
      <c r="I311" s="356"/>
      <c r="J311" s="356"/>
      <c r="K311" s="366"/>
      <c r="L311" s="367"/>
      <c r="M311" s="356">
        <v>-2000</v>
      </c>
      <c r="N311" s="366"/>
      <c r="O311" s="367">
        <f t="shared" ref="O311" si="212">SUM(M311:N311)</f>
        <v>-2000</v>
      </c>
      <c r="P311" s="367">
        <f t="shared" ref="P311" si="213">SUM(O311+L311+H311)</f>
        <v>-2000</v>
      </c>
    </row>
    <row r="312" spans="1:16" s="359" customFormat="1" x14ac:dyDescent="0.25">
      <c r="A312" s="364"/>
      <c r="B312" s="139" t="s">
        <v>1128</v>
      </c>
      <c r="C312" s="356"/>
      <c r="D312" s="365"/>
      <c r="E312" s="365"/>
      <c r="F312" s="366"/>
      <c r="G312" s="366"/>
      <c r="H312" s="367"/>
      <c r="I312" s="356"/>
      <c r="J312" s="356"/>
      <c r="K312" s="366"/>
      <c r="L312" s="367"/>
      <c r="M312" s="356">
        <v>-3406</v>
      </c>
      <c r="N312" s="366"/>
      <c r="O312" s="367">
        <f t="shared" si="208"/>
        <v>-3406</v>
      </c>
      <c r="P312" s="367">
        <f t="shared" si="209"/>
        <v>-3406</v>
      </c>
    </row>
    <row r="313" spans="1:16" s="359" customFormat="1" x14ac:dyDescent="0.25">
      <c r="A313" s="364"/>
      <c r="B313" s="362"/>
      <c r="C313" s="356"/>
      <c r="D313" s="365"/>
      <c r="E313" s="365"/>
      <c r="F313" s="366"/>
      <c r="G313" s="366"/>
      <c r="H313" s="367"/>
      <c r="I313" s="356"/>
      <c r="J313" s="356"/>
      <c r="K313" s="366"/>
      <c r="L313" s="367"/>
      <c r="M313" s="356"/>
      <c r="N313" s="366"/>
      <c r="O313" s="367"/>
      <c r="P313" s="367"/>
    </row>
    <row r="314" spans="1:16" x14ac:dyDescent="0.25">
      <c r="A314" s="130"/>
      <c r="B314" s="123" t="s">
        <v>46</v>
      </c>
      <c r="C314" s="131"/>
      <c r="D314" s="132"/>
      <c r="E314" s="132"/>
      <c r="F314" s="133"/>
      <c r="G314" s="133"/>
      <c r="H314" s="129"/>
      <c r="I314" s="131"/>
      <c r="J314" s="131"/>
      <c r="K314" s="133"/>
      <c r="L314" s="129"/>
      <c r="M314" s="131"/>
      <c r="N314" s="136"/>
      <c r="O314" s="129"/>
      <c r="P314" s="124"/>
    </row>
    <row r="315" spans="1:16" x14ac:dyDescent="0.25">
      <c r="A315" s="130"/>
      <c r="B315" s="587" t="s">
        <v>507</v>
      </c>
      <c r="C315" s="131"/>
      <c r="D315" s="132"/>
      <c r="E315" s="132"/>
      <c r="F315" s="133"/>
      <c r="G315" s="133"/>
      <c r="H315" s="129"/>
      <c r="I315" s="131"/>
      <c r="J315" s="131"/>
      <c r="K315" s="133"/>
      <c r="L315" s="129"/>
      <c r="M315" s="131"/>
      <c r="N315" s="136"/>
      <c r="O315" s="129"/>
      <c r="P315" s="124"/>
    </row>
    <row r="316" spans="1:16" ht="31.5" x14ac:dyDescent="0.25">
      <c r="A316" s="130"/>
      <c r="B316" s="586" t="s">
        <v>508</v>
      </c>
      <c r="C316" s="131"/>
      <c r="D316" s="132"/>
      <c r="E316" s="132"/>
      <c r="F316" s="133"/>
      <c r="G316" s="133"/>
      <c r="H316" s="129"/>
      <c r="I316" s="131"/>
      <c r="J316" s="131"/>
      <c r="K316" s="133"/>
      <c r="L316" s="129"/>
      <c r="M316" s="131"/>
      <c r="N316" s="361">
        <v>13114</v>
      </c>
      <c r="O316" s="265">
        <f t="shared" ref="O316" si="214">SUM(M316:N316)</f>
        <v>13114</v>
      </c>
      <c r="P316" s="570">
        <f t="shared" ref="P316" si="215">SUM(O316)</f>
        <v>13114</v>
      </c>
    </row>
    <row r="317" spans="1:16" x14ac:dyDescent="0.25">
      <c r="A317" s="130"/>
      <c r="B317" s="586" t="s">
        <v>619</v>
      </c>
      <c r="C317" s="131"/>
      <c r="D317" s="132"/>
      <c r="E317" s="132"/>
      <c r="F317" s="133"/>
      <c r="G317" s="133"/>
      <c r="H317" s="129"/>
      <c r="I317" s="131"/>
      <c r="J317" s="131"/>
      <c r="K317" s="133"/>
      <c r="L317" s="129"/>
      <c r="M317" s="131"/>
      <c r="N317" s="361">
        <v>60554</v>
      </c>
      <c r="O317" s="265">
        <f t="shared" ref="O317:O325" si="216">SUM(M317:N317)</f>
        <v>60554</v>
      </c>
      <c r="P317" s="570">
        <f t="shared" ref="P317:P325" si="217">SUM(O317)</f>
        <v>60554</v>
      </c>
    </row>
    <row r="318" spans="1:16" ht="47.25" x14ac:dyDescent="0.25">
      <c r="A318" s="130"/>
      <c r="B318" s="715" t="s">
        <v>932</v>
      </c>
      <c r="C318" s="131"/>
      <c r="D318" s="132"/>
      <c r="E318" s="132"/>
      <c r="F318" s="133"/>
      <c r="G318" s="133"/>
      <c r="H318" s="129"/>
      <c r="I318" s="131"/>
      <c r="J318" s="131"/>
      <c r="K318" s="133"/>
      <c r="L318" s="129"/>
      <c r="M318" s="131"/>
      <c r="N318" s="361">
        <v>2631</v>
      </c>
      <c r="O318" s="265">
        <f t="shared" si="216"/>
        <v>2631</v>
      </c>
      <c r="P318" s="570">
        <f t="shared" si="217"/>
        <v>2631</v>
      </c>
    </row>
    <row r="319" spans="1:16" x14ac:dyDescent="0.25">
      <c r="A319" s="130"/>
      <c r="B319" s="586" t="s">
        <v>620</v>
      </c>
      <c r="C319" s="131"/>
      <c r="D319" s="132"/>
      <c r="E319" s="132"/>
      <c r="F319" s="133"/>
      <c r="G319" s="133"/>
      <c r="H319" s="129"/>
      <c r="I319" s="131"/>
      <c r="J319" s="131"/>
      <c r="K319" s="133"/>
      <c r="L319" s="129"/>
      <c r="M319" s="131"/>
      <c r="N319" s="361">
        <v>29983</v>
      </c>
      <c r="O319" s="265">
        <f t="shared" si="216"/>
        <v>29983</v>
      </c>
      <c r="P319" s="570">
        <f t="shared" si="217"/>
        <v>29983</v>
      </c>
    </row>
    <row r="320" spans="1:16" ht="31.5" x14ac:dyDescent="0.25">
      <c r="A320" s="130"/>
      <c r="B320" s="586" t="s">
        <v>621</v>
      </c>
      <c r="C320" s="131"/>
      <c r="D320" s="132"/>
      <c r="E320" s="132"/>
      <c r="F320" s="133"/>
      <c r="G320" s="133"/>
      <c r="H320" s="129"/>
      <c r="I320" s="131"/>
      <c r="J320" s="131"/>
      <c r="K320" s="133"/>
      <c r="L320" s="129"/>
      <c r="M320" s="131"/>
      <c r="N320" s="361">
        <v>1526715</v>
      </c>
      <c r="O320" s="265">
        <f t="shared" si="216"/>
        <v>1526715</v>
      </c>
      <c r="P320" s="570">
        <f t="shared" si="217"/>
        <v>1526715</v>
      </c>
    </row>
    <row r="321" spans="1:16" ht="78.75" x14ac:dyDescent="0.25">
      <c r="A321" s="130"/>
      <c r="B321" s="586" t="s">
        <v>1129</v>
      </c>
      <c r="C321" s="131"/>
      <c r="D321" s="132"/>
      <c r="E321" s="132"/>
      <c r="F321" s="133"/>
      <c r="G321" s="133"/>
      <c r="H321" s="129"/>
      <c r="I321" s="131"/>
      <c r="J321" s="131"/>
      <c r="K321" s="133"/>
      <c r="L321" s="129"/>
      <c r="M321" s="131"/>
      <c r="N321" s="361">
        <v>6393</v>
      </c>
      <c r="O321" s="265">
        <f t="shared" ref="O321" si="218">SUM(M321:N321)</f>
        <v>6393</v>
      </c>
      <c r="P321" s="570">
        <f t="shared" ref="P321" si="219">SUM(O321)</f>
        <v>6393</v>
      </c>
    </row>
    <row r="322" spans="1:16" ht="31.5" x14ac:dyDescent="0.25">
      <c r="A322" s="130"/>
      <c r="B322" s="587" t="s">
        <v>1141</v>
      </c>
      <c r="C322" s="131"/>
      <c r="D322" s="132"/>
      <c r="E322" s="132"/>
      <c r="F322" s="133"/>
      <c r="G322" s="133"/>
      <c r="H322" s="129"/>
      <c r="I322" s="131"/>
      <c r="J322" s="131"/>
      <c r="K322" s="133"/>
      <c r="L322" s="129"/>
      <c r="M322" s="131"/>
      <c r="N322" s="361"/>
      <c r="O322" s="265"/>
      <c r="P322" s="570"/>
    </row>
    <row r="323" spans="1:16" ht="78.75" x14ac:dyDescent="0.25">
      <c r="A323" s="130"/>
      <c r="B323" s="586" t="s">
        <v>1129</v>
      </c>
      <c r="C323" s="131"/>
      <c r="D323" s="132"/>
      <c r="E323" s="132"/>
      <c r="F323" s="133"/>
      <c r="G323" s="133"/>
      <c r="H323" s="129"/>
      <c r="I323" s="131"/>
      <c r="J323" s="131"/>
      <c r="K323" s="133"/>
      <c r="L323" s="129"/>
      <c r="M323" s="131"/>
      <c r="N323" s="361">
        <v>54312</v>
      </c>
      <c r="O323" s="265">
        <f t="shared" ref="O323" si="220">SUM(M323:N323)</f>
        <v>54312</v>
      </c>
      <c r="P323" s="570">
        <f t="shared" ref="P323" si="221">SUM(O323)</f>
        <v>54312</v>
      </c>
    </row>
    <row r="324" spans="1:16" ht="31.5" x14ac:dyDescent="0.25">
      <c r="A324" s="130"/>
      <c r="B324" s="368" t="s">
        <v>385</v>
      </c>
      <c r="C324" s="131"/>
      <c r="D324" s="132"/>
      <c r="E324" s="132"/>
      <c r="F324" s="133"/>
      <c r="G324" s="133"/>
      <c r="H324" s="129"/>
      <c r="I324" s="131"/>
      <c r="J324" s="131"/>
      <c r="K324" s="133"/>
      <c r="L324" s="129"/>
      <c r="M324" s="131"/>
      <c r="N324" s="133"/>
      <c r="O324" s="265"/>
      <c r="P324" s="570"/>
    </row>
    <row r="325" spans="1:16" ht="47.25" x14ac:dyDescent="0.25">
      <c r="A325" s="130"/>
      <c r="B325" s="626" t="s">
        <v>1144</v>
      </c>
      <c r="C325" s="131"/>
      <c r="D325" s="132"/>
      <c r="E325" s="132"/>
      <c r="F325" s="133"/>
      <c r="G325" s="133"/>
      <c r="H325" s="129"/>
      <c r="I325" s="131"/>
      <c r="J325" s="131"/>
      <c r="K325" s="133"/>
      <c r="L325" s="129"/>
      <c r="M325" s="131"/>
      <c r="N325" s="133">
        <v>-250</v>
      </c>
      <c r="O325" s="265">
        <f t="shared" si="216"/>
        <v>-250</v>
      </c>
      <c r="P325" s="570">
        <f t="shared" si="217"/>
        <v>-250</v>
      </c>
    </row>
    <row r="326" spans="1:16" ht="47.25" x14ac:dyDescent="0.25">
      <c r="A326" s="130"/>
      <c r="B326" s="626" t="s">
        <v>1145</v>
      </c>
      <c r="C326" s="131"/>
      <c r="D326" s="132"/>
      <c r="E326" s="132"/>
      <c r="F326" s="133"/>
      <c r="G326" s="133"/>
      <c r="H326" s="129"/>
      <c r="I326" s="131"/>
      <c r="J326" s="131"/>
      <c r="K326" s="133"/>
      <c r="L326" s="129"/>
      <c r="M326" s="131"/>
      <c r="N326" s="133">
        <v>-500</v>
      </c>
      <c r="O326" s="265">
        <f t="shared" ref="O326:O343" si="222">SUM(M326:N326)</f>
        <v>-500</v>
      </c>
      <c r="P326" s="570">
        <f t="shared" ref="P326:P343" si="223">SUM(O326)</f>
        <v>-500</v>
      </c>
    </row>
    <row r="327" spans="1:16" ht="56.25" customHeight="1" x14ac:dyDescent="0.25">
      <c r="A327" s="130"/>
      <c r="B327" s="626" t="s">
        <v>1146</v>
      </c>
      <c r="C327" s="131"/>
      <c r="D327" s="132"/>
      <c r="E327" s="132"/>
      <c r="F327" s="133"/>
      <c r="G327" s="133"/>
      <c r="H327" s="129"/>
      <c r="I327" s="131"/>
      <c r="J327" s="131"/>
      <c r="K327" s="133"/>
      <c r="L327" s="129"/>
      <c r="M327" s="131"/>
      <c r="N327" s="133">
        <v>-2483</v>
      </c>
      <c r="O327" s="265">
        <f t="shared" si="222"/>
        <v>-2483</v>
      </c>
      <c r="P327" s="570">
        <f t="shared" si="223"/>
        <v>-2483</v>
      </c>
    </row>
    <row r="328" spans="1:16" ht="55.5" customHeight="1" x14ac:dyDescent="0.25">
      <c r="A328" s="130"/>
      <c r="B328" s="626" t="s">
        <v>1147</v>
      </c>
      <c r="C328" s="131"/>
      <c r="D328" s="132"/>
      <c r="E328" s="132"/>
      <c r="F328" s="133"/>
      <c r="G328" s="133"/>
      <c r="H328" s="129"/>
      <c r="I328" s="131"/>
      <c r="J328" s="131"/>
      <c r="K328" s="133"/>
      <c r="L328" s="129"/>
      <c r="M328" s="131"/>
      <c r="N328" s="133">
        <v>-30500</v>
      </c>
      <c r="O328" s="265">
        <f t="shared" si="222"/>
        <v>-30500</v>
      </c>
      <c r="P328" s="570">
        <f t="shared" si="223"/>
        <v>-30500</v>
      </c>
    </row>
    <row r="329" spans="1:16" ht="47.25" x14ac:dyDescent="0.25">
      <c r="A329" s="130"/>
      <c r="B329" s="626" t="s">
        <v>1148</v>
      </c>
      <c r="C329" s="131"/>
      <c r="D329" s="132"/>
      <c r="E329" s="132"/>
      <c r="F329" s="133"/>
      <c r="G329" s="133"/>
      <c r="H329" s="129"/>
      <c r="I329" s="131"/>
      <c r="J329" s="131"/>
      <c r="K329" s="133"/>
      <c r="L329" s="129"/>
      <c r="M329" s="131"/>
      <c r="N329" s="133">
        <v>-40000</v>
      </c>
      <c r="O329" s="265">
        <f t="shared" si="222"/>
        <v>-40000</v>
      </c>
      <c r="P329" s="570">
        <f t="shared" si="223"/>
        <v>-40000</v>
      </c>
    </row>
    <row r="330" spans="1:16" ht="31.5" x14ac:dyDescent="0.25">
      <c r="A330" s="130"/>
      <c r="B330" s="626" t="s">
        <v>1149</v>
      </c>
      <c r="C330" s="131"/>
      <c r="D330" s="132"/>
      <c r="E330" s="132"/>
      <c r="F330" s="133"/>
      <c r="G330" s="133"/>
      <c r="H330" s="129"/>
      <c r="I330" s="131"/>
      <c r="J330" s="131"/>
      <c r="K330" s="133"/>
      <c r="L330" s="129"/>
      <c r="M330" s="131"/>
      <c r="N330" s="133">
        <v>-1000</v>
      </c>
      <c r="O330" s="265">
        <f t="shared" si="222"/>
        <v>-1000</v>
      </c>
      <c r="P330" s="570">
        <f t="shared" si="223"/>
        <v>-1000</v>
      </c>
    </row>
    <row r="331" spans="1:16" ht="42" customHeight="1" x14ac:dyDescent="0.25">
      <c r="A331" s="130"/>
      <c r="B331" s="626" t="s">
        <v>1150</v>
      </c>
      <c r="C331" s="131"/>
      <c r="D331" s="132"/>
      <c r="E331" s="132"/>
      <c r="F331" s="133"/>
      <c r="G331" s="133"/>
      <c r="H331" s="129"/>
      <c r="I331" s="131"/>
      <c r="J331" s="131"/>
      <c r="K331" s="133"/>
      <c r="L331" s="129"/>
      <c r="M331" s="131"/>
      <c r="N331" s="133">
        <v>-4770</v>
      </c>
      <c r="O331" s="265">
        <f t="shared" si="222"/>
        <v>-4770</v>
      </c>
      <c r="P331" s="570">
        <f t="shared" si="223"/>
        <v>-4770</v>
      </c>
    </row>
    <row r="332" spans="1:16" ht="112.5" customHeight="1" x14ac:dyDescent="0.25">
      <c r="A332" s="130"/>
      <c r="B332" s="626" t="s">
        <v>1152</v>
      </c>
      <c r="C332" s="131"/>
      <c r="D332" s="132"/>
      <c r="E332" s="132"/>
      <c r="F332" s="133"/>
      <c r="G332" s="133"/>
      <c r="H332" s="129"/>
      <c r="I332" s="131"/>
      <c r="J332" s="131"/>
      <c r="K332" s="133"/>
      <c r="L332" s="129"/>
      <c r="M332" s="131"/>
      <c r="N332" s="133">
        <v>-2738</v>
      </c>
      <c r="O332" s="265">
        <f t="shared" si="222"/>
        <v>-2738</v>
      </c>
      <c r="P332" s="570">
        <f t="shared" si="223"/>
        <v>-2738</v>
      </c>
    </row>
    <row r="333" spans="1:16" ht="94.5" x14ac:dyDescent="0.25">
      <c r="A333" s="130"/>
      <c r="B333" s="626" t="s">
        <v>1151</v>
      </c>
      <c r="C333" s="131"/>
      <c r="D333" s="132"/>
      <c r="E333" s="132"/>
      <c r="F333" s="133"/>
      <c r="G333" s="133"/>
      <c r="H333" s="129"/>
      <c r="I333" s="131"/>
      <c r="J333" s="131"/>
      <c r="K333" s="133"/>
      <c r="L333" s="129"/>
      <c r="M333" s="131"/>
      <c r="N333" s="133">
        <v>-5756</v>
      </c>
      <c r="O333" s="265">
        <f t="shared" si="222"/>
        <v>-5756</v>
      </c>
      <c r="P333" s="570">
        <f t="shared" si="223"/>
        <v>-5756</v>
      </c>
    </row>
    <row r="334" spans="1:16" ht="57" customHeight="1" x14ac:dyDescent="0.25">
      <c r="A334" s="130"/>
      <c r="B334" s="626" t="s">
        <v>1153</v>
      </c>
      <c r="C334" s="131"/>
      <c r="D334" s="132"/>
      <c r="E334" s="132"/>
      <c r="F334" s="133"/>
      <c r="G334" s="133"/>
      <c r="H334" s="129"/>
      <c r="I334" s="131"/>
      <c r="J334" s="131"/>
      <c r="K334" s="133"/>
      <c r="L334" s="129"/>
      <c r="M334" s="131"/>
      <c r="N334" s="133">
        <v>-15000</v>
      </c>
      <c r="O334" s="265">
        <f t="shared" si="222"/>
        <v>-15000</v>
      </c>
      <c r="P334" s="570">
        <f t="shared" si="223"/>
        <v>-15000</v>
      </c>
    </row>
    <row r="335" spans="1:16" ht="47.25" x14ac:dyDescent="0.25">
      <c r="A335" s="130"/>
      <c r="B335" s="626" t="s">
        <v>1154</v>
      </c>
      <c r="C335" s="131"/>
      <c r="D335" s="132"/>
      <c r="E335" s="132"/>
      <c r="F335" s="133"/>
      <c r="G335" s="133"/>
      <c r="H335" s="129"/>
      <c r="I335" s="131"/>
      <c r="J335" s="131"/>
      <c r="K335" s="133"/>
      <c r="L335" s="129"/>
      <c r="M335" s="131"/>
      <c r="N335" s="133">
        <v>-2264</v>
      </c>
      <c r="O335" s="265">
        <f t="shared" si="222"/>
        <v>-2264</v>
      </c>
      <c r="P335" s="570">
        <f t="shared" si="223"/>
        <v>-2264</v>
      </c>
    </row>
    <row r="336" spans="1:16" ht="47.25" x14ac:dyDescent="0.25">
      <c r="A336" s="130"/>
      <c r="B336" s="625" t="s">
        <v>1157</v>
      </c>
      <c r="C336" s="131"/>
      <c r="D336" s="132"/>
      <c r="E336" s="132"/>
      <c r="F336" s="133"/>
      <c r="G336" s="133"/>
      <c r="H336" s="129"/>
      <c r="I336" s="131"/>
      <c r="J336" s="131"/>
      <c r="K336" s="133"/>
      <c r="L336" s="129"/>
      <c r="M336" s="131"/>
      <c r="N336" s="133">
        <v>-30163</v>
      </c>
      <c r="O336" s="265">
        <f t="shared" si="222"/>
        <v>-30163</v>
      </c>
      <c r="P336" s="570">
        <f t="shared" si="223"/>
        <v>-30163</v>
      </c>
    </row>
    <row r="337" spans="1:16" ht="57.75" customHeight="1" x14ac:dyDescent="0.25">
      <c r="A337" s="130"/>
      <c r="B337" s="625" t="s">
        <v>1155</v>
      </c>
      <c r="C337" s="131"/>
      <c r="D337" s="132"/>
      <c r="E337" s="132"/>
      <c r="F337" s="133"/>
      <c r="G337" s="133"/>
      <c r="H337" s="129"/>
      <c r="I337" s="131"/>
      <c r="J337" s="131"/>
      <c r="K337" s="133"/>
      <c r="L337" s="129"/>
      <c r="M337" s="131"/>
      <c r="N337" s="133">
        <v>-6755</v>
      </c>
      <c r="O337" s="265">
        <f t="shared" si="222"/>
        <v>-6755</v>
      </c>
      <c r="P337" s="570">
        <f t="shared" si="223"/>
        <v>-6755</v>
      </c>
    </row>
    <row r="338" spans="1:16" ht="63" x14ac:dyDescent="0.25">
      <c r="A338" s="130"/>
      <c r="B338" s="362" t="s">
        <v>1156</v>
      </c>
      <c r="C338" s="131"/>
      <c r="D338" s="132"/>
      <c r="E338" s="132"/>
      <c r="F338" s="133"/>
      <c r="G338" s="133"/>
      <c r="H338" s="129"/>
      <c r="I338" s="131"/>
      <c r="J338" s="131"/>
      <c r="K338" s="133"/>
      <c r="L338" s="129"/>
      <c r="M338" s="131"/>
      <c r="N338" s="571">
        <v>-105000</v>
      </c>
      <c r="O338" s="265">
        <f t="shared" si="222"/>
        <v>-105000</v>
      </c>
      <c r="P338" s="570">
        <f t="shared" si="223"/>
        <v>-105000</v>
      </c>
    </row>
    <row r="339" spans="1:16" ht="59.25" customHeight="1" x14ac:dyDescent="0.25">
      <c r="A339" s="130"/>
      <c r="B339" s="139" t="s">
        <v>1158</v>
      </c>
      <c r="C339" s="131"/>
      <c r="D339" s="132"/>
      <c r="E339" s="132"/>
      <c r="F339" s="133"/>
      <c r="G339" s="133"/>
      <c r="H339" s="129"/>
      <c r="I339" s="131"/>
      <c r="J339" s="131"/>
      <c r="K339" s="133"/>
      <c r="L339" s="129"/>
      <c r="M339" s="131"/>
      <c r="N339" s="133">
        <v>-5588</v>
      </c>
      <c r="O339" s="265">
        <f t="shared" si="222"/>
        <v>-5588</v>
      </c>
      <c r="P339" s="570">
        <f t="shared" si="223"/>
        <v>-5588</v>
      </c>
    </row>
    <row r="340" spans="1:16" ht="31.5" x14ac:dyDescent="0.25">
      <c r="A340" s="130"/>
      <c r="B340" s="739" t="s">
        <v>1159</v>
      </c>
      <c r="C340" s="131"/>
      <c r="D340" s="132"/>
      <c r="E340" s="132"/>
      <c r="F340" s="133"/>
      <c r="G340" s="133"/>
      <c r="H340" s="129"/>
      <c r="I340" s="131"/>
      <c r="J340" s="131"/>
      <c r="K340" s="133"/>
      <c r="L340" s="129"/>
      <c r="M340" s="131"/>
      <c r="N340" s="133">
        <v>-5000</v>
      </c>
      <c r="O340" s="265">
        <f t="shared" si="222"/>
        <v>-5000</v>
      </c>
      <c r="P340" s="570">
        <f t="shared" si="223"/>
        <v>-5000</v>
      </c>
    </row>
    <row r="341" spans="1:16" ht="59.25" customHeight="1" x14ac:dyDescent="0.25">
      <c r="A341" s="130"/>
      <c r="B341" s="739" t="s">
        <v>1160</v>
      </c>
      <c r="C341" s="131"/>
      <c r="D341" s="132"/>
      <c r="E341" s="132"/>
      <c r="F341" s="133"/>
      <c r="G341" s="133"/>
      <c r="H341" s="129"/>
      <c r="I341" s="131"/>
      <c r="J341" s="131"/>
      <c r="K341" s="133"/>
      <c r="L341" s="129"/>
      <c r="M341" s="131"/>
      <c r="N341" s="133">
        <v>-127000</v>
      </c>
      <c r="O341" s="265">
        <f t="shared" si="222"/>
        <v>-127000</v>
      </c>
      <c r="P341" s="570">
        <f t="shared" si="223"/>
        <v>-127000</v>
      </c>
    </row>
    <row r="342" spans="1:16" ht="47.25" x14ac:dyDescent="0.25">
      <c r="A342" s="130"/>
      <c r="B342" s="139" t="s">
        <v>1298</v>
      </c>
      <c r="C342" s="131"/>
      <c r="D342" s="132"/>
      <c r="E342" s="132"/>
      <c r="F342" s="133"/>
      <c r="G342" s="133"/>
      <c r="H342" s="129"/>
      <c r="I342" s="131"/>
      <c r="J342" s="131"/>
      <c r="K342" s="133"/>
      <c r="L342" s="129"/>
      <c r="M342" s="131"/>
      <c r="N342" s="133">
        <v>-150000</v>
      </c>
      <c r="O342" s="265">
        <f t="shared" si="222"/>
        <v>-150000</v>
      </c>
      <c r="P342" s="570">
        <f t="shared" si="223"/>
        <v>-150000</v>
      </c>
    </row>
    <row r="343" spans="1:16" ht="63" x14ac:dyDescent="0.25">
      <c r="A343" s="130"/>
      <c r="B343" s="139" t="s">
        <v>1161</v>
      </c>
      <c r="C343" s="131"/>
      <c r="D343" s="132"/>
      <c r="E343" s="132"/>
      <c r="F343" s="133"/>
      <c r="G343" s="133"/>
      <c r="H343" s="129"/>
      <c r="I343" s="131"/>
      <c r="J343" s="131"/>
      <c r="K343" s="133"/>
      <c r="L343" s="129"/>
      <c r="M343" s="131"/>
      <c r="N343" s="133">
        <v>-10242</v>
      </c>
      <c r="O343" s="265">
        <f t="shared" si="222"/>
        <v>-10242</v>
      </c>
      <c r="P343" s="570">
        <f t="shared" si="223"/>
        <v>-10242</v>
      </c>
    </row>
    <row r="344" spans="1:16" ht="47.25" x14ac:dyDescent="0.25">
      <c r="A344" s="130"/>
      <c r="B344" s="139" t="s">
        <v>1162</v>
      </c>
      <c r="C344" s="131"/>
      <c r="D344" s="132"/>
      <c r="E344" s="132"/>
      <c r="F344" s="133"/>
      <c r="G344" s="133"/>
      <c r="H344" s="129"/>
      <c r="I344" s="131"/>
      <c r="J344" s="131"/>
      <c r="K344" s="133"/>
      <c r="L344" s="129"/>
      <c r="M344" s="131"/>
      <c r="N344" s="133">
        <v>-87102</v>
      </c>
      <c r="O344" s="265">
        <f t="shared" ref="O344:O346" si="224">SUM(M344:N344)</f>
        <v>-87102</v>
      </c>
      <c r="P344" s="570">
        <f t="shared" ref="P344:P346" si="225">SUM(O344)</f>
        <v>-87102</v>
      </c>
    </row>
    <row r="345" spans="1:16" ht="31.5" x14ac:dyDescent="0.25">
      <c r="A345" s="130"/>
      <c r="B345" s="139" t="s">
        <v>1163</v>
      </c>
      <c r="C345" s="131"/>
      <c r="D345" s="132"/>
      <c r="E345" s="132"/>
      <c r="F345" s="133"/>
      <c r="G345" s="133"/>
      <c r="H345" s="129"/>
      <c r="I345" s="131"/>
      <c r="J345" s="131"/>
      <c r="K345" s="133"/>
      <c r="L345" s="129"/>
      <c r="M345" s="131"/>
      <c r="N345" s="133">
        <v>-1000</v>
      </c>
      <c r="O345" s="265">
        <f t="shared" si="224"/>
        <v>-1000</v>
      </c>
      <c r="P345" s="572">
        <f t="shared" si="225"/>
        <v>-1000</v>
      </c>
    </row>
    <row r="346" spans="1:16" ht="47.25" x14ac:dyDescent="0.25">
      <c r="A346" s="130"/>
      <c r="B346" s="139" t="s">
        <v>1164</v>
      </c>
      <c r="C346" s="131"/>
      <c r="D346" s="132"/>
      <c r="E346" s="132"/>
      <c r="F346" s="133"/>
      <c r="G346" s="133"/>
      <c r="H346" s="129"/>
      <c r="I346" s="131"/>
      <c r="J346" s="131"/>
      <c r="K346" s="133"/>
      <c r="L346" s="129"/>
      <c r="M346" s="131"/>
      <c r="N346" s="133">
        <v>-800</v>
      </c>
      <c r="O346" s="265">
        <f t="shared" si="224"/>
        <v>-800</v>
      </c>
      <c r="P346" s="572">
        <f t="shared" si="225"/>
        <v>-800</v>
      </c>
    </row>
    <row r="347" spans="1:16" ht="58.5" customHeight="1" x14ac:dyDescent="0.25">
      <c r="A347" s="130"/>
      <c r="B347" s="139" t="s">
        <v>1165</v>
      </c>
      <c r="C347" s="131"/>
      <c r="D347" s="132"/>
      <c r="E347" s="132"/>
      <c r="F347" s="133"/>
      <c r="G347" s="133"/>
      <c r="H347" s="129"/>
      <c r="I347" s="131"/>
      <c r="J347" s="131"/>
      <c r="K347" s="133"/>
      <c r="L347" s="129"/>
      <c r="M347" s="131"/>
      <c r="N347" s="133">
        <v>-2000</v>
      </c>
      <c r="O347" s="265">
        <f t="shared" ref="O347:O350" si="226">SUM(M347:N347)</f>
        <v>-2000</v>
      </c>
      <c r="P347" s="572">
        <f t="shared" ref="P347:P350" si="227">SUM(O347)</f>
        <v>-2000</v>
      </c>
    </row>
    <row r="348" spans="1:16" ht="63" x14ac:dyDescent="0.25">
      <c r="A348" s="579"/>
      <c r="B348" s="139" t="s">
        <v>1302</v>
      </c>
      <c r="C348" s="150"/>
      <c r="D348" s="151"/>
      <c r="E348" s="151"/>
      <c r="F348" s="152"/>
      <c r="G348" s="152"/>
      <c r="H348" s="153"/>
      <c r="I348" s="150"/>
      <c r="J348" s="150"/>
      <c r="K348" s="152"/>
      <c r="L348" s="153"/>
      <c r="M348" s="150"/>
      <c r="N348" s="152">
        <v>-30000</v>
      </c>
      <c r="O348" s="265">
        <f t="shared" si="226"/>
        <v>-30000</v>
      </c>
      <c r="P348" s="570">
        <f t="shared" si="227"/>
        <v>-30000</v>
      </c>
    </row>
    <row r="349" spans="1:16" ht="31.5" x14ac:dyDescent="0.25">
      <c r="A349" s="579"/>
      <c r="B349" s="139" t="s">
        <v>1166</v>
      </c>
      <c r="C349" s="150"/>
      <c r="D349" s="151"/>
      <c r="E349" s="151"/>
      <c r="F349" s="152"/>
      <c r="G349" s="152"/>
      <c r="H349" s="153"/>
      <c r="I349" s="150"/>
      <c r="J349" s="150"/>
      <c r="K349" s="152"/>
      <c r="L349" s="153"/>
      <c r="M349" s="150"/>
      <c r="N349" s="152">
        <v>-2286</v>
      </c>
      <c r="O349" s="265">
        <f t="shared" si="226"/>
        <v>-2286</v>
      </c>
      <c r="P349" s="570">
        <f t="shared" si="227"/>
        <v>-2286</v>
      </c>
    </row>
    <row r="350" spans="1:16" ht="41.25" customHeight="1" x14ac:dyDescent="0.25">
      <c r="A350" s="579"/>
      <c r="B350" s="139" t="s">
        <v>1167</v>
      </c>
      <c r="C350" s="150"/>
      <c r="D350" s="151"/>
      <c r="E350" s="151"/>
      <c r="F350" s="152"/>
      <c r="G350" s="152"/>
      <c r="H350" s="153"/>
      <c r="I350" s="150"/>
      <c r="J350" s="150"/>
      <c r="K350" s="152"/>
      <c r="L350" s="153"/>
      <c r="M350" s="150"/>
      <c r="N350" s="152">
        <v>-10000</v>
      </c>
      <c r="O350" s="265">
        <f t="shared" si="226"/>
        <v>-10000</v>
      </c>
      <c r="P350" s="570">
        <f t="shared" si="227"/>
        <v>-10000</v>
      </c>
    </row>
    <row r="351" spans="1:16" x14ac:dyDescent="0.25">
      <c r="A351" s="579"/>
      <c r="B351" s="581" t="s">
        <v>506</v>
      </c>
      <c r="C351" s="150"/>
      <c r="D351" s="151"/>
      <c r="E351" s="151"/>
      <c r="F351" s="152"/>
      <c r="G351" s="152"/>
      <c r="H351" s="153"/>
      <c r="I351" s="150"/>
      <c r="J351" s="150"/>
      <c r="K351" s="152"/>
      <c r="L351" s="153"/>
      <c r="M351" s="150"/>
      <c r="N351" s="152"/>
      <c r="O351" s="265"/>
      <c r="P351" s="570"/>
    </row>
    <row r="352" spans="1:16" x14ac:dyDescent="0.25">
      <c r="A352" s="579"/>
      <c r="B352" s="580" t="s">
        <v>622</v>
      </c>
      <c r="C352" s="150"/>
      <c r="D352" s="151"/>
      <c r="E352" s="151"/>
      <c r="F352" s="152"/>
      <c r="G352" s="152"/>
      <c r="H352" s="153"/>
      <c r="I352" s="150"/>
      <c r="J352" s="150"/>
      <c r="K352" s="152"/>
      <c r="L352" s="153"/>
      <c r="M352" s="150"/>
      <c r="N352" s="152">
        <v>-231</v>
      </c>
      <c r="O352" s="265">
        <f t="shared" ref="O352:O372" si="228">SUM(M352:N352)</f>
        <v>-231</v>
      </c>
      <c r="P352" s="570">
        <f t="shared" ref="P352:P372" si="229">SUM(O352)</f>
        <v>-231</v>
      </c>
    </row>
    <row r="353" spans="1:16" ht="31.5" x14ac:dyDescent="0.25">
      <c r="A353" s="579"/>
      <c r="B353" s="580" t="s">
        <v>623</v>
      </c>
      <c r="C353" s="150"/>
      <c r="D353" s="151"/>
      <c r="E353" s="151"/>
      <c r="F353" s="152"/>
      <c r="G353" s="152"/>
      <c r="H353" s="153"/>
      <c r="I353" s="150"/>
      <c r="J353" s="150"/>
      <c r="K353" s="152"/>
      <c r="L353" s="153"/>
      <c r="M353" s="150"/>
      <c r="N353" s="152">
        <v>-45165</v>
      </c>
      <c r="O353" s="265">
        <f t="shared" si="228"/>
        <v>-45165</v>
      </c>
      <c r="P353" s="570">
        <f t="shared" si="229"/>
        <v>-45165</v>
      </c>
    </row>
    <row r="354" spans="1:16" x14ac:dyDescent="0.25">
      <c r="A354" s="579"/>
      <c r="B354" s="580" t="s">
        <v>624</v>
      </c>
      <c r="C354" s="150"/>
      <c r="D354" s="151"/>
      <c r="E354" s="151"/>
      <c r="F354" s="152"/>
      <c r="G354" s="152"/>
      <c r="H354" s="153"/>
      <c r="I354" s="150"/>
      <c r="J354" s="150"/>
      <c r="K354" s="152"/>
      <c r="L354" s="153"/>
      <c r="M354" s="150"/>
      <c r="N354" s="152">
        <v>-76128</v>
      </c>
      <c r="O354" s="265">
        <f t="shared" si="228"/>
        <v>-76128</v>
      </c>
      <c r="P354" s="570">
        <f t="shared" si="229"/>
        <v>-76128</v>
      </c>
    </row>
    <row r="355" spans="1:16" ht="94.5" x14ac:dyDescent="0.25">
      <c r="A355" s="579"/>
      <c r="B355" s="580" t="s">
        <v>1130</v>
      </c>
      <c r="C355" s="150"/>
      <c r="D355" s="151"/>
      <c r="E355" s="151"/>
      <c r="F355" s="152"/>
      <c r="G355" s="152"/>
      <c r="H355" s="153"/>
      <c r="I355" s="150"/>
      <c r="J355" s="150"/>
      <c r="K355" s="152"/>
      <c r="L355" s="153"/>
      <c r="M355" s="150"/>
      <c r="N355" s="152">
        <v>-140000</v>
      </c>
      <c r="O355" s="265">
        <f t="shared" si="228"/>
        <v>-140000</v>
      </c>
      <c r="P355" s="570">
        <f t="shared" si="229"/>
        <v>-140000</v>
      </c>
    </row>
    <row r="356" spans="1:16" ht="110.25" x14ac:dyDescent="0.25">
      <c r="A356" s="130"/>
      <c r="B356" s="740" t="s">
        <v>1131</v>
      </c>
      <c r="C356" s="131"/>
      <c r="D356" s="132"/>
      <c r="E356" s="132"/>
      <c r="F356" s="133"/>
      <c r="G356" s="133"/>
      <c r="H356" s="129"/>
      <c r="I356" s="131"/>
      <c r="J356" s="131"/>
      <c r="K356" s="133"/>
      <c r="L356" s="129"/>
      <c r="M356" s="131"/>
      <c r="N356" s="133">
        <v>-9842</v>
      </c>
      <c r="O356" s="265">
        <f t="shared" si="228"/>
        <v>-9842</v>
      </c>
      <c r="P356" s="572">
        <f t="shared" si="229"/>
        <v>-9842</v>
      </c>
    </row>
    <row r="357" spans="1:16" ht="126" x14ac:dyDescent="0.25">
      <c r="A357" s="130"/>
      <c r="B357" s="740" t="s">
        <v>1132</v>
      </c>
      <c r="C357" s="131"/>
      <c r="D357" s="132"/>
      <c r="E357" s="132"/>
      <c r="F357" s="133"/>
      <c r="G357" s="133"/>
      <c r="H357" s="129"/>
      <c r="I357" s="131"/>
      <c r="J357" s="131"/>
      <c r="K357" s="133"/>
      <c r="L357" s="129"/>
      <c r="M357" s="131"/>
      <c r="N357" s="133">
        <v>-10000</v>
      </c>
      <c r="O357" s="265">
        <f t="shared" si="228"/>
        <v>-10000</v>
      </c>
      <c r="P357" s="572">
        <f t="shared" si="229"/>
        <v>-10000</v>
      </c>
    </row>
    <row r="358" spans="1:16" ht="110.25" x14ac:dyDescent="0.25">
      <c r="A358" s="579"/>
      <c r="B358" s="686" t="s">
        <v>1133</v>
      </c>
      <c r="C358" s="150"/>
      <c r="D358" s="151"/>
      <c r="E358" s="151"/>
      <c r="F358" s="152"/>
      <c r="G358" s="152"/>
      <c r="H358" s="153"/>
      <c r="I358" s="150"/>
      <c r="J358" s="150"/>
      <c r="K358" s="152"/>
      <c r="L358" s="153"/>
      <c r="M358" s="150"/>
      <c r="N358" s="152">
        <v>-10000</v>
      </c>
      <c r="O358" s="265">
        <f t="shared" si="228"/>
        <v>-10000</v>
      </c>
      <c r="P358" s="570">
        <f t="shared" si="229"/>
        <v>-10000</v>
      </c>
    </row>
    <row r="359" spans="1:16" ht="126" x14ac:dyDescent="0.25">
      <c r="A359" s="579"/>
      <c r="B359" s="686" t="s">
        <v>1134</v>
      </c>
      <c r="C359" s="150"/>
      <c r="D359" s="151"/>
      <c r="E359" s="151"/>
      <c r="F359" s="152"/>
      <c r="G359" s="152"/>
      <c r="H359" s="153"/>
      <c r="I359" s="150"/>
      <c r="J359" s="150"/>
      <c r="K359" s="152"/>
      <c r="L359" s="153"/>
      <c r="M359" s="150"/>
      <c r="N359" s="152">
        <v>-829</v>
      </c>
      <c r="O359" s="265">
        <f t="shared" si="228"/>
        <v>-829</v>
      </c>
      <c r="P359" s="570">
        <f t="shared" si="229"/>
        <v>-829</v>
      </c>
    </row>
    <row r="360" spans="1:16" ht="31.5" x14ac:dyDescent="0.25">
      <c r="A360" s="579"/>
      <c r="B360" s="580" t="s">
        <v>625</v>
      </c>
      <c r="C360" s="150"/>
      <c r="D360" s="151"/>
      <c r="E360" s="151"/>
      <c r="F360" s="152"/>
      <c r="G360" s="152"/>
      <c r="H360" s="153"/>
      <c r="I360" s="150"/>
      <c r="J360" s="150"/>
      <c r="K360" s="152"/>
      <c r="L360" s="153"/>
      <c r="M360" s="150"/>
      <c r="N360" s="152">
        <v>-42601</v>
      </c>
      <c r="O360" s="265">
        <f t="shared" si="228"/>
        <v>-42601</v>
      </c>
      <c r="P360" s="570">
        <f t="shared" si="229"/>
        <v>-42601</v>
      </c>
    </row>
    <row r="361" spans="1:16" ht="47.25" x14ac:dyDescent="0.25">
      <c r="A361" s="130"/>
      <c r="B361" s="740" t="s">
        <v>1136</v>
      </c>
      <c r="C361" s="131"/>
      <c r="D361" s="132"/>
      <c r="E361" s="132"/>
      <c r="F361" s="133"/>
      <c r="G361" s="133"/>
      <c r="H361" s="129"/>
      <c r="I361" s="131"/>
      <c r="J361" s="131"/>
      <c r="K361" s="133"/>
      <c r="L361" s="129"/>
      <c r="M361" s="131"/>
      <c r="N361" s="133">
        <v>-13314</v>
      </c>
      <c r="O361" s="265">
        <f t="shared" si="228"/>
        <v>-13314</v>
      </c>
      <c r="P361" s="572">
        <f t="shared" si="229"/>
        <v>-13314</v>
      </c>
    </row>
    <row r="362" spans="1:16" ht="63" x14ac:dyDescent="0.25">
      <c r="A362" s="130"/>
      <c r="B362" s="740" t="s">
        <v>1137</v>
      </c>
      <c r="C362" s="131"/>
      <c r="D362" s="132"/>
      <c r="E362" s="132"/>
      <c r="F362" s="133"/>
      <c r="G362" s="133"/>
      <c r="H362" s="129"/>
      <c r="I362" s="131"/>
      <c r="J362" s="131"/>
      <c r="K362" s="133"/>
      <c r="L362" s="129"/>
      <c r="M362" s="131"/>
      <c r="N362" s="361">
        <v>-639</v>
      </c>
      <c r="O362" s="265">
        <f t="shared" ref="O362" si="230">SUM(M362:N362)</f>
        <v>-639</v>
      </c>
      <c r="P362" s="570">
        <f t="shared" ref="P362" si="231">SUM(O362)</f>
        <v>-639</v>
      </c>
    </row>
    <row r="363" spans="1:16" ht="63" x14ac:dyDescent="0.25">
      <c r="A363" s="130"/>
      <c r="B363" s="740" t="s">
        <v>1138</v>
      </c>
      <c r="C363" s="131"/>
      <c r="D363" s="132"/>
      <c r="E363" s="132"/>
      <c r="F363" s="133"/>
      <c r="G363" s="133"/>
      <c r="H363" s="129"/>
      <c r="I363" s="131"/>
      <c r="J363" s="131"/>
      <c r="K363" s="133"/>
      <c r="L363" s="129"/>
      <c r="M363" s="131"/>
      <c r="N363" s="133">
        <v>-2513</v>
      </c>
      <c r="O363" s="265">
        <f t="shared" si="228"/>
        <v>-2513</v>
      </c>
      <c r="P363" s="572">
        <f t="shared" si="229"/>
        <v>-2513</v>
      </c>
    </row>
    <row r="364" spans="1:16" ht="78.75" x14ac:dyDescent="0.25">
      <c r="A364" s="579"/>
      <c r="B364" s="740" t="s">
        <v>1139</v>
      </c>
      <c r="C364" s="150"/>
      <c r="D364" s="151"/>
      <c r="E364" s="151"/>
      <c r="F364" s="152"/>
      <c r="G364" s="152"/>
      <c r="H364" s="153"/>
      <c r="I364" s="150"/>
      <c r="J364" s="150"/>
      <c r="K364" s="152"/>
      <c r="L364" s="153"/>
      <c r="M364" s="150"/>
      <c r="N364" s="152">
        <v>-11038</v>
      </c>
      <c r="O364" s="265">
        <f t="shared" si="228"/>
        <v>-11038</v>
      </c>
      <c r="P364" s="570">
        <f t="shared" si="229"/>
        <v>-11038</v>
      </c>
    </row>
    <row r="365" spans="1:16" ht="63" x14ac:dyDescent="0.25">
      <c r="A365" s="130"/>
      <c r="B365" s="740" t="s">
        <v>1140</v>
      </c>
      <c r="C365" s="131"/>
      <c r="D365" s="132"/>
      <c r="E365" s="132"/>
      <c r="F365" s="133"/>
      <c r="G365" s="133"/>
      <c r="H365" s="129"/>
      <c r="I365" s="131"/>
      <c r="J365" s="131"/>
      <c r="K365" s="133"/>
      <c r="L365" s="129"/>
      <c r="M365" s="131"/>
      <c r="N365" s="133">
        <v>-1000</v>
      </c>
      <c r="O365" s="265">
        <f t="shared" si="228"/>
        <v>-1000</v>
      </c>
      <c r="P365" s="572">
        <f t="shared" si="229"/>
        <v>-1000</v>
      </c>
    </row>
    <row r="366" spans="1:16" x14ac:dyDescent="0.25">
      <c r="A366" s="579"/>
      <c r="B366" s="686" t="s">
        <v>1135</v>
      </c>
      <c r="C366" s="150"/>
      <c r="D366" s="151"/>
      <c r="E366" s="151"/>
      <c r="F366" s="152"/>
      <c r="G366" s="152"/>
      <c r="H366" s="153"/>
      <c r="I366" s="150"/>
      <c r="J366" s="150"/>
      <c r="K366" s="152"/>
      <c r="L366" s="153"/>
      <c r="M366" s="150"/>
      <c r="N366" s="152">
        <v>-3944</v>
      </c>
      <c r="O366" s="265">
        <f t="shared" ref="O366" si="232">SUM(M366:N366)</f>
        <v>-3944</v>
      </c>
      <c r="P366" s="570">
        <f t="shared" ref="P366" si="233">SUM(O366)</f>
        <v>-3944</v>
      </c>
    </row>
    <row r="367" spans="1:16" x14ac:dyDescent="0.25">
      <c r="A367" s="130"/>
      <c r="B367" s="585" t="s">
        <v>619</v>
      </c>
      <c r="C367" s="131"/>
      <c r="D367" s="132"/>
      <c r="E367" s="132"/>
      <c r="F367" s="133"/>
      <c r="G367" s="133"/>
      <c r="H367" s="129"/>
      <c r="I367" s="131"/>
      <c r="J367" s="131"/>
      <c r="K367" s="133"/>
      <c r="L367" s="129"/>
      <c r="M367" s="131"/>
      <c r="N367" s="133">
        <v>-60554</v>
      </c>
      <c r="O367" s="265">
        <f t="shared" si="228"/>
        <v>-60554</v>
      </c>
      <c r="P367" s="572">
        <f t="shared" si="229"/>
        <v>-60554</v>
      </c>
    </row>
    <row r="368" spans="1:16" ht="47.25" x14ac:dyDescent="0.25">
      <c r="A368" s="130"/>
      <c r="B368" s="715" t="s">
        <v>932</v>
      </c>
      <c r="C368" s="131"/>
      <c r="D368" s="132"/>
      <c r="E368" s="132"/>
      <c r="F368" s="133"/>
      <c r="G368" s="133"/>
      <c r="H368" s="129"/>
      <c r="I368" s="131"/>
      <c r="J368" s="131"/>
      <c r="K368" s="133"/>
      <c r="L368" s="129"/>
      <c r="M368" s="131"/>
      <c r="N368" s="133">
        <v>-2631</v>
      </c>
      <c r="O368" s="265">
        <f t="shared" si="228"/>
        <v>-2631</v>
      </c>
      <c r="P368" s="572">
        <f t="shared" si="229"/>
        <v>-2631</v>
      </c>
    </row>
    <row r="369" spans="1:16" x14ac:dyDescent="0.25">
      <c r="A369" s="130"/>
      <c r="B369" s="585" t="s">
        <v>620</v>
      </c>
      <c r="C369" s="131"/>
      <c r="D369" s="132"/>
      <c r="E369" s="132"/>
      <c r="F369" s="133"/>
      <c r="G369" s="133"/>
      <c r="H369" s="129"/>
      <c r="I369" s="131"/>
      <c r="J369" s="131"/>
      <c r="K369" s="133"/>
      <c r="L369" s="129"/>
      <c r="M369" s="131"/>
      <c r="N369" s="133">
        <v>-29983</v>
      </c>
      <c r="O369" s="265">
        <f t="shared" si="228"/>
        <v>-29983</v>
      </c>
      <c r="P369" s="572">
        <f t="shared" si="229"/>
        <v>-29983</v>
      </c>
    </row>
    <row r="370" spans="1:16" ht="31.5" x14ac:dyDescent="0.25">
      <c r="A370" s="130"/>
      <c r="B370" s="585" t="s">
        <v>508</v>
      </c>
      <c r="C370" s="131"/>
      <c r="D370" s="132"/>
      <c r="E370" s="132"/>
      <c r="F370" s="133"/>
      <c r="G370" s="133"/>
      <c r="H370" s="129"/>
      <c r="I370" s="131"/>
      <c r="J370" s="131"/>
      <c r="K370" s="133"/>
      <c r="L370" s="129"/>
      <c r="M370" s="131"/>
      <c r="N370" s="133">
        <v>-11993</v>
      </c>
      <c r="O370" s="265">
        <f t="shared" si="228"/>
        <v>-11993</v>
      </c>
      <c r="P370" s="572">
        <f t="shared" si="229"/>
        <v>-11993</v>
      </c>
    </row>
    <row r="371" spans="1:16" x14ac:dyDescent="0.25">
      <c r="A371" s="130"/>
      <c r="B371" s="716" t="s">
        <v>626</v>
      </c>
      <c r="C371" s="131"/>
      <c r="D371" s="132"/>
      <c r="E371" s="132"/>
      <c r="F371" s="133"/>
      <c r="G371" s="133"/>
      <c r="H371" s="129"/>
      <c r="I371" s="131"/>
      <c r="J371" s="131"/>
      <c r="K371" s="133"/>
      <c r="L371" s="129"/>
      <c r="M371" s="131"/>
      <c r="N371" s="133"/>
      <c r="O371" s="265"/>
      <c r="P371" s="572"/>
    </row>
    <row r="372" spans="1:16" ht="31.5" x14ac:dyDescent="0.25">
      <c r="A372" s="579"/>
      <c r="B372" s="580" t="s">
        <v>508</v>
      </c>
      <c r="C372" s="150"/>
      <c r="D372" s="151"/>
      <c r="E372" s="151"/>
      <c r="F372" s="152"/>
      <c r="G372" s="152"/>
      <c r="H372" s="153"/>
      <c r="I372" s="150"/>
      <c r="J372" s="150"/>
      <c r="K372" s="152"/>
      <c r="L372" s="153"/>
      <c r="M372" s="150"/>
      <c r="N372" s="152">
        <v>-1121</v>
      </c>
      <c r="O372" s="265">
        <f t="shared" si="228"/>
        <v>-1121</v>
      </c>
      <c r="P372" s="570">
        <f t="shared" si="229"/>
        <v>-1121</v>
      </c>
    </row>
    <row r="373" spans="1:16" ht="16.5" thickBot="1" x14ac:dyDescent="0.3">
      <c r="A373" s="148" t="s">
        <v>47</v>
      </c>
      <c r="B373" s="149" t="s">
        <v>48</v>
      </c>
      <c r="C373" s="150"/>
      <c r="D373" s="151"/>
      <c r="E373" s="151"/>
      <c r="F373" s="152"/>
      <c r="G373" s="152"/>
      <c r="H373" s="153"/>
      <c r="I373" s="150"/>
      <c r="J373" s="150"/>
      <c r="K373" s="152"/>
      <c r="L373" s="153"/>
      <c r="M373" s="154">
        <f>SUM(M298:M372)</f>
        <v>-36597</v>
      </c>
      <c r="N373" s="154">
        <f>SUM(N298:N372)</f>
        <v>541979</v>
      </c>
      <c r="O373" s="154">
        <f>SUM(O298:O372)</f>
        <v>505382</v>
      </c>
      <c r="P373" s="154">
        <f>SUM(P298:P372)</f>
        <v>505382</v>
      </c>
    </row>
    <row r="374" spans="1:16" ht="17.25" thickTop="1" thickBot="1" x14ac:dyDescent="0.3">
      <c r="A374" s="369" t="s">
        <v>49</v>
      </c>
      <c r="B374" s="370" t="s">
        <v>50</v>
      </c>
      <c r="C374" s="155">
        <f>SUM(C296:C314)</f>
        <v>472304</v>
      </c>
      <c r="D374" s="155">
        <f t="shared" ref="D374:L374" si="234">SUM(D296:D373)</f>
        <v>115465</v>
      </c>
      <c r="E374" s="155">
        <f t="shared" si="234"/>
        <v>8818919</v>
      </c>
      <c r="F374" s="155">
        <f t="shared" si="234"/>
        <v>48659</v>
      </c>
      <c r="G374" s="155">
        <f t="shared" si="234"/>
        <v>14002812</v>
      </c>
      <c r="H374" s="155">
        <f t="shared" si="234"/>
        <v>23458159</v>
      </c>
      <c r="I374" s="155">
        <f t="shared" si="234"/>
        <v>28982160</v>
      </c>
      <c r="J374" s="155">
        <f t="shared" si="234"/>
        <v>4009345</v>
      </c>
      <c r="K374" s="155">
        <f t="shared" si="234"/>
        <v>1338685</v>
      </c>
      <c r="L374" s="155">
        <f t="shared" si="234"/>
        <v>34330190</v>
      </c>
      <c r="M374" s="155">
        <f>SUM(M296+M373)</f>
        <v>73288</v>
      </c>
      <c r="N374" s="155">
        <f>SUM(N296+N373)</f>
        <v>2627521</v>
      </c>
      <c r="O374" s="155">
        <f>SUM(O296+O373)</f>
        <v>2700809</v>
      </c>
      <c r="P374" s="155">
        <f>SUM(P296+P373)</f>
        <v>60489158</v>
      </c>
    </row>
    <row r="375" spans="1:16" x14ac:dyDescent="0.25">
      <c r="B375" s="156"/>
    </row>
    <row r="376" spans="1:16" x14ac:dyDescent="0.25">
      <c r="B376" s="156"/>
      <c r="C376" s="109">
        <f t="shared" ref="C376:P376" si="235">SUM(C374-C9)</f>
        <v>-6326</v>
      </c>
      <c r="D376" s="109">
        <f t="shared" si="235"/>
        <v>618</v>
      </c>
      <c r="E376" s="109">
        <f t="shared" si="235"/>
        <v>616746</v>
      </c>
      <c r="F376" s="109">
        <f t="shared" si="235"/>
        <v>7645</v>
      </c>
      <c r="G376" s="109">
        <f t="shared" si="235"/>
        <v>300953</v>
      </c>
      <c r="H376" s="109">
        <f t="shared" si="235"/>
        <v>919636</v>
      </c>
      <c r="I376" s="109">
        <f t="shared" si="235"/>
        <v>521082</v>
      </c>
      <c r="J376" s="109">
        <f t="shared" si="235"/>
        <v>-521602</v>
      </c>
      <c r="K376" s="109">
        <f t="shared" si="235"/>
        <v>364588</v>
      </c>
      <c r="L376" s="109">
        <f t="shared" si="235"/>
        <v>364068</v>
      </c>
      <c r="M376" s="109">
        <f t="shared" si="235"/>
        <v>-36597</v>
      </c>
      <c r="N376" s="109">
        <f t="shared" si="235"/>
        <v>541979</v>
      </c>
      <c r="O376" s="109">
        <f t="shared" si="235"/>
        <v>505382</v>
      </c>
      <c r="P376" s="109">
        <f t="shared" si="235"/>
        <v>1789086</v>
      </c>
    </row>
    <row r="377" spans="1:16" x14ac:dyDescent="0.25">
      <c r="B377" s="156"/>
    </row>
    <row r="378" spans="1:16" x14ac:dyDescent="0.25">
      <c r="B378" s="156"/>
    </row>
    <row r="379" spans="1:16" x14ac:dyDescent="0.25">
      <c r="B379" s="156"/>
    </row>
    <row r="380" spans="1:16" x14ac:dyDescent="0.25">
      <c r="B380" s="156"/>
    </row>
    <row r="381" spans="1:16" x14ac:dyDescent="0.25">
      <c r="B381" s="156"/>
    </row>
    <row r="382" spans="1:16" x14ac:dyDescent="0.25">
      <c r="B382" s="156"/>
    </row>
    <row r="383" spans="1:16" x14ac:dyDescent="0.25">
      <c r="B383" s="156"/>
    </row>
    <row r="384" spans="1:16" x14ac:dyDescent="0.25">
      <c r="B384" s="156"/>
    </row>
    <row r="385" spans="2:2" x14ac:dyDescent="0.25">
      <c r="B385" s="156"/>
    </row>
    <row r="386" spans="2:2" x14ac:dyDescent="0.25">
      <c r="B386" s="156"/>
    </row>
    <row r="387" spans="2:2" x14ac:dyDescent="0.25">
      <c r="B387" s="156"/>
    </row>
    <row r="388" spans="2:2" x14ac:dyDescent="0.25">
      <c r="B388" s="156"/>
    </row>
    <row r="389" spans="2:2" x14ac:dyDescent="0.25">
      <c r="B389" s="156"/>
    </row>
    <row r="390" spans="2:2" x14ac:dyDescent="0.25">
      <c r="B390" s="156"/>
    </row>
    <row r="391" spans="2:2" x14ac:dyDescent="0.25">
      <c r="B391" s="156"/>
    </row>
    <row r="392" spans="2:2" x14ac:dyDescent="0.25">
      <c r="B392" s="156"/>
    </row>
  </sheetData>
  <mergeCells count="1">
    <mergeCell ref="A1:P1"/>
  </mergeCells>
  <phoneticPr fontId="0" type="noConversion"/>
  <printOptions horizontalCentered="1"/>
  <pageMargins left="0.19685039370078741" right="0.15748031496062992" top="0.78740157480314965" bottom="0.39370078740157483" header="0.43307086614173229" footer="0.19685039370078741"/>
  <pageSetup paperSize="9" scale="65" orientation="landscape" r:id="rId1"/>
  <headerFooter alignWithMargins="0">
    <oddHeader>&amp;R&amp;"Times New Roman CE,Félkövér"&amp;11 9. melléklet a 23/2018.(X.15.) önkormányzati rendelethez&amp;12
&amp;"Times New Roman CE,Dőlt"&amp;10 10. melléklet
  a 3/2018.(II.8.) önkormányzati rendelethez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71"/>
  <sheetViews>
    <sheetView view="pageBreakPreview" zoomScaleNormal="120" zoomScaleSheetLayoutView="100" workbookViewId="0">
      <pane xSplit="2" ySplit="3" topLeftCell="C163" activePane="bottomRight" state="frozen"/>
      <selection activeCell="D89" sqref="D89"/>
      <selection pane="topRight" activeCell="D89" sqref="D89"/>
      <selection pane="bottomLeft" activeCell="D89" sqref="D89"/>
      <selection pane="bottomRight" activeCell="D171" sqref="D171"/>
    </sheetView>
  </sheetViews>
  <sheetFormatPr defaultRowHeight="15.75" x14ac:dyDescent="0.25"/>
  <cols>
    <col min="1" max="1" width="4.875" style="778" bestFit="1" customWidth="1"/>
    <col min="2" max="2" width="65.75" style="778" customWidth="1"/>
    <col min="3" max="3" width="13" style="779" customWidth="1"/>
    <col min="4" max="4" width="12.875" style="780" customWidth="1"/>
    <col min="5" max="5" width="13.875" style="778" customWidth="1"/>
    <col min="6" max="6" width="12.375" style="781" customWidth="1"/>
    <col min="7" max="7" width="12.625" style="782" customWidth="1"/>
    <col min="8" max="8" width="13.25" style="782" customWidth="1"/>
    <col min="9" max="10" width="10.625" style="783" hidden="1" customWidth="1"/>
    <col min="11" max="11" width="10.625" style="782" hidden="1" customWidth="1"/>
    <col min="12" max="14" width="9.625" style="783" customWidth="1"/>
    <col min="15" max="259" width="9" style="778"/>
    <col min="260" max="260" width="4.875" style="778" bestFit="1" customWidth="1"/>
    <col min="261" max="261" width="65.75" style="778" customWidth="1"/>
    <col min="262" max="263" width="13.25" style="778" customWidth="1"/>
    <col min="264" max="264" width="17.125" style="778" customWidth="1"/>
    <col min="265" max="267" width="0" style="778" hidden="1" customWidth="1"/>
    <col min="268" max="515" width="9" style="778"/>
    <col min="516" max="516" width="4.875" style="778" bestFit="1" customWidth="1"/>
    <col min="517" max="517" width="65.75" style="778" customWidth="1"/>
    <col min="518" max="519" width="13.25" style="778" customWidth="1"/>
    <col min="520" max="520" width="17.125" style="778" customWidth="1"/>
    <col min="521" max="523" width="0" style="778" hidden="1" customWidth="1"/>
    <col min="524" max="771" width="9" style="778"/>
    <col min="772" max="772" width="4.875" style="778" bestFit="1" customWidth="1"/>
    <col min="773" max="773" width="65.75" style="778" customWidth="1"/>
    <col min="774" max="775" width="13.25" style="778" customWidth="1"/>
    <col min="776" max="776" width="17.125" style="778" customWidth="1"/>
    <col min="777" max="779" width="0" style="778" hidden="1" customWidth="1"/>
    <col min="780" max="1027" width="9" style="778"/>
    <col min="1028" max="1028" width="4.875" style="778" bestFit="1" customWidth="1"/>
    <col min="1029" max="1029" width="65.75" style="778" customWidth="1"/>
    <col min="1030" max="1031" width="13.25" style="778" customWidth="1"/>
    <col min="1032" max="1032" width="17.125" style="778" customWidth="1"/>
    <col min="1033" max="1035" width="0" style="778" hidden="1" customWidth="1"/>
    <col min="1036" max="1283" width="9" style="778"/>
    <col min="1284" max="1284" width="4.875" style="778" bestFit="1" customWidth="1"/>
    <col min="1285" max="1285" width="65.75" style="778" customWidth="1"/>
    <col min="1286" max="1287" width="13.25" style="778" customWidth="1"/>
    <col min="1288" max="1288" width="17.125" style="778" customWidth="1"/>
    <col min="1289" max="1291" width="0" style="778" hidden="1" customWidth="1"/>
    <col min="1292" max="1539" width="9" style="778"/>
    <col min="1540" max="1540" width="4.875" style="778" bestFit="1" customWidth="1"/>
    <col min="1541" max="1541" width="65.75" style="778" customWidth="1"/>
    <col min="1542" max="1543" width="13.25" style="778" customWidth="1"/>
    <col min="1544" max="1544" width="17.125" style="778" customWidth="1"/>
    <col min="1545" max="1547" width="0" style="778" hidden="1" customWidth="1"/>
    <col min="1548" max="1795" width="9" style="778"/>
    <col min="1796" max="1796" width="4.875" style="778" bestFit="1" customWidth="1"/>
    <col min="1797" max="1797" width="65.75" style="778" customWidth="1"/>
    <col min="1798" max="1799" width="13.25" style="778" customWidth="1"/>
    <col min="1800" max="1800" width="17.125" style="778" customWidth="1"/>
    <col min="1801" max="1803" width="0" style="778" hidden="1" customWidth="1"/>
    <col min="1804" max="2051" width="9" style="778"/>
    <col min="2052" max="2052" width="4.875" style="778" bestFit="1" customWidth="1"/>
    <col min="2053" max="2053" width="65.75" style="778" customWidth="1"/>
    <col min="2054" max="2055" width="13.25" style="778" customWidth="1"/>
    <col min="2056" max="2056" width="17.125" style="778" customWidth="1"/>
    <col min="2057" max="2059" width="0" style="778" hidden="1" customWidth="1"/>
    <col min="2060" max="2307" width="9" style="778"/>
    <col min="2308" max="2308" width="4.875" style="778" bestFit="1" customWidth="1"/>
    <col min="2309" max="2309" width="65.75" style="778" customWidth="1"/>
    <col min="2310" max="2311" width="13.25" style="778" customWidth="1"/>
    <col min="2312" max="2312" width="17.125" style="778" customWidth="1"/>
    <col min="2313" max="2315" width="0" style="778" hidden="1" customWidth="1"/>
    <col min="2316" max="2563" width="9" style="778"/>
    <col min="2564" max="2564" width="4.875" style="778" bestFit="1" customWidth="1"/>
    <col min="2565" max="2565" width="65.75" style="778" customWidth="1"/>
    <col min="2566" max="2567" width="13.25" style="778" customWidth="1"/>
    <col min="2568" max="2568" width="17.125" style="778" customWidth="1"/>
    <col min="2569" max="2571" width="0" style="778" hidden="1" customWidth="1"/>
    <col min="2572" max="2819" width="9" style="778"/>
    <col min="2820" max="2820" width="4.875" style="778" bestFit="1" customWidth="1"/>
    <col min="2821" max="2821" width="65.75" style="778" customWidth="1"/>
    <col min="2822" max="2823" width="13.25" style="778" customWidth="1"/>
    <col min="2824" max="2824" width="17.125" style="778" customWidth="1"/>
    <col min="2825" max="2827" width="0" style="778" hidden="1" customWidth="1"/>
    <col min="2828" max="3075" width="9" style="778"/>
    <col min="3076" max="3076" width="4.875" style="778" bestFit="1" customWidth="1"/>
    <col min="3077" max="3077" width="65.75" style="778" customWidth="1"/>
    <col min="3078" max="3079" width="13.25" style="778" customWidth="1"/>
    <col min="3080" max="3080" width="17.125" style="778" customWidth="1"/>
    <col min="3081" max="3083" width="0" style="778" hidden="1" customWidth="1"/>
    <col min="3084" max="3331" width="9" style="778"/>
    <col min="3332" max="3332" width="4.875" style="778" bestFit="1" customWidth="1"/>
    <col min="3333" max="3333" width="65.75" style="778" customWidth="1"/>
    <col min="3334" max="3335" width="13.25" style="778" customWidth="1"/>
    <col min="3336" max="3336" width="17.125" style="778" customWidth="1"/>
    <col min="3337" max="3339" width="0" style="778" hidden="1" customWidth="1"/>
    <col min="3340" max="3587" width="9" style="778"/>
    <col min="3588" max="3588" width="4.875" style="778" bestFit="1" customWidth="1"/>
    <col min="3589" max="3589" width="65.75" style="778" customWidth="1"/>
    <col min="3590" max="3591" width="13.25" style="778" customWidth="1"/>
    <col min="3592" max="3592" width="17.125" style="778" customWidth="1"/>
    <col min="3593" max="3595" width="0" style="778" hidden="1" customWidth="1"/>
    <col min="3596" max="3843" width="9" style="778"/>
    <col min="3844" max="3844" width="4.875" style="778" bestFit="1" customWidth="1"/>
    <col min="3845" max="3845" width="65.75" style="778" customWidth="1"/>
    <col min="3846" max="3847" width="13.25" style="778" customWidth="1"/>
    <col min="3848" max="3848" width="17.125" style="778" customWidth="1"/>
    <col min="3849" max="3851" width="0" style="778" hidden="1" customWidth="1"/>
    <col min="3852" max="4099" width="9" style="778"/>
    <col min="4100" max="4100" width="4.875" style="778" bestFit="1" customWidth="1"/>
    <col min="4101" max="4101" width="65.75" style="778" customWidth="1"/>
    <col min="4102" max="4103" width="13.25" style="778" customWidth="1"/>
    <col min="4104" max="4104" width="17.125" style="778" customWidth="1"/>
    <col min="4105" max="4107" width="0" style="778" hidden="1" customWidth="1"/>
    <col min="4108" max="4355" width="9" style="778"/>
    <col min="4356" max="4356" width="4.875" style="778" bestFit="1" customWidth="1"/>
    <col min="4357" max="4357" width="65.75" style="778" customWidth="1"/>
    <col min="4358" max="4359" width="13.25" style="778" customWidth="1"/>
    <col min="4360" max="4360" width="17.125" style="778" customWidth="1"/>
    <col min="4361" max="4363" width="0" style="778" hidden="1" customWidth="1"/>
    <col min="4364" max="4611" width="9" style="778"/>
    <col min="4612" max="4612" width="4.875" style="778" bestFit="1" customWidth="1"/>
    <col min="4613" max="4613" width="65.75" style="778" customWidth="1"/>
    <col min="4614" max="4615" width="13.25" style="778" customWidth="1"/>
    <col min="4616" max="4616" width="17.125" style="778" customWidth="1"/>
    <col min="4617" max="4619" width="0" style="778" hidden="1" customWidth="1"/>
    <col min="4620" max="4867" width="9" style="778"/>
    <col min="4868" max="4868" width="4.875" style="778" bestFit="1" customWidth="1"/>
    <col min="4869" max="4869" width="65.75" style="778" customWidth="1"/>
    <col min="4870" max="4871" width="13.25" style="778" customWidth="1"/>
    <col min="4872" max="4872" width="17.125" style="778" customWidth="1"/>
    <col min="4873" max="4875" width="0" style="778" hidden="1" customWidth="1"/>
    <col min="4876" max="5123" width="9" style="778"/>
    <col min="5124" max="5124" width="4.875" style="778" bestFit="1" customWidth="1"/>
    <col min="5125" max="5125" width="65.75" style="778" customWidth="1"/>
    <col min="5126" max="5127" width="13.25" style="778" customWidth="1"/>
    <col min="5128" max="5128" width="17.125" style="778" customWidth="1"/>
    <col min="5129" max="5131" width="0" style="778" hidden="1" customWidth="1"/>
    <col min="5132" max="5379" width="9" style="778"/>
    <col min="5380" max="5380" width="4.875" style="778" bestFit="1" customWidth="1"/>
    <col min="5381" max="5381" width="65.75" style="778" customWidth="1"/>
    <col min="5382" max="5383" width="13.25" style="778" customWidth="1"/>
    <col min="5384" max="5384" width="17.125" style="778" customWidth="1"/>
    <col min="5385" max="5387" width="0" style="778" hidden="1" customWidth="1"/>
    <col min="5388" max="5635" width="9" style="778"/>
    <col min="5636" max="5636" width="4.875" style="778" bestFit="1" customWidth="1"/>
    <col min="5637" max="5637" width="65.75" style="778" customWidth="1"/>
    <col min="5638" max="5639" width="13.25" style="778" customWidth="1"/>
    <col min="5640" max="5640" width="17.125" style="778" customWidth="1"/>
    <col min="5641" max="5643" width="0" style="778" hidden="1" customWidth="1"/>
    <col min="5644" max="5891" width="9" style="778"/>
    <col min="5892" max="5892" width="4.875" style="778" bestFit="1" customWidth="1"/>
    <col min="5893" max="5893" width="65.75" style="778" customWidth="1"/>
    <col min="5894" max="5895" width="13.25" style="778" customWidth="1"/>
    <col min="5896" max="5896" width="17.125" style="778" customWidth="1"/>
    <col min="5897" max="5899" width="0" style="778" hidden="1" customWidth="1"/>
    <col min="5900" max="6147" width="9" style="778"/>
    <col min="6148" max="6148" width="4.875" style="778" bestFit="1" customWidth="1"/>
    <col min="6149" max="6149" width="65.75" style="778" customWidth="1"/>
    <col min="6150" max="6151" width="13.25" style="778" customWidth="1"/>
    <col min="6152" max="6152" width="17.125" style="778" customWidth="1"/>
    <col min="6153" max="6155" width="0" style="778" hidden="1" customWidth="1"/>
    <col min="6156" max="6403" width="9" style="778"/>
    <col min="6404" max="6404" width="4.875" style="778" bestFit="1" customWidth="1"/>
    <col min="6405" max="6405" width="65.75" style="778" customWidth="1"/>
    <col min="6406" max="6407" width="13.25" style="778" customWidth="1"/>
    <col min="6408" max="6408" width="17.125" style="778" customWidth="1"/>
    <col min="6409" max="6411" width="0" style="778" hidden="1" customWidth="1"/>
    <col min="6412" max="6659" width="9" style="778"/>
    <col min="6660" max="6660" width="4.875" style="778" bestFit="1" customWidth="1"/>
    <col min="6661" max="6661" width="65.75" style="778" customWidth="1"/>
    <col min="6662" max="6663" width="13.25" style="778" customWidth="1"/>
    <col min="6664" max="6664" width="17.125" style="778" customWidth="1"/>
    <col min="6665" max="6667" width="0" style="778" hidden="1" customWidth="1"/>
    <col min="6668" max="6915" width="9" style="778"/>
    <col min="6916" max="6916" width="4.875" style="778" bestFit="1" customWidth="1"/>
    <col min="6917" max="6917" width="65.75" style="778" customWidth="1"/>
    <col min="6918" max="6919" width="13.25" style="778" customWidth="1"/>
    <col min="6920" max="6920" width="17.125" style="778" customWidth="1"/>
    <col min="6921" max="6923" width="0" style="778" hidden="1" customWidth="1"/>
    <col min="6924" max="7171" width="9" style="778"/>
    <col min="7172" max="7172" width="4.875" style="778" bestFit="1" customWidth="1"/>
    <col min="7173" max="7173" width="65.75" style="778" customWidth="1"/>
    <col min="7174" max="7175" width="13.25" style="778" customWidth="1"/>
    <col min="7176" max="7176" width="17.125" style="778" customWidth="1"/>
    <col min="7177" max="7179" width="0" style="778" hidden="1" customWidth="1"/>
    <col min="7180" max="7427" width="9" style="778"/>
    <col min="7428" max="7428" width="4.875" style="778" bestFit="1" customWidth="1"/>
    <col min="7429" max="7429" width="65.75" style="778" customWidth="1"/>
    <col min="7430" max="7431" width="13.25" style="778" customWidth="1"/>
    <col min="7432" max="7432" width="17.125" style="778" customWidth="1"/>
    <col min="7433" max="7435" width="0" style="778" hidden="1" customWidth="1"/>
    <col min="7436" max="7683" width="9" style="778"/>
    <col min="7684" max="7684" width="4.875" style="778" bestFit="1" customWidth="1"/>
    <col min="7685" max="7685" width="65.75" style="778" customWidth="1"/>
    <col min="7686" max="7687" width="13.25" style="778" customWidth="1"/>
    <col min="7688" max="7688" width="17.125" style="778" customWidth="1"/>
    <col min="7689" max="7691" width="0" style="778" hidden="1" customWidth="1"/>
    <col min="7692" max="7939" width="9" style="778"/>
    <col min="7940" max="7940" width="4.875" style="778" bestFit="1" customWidth="1"/>
    <col min="7941" max="7941" width="65.75" style="778" customWidth="1"/>
    <col min="7942" max="7943" width="13.25" style="778" customWidth="1"/>
    <col min="7944" max="7944" width="17.125" style="778" customWidth="1"/>
    <col min="7945" max="7947" width="0" style="778" hidden="1" customWidth="1"/>
    <col min="7948" max="8195" width="9" style="778"/>
    <col min="8196" max="8196" width="4.875" style="778" bestFit="1" customWidth="1"/>
    <col min="8197" max="8197" width="65.75" style="778" customWidth="1"/>
    <col min="8198" max="8199" width="13.25" style="778" customWidth="1"/>
    <col min="8200" max="8200" width="17.125" style="778" customWidth="1"/>
    <col min="8201" max="8203" width="0" style="778" hidden="1" customWidth="1"/>
    <col min="8204" max="8451" width="9" style="778"/>
    <col min="8452" max="8452" width="4.875" style="778" bestFit="1" customWidth="1"/>
    <col min="8453" max="8453" width="65.75" style="778" customWidth="1"/>
    <col min="8454" max="8455" width="13.25" style="778" customWidth="1"/>
    <col min="8456" max="8456" width="17.125" style="778" customWidth="1"/>
    <col min="8457" max="8459" width="0" style="778" hidden="1" customWidth="1"/>
    <col min="8460" max="8707" width="9" style="778"/>
    <col min="8708" max="8708" width="4.875" style="778" bestFit="1" customWidth="1"/>
    <col min="8709" max="8709" width="65.75" style="778" customWidth="1"/>
    <col min="8710" max="8711" width="13.25" style="778" customWidth="1"/>
    <col min="8712" max="8712" width="17.125" style="778" customWidth="1"/>
    <col min="8713" max="8715" width="0" style="778" hidden="1" customWidth="1"/>
    <col min="8716" max="8963" width="9" style="778"/>
    <col min="8964" max="8964" width="4.875" style="778" bestFit="1" customWidth="1"/>
    <col min="8965" max="8965" width="65.75" style="778" customWidth="1"/>
    <col min="8966" max="8967" width="13.25" style="778" customWidth="1"/>
    <col min="8968" max="8968" width="17.125" style="778" customWidth="1"/>
    <col min="8969" max="8971" width="0" style="778" hidden="1" customWidth="1"/>
    <col min="8972" max="9219" width="9" style="778"/>
    <col min="9220" max="9220" width="4.875" style="778" bestFit="1" customWidth="1"/>
    <col min="9221" max="9221" width="65.75" style="778" customWidth="1"/>
    <col min="9222" max="9223" width="13.25" style="778" customWidth="1"/>
    <col min="9224" max="9224" width="17.125" style="778" customWidth="1"/>
    <col min="9225" max="9227" width="0" style="778" hidden="1" customWidth="1"/>
    <col min="9228" max="9475" width="9" style="778"/>
    <col min="9476" max="9476" width="4.875" style="778" bestFit="1" customWidth="1"/>
    <col min="9477" max="9477" width="65.75" style="778" customWidth="1"/>
    <col min="9478" max="9479" width="13.25" style="778" customWidth="1"/>
    <col min="9480" max="9480" width="17.125" style="778" customWidth="1"/>
    <col min="9481" max="9483" width="0" style="778" hidden="1" customWidth="1"/>
    <col min="9484" max="9731" width="9" style="778"/>
    <col min="9732" max="9732" width="4.875" style="778" bestFit="1" customWidth="1"/>
    <col min="9733" max="9733" width="65.75" style="778" customWidth="1"/>
    <col min="9734" max="9735" width="13.25" style="778" customWidth="1"/>
    <col min="9736" max="9736" width="17.125" style="778" customWidth="1"/>
    <col min="9737" max="9739" width="0" style="778" hidden="1" customWidth="1"/>
    <col min="9740" max="9987" width="9" style="778"/>
    <col min="9988" max="9988" width="4.875" style="778" bestFit="1" customWidth="1"/>
    <col min="9989" max="9989" width="65.75" style="778" customWidth="1"/>
    <col min="9990" max="9991" width="13.25" style="778" customWidth="1"/>
    <col min="9992" max="9992" width="17.125" style="778" customWidth="1"/>
    <col min="9993" max="9995" width="0" style="778" hidden="1" customWidth="1"/>
    <col min="9996" max="10243" width="9" style="778"/>
    <col min="10244" max="10244" width="4.875" style="778" bestFit="1" customWidth="1"/>
    <col min="10245" max="10245" width="65.75" style="778" customWidth="1"/>
    <col min="10246" max="10247" width="13.25" style="778" customWidth="1"/>
    <col min="10248" max="10248" width="17.125" style="778" customWidth="1"/>
    <col min="10249" max="10251" width="0" style="778" hidden="1" customWidth="1"/>
    <col min="10252" max="10499" width="9" style="778"/>
    <col min="10500" max="10500" width="4.875" style="778" bestFit="1" customWidth="1"/>
    <col min="10501" max="10501" width="65.75" style="778" customWidth="1"/>
    <col min="10502" max="10503" width="13.25" style="778" customWidth="1"/>
    <col min="10504" max="10504" width="17.125" style="778" customWidth="1"/>
    <col min="10505" max="10507" width="0" style="778" hidden="1" customWidth="1"/>
    <col min="10508" max="10755" width="9" style="778"/>
    <col min="10756" max="10756" width="4.875" style="778" bestFit="1" customWidth="1"/>
    <col min="10757" max="10757" width="65.75" style="778" customWidth="1"/>
    <col min="10758" max="10759" width="13.25" style="778" customWidth="1"/>
    <col min="10760" max="10760" width="17.125" style="778" customWidth="1"/>
    <col min="10761" max="10763" width="0" style="778" hidden="1" customWidth="1"/>
    <col min="10764" max="11011" width="9" style="778"/>
    <col min="11012" max="11012" width="4.875" style="778" bestFit="1" customWidth="1"/>
    <col min="11013" max="11013" width="65.75" style="778" customWidth="1"/>
    <col min="11014" max="11015" width="13.25" style="778" customWidth="1"/>
    <col min="11016" max="11016" width="17.125" style="778" customWidth="1"/>
    <col min="11017" max="11019" width="0" style="778" hidden="1" customWidth="1"/>
    <col min="11020" max="11267" width="9" style="778"/>
    <col min="11268" max="11268" width="4.875" style="778" bestFit="1" customWidth="1"/>
    <col min="11269" max="11269" width="65.75" style="778" customWidth="1"/>
    <col min="11270" max="11271" width="13.25" style="778" customWidth="1"/>
    <col min="11272" max="11272" width="17.125" style="778" customWidth="1"/>
    <col min="11273" max="11275" width="0" style="778" hidden="1" customWidth="1"/>
    <col min="11276" max="11523" width="9" style="778"/>
    <col min="11524" max="11524" width="4.875" style="778" bestFit="1" customWidth="1"/>
    <col min="11525" max="11525" width="65.75" style="778" customWidth="1"/>
    <col min="11526" max="11527" width="13.25" style="778" customWidth="1"/>
    <col min="11528" max="11528" width="17.125" style="778" customWidth="1"/>
    <col min="11529" max="11531" width="0" style="778" hidden="1" customWidth="1"/>
    <col min="11532" max="11779" width="9" style="778"/>
    <col min="11780" max="11780" width="4.875" style="778" bestFit="1" customWidth="1"/>
    <col min="11781" max="11781" width="65.75" style="778" customWidth="1"/>
    <col min="11782" max="11783" width="13.25" style="778" customWidth="1"/>
    <col min="11784" max="11784" width="17.125" style="778" customWidth="1"/>
    <col min="11785" max="11787" width="0" style="778" hidden="1" customWidth="1"/>
    <col min="11788" max="12035" width="9" style="778"/>
    <col min="12036" max="12036" width="4.875" style="778" bestFit="1" customWidth="1"/>
    <col min="12037" max="12037" width="65.75" style="778" customWidth="1"/>
    <col min="12038" max="12039" width="13.25" style="778" customWidth="1"/>
    <col min="12040" max="12040" width="17.125" style="778" customWidth="1"/>
    <col min="12041" max="12043" width="0" style="778" hidden="1" customWidth="1"/>
    <col min="12044" max="12291" width="9" style="778"/>
    <col min="12292" max="12292" width="4.875" style="778" bestFit="1" customWidth="1"/>
    <col min="12293" max="12293" width="65.75" style="778" customWidth="1"/>
    <col min="12294" max="12295" width="13.25" style="778" customWidth="1"/>
    <col min="12296" max="12296" width="17.125" style="778" customWidth="1"/>
    <col min="12297" max="12299" width="0" style="778" hidden="1" customWidth="1"/>
    <col min="12300" max="12547" width="9" style="778"/>
    <col min="12548" max="12548" width="4.875" style="778" bestFit="1" customWidth="1"/>
    <col min="12549" max="12549" width="65.75" style="778" customWidth="1"/>
    <col min="12550" max="12551" width="13.25" style="778" customWidth="1"/>
    <col min="12552" max="12552" width="17.125" style="778" customWidth="1"/>
    <col min="12553" max="12555" width="0" style="778" hidden="1" customWidth="1"/>
    <col min="12556" max="12803" width="9" style="778"/>
    <col min="12804" max="12804" width="4.875" style="778" bestFit="1" customWidth="1"/>
    <col min="12805" max="12805" width="65.75" style="778" customWidth="1"/>
    <col min="12806" max="12807" width="13.25" style="778" customWidth="1"/>
    <col min="12808" max="12808" width="17.125" style="778" customWidth="1"/>
    <col min="12809" max="12811" width="0" style="778" hidden="1" customWidth="1"/>
    <col min="12812" max="13059" width="9" style="778"/>
    <col min="13060" max="13060" width="4.875" style="778" bestFit="1" customWidth="1"/>
    <col min="13061" max="13061" width="65.75" style="778" customWidth="1"/>
    <col min="13062" max="13063" width="13.25" style="778" customWidth="1"/>
    <col min="13064" max="13064" width="17.125" style="778" customWidth="1"/>
    <col min="13065" max="13067" width="0" style="778" hidden="1" customWidth="1"/>
    <col min="13068" max="13315" width="9" style="778"/>
    <col min="13316" max="13316" width="4.875" style="778" bestFit="1" customWidth="1"/>
    <col min="13317" max="13317" width="65.75" style="778" customWidth="1"/>
    <col min="13318" max="13319" width="13.25" style="778" customWidth="1"/>
    <col min="13320" max="13320" width="17.125" style="778" customWidth="1"/>
    <col min="13321" max="13323" width="0" style="778" hidden="1" customWidth="1"/>
    <col min="13324" max="13571" width="9" style="778"/>
    <col min="13572" max="13572" width="4.875" style="778" bestFit="1" customWidth="1"/>
    <col min="13573" max="13573" width="65.75" style="778" customWidth="1"/>
    <col min="13574" max="13575" width="13.25" style="778" customWidth="1"/>
    <col min="13576" max="13576" width="17.125" style="778" customWidth="1"/>
    <col min="13577" max="13579" width="0" style="778" hidden="1" customWidth="1"/>
    <col min="13580" max="13827" width="9" style="778"/>
    <col min="13828" max="13828" width="4.875" style="778" bestFit="1" customWidth="1"/>
    <col min="13829" max="13829" width="65.75" style="778" customWidth="1"/>
    <col min="13830" max="13831" width="13.25" style="778" customWidth="1"/>
    <col min="13832" max="13832" width="17.125" style="778" customWidth="1"/>
    <col min="13833" max="13835" width="0" style="778" hidden="1" customWidth="1"/>
    <col min="13836" max="14083" width="9" style="778"/>
    <col min="14084" max="14084" width="4.875" style="778" bestFit="1" customWidth="1"/>
    <col min="14085" max="14085" width="65.75" style="778" customWidth="1"/>
    <col min="14086" max="14087" width="13.25" style="778" customWidth="1"/>
    <col min="14088" max="14088" width="17.125" style="778" customWidth="1"/>
    <col min="14089" max="14091" width="0" style="778" hidden="1" customWidth="1"/>
    <col min="14092" max="14339" width="9" style="778"/>
    <col min="14340" max="14340" width="4.875" style="778" bestFit="1" customWidth="1"/>
    <col min="14341" max="14341" width="65.75" style="778" customWidth="1"/>
    <col min="14342" max="14343" width="13.25" style="778" customWidth="1"/>
    <col min="14344" max="14344" width="17.125" style="778" customWidth="1"/>
    <col min="14345" max="14347" width="0" style="778" hidden="1" customWidth="1"/>
    <col min="14348" max="14595" width="9" style="778"/>
    <col min="14596" max="14596" width="4.875" style="778" bestFit="1" customWidth="1"/>
    <col min="14597" max="14597" width="65.75" style="778" customWidth="1"/>
    <col min="14598" max="14599" width="13.25" style="778" customWidth="1"/>
    <col min="14600" max="14600" width="17.125" style="778" customWidth="1"/>
    <col min="14601" max="14603" width="0" style="778" hidden="1" customWidth="1"/>
    <col min="14604" max="14851" width="9" style="778"/>
    <col min="14852" max="14852" width="4.875" style="778" bestFit="1" customWidth="1"/>
    <col min="14853" max="14853" width="65.75" style="778" customWidth="1"/>
    <col min="14854" max="14855" width="13.25" style="778" customWidth="1"/>
    <col min="14856" max="14856" width="17.125" style="778" customWidth="1"/>
    <col min="14857" max="14859" width="0" style="778" hidden="1" customWidth="1"/>
    <col min="14860" max="15107" width="9" style="778"/>
    <col min="15108" max="15108" width="4.875" style="778" bestFit="1" customWidth="1"/>
    <col min="15109" max="15109" width="65.75" style="778" customWidth="1"/>
    <col min="15110" max="15111" width="13.25" style="778" customWidth="1"/>
    <col min="15112" max="15112" width="17.125" style="778" customWidth="1"/>
    <col min="15113" max="15115" width="0" style="778" hidden="1" customWidth="1"/>
    <col min="15116" max="15363" width="9" style="778"/>
    <col min="15364" max="15364" width="4.875" style="778" bestFit="1" customWidth="1"/>
    <col min="15365" max="15365" width="65.75" style="778" customWidth="1"/>
    <col min="15366" max="15367" width="13.25" style="778" customWidth="1"/>
    <col min="15368" max="15368" width="17.125" style="778" customWidth="1"/>
    <col min="15369" max="15371" width="0" style="778" hidden="1" customWidth="1"/>
    <col min="15372" max="15619" width="9" style="778"/>
    <col min="15620" max="15620" width="4.875" style="778" bestFit="1" customWidth="1"/>
    <col min="15621" max="15621" width="65.75" style="778" customWidth="1"/>
    <col min="15622" max="15623" width="13.25" style="778" customWidth="1"/>
    <col min="15624" max="15624" width="17.125" style="778" customWidth="1"/>
    <col min="15625" max="15627" width="0" style="778" hidden="1" customWidth="1"/>
    <col min="15628" max="15875" width="9" style="778"/>
    <col min="15876" max="15876" width="4.875" style="778" bestFit="1" customWidth="1"/>
    <col min="15877" max="15877" width="65.75" style="778" customWidth="1"/>
    <col min="15878" max="15879" width="13.25" style="778" customWidth="1"/>
    <col min="15880" max="15880" width="17.125" style="778" customWidth="1"/>
    <col min="15881" max="15883" width="0" style="778" hidden="1" customWidth="1"/>
    <col min="15884" max="16131" width="9" style="778"/>
    <col min="16132" max="16132" width="4.875" style="778" bestFit="1" customWidth="1"/>
    <col min="16133" max="16133" width="65.75" style="778" customWidth="1"/>
    <col min="16134" max="16135" width="13.25" style="778" customWidth="1"/>
    <col min="16136" max="16136" width="17.125" style="778" customWidth="1"/>
    <col min="16137" max="16139" width="0" style="778" hidden="1" customWidth="1"/>
    <col min="16140" max="16384" width="9" style="778"/>
  </cols>
  <sheetData>
    <row r="1" spans="1:14" ht="39.75" customHeight="1" x14ac:dyDescent="0.3">
      <c r="A1" s="988" t="s">
        <v>693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</row>
    <row r="2" spans="1:14" ht="16.5" thickBot="1" x14ac:dyDescent="0.3"/>
    <row r="3" spans="1:14" ht="63.75" thickBot="1" x14ac:dyDescent="0.3">
      <c r="A3" s="784"/>
      <c r="B3" s="785" t="s">
        <v>146</v>
      </c>
      <c r="C3" s="786" t="s">
        <v>976</v>
      </c>
      <c r="D3" s="786" t="s">
        <v>906</v>
      </c>
      <c r="E3" s="787" t="s">
        <v>977</v>
      </c>
      <c r="F3" s="786" t="s">
        <v>907</v>
      </c>
      <c r="G3" s="788" t="s">
        <v>908</v>
      </c>
      <c r="H3" s="788" t="s">
        <v>627</v>
      </c>
      <c r="I3" s="788" t="s">
        <v>140</v>
      </c>
      <c r="J3" s="788" t="s">
        <v>141</v>
      </c>
      <c r="K3" s="788" t="s">
        <v>694</v>
      </c>
      <c r="L3" s="788" t="s">
        <v>140</v>
      </c>
      <c r="M3" s="788" t="s">
        <v>141</v>
      </c>
      <c r="N3" s="788" t="s">
        <v>369</v>
      </c>
    </row>
    <row r="4" spans="1:14" x14ac:dyDescent="0.25">
      <c r="A4" s="789" t="s">
        <v>80</v>
      </c>
      <c r="B4" s="790" t="s">
        <v>114</v>
      </c>
      <c r="C4" s="791">
        <v>5280456</v>
      </c>
      <c r="D4" s="792">
        <f t="shared" ref="D4:E4" si="0">SUM(D5,D9,D76,D77,D79)</f>
        <v>121923</v>
      </c>
      <c r="E4" s="793">
        <f t="shared" si="0"/>
        <v>5475514</v>
      </c>
      <c r="F4" s="793">
        <f>SUM(F5,F9,F76,F77,F79)</f>
        <v>838</v>
      </c>
      <c r="G4" s="794">
        <f>SUM(G5,G9,G76,G77,G79)</f>
        <v>5482894</v>
      </c>
      <c r="H4" s="794">
        <f>SUM(H5,H9,H76,H77,H79)</f>
        <v>-8218</v>
      </c>
      <c r="I4" s="795" t="s">
        <v>142</v>
      </c>
      <c r="J4" s="795" t="s">
        <v>142</v>
      </c>
      <c r="K4" s="794"/>
      <c r="L4" s="795"/>
      <c r="M4" s="795"/>
      <c r="N4" s="795"/>
    </row>
    <row r="5" spans="1:14" x14ac:dyDescent="0.25">
      <c r="A5" s="796"/>
      <c r="B5" s="797" t="s">
        <v>81</v>
      </c>
      <c r="C5" s="798">
        <v>4200621</v>
      </c>
      <c r="D5" s="799">
        <f t="shared" ref="D5:E5" si="1">SUM(D6:D8)</f>
        <v>52153</v>
      </c>
      <c r="E5" s="800">
        <f t="shared" si="1"/>
        <v>4252774</v>
      </c>
      <c r="F5" s="800">
        <f>SUM(F6:F8)</f>
        <v>791</v>
      </c>
      <c r="G5" s="800">
        <f>SUM(G6:G8)</f>
        <v>4251983</v>
      </c>
      <c r="H5" s="800">
        <f>SUM(H6:H8)</f>
        <v>0</v>
      </c>
      <c r="I5" s="801" t="s">
        <v>142</v>
      </c>
      <c r="J5" s="801" t="s">
        <v>142</v>
      </c>
      <c r="K5" s="800"/>
      <c r="L5" s="801" t="s">
        <v>695</v>
      </c>
      <c r="M5" s="801" t="s">
        <v>695</v>
      </c>
      <c r="N5" s="801"/>
    </row>
    <row r="6" spans="1:14" x14ac:dyDescent="0.25">
      <c r="A6" s="796"/>
      <c r="B6" s="802" t="s">
        <v>82</v>
      </c>
      <c r="C6" s="803">
        <v>1231681</v>
      </c>
      <c r="D6" s="804">
        <v>52153</v>
      </c>
      <c r="E6" s="803">
        <f>SUM(C6:D6)</f>
        <v>1283834</v>
      </c>
      <c r="F6" s="805">
        <f>791</f>
        <v>791</v>
      </c>
      <c r="G6" s="805">
        <f>298979+307+931604+52153</f>
        <v>1283043</v>
      </c>
      <c r="H6" s="805"/>
      <c r="I6" s="806" t="s">
        <v>142</v>
      </c>
      <c r="J6" s="806" t="s">
        <v>142</v>
      </c>
      <c r="K6" s="807"/>
      <c r="L6" s="806" t="s">
        <v>695</v>
      </c>
      <c r="M6" s="806" t="s">
        <v>695</v>
      </c>
      <c r="N6" s="808"/>
    </row>
    <row r="7" spans="1:14" x14ac:dyDescent="0.25">
      <c r="A7" s="796"/>
      <c r="B7" s="809" t="s">
        <v>370</v>
      </c>
      <c r="C7" s="810">
        <v>9605</v>
      </c>
      <c r="D7" s="811"/>
      <c r="E7" s="803">
        <f t="shared" ref="E7:E8" si="2">SUM(C7:D7)</f>
        <v>9605</v>
      </c>
      <c r="F7" s="805"/>
      <c r="G7" s="805">
        <v>9605</v>
      </c>
      <c r="H7" s="805"/>
      <c r="I7" s="806"/>
      <c r="J7" s="806"/>
      <c r="K7" s="807"/>
      <c r="L7" s="806"/>
      <c r="M7" s="806" t="s">
        <v>695</v>
      </c>
      <c r="N7" s="808"/>
    </row>
    <row r="8" spans="1:14" x14ac:dyDescent="0.25">
      <c r="A8" s="796"/>
      <c r="B8" s="809" t="s">
        <v>526</v>
      </c>
      <c r="C8" s="810">
        <v>2959335</v>
      </c>
      <c r="D8" s="811"/>
      <c r="E8" s="803">
        <f t="shared" si="2"/>
        <v>2959335</v>
      </c>
      <c r="F8" s="805"/>
      <c r="G8" s="805">
        <v>2959335</v>
      </c>
      <c r="H8" s="805"/>
      <c r="I8" s="806"/>
      <c r="J8" s="806"/>
      <c r="K8" s="807"/>
      <c r="L8" s="806" t="s">
        <v>695</v>
      </c>
      <c r="M8" s="806"/>
      <c r="N8" s="808"/>
    </row>
    <row r="9" spans="1:14" x14ac:dyDescent="0.25">
      <c r="A9" s="796"/>
      <c r="B9" s="812" t="s">
        <v>83</v>
      </c>
      <c r="C9" s="798">
        <v>454447</v>
      </c>
      <c r="D9" s="813"/>
      <c r="E9" s="814">
        <f>SUM(E10,E71,E75)</f>
        <v>527582</v>
      </c>
      <c r="F9" s="814">
        <f>SUM(F10,F71,F75)</f>
        <v>47</v>
      </c>
      <c r="G9" s="814">
        <f>SUM(G10,G71,G75)</f>
        <v>535753</v>
      </c>
      <c r="H9" s="814">
        <f>SUM(H10,H71,H75)</f>
        <v>-8218</v>
      </c>
      <c r="I9" s="801" t="s">
        <v>142</v>
      </c>
      <c r="J9" s="801" t="s">
        <v>142</v>
      </c>
      <c r="K9" s="814"/>
      <c r="L9" s="801" t="s">
        <v>695</v>
      </c>
      <c r="M9" s="801" t="s">
        <v>695</v>
      </c>
      <c r="N9" s="801"/>
    </row>
    <row r="10" spans="1:14" x14ac:dyDescent="0.25">
      <c r="A10" s="796"/>
      <c r="B10" s="802" t="s">
        <v>84</v>
      </c>
      <c r="C10" s="803">
        <v>427818</v>
      </c>
      <c r="D10" s="804">
        <f>33733+40000</f>
        <v>73733</v>
      </c>
      <c r="E10" s="803">
        <f>SUM(C10:D10)</f>
        <v>501551</v>
      </c>
      <c r="F10" s="805">
        <v>47</v>
      </c>
      <c r="G10" s="805">
        <f>58889+350231+25271+33733+40000</f>
        <v>508124</v>
      </c>
      <c r="H10" s="805">
        <v>-6620</v>
      </c>
      <c r="I10" s="815" t="s">
        <v>142</v>
      </c>
      <c r="J10" s="815" t="s">
        <v>142</v>
      </c>
      <c r="K10" s="805"/>
      <c r="L10" s="815" t="s">
        <v>695</v>
      </c>
      <c r="M10" s="815" t="s">
        <v>695</v>
      </c>
      <c r="N10" s="816"/>
    </row>
    <row r="11" spans="1:14" s="823" customFormat="1" x14ac:dyDescent="0.25">
      <c r="A11" s="817"/>
      <c r="B11" s="818" t="s">
        <v>255</v>
      </c>
      <c r="C11" s="819">
        <v>2000</v>
      </c>
      <c r="D11" s="820"/>
      <c r="E11" s="819">
        <f>SUM(C11:D11)</f>
        <v>2000</v>
      </c>
      <c r="F11" s="821"/>
      <c r="G11" s="821">
        <v>2000</v>
      </c>
      <c r="H11" s="821"/>
      <c r="I11" s="822"/>
      <c r="J11" s="822" t="s">
        <v>142</v>
      </c>
      <c r="K11" s="821"/>
      <c r="L11" s="822"/>
      <c r="M11" s="822" t="s">
        <v>695</v>
      </c>
      <c r="N11" s="822"/>
    </row>
    <row r="12" spans="1:14" s="823" customFormat="1" x14ac:dyDescent="0.25">
      <c r="A12" s="817"/>
      <c r="B12" s="818" t="s">
        <v>106</v>
      </c>
      <c r="C12" s="819">
        <v>2000</v>
      </c>
      <c r="D12" s="820"/>
      <c r="E12" s="819">
        <f t="shared" ref="E12:E69" si="3">SUM(C12:D12)</f>
        <v>2000</v>
      </c>
      <c r="F12" s="821"/>
      <c r="G12" s="821">
        <v>2000</v>
      </c>
      <c r="H12" s="821"/>
      <c r="I12" s="822"/>
      <c r="J12" s="822" t="s">
        <v>142</v>
      </c>
      <c r="K12" s="821"/>
      <c r="L12" s="822"/>
      <c r="M12" s="822" t="s">
        <v>695</v>
      </c>
      <c r="N12" s="822"/>
    </row>
    <row r="13" spans="1:14" s="823" customFormat="1" x14ac:dyDescent="0.25">
      <c r="A13" s="817"/>
      <c r="B13" s="818" t="s">
        <v>107</v>
      </c>
      <c r="C13" s="819">
        <v>4322</v>
      </c>
      <c r="D13" s="820"/>
      <c r="E13" s="819">
        <f t="shared" si="3"/>
        <v>4322</v>
      </c>
      <c r="F13" s="821"/>
      <c r="G13" s="821">
        <v>4322</v>
      </c>
      <c r="H13" s="821"/>
      <c r="I13" s="822"/>
      <c r="J13" s="822" t="s">
        <v>142</v>
      </c>
      <c r="K13" s="821"/>
      <c r="L13" s="822"/>
      <c r="M13" s="822" t="s">
        <v>695</v>
      </c>
      <c r="N13" s="822"/>
    </row>
    <row r="14" spans="1:14" s="823" customFormat="1" x14ac:dyDescent="0.25">
      <c r="A14" s="817"/>
      <c r="B14" s="818" t="s">
        <v>256</v>
      </c>
      <c r="C14" s="819">
        <v>9938</v>
      </c>
      <c r="D14" s="820"/>
      <c r="E14" s="819">
        <f t="shared" si="3"/>
        <v>9938</v>
      </c>
      <c r="F14" s="821"/>
      <c r="G14" s="821">
        <f>638+9300</f>
        <v>9938</v>
      </c>
      <c r="H14" s="821"/>
      <c r="I14" s="822"/>
      <c r="J14" s="822" t="s">
        <v>142</v>
      </c>
      <c r="K14" s="821"/>
      <c r="L14" s="822"/>
      <c r="M14" s="822" t="s">
        <v>695</v>
      </c>
      <c r="N14" s="822"/>
    </row>
    <row r="15" spans="1:14" s="823" customFormat="1" x14ac:dyDescent="0.25">
      <c r="A15" s="817"/>
      <c r="B15" s="818" t="s">
        <v>134</v>
      </c>
      <c r="C15" s="819">
        <v>400</v>
      </c>
      <c r="D15" s="820"/>
      <c r="E15" s="819">
        <f t="shared" si="3"/>
        <v>400</v>
      </c>
      <c r="F15" s="821"/>
      <c r="G15" s="821">
        <v>400</v>
      </c>
      <c r="H15" s="821"/>
      <c r="I15" s="822"/>
      <c r="J15" s="822" t="s">
        <v>142</v>
      </c>
      <c r="K15" s="821"/>
      <c r="L15" s="822"/>
      <c r="M15" s="822" t="s">
        <v>695</v>
      </c>
      <c r="N15" s="822"/>
    </row>
    <row r="16" spans="1:14" s="823" customFormat="1" x14ac:dyDescent="0.25">
      <c r="A16" s="817"/>
      <c r="B16" s="818" t="s">
        <v>257</v>
      </c>
      <c r="C16" s="819">
        <v>400</v>
      </c>
      <c r="D16" s="820"/>
      <c r="E16" s="819">
        <f t="shared" si="3"/>
        <v>400</v>
      </c>
      <c r="F16" s="821"/>
      <c r="G16" s="821">
        <v>400</v>
      </c>
      <c r="H16" s="821"/>
      <c r="I16" s="822"/>
      <c r="J16" s="822" t="s">
        <v>142</v>
      </c>
      <c r="K16" s="821"/>
      <c r="L16" s="822"/>
      <c r="M16" s="822" t="s">
        <v>695</v>
      </c>
      <c r="N16" s="822"/>
    </row>
    <row r="17" spans="1:14" s="823" customFormat="1" x14ac:dyDescent="0.25">
      <c r="A17" s="817"/>
      <c r="B17" s="818" t="s">
        <v>258</v>
      </c>
      <c r="C17" s="819">
        <v>15000</v>
      </c>
      <c r="D17" s="820"/>
      <c r="E17" s="819">
        <f t="shared" si="3"/>
        <v>15000</v>
      </c>
      <c r="F17" s="821"/>
      <c r="G17" s="821">
        <v>15000</v>
      </c>
      <c r="H17" s="821"/>
      <c r="I17" s="822"/>
      <c r="J17" s="822" t="s">
        <v>142</v>
      </c>
      <c r="K17" s="821"/>
      <c r="L17" s="822"/>
      <c r="M17" s="822" t="s">
        <v>695</v>
      </c>
      <c r="N17" s="822"/>
    </row>
    <row r="18" spans="1:14" s="823" customFormat="1" x14ac:dyDescent="0.25">
      <c r="A18" s="817"/>
      <c r="B18" s="818" t="s">
        <v>259</v>
      </c>
      <c r="C18" s="819">
        <v>3500</v>
      </c>
      <c r="D18" s="820"/>
      <c r="E18" s="819">
        <f t="shared" si="3"/>
        <v>3500</v>
      </c>
      <c r="F18" s="821"/>
      <c r="G18" s="821">
        <f>2000+1500</f>
        <v>3500</v>
      </c>
      <c r="H18" s="821"/>
      <c r="I18" s="822"/>
      <c r="J18" s="822" t="s">
        <v>142</v>
      </c>
      <c r="K18" s="821"/>
      <c r="L18" s="822"/>
      <c r="M18" s="822" t="s">
        <v>695</v>
      </c>
      <c r="N18" s="822"/>
    </row>
    <row r="19" spans="1:14" s="823" customFormat="1" x14ac:dyDescent="0.25">
      <c r="A19" s="817"/>
      <c r="B19" s="818" t="s">
        <v>260</v>
      </c>
      <c r="C19" s="819">
        <v>2000</v>
      </c>
      <c r="D19" s="820"/>
      <c r="E19" s="819">
        <f t="shared" si="3"/>
        <v>2000</v>
      </c>
      <c r="F19" s="821"/>
      <c r="G19" s="821">
        <v>2000</v>
      </c>
      <c r="H19" s="821"/>
      <c r="I19" s="822"/>
      <c r="J19" s="822" t="s">
        <v>142</v>
      </c>
      <c r="K19" s="821"/>
      <c r="L19" s="822"/>
      <c r="M19" s="822" t="s">
        <v>695</v>
      </c>
      <c r="N19" s="822"/>
    </row>
    <row r="20" spans="1:14" s="823" customFormat="1" x14ac:dyDescent="0.25">
      <c r="A20" s="817"/>
      <c r="B20" s="818" t="s">
        <v>261</v>
      </c>
      <c r="C20" s="819">
        <v>3500</v>
      </c>
      <c r="D20" s="820"/>
      <c r="E20" s="819">
        <f t="shared" si="3"/>
        <v>3500</v>
      </c>
      <c r="F20" s="821"/>
      <c r="G20" s="821">
        <f>2000+1500</f>
        <v>3500</v>
      </c>
      <c r="H20" s="821"/>
      <c r="I20" s="822"/>
      <c r="J20" s="822" t="s">
        <v>142</v>
      </c>
      <c r="K20" s="821"/>
      <c r="L20" s="822"/>
      <c r="M20" s="822" t="s">
        <v>695</v>
      </c>
      <c r="N20" s="822"/>
    </row>
    <row r="21" spans="1:14" s="823" customFormat="1" ht="31.5" x14ac:dyDescent="0.25">
      <c r="A21" s="817"/>
      <c r="B21" s="818" t="s">
        <v>262</v>
      </c>
      <c r="C21" s="819">
        <v>4000</v>
      </c>
      <c r="D21" s="820"/>
      <c r="E21" s="819">
        <f t="shared" si="3"/>
        <v>4000</v>
      </c>
      <c r="F21" s="824"/>
      <c r="G21" s="824">
        <f>3000+1000</f>
        <v>4000</v>
      </c>
      <c r="H21" s="824"/>
      <c r="I21" s="822"/>
      <c r="J21" s="822" t="s">
        <v>142</v>
      </c>
      <c r="K21" s="821"/>
      <c r="L21" s="825"/>
      <c r="M21" s="825" t="s">
        <v>695</v>
      </c>
      <c r="N21" s="825"/>
    </row>
    <row r="22" spans="1:14" s="823" customFormat="1" ht="31.5" x14ac:dyDescent="0.25">
      <c r="A22" s="817"/>
      <c r="B22" s="818" t="s">
        <v>696</v>
      </c>
      <c r="C22" s="819">
        <v>1000</v>
      </c>
      <c r="D22" s="820"/>
      <c r="E22" s="819">
        <f t="shared" si="3"/>
        <v>1000</v>
      </c>
      <c r="F22" s="824"/>
      <c r="G22" s="824">
        <v>1000</v>
      </c>
      <c r="H22" s="824"/>
      <c r="I22" s="822"/>
      <c r="J22" s="822"/>
      <c r="K22" s="821"/>
      <c r="L22" s="825"/>
      <c r="M22" s="825" t="s">
        <v>695</v>
      </c>
      <c r="N22" s="825"/>
    </row>
    <row r="23" spans="1:14" s="823" customFormat="1" x14ac:dyDescent="0.25">
      <c r="A23" s="817"/>
      <c r="B23" s="818" t="s">
        <v>263</v>
      </c>
      <c r="C23" s="819">
        <v>450</v>
      </c>
      <c r="D23" s="820"/>
      <c r="E23" s="819">
        <f t="shared" si="3"/>
        <v>450</v>
      </c>
      <c r="F23" s="824"/>
      <c r="G23" s="824">
        <v>450</v>
      </c>
      <c r="H23" s="824"/>
      <c r="I23" s="822"/>
      <c r="J23" s="822" t="s">
        <v>142</v>
      </c>
      <c r="K23" s="821"/>
      <c r="L23" s="825"/>
      <c r="M23" s="825" t="s">
        <v>695</v>
      </c>
      <c r="N23" s="825"/>
    </row>
    <row r="24" spans="1:14" s="823" customFormat="1" x14ac:dyDescent="0.25">
      <c r="A24" s="817"/>
      <c r="B24" s="818" t="s">
        <v>135</v>
      </c>
      <c r="C24" s="819">
        <v>1000</v>
      </c>
      <c r="D24" s="820"/>
      <c r="E24" s="819">
        <f t="shared" si="3"/>
        <v>1000</v>
      </c>
      <c r="F24" s="824"/>
      <c r="G24" s="824">
        <f>400+600</f>
        <v>1000</v>
      </c>
      <c r="H24" s="824"/>
      <c r="I24" s="822"/>
      <c r="J24" s="822" t="s">
        <v>142</v>
      </c>
      <c r="K24" s="821"/>
      <c r="L24" s="825"/>
      <c r="M24" s="825" t="s">
        <v>695</v>
      </c>
      <c r="N24" s="825"/>
    </row>
    <row r="25" spans="1:14" s="823" customFormat="1" x14ac:dyDescent="0.25">
      <c r="A25" s="817"/>
      <c r="B25" s="818" t="s">
        <v>264</v>
      </c>
      <c r="C25" s="819">
        <v>500</v>
      </c>
      <c r="D25" s="820"/>
      <c r="E25" s="819">
        <f t="shared" si="3"/>
        <v>500</v>
      </c>
      <c r="F25" s="824"/>
      <c r="G25" s="824">
        <v>500</v>
      </c>
      <c r="H25" s="824"/>
      <c r="I25" s="822"/>
      <c r="J25" s="822" t="s">
        <v>142</v>
      </c>
      <c r="K25" s="821"/>
      <c r="L25" s="825"/>
      <c r="M25" s="825" t="s">
        <v>695</v>
      </c>
      <c r="N25" s="825"/>
    </row>
    <row r="26" spans="1:14" s="823" customFormat="1" x14ac:dyDescent="0.25">
      <c r="A26" s="817"/>
      <c r="B26" s="818" t="s">
        <v>265</v>
      </c>
      <c r="C26" s="819">
        <v>200</v>
      </c>
      <c r="D26" s="820"/>
      <c r="E26" s="819">
        <f t="shared" si="3"/>
        <v>200</v>
      </c>
      <c r="F26" s="824"/>
      <c r="G26" s="824">
        <v>200</v>
      </c>
      <c r="H26" s="824"/>
      <c r="I26" s="822"/>
      <c r="J26" s="822" t="s">
        <v>142</v>
      </c>
      <c r="K26" s="821"/>
      <c r="L26" s="825"/>
      <c r="M26" s="825" t="s">
        <v>695</v>
      </c>
      <c r="N26" s="825"/>
    </row>
    <row r="27" spans="1:14" s="823" customFormat="1" ht="31.5" x14ac:dyDescent="0.25">
      <c r="A27" s="817"/>
      <c r="B27" s="818" t="s">
        <v>527</v>
      </c>
      <c r="C27" s="819">
        <v>2500</v>
      </c>
      <c r="D27" s="820"/>
      <c r="E27" s="819">
        <f t="shared" si="3"/>
        <v>2500</v>
      </c>
      <c r="F27" s="824"/>
      <c r="G27" s="824">
        <v>2500</v>
      </c>
      <c r="H27" s="824"/>
      <c r="I27" s="822"/>
      <c r="J27" s="822" t="s">
        <v>142</v>
      </c>
      <c r="K27" s="821"/>
      <c r="L27" s="825"/>
      <c r="M27" s="825" t="s">
        <v>695</v>
      </c>
      <c r="N27" s="825"/>
    </row>
    <row r="28" spans="1:14" s="823" customFormat="1" x14ac:dyDescent="0.25">
      <c r="A28" s="817"/>
      <c r="B28" s="818" t="s">
        <v>379</v>
      </c>
      <c r="C28" s="819">
        <v>1000</v>
      </c>
      <c r="D28" s="820"/>
      <c r="E28" s="819">
        <f t="shared" si="3"/>
        <v>1000</v>
      </c>
      <c r="F28" s="824"/>
      <c r="G28" s="824">
        <v>1000</v>
      </c>
      <c r="H28" s="824"/>
      <c r="I28" s="822"/>
      <c r="J28" s="822" t="s">
        <v>142</v>
      </c>
      <c r="K28" s="821"/>
      <c r="L28" s="825"/>
      <c r="M28" s="825" t="s">
        <v>695</v>
      </c>
      <c r="N28" s="825"/>
    </row>
    <row r="29" spans="1:14" s="823" customFormat="1" ht="31.5" x14ac:dyDescent="0.25">
      <c r="A29" s="817"/>
      <c r="B29" s="818" t="s">
        <v>380</v>
      </c>
      <c r="C29" s="819">
        <v>1000</v>
      </c>
      <c r="D29" s="820"/>
      <c r="E29" s="819">
        <f t="shared" si="3"/>
        <v>1000</v>
      </c>
      <c r="F29" s="824"/>
      <c r="G29" s="824">
        <v>1000</v>
      </c>
      <c r="H29" s="824"/>
      <c r="I29" s="822"/>
      <c r="J29" s="822" t="s">
        <v>142</v>
      </c>
      <c r="K29" s="821"/>
      <c r="L29" s="825"/>
      <c r="M29" s="825" t="s">
        <v>695</v>
      </c>
      <c r="N29" s="825"/>
    </row>
    <row r="30" spans="1:14" s="823" customFormat="1" ht="31.5" x14ac:dyDescent="0.25">
      <c r="A30" s="817"/>
      <c r="B30" s="818" t="s">
        <v>697</v>
      </c>
      <c r="C30" s="819">
        <v>4250</v>
      </c>
      <c r="D30" s="820"/>
      <c r="E30" s="819">
        <f t="shared" si="3"/>
        <v>4250</v>
      </c>
      <c r="F30" s="824"/>
      <c r="G30" s="824">
        <v>4250</v>
      </c>
      <c r="H30" s="824"/>
      <c r="I30" s="822"/>
      <c r="J30" s="822" t="s">
        <v>142</v>
      </c>
      <c r="K30" s="821"/>
      <c r="L30" s="825"/>
      <c r="M30" s="825" t="s">
        <v>695</v>
      </c>
      <c r="N30" s="825"/>
    </row>
    <row r="31" spans="1:14" s="823" customFormat="1" ht="43.5" customHeight="1" x14ac:dyDescent="0.25">
      <c r="A31" s="817"/>
      <c r="B31" s="818" t="s">
        <v>381</v>
      </c>
      <c r="C31" s="819">
        <v>5000</v>
      </c>
      <c r="D31" s="820"/>
      <c r="E31" s="819">
        <f t="shared" si="3"/>
        <v>5000</v>
      </c>
      <c r="F31" s="824"/>
      <c r="G31" s="824">
        <v>5000</v>
      </c>
      <c r="H31" s="824"/>
      <c r="I31" s="822"/>
      <c r="J31" s="822" t="s">
        <v>142</v>
      </c>
      <c r="K31" s="821"/>
      <c r="L31" s="825"/>
      <c r="M31" s="825" t="s">
        <v>695</v>
      </c>
      <c r="N31" s="825"/>
    </row>
    <row r="32" spans="1:14" s="823" customFormat="1" x14ac:dyDescent="0.25">
      <c r="A32" s="817"/>
      <c r="B32" s="818" t="s">
        <v>528</v>
      </c>
      <c r="C32" s="819">
        <v>6350</v>
      </c>
      <c r="D32" s="820"/>
      <c r="E32" s="819">
        <f t="shared" si="3"/>
        <v>6350</v>
      </c>
      <c r="F32" s="824"/>
      <c r="G32" s="824">
        <f>350+6000</f>
        <v>6350</v>
      </c>
      <c r="H32" s="824"/>
      <c r="I32" s="822"/>
      <c r="J32" s="822"/>
      <c r="K32" s="821"/>
      <c r="L32" s="825"/>
      <c r="M32" s="825" t="s">
        <v>695</v>
      </c>
      <c r="N32" s="825"/>
    </row>
    <row r="33" spans="1:14" s="823" customFormat="1" ht="31.5" x14ac:dyDescent="0.25">
      <c r="A33" s="817"/>
      <c r="B33" s="818" t="s">
        <v>698</v>
      </c>
      <c r="C33" s="819">
        <v>45636</v>
      </c>
      <c r="D33" s="820"/>
      <c r="E33" s="819">
        <f t="shared" si="3"/>
        <v>45636</v>
      </c>
      <c r="F33" s="824"/>
      <c r="G33" s="824">
        <f>13645+31991</f>
        <v>45636</v>
      </c>
      <c r="H33" s="824"/>
      <c r="I33" s="822"/>
      <c r="J33" s="822"/>
      <c r="K33" s="821"/>
      <c r="L33" s="825"/>
      <c r="M33" s="825" t="s">
        <v>695</v>
      </c>
      <c r="N33" s="825"/>
    </row>
    <row r="34" spans="1:14" s="823" customFormat="1" ht="31.5" x14ac:dyDescent="0.25">
      <c r="A34" s="817"/>
      <c r="B34" s="818" t="s">
        <v>529</v>
      </c>
      <c r="C34" s="819">
        <v>1200</v>
      </c>
      <c r="D34" s="820"/>
      <c r="E34" s="819">
        <f t="shared" si="3"/>
        <v>1200</v>
      </c>
      <c r="F34" s="824"/>
      <c r="G34" s="824">
        <v>1200</v>
      </c>
      <c r="H34" s="824"/>
      <c r="I34" s="822"/>
      <c r="J34" s="822"/>
      <c r="K34" s="821"/>
      <c r="L34" s="825"/>
      <c r="M34" s="825" t="s">
        <v>695</v>
      </c>
      <c r="N34" s="825"/>
    </row>
    <row r="35" spans="1:14" s="823" customFormat="1" x14ac:dyDescent="0.25">
      <c r="A35" s="817"/>
      <c r="B35" s="818" t="s">
        <v>530</v>
      </c>
      <c r="C35" s="819">
        <v>2200</v>
      </c>
      <c r="D35" s="820"/>
      <c r="E35" s="819">
        <f t="shared" si="3"/>
        <v>2200</v>
      </c>
      <c r="F35" s="824"/>
      <c r="G35" s="824">
        <v>2200</v>
      </c>
      <c r="H35" s="824"/>
      <c r="I35" s="822"/>
      <c r="J35" s="822"/>
      <c r="K35" s="821"/>
      <c r="L35" s="825"/>
      <c r="M35" s="825" t="s">
        <v>695</v>
      </c>
      <c r="N35" s="825"/>
    </row>
    <row r="36" spans="1:14" s="823" customFormat="1" x14ac:dyDescent="0.25">
      <c r="A36" s="817"/>
      <c r="B36" s="818" t="s">
        <v>531</v>
      </c>
      <c r="C36" s="819">
        <v>30686</v>
      </c>
      <c r="D36" s="820"/>
      <c r="E36" s="819">
        <f t="shared" si="3"/>
        <v>30686</v>
      </c>
      <c r="F36" s="824"/>
      <c r="G36" s="824">
        <f>30000+686</f>
        <v>30686</v>
      </c>
      <c r="H36" s="824"/>
      <c r="I36" s="822"/>
      <c r="J36" s="822"/>
      <c r="K36" s="821"/>
      <c r="L36" s="825"/>
      <c r="M36" s="825" t="s">
        <v>695</v>
      </c>
      <c r="N36" s="825"/>
    </row>
    <row r="37" spans="1:14" s="823" customFormat="1" x14ac:dyDescent="0.25">
      <c r="A37" s="817"/>
      <c r="B37" s="818" t="s">
        <v>532</v>
      </c>
      <c r="C37" s="819">
        <v>5000</v>
      </c>
      <c r="D37" s="820"/>
      <c r="E37" s="819">
        <f t="shared" si="3"/>
        <v>5000</v>
      </c>
      <c r="F37" s="824"/>
      <c r="G37" s="824">
        <v>5000</v>
      </c>
      <c r="H37" s="824"/>
      <c r="I37" s="822"/>
      <c r="J37" s="822"/>
      <c r="K37" s="821"/>
      <c r="L37" s="825"/>
      <c r="M37" s="825" t="s">
        <v>695</v>
      </c>
      <c r="N37" s="825"/>
    </row>
    <row r="38" spans="1:14" s="823" customFormat="1" x14ac:dyDescent="0.25">
      <c r="A38" s="817"/>
      <c r="B38" s="818" t="s">
        <v>533</v>
      </c>
      <c r="C38" s="819">
        <v>2953</v>
      </c>
      <c r="D38" s="820"/>
      <c r="E38" s="819">
        <f t="shared" si="3"/>
        <v>2953</v>
      </c>
      <c r="F38" s="824"/>
      <c r="G38" s="824">
        <f>953+2000</f>
        <v>2953</v>
      </c>
      <c r="H38" s="824"/>
      <c r="I38" s="822"/>
      <c r="J38" s="822"/>
      <c r="K38" s="821"/>
      <c r="L38" s="825"/>
      <c r="M38" s="825" t="s">
        <v>695</v>
      </c>
      <c r="N38" s="825"/>
    </row>
    <row r="39" spans="1:14" s="823" customFormat="1" x14ac:dyDescent="0.25">
      <c r="A39" s="817"/>
      <c r="B39" s="818" t="s">
        <v>534</v>
      </c>
      <c r="C39" s="819">
        <v>1524</v>
      </c>
      <c r="D39" s="820"/>
      <c r="E39" s="819">
        <f t="shared" si="3"/>
        <v>1524</v>
      </c>
      <c r="F39" s="824"/>
      <c r="G39" s="824">
        <v>1524</v>
      </c>
      <c r="H39" s="824"/>
      <c r="I39" s="822"/>
      <c r="J39" s="822" t="s">
        <v>142</v>
      </c>
      <c r="K39" s="821"/>
      <c r="L39" s="825"/>
      <c r="M39" s="825" t="s">
        <v>695</v>
      </c>
      <c r="N39" s="825"/>
    </row>
    <row r="40" spans="1:14" s="823" customFormat="1" x14ac:dyDescent="0.25">
      <c r="A40" s="817"/>
      <c r="B40" s="818" t="s">
        <v>699</v>
      </c>
      <c r="C40" s="819">
        <v>1500</v>
      </c>
      <c r="D40" s="820"/>
      <c r="E40" s="819">
        <f t="shared" si="3"/>
        <v>1500</v>
      </c>
      <c r="F40" s="824"/>
      <c r="G40" s="824">
        <v>1500</v>
      </c>
      <c r="H40" s="824"/>
      <c r="I40" s="822"/>
      <c r="J40" s="822"/>
      <c r="K40" s="821"/>
      <c r="L40" s="825"/>
      <c r="M40" s="825" t="s">
        <v>695</v>
      </c>
      <c r="N40" s="825"/>
    </row>
    <row r="41" spans="1:14" s="823" customFormat="1" ht="31.5" x14ac:dyDescent="0.25">
      <c r="A41" s="817"/>
      <c r="B41" s="818" t="s">
        <v>700</v>
      </c>
      <c r="C41" s="819">
        <v>1880</v>
      </c>
      <c r="D41" s="820"/>
      <c r="E41" s="819">
        <f t="shared" si="3"/>
        <v>1880</v>
      </c>
      <c r="F41" s="824"/>
      <c r="G41" s="824">
        <v>1880</v>
      </c>
      <c r="H41" s="824"/>
      <c r="I41" s="822"/>
      <c r="J41" s="822"/>
      <c r="K41" s="821"/>
      <c r="L41" s="825"/>
      <c r="M41" s="825" t="s">
        <v>695</v>
      </c>
      <c r="N41" s="825"/>
    </row>
    <row r="42" spans="1:14" s="823" customFormat="1" x14ac:dyDescent="0.25">
      <c r="A42" s="817"/>
      <c r="B42" s="818" t="s">
        <v>701</v>
      </c>
      <c r="C42" s="819">
        <v>23000</v>
      </c>
      <c r="D42" s="820"/>
      <c r="E42" s="819">
        <f t="shared" si="3"/>
        <v>23000</v>
      </c>
      <c r="F42" s="824"/>
      <c r="G42" s="824">
        <v>23000</v>
      </c>
      <c r="H42" s="824"/>
      <c r="I42" s="822"/>
      <c r="J42" s="822"/>
      <c r="K42" s="821"/>
      <c r="L42" s="825"/>
      <c r="M42" s="825" t="s">
        <v>695</v>
      </c>
      <c r="N42" s="825"/>
    </row>
    <row r="43" spans="1:14" s="823" customFormat="1" ht="31.5" x14ac:dyDescent="0.25">
      <c r="A43" s="817"/>
      <c r="B43" s="818" t="s">
        <v>702</v>
      </c>
      <c r="C43" s="819">
        <v>1500</v>
      </c>
      <c r="D43" s="820"/>
      <c r="E43" s="819">
        <f t="shared" si="3"/>
        <v>1500</v>
      </c>
      <c r="F43" s="824"/>
      <c r="G43" s="824">
        <v>1500</v>
      </c>
      <c r="H43" s="824"/>
      <c r="I43" s="822"/>
      <c r="J43" s="822"/>
      <c r="K43" s="821"/>
      <c r="L43" s="825"/>
      <c r="M43" s="825" t="s">
        <v>695</v>
      </c>
      <c r="N43" s="825"/>
    </row>
    <row r="44" spans="1:14" s="823" customFormat="1" x14ac:dyDescent="0.25">
      <c r="A44" s="817"/>
      <c r="B44" s="818" t="s">
        <v>703</v>
      </c>
      <c r="C44" s="819">
        <v>250</v>
      </c>
      <c r="D44" s="820"/>
      <c r="E44" s="819">
        <f t="shared" si="3"/>
        <v>250</v>
      </c>
      <c r="F44" s="824"/>
      <c r="G44" s="824">
        <v>250</v>
      </c>
      <c r="H44" s="824"/>
      <c r="I44" s="822"/>
      <c r="J44" s="822"/>
      <c r="K44" s="821"/>
      <c r="L44" s="825"/>
      <c r="M44" s="825" t="s">
        <v>695</v>
      </c>
      <c r="N44" s="825"/>
    </row>
    <row r="45" spans="1:14" s="823" customFormat="1" x14ac:dyDescent="0.25">
      <c r="A45" s="817"/>
      <c r="B45" s="818" t="s">
        <v>704</v>
      </c>
      <c r="C45" s="819">
        <v>3000</v>
      </c>
      <c r="D45" s="820"/>
      <c r="E45" s="819">
        <f t="shared" si="3"/>
        <v>3000</v>
      </c>
      <c r="F45" s="824"/>
      <c r="G45" s="824">
        <v>3000</v>
      </c>
      <c r="H45" s="824"/>
      <c r="I45" s="822"/>
      <c r="J45" s="822"/>
      <c r="K45" s="821"/>
      <c r="L45" s="825"/>
      <c r="M45" s="825" t="s">
        <v>695</v>
      </c>
      <c r="N45" s="825"/>
    </row>
    <row r="46" spans="1:14" s="823" customFormat="1" ht="31.5" x14ac:dyDescent="0.25">
      <c r="A46" s="817"/>
      <c r="B46" s="818" t="s">
        <v>705</v>
      </c>
      <c r="C46" s="819">
        <v>3000</v>
      </c>
      <c r="D46" s="820"/>
      <c r="E46" s="819">
        <f t="shared" si="3"/>
        <v>3000</v>
      </c>
      <c r="F46" s="824"/>
      <c r="G46" s="824">
        <v>3000</v>
      </c>
      <c r="H46" s="824"/>
      <c r="I46" s="822"/>
      <c r="J46" s="822"/>
      <c r="K46" s="821"/>
      <c r="L46" s="825"/>
      <c r="M46" s="825" t="s">
        <v>695</v>
      </c>
      <c r="N46" s="825"/>
    </row>
    <row r="47" spans="1:14" s="823" customFormat="1" x14ac:dyDescent="0.25">
      <c r="A47" s="817"/>
      <c r="B47" s="818" t="s">
        <v>706</v>
      </c>
      <c r="C47" s="819">
        <v>24790</v>
      </c>
      <c r="D47" s="820"/>
      <c r="E47" s="819">
        <f t="shared" si="3"/>
        <v>24790</v>
      </c>
      <c r="F47" s="824"/>
      <c r="G47" s="824">
        <v>24790</v>
      </c>
      <c r="H47" s="824"/>
      <c r="I47" s="822"/>
      <c r="J47" s="822"/>
      <c r="K47" s="821"/>
      <c r="L47" s="825"/>
      <c r="M47" s="825" t="s">
        <v>695</v>
      </c>
      <c r="N47" s="825"/>
    </row>
    <row r="48" spans="1:14" s="823" customFormat="1" ht="31.5" x14ac:dyDescent="0.25">
      <c r="A48" s="817"/>
      <c r="B48" s="818" t="s">
        <v>707</v>
      </c>
      <c r="C48" s="819">
        <v>4239</v>
      </c>
      <c r="D48" s="820"/>
      <c r="E48" s="819">
        <f t="shared" si="3"/>
        <v>4239</v>
      </c>
      <c r="F48" s="824"/>
      <c r="G48" s="824">
        <f>4129+6730</f>
        <v>10859</v>
      </c>
      <c r="H48" s="824">
        <v>-6620</v>
      </c>
      <c r="I48" s="822"/>
      <c r="J48" s="822"/>
      <c r="K48" s="821"/>
      <c r="L48" s="825"/>
      <c r="M48" s="825" t="s">
        <v>695</v>
      </c>
      <c r="N48" s="825"/>
    </row>
    <row r="49" spans="1:14" s="823" customFormat="1" x14ac:dyDescent="0.25">
      <c r="A49" s="817"/>
      <c r="B49" s="818" t="s">
        <v>708</v>
      </c>
      <c r="C49" s="819">
        <v>5000</v>
      </c>
      <c r="D49" s="820"/>
      <c r="E49" s="819">
        <f t="shared" si="3"/>
        <v>5000</v>
      </c>
      <c r="F49" s="824"/>
      <c r="G49" s="824">
        <v>5000</v>
      </c>
      <c r="H49" s="824"/>
      <c r="I49" s="822"/>
      <c r="J49" s="822"/>
      <c r="K49" s="821"/>
      <c r="L49" s="825"/>
      <c r="M49" s="825" t="s">
        <v>695</v>
      </c>
      <c r="N49" s="825"/>
    </row>
    <row r="50" spans="1:14" s="823" customFormat="1" x14ac:dyDescent="0.25">
      <c r="A50" s="817"/>
      <c r="B50" s="818" t="s">
        <v>709</v>
      </c>
      <c r="C50" s="819">
        <v>2300</v>
      </c>
      <c r="D50" s="820"/>
      <c r="E50" s="819">
        <f t="shared" si="3"/>
        <v>2300</v>
      </c>
      <c r="F50" s="824"/>
      <c r="G50" s="824">
        <v>2300</v>
      </c>
      <c r="H50" s="824"/>
      <c r="I50" s="822"/>
      <c r="J50" s="822"/>
      <c r="K50" s="821"/>
      <c r="L50" s="825"/>
      <c r="M50" s="825" t="s">
        <v>695</v>
      </c>
      <c r="N50" s="825"/>
    </row>
    <row r="51" spans="1:14" s="823" customFormat="1" ht="31.5" x14ac:dyDescent="0.25">
      <c r="A51" s="817"/>
      <c r="B51" s="818" t="s">
        <v>710</v>
      </c>
      <c r="C51" s="819">
        <v>720</v>
      </c>
      <c r="D51" s="820"/>
      <c r="E51" s="819">
        <f t="shared" si="3"/>
        <v>720</v>
      </c>
      <c r="F51" s="824"/>
      <c r="G51" s="824">
        <v>720</v>
      </c>
      <c r="H51" s="824"/>
      <c r="I51" s="822"/>
      <c r="J51" s="822"/>
      <c r="K51" s="821"/>
      <c r="L51" s="825"/>
      <c r="M51" s="825" t="s">
        <v>695</v>
      </c>
      <c r="N51" s="825"/>
    </row>
    <row r="52" spans="1:14" s="823" customFormat="1" x14ac:dyDescent="0.25">
      <c r="A52" s="817"/>
      <c r="B52" s="818" t="s">
        <v>711</v>
      </c>
      <c r="C52" s="819">
        <v>550</v>
      </c>
      <c r="D52" s="820"/>
      <c r="E52" s="819">
        <f t="shared" si="3"/>
        <v>550</v>
      </c>
      <c r="F52" s="824"/>
      <c r="G52" s="824">
        <v>550</v>
      </c>
      <c r="H52" s="824"/>
      <c r="I52" s="822"/>
      <c r="J52" s="822"/>
      <c r="K52" s="821"/>
      <c r="L52" s="825"/>
      <c r="M52" s="825" t="s">
        <v>695</v>
      </c>
      <c r="N52" s="825"/>
    </row>
    <row r="53" spans="1:14" s="823" customFormat="1" x14ac:dyDescent="0.25">
      <c r="A53" s="817"/>
      <c r="B53" s="818" t="s">
        <v>712</v>
      </c>
      <c r="C53" s="819">
        <v>50000</v>
      </c>
      <c r="D53" s="820"/>
      <c r="E53" s="819">
        <f t="shared" si="3"/>
        <v>50000</v>
      </c>
      <c r="F53" s="824"/>
      <c r="G53" s="824">
        <v>50000</v>
      </c>
      <c r="H53" s="824"/>
      <c r="I53" s="822"/>
      <c r="J53" s="822"/>
      <c r="K53" s="821"/>
      <c r="L53" s="825"/>
      <c r="M53" s="825" t="s">
        <v>695</v>
      </c>
      <c r="N53" s="825"/>
    </row>
    <row r="54" spans="1:14" s="823" customFormat="1" x14ac:dyDescent="0.25">
      <c r="A54" s="817"/>
      <c r="B54" s="818" t="s">
        <v>980</v>
      </c>
      <c r="C54" s="819">
        <v>5000</v>
      </c>
      <c r="D54" s="820"/>
      <c r="E54" s="819">
        <f t="shared" si="3"/>
        <v>5000</v>
      </c>
      <c r="F54" s="824"/>
      <c r="G54" s="824">
        <v>5000</v>
      </c>
      <c r="H54" s="824"/>
      <c r="I54" s="822"/>
      <c r="J54" s="822"/>
      <c r="K54" s="821"/>
      <c r="L54" s="825"/>
      <c r="M54" s="825" t="s">
        <v>695</v>
      </c>
      <c r="N54" s="825"/>
    </row>
    <row r="55" spans="1:14" s="823" customFormat="1" x14ac:dyDescent="0.25">
      <c r="A55" s="817"/>
      <c r="B55" s="818" t="s">
        <v>713</v>
      </c>
      <c r="C55" s="819">
        <v>2000</v>
      </c>
      <c r="D55" s="820"/>
      <c r="E55" s="819">
        <f t="shared" si="3"/>
        <v>2000</v>
      </c>
      <c r="F55" s="824"/>
      <c r="G55" s="824">
        <v>2000</v>
      </c>
      <c r="H55" s="824"/>
      <c r="I55" s="822"/>
      <c r="J55" s="822"/>
      <c r="K55" s="821"/>
      <c r="L55" s="825"/>
      <c r="M55" s="825" t="s">
        <v>695</v>
      </c>
      <c r="N55" s="825"/>
    </row>
    <row r="56" spans="1:14" s="823" customFormat="1" x14ac:dyDescent="0.25">
      <c r="A56" s="817"/>
      <c r="B56" s="818" t="s">
        <v>714</v>
      </c>
      <c r="C56" s="819">
        <v>500</v>
      </c>
      <c r="D56" s="820"/>
      <c r="E56" s="819">
        <f t="shared" si="3"/>
        <v>500</v>
      </c>
      <c r="F56" s="824"/>
      <c r="G56" s="824">
        <v>500</v>
      </c>
      <c r="H56" s="824"/>
      <c r="I56" s="822"/>
      <c r="J56" s="822"/>
      <c r="K56" s="821"/>
      <c r="L56" s="825"/>
      <c r="M56" s="825" t="s">
        <v>695</v>
      </c>
      <c r="N56" s="825"/>
    </row>
    <row r="57" spans="1:14" s="823" customFormat="1" x14ac:dyDescent="0.25">
      <c r="A57" s="817"/>
      <c r="B57" s="818" t="s">
        <v>715</v>
      </c>
      <c r="C57" s="819">
        <v>30000</v>
      </c>
      <c r="D57" s="820"/>
      <c r="E57" s="819">
        <f t="shared" si="3"/>
        <v>30000</v>
      </c>
      <c r="F57" s="824"/>
      <c r="G57" s="824">
        <v>30000</v>
      </c>
      <c r="H57" s="824"/>
      <c r="I57" s="822"/>
      <c r="J57" s="822"/>
      <c r="K57" s="821"/>
      <c r="L57" s="825"/>
      <c r="M57" s="825" t="s">
        <v>695</v>
      </c>
      <c r="N57" s="825"/>
    </row>
    <row r="58" spans="1:14" s="823" customFormat="1" ht="31.5" x14ac:dyDescent="0.25">
      <c r="A58" s="817"/>
      <c r="B58" s="818" t="s">
        <v>716</v>
      </c>
      <c r="C58" s="819">
        <v>300</v>
      </c>
      <c r="D58" s="820"/>
      <c r="E58" s="819">
        <f t="shared" si="3"/>
        <v>300</v>
      </c>
      <c r="F58" s="824"/>
      <c r="G58" s="824">
        <v>300</v>
      </c>
      <c r="H58" s="824"/>
      <c r="I58" s="822"/>
      <c r="J58" s="822"/>
      <c r="K58" s="821"/>
      <c r="L58" s="825"/>
      <c r="M58" s="825" t="s">
        <v>695</v>
      </c>
      <c r="N58" s="825"/>
    </row>
    <row r="59" spans="1:14" s="823" customFormat="1" x14ac:dyDescent="0.25">
      <c r="A59" s="817"/>
      <c r="B59" s="818" t="s">
        <v>909</v>
      </c>
      <c r="C59" s="819">
        <v>500</v>
      </c>
      <c r="D59" s="820"/>
      <c r="E59" s="819">
        <f t="shared" si="3"/>
        <v>500</v>
      </c>
      <c r="F59" s="824"/>
      <c r="G59" s="824">
        <v>500</v>
      </c>
      <c r="H59" s="824"/>
      <c r="I59" s="822"/>
      <c r="J59" s="822"/>
      <c r="K59" s="821"/>
      <c r="L59" s="825"/>
      <c r="M59" s="825" t="s">
        <v>695</v>
      </c>
      <c r="N59" s="825"/>
    </row>
    <row r="60" spans="1:14" s="823" customFormat="1" x14ac:dyDescent="0.25">
      <c r="A60" s="817"/>
      <c r="B60" s="818" t="s">
        <v>910</v>
      </c>
      <c r="C60" s="819">
        <v>400</v>
      </c>
      <c r="D60" s="820"/>
      <c r="E60" s="819">
        <f t="shared" si="3"/>
        <v>400</v>
      </c>
      <c r="F60" s="824"/>
      <c r="G60" s="824">
        <v>400</v>
      </c>
      <c r="H60" s="824"/>
      <c r="I60" s="822"/>
      <c r="J60" s="822"/>
      <c r="K60" s="821"/>
      <c r="L60" s="825"/>
      <c r="M60" s="825" t="s">
        <v>695</v>
      </c>
      <c r="N60" s="825"/>
    </row>
    <row r="61" spans="1:14" s="823" customFormat="1" ht="31.5" x14ac:dyDescent="0.25">
      <c r="A61" s="817"/>
      <c r="B61" s="818" t="s">
        <v>911</v>
      </c>
      <c r="C61" s="819">
        <v>3500</v>
      </c>
      <c r="D61" s="820"/>
      <c r="E61" s="819">
        <f t="shared" si="3"/>
        <v>3500</v>
      </c>
      <c r="F61" s="824"/>
      <c r="G61" s="824">
        <v>3500</v>
      </c>
      <c r="H61" s="824"/>
      <c r="I61" s="822"/>
      <c r="J61" s="822"/>
      <c r="K61" s="821"/>
      <c r="L61" s="825"/>
      <c r="M61" s="825" t="s">
        <v>695</v>
      </c>
      <c r="N61" s="825"/>
    </row>
    <row r="62" spans="1:14" s="823" customFormat="1" x14ac:dyDescent="0.25">
      <c r="A62" s="817"/>
      <c r="B62" s="818" t="s">
        <v>912</v>
      </c>
      <c r="C62" s="819">
        <v>400</v>
      </c>
      <c r="D62" s="820"/>
      <c r="E62" s="819">
        <f t="shared" si="3"/>
        <v>400</v>
      </c>
      <c r="F62" s="824"/>
      <c r="G62" s="824">
        <v>400</v>
      </c>
      <c r="H62" s="824"/>
      <c r="I62" s="822"/>
      <c r="J62" s="822"/>
      <c r="K62" s="821"/>
      <c r="L62" s="825"/>
      <c r="M62" s="825" t="s">
        <v>695</v>
      </c>
      <c r="N62" s="825"/>
    </row>
    <row r="63" spans="1:14" s="823" customFormat="1" x14ac:dyDescent="0.25">
      <c r="A63" s="817"/>
      <c r="B63" s="818" t="s">
        <v>913</v>
      </c>
      <c r="C63" s="819">
        <v>360</v>
      </c>
      <c r="D63" s="820"/>
      <c r="E63" s="819">
        <f t="shared" si="3"/>
        <v>360</v>
      </c>
      <c r="F63" s="824"/>
      <c r="G63" s="824">
        <v>360</v>
      </c>
      <c r="H63" s="824"/>
      <c r="I63" s="822"/>
      <c r="J63" s="822"/>
      <c r="K63" s="821"/>
      <c r="L63" s="825"/>
      <c r="M63" s="825" t="s">
        <v>695</v>
      </c>
      <c r="N63" s="825"/>
    </row>
    <row r="64" spans="1:14" s="823" customFormat="1" x14ac:dyDescent="0.25">
      <c r="A64" s="817"/>
      <c r="B64" s="818" t="s">
        <v>914</v>
      </c>
      <c r="C64" s="819">
        <v>1000</v>
      </c>
      <c r="D64" s="820"/>
      <c r="E64" s="819">
        <f t="shared" si="3"/>
        <v>1000</v>
      </c>
      <c r="F64" s="824"/>
      <c r="G64" s="824">
        <v>1000</v>
      </c>
      <c r="H64" s="824"/>
      <c r="I64" s="822"/>
      <c r="J64" s="822"/>
      <c r="K64" s="821"/>
      <c r="L64" s="825"/>
      <c r="M64" s="825" t="s">
        <v>695</v>
      </c>
      <c r="N64" s="825"/>
    </row>
    <row r="65" spans="1:14" s="823" customFormat="1" x14ac:dyDescent="0.25">
      <c r="A65" s="817"/>
      <c r="B65" s="818" t="s">
        <v>957</v>
      </c>
      <c r="C65" s="819">
        <v>3300</v>
      </c>
      <c r="D65" s="820"/>
      <c r="E65" s="819">
        <f t="shared" si="3"/>
        <v>3300</v>
      </c>
      <c r="F65" s="824"/>
      <c r="G65" s="824">
        <v>3300</v>
      </c>
      <c r="H65" s="824"/>
      <c r="I65" s="822"/>
      <c r="J65" s="822"/>
      <c r="K65" s="821"/>
      <c r="L65" s="825"/>
      <c r="M65" s="825" t="s">
        <v>695</v>
      </c>
      <c r="N65" s="825"/>
    </row>
    <row r="66" spans="1:14" s="823" customFormat="1" x14ac:dyDescent="0.25">
      <c r="A66" s="817"/>
      <c r="B66" s="818" t="s">
        <v>1272</v>
      </c>
      <c r="C66" s="819"/>
      <c r="D66" s="820">
        <v>250</v>
      </c>
      <c r="E66" s="819">
        <f t="shared" si="3"/>
        <v>250</v>
      </c>
      <c r="F66" s="824"/>
      <c r="G66" s="824">
        <v>250</v>
      </c>
      <c r="H66" s="824"/>
      <c r="I66" s="822"/>
      <c r="J66" s="822"/>
      <c r="K66" s="821"/>
      <c r="L66" s="825"/>
      <c r="M66" s="825" t="s">
        <v>695</v>
      </c>
      <c r="N66" s="825"/>
    </row>
    <row r="67" spans="1:14" s="823" customFormat="1" x14ac:dyDescent="0.25">
      <c r="A67" s="817"/>
      <c r="B67" s="818" t="s">
        <v>1273</v>
      </c>
      <c r="C67" s="819"/>
      <c r="D67" s="820">
        <v>500</v>
      </c>
      <c r="E67" s="819">
        <f t="shared" si="3"/>
        <v>500</v>
      </c>
      <c r="F67" s="824"/>
      <c r="G67" s="824">
        <v>500</v>
      </c>
      <c r="H67" s="824"/>
      <c r="I67" s="822"/>
      <c r="J67" s="822"/>
      <c r="K67" s="821"/>
      <c r="L67" s="825"/>
      <c r="M67" s="825" t="s">
        <v>695</v>
      </c>
      <c r="N67" s="825"/>
    </row>
    <row r="68" spans="1:14" s="823" customFormat="1" ht="31.5" x14ac:dyDescent="0.25">
      <c r="A68" s="817"/>
      <c r="B68" s="818" t="s">
        <v>1274</v>
      </c>
      <c r="C68" s="819"/>
      <c r="D68" s="820">
        <v>2483</v>
      </c>
      <c r="E68" s="819">
        <f t="shared" si="3"/>
        <v>2483</v>
      </c>
      <c r="F68" s="824"/>
      <c r="G68" s="824">
        <v>2483</v>
      </c>
      <c r="H68" s="824"/>
      <c r="I68" s="822"/>
      <c r="J68" s="822"/>
      <c r="K68" s="821"/>
      <c r="L68" s="825"/>
      <c r="M68" s="825" t="s">
        <v>695</v>
      </c>
      <c r="N68" s="825"/>
    </row>
    <row r="69" spans="1:14" s="823" customFormat="1" ht="31.5" x14ac:dyDescent="0.25">
      <c r="A69" s="817"/>
      <c r="B69" s="818" t="s">
        <v>1275</v>
      </c>
      <c r="C69" s="819"/>
      <c r="D69" s="820">
        <v>30500</v>
      </c>
      <c r="E69" s="819">
        <f t="shared" si="3"/>
        <v>30500</v>
      </c>
      <c r="F69" s="824"/>
      <c r="G69" s="824">
        <v>30500</v>
      </c>
      <c r="H69" s="824"/>
      <c r="I69" s="822"/>
      <c r="J69" s="822"/>
      <c r="K69" s="821"/>
      <c r="L69" s="825"/>
      <c r="M69" s="825" t="s">
        <v>695</v>
      </c>
      <c r="N69" s="825"/>
    </row>
    <row r="70" spans="1:14" s="832" customFormat="1" x14ac:dyDescent="0.25">
      <c r="A70" s="826"/>
      <c r="B70" s="827" t="s">
        <v>1276</v>
      </c>
      <c r="C70" s="828"/>
      <c r="D70" s="829">
        <v>40000</v>
      </c>
      <c r="E70" s="830">
        <f>SUM(C70:D70)</f>
        <v>40000</v>
      </c>
      <c r="F70" s="824"/>
      <c r="G70" s="824">
        <v>40000</v>
      </c>
      <c r="H70" s="824"/>
      <c r="I70" s="822"/>
      <c r="J70" s="822"/>
      <c r="K70" s="821"/>
      <c r="L70" s="825"/>
      <c r="M70" s="825" t="s">
        <v>695</v>
      </c>
      <c r="N70" s="831"/>
    </row>
    <row r="71" spans="1:14" x14ac:dyDescent="0.25">
      <c r="A71" s="796"/>
      <c r="B71" s="833" t="s">
        <v>108</v>
      </c>
      <c r="C71" s="834">
        <v>19437</v>
      </c>
      <c r="D71" s="835">
        <f>SUM(D72:D74)</f>
        <v>-598</v>
      </c>
      <c r="E71" s="805">
        <f>SUM(E72:E74)</f>
        <v>18839</v>
      </c>
      <c r="F71" s="805">
        <f>SUM(F72:F74)</f>
        <v>0</v>
      </c>
      <c r="G71" s="805">
        <f t="shared" ref="G71:H71" si="4">SUM(G72:G74)</f>
        <v>20437</v>
      </c>
      <c r="H71" s="805">
        <f t="shared" si="4"/>
        <v>-1598</v>
      </c>
      <c r="I71" s="816"/>
      <c r="J71" s="815" t="s">
        <v>142</v>
      </c>
      <c r="K71" s="805"/>
      <c r="L71" s="816"/>
      <c r="M71" s="815" t="s">
        <v>695</v>
      </c>
      <c r="N71" s="816"/>
    </row>
    <row r="72" spans="1:14" x14ac:dyDescent="0.25">
      <c r="A72" s="796"/>
      <c r="B72" s="836" t="s">
        <v>120</v>
      </c>
      <c r="C72" s="837">
        <v>15247</v>
      </c>
      <c r="D72" s="838">
        <f>1000-1098</f>
        <v>-98</v>
      </c>
      <c r="E72" s="837">
        <f>SUM(C72:D72)</f>
        <v>15149</v>
      </c>
      <c r="F72" s="824"/>
      <c r="G72" s="839">
        <f>247+15000+1000</f>
        <v>16247</v>
      </c>
      <c r="H72" s="839">
        <v>-1098</v>
      </c>
      <c r="I72" s="822"/>
      <c r="J72" s="822" t="s">
        <v>142</v>
      </c>
      <c r="K72" s="821"/>
      <c r="L72" s="840"/>
      <c r="M72" s="840" t="s">
        <v>695</v>
      </c>
      <c r="N72" s="840"/>
    </row>
    <row r="73" spans="1:14" x14ac:dyDescent="0.25">
      <c r="A73" s="796"/>
      <c r="B73" s="836" t="s">
        <v>121</v>
      </c>
      <c r="C73" s="837">
        <v>1190</v>
      </c>
      <c r="D73" s="838"/>
      <c r="E73" s="837">
        <f t="shared" ref="E73:E84" si="5">SUM(C73:D73)</f>
        <v>1190</v>
      </c>
      <c r="F73" s="824"/>
      <c r="G73" s="839">
        <f>190+1000</f>
        <v>1190</v>
      </c>
      <c r="H73" s="839"/>
      <c r="I73" s="822"/>
      <c r="J73" s="822" t="s">
        <v>142</v>
      </c>
      <c r="K73" s="821"/>
      <c r="L73" s="840"/>
      <c r="M73" s="840" t="s">
        <v>695</v>
      </c>
      <c r="N73" s="840"/>
    </row>
    <row r="74" spans="1:14" x14ac:dyDescent="0.25">
      <c r="A74" s="796"/>
      <c r="B74" s="836" t="s">
        <v>122</v>
      </c>
      <c r="C74" s="837">
        <v>3000</v>
      </c>
      <c r="D74" s="838">
        <v>-500</v>
      </c>
      <c r="E74" s="837">
        <f t="shared" si="5"/>
        <v>2500</v>
      </c>
      <c r="F74" s="824"/>
      <c r="G74" s="839">
        <f>500+2500</f>
        <v>3000</v>
      </c>
      <c r="H74" s="839">
        <v>-500</v>
      </c>
      <c r="I74" s="822"/>
      <c r="J74" s="822" t="s">
        <v>142</v>
      </c>
      <c r="K74" s="821"/>
      <c r="L74" s="840"/>
      <c r="M74" s="840" t="s">
        <v>695</v>
      </c>
      <c r="N74" s="840"/>
    </row>
    <row r="75" spans="1:14" x14ac:dyDescent="0.25">
      <c r="A75" s="796"/>
      <c r="B75" s="833" t="s">
        <v>133</v>
      </c>
      <c r="C75" s="834">
        <v>7192</v>
      </c>
      <c r="D75" s="841"/>
      <c r="E75" s="834">
        <f t="shared" si="5"/>
        <v>7192</v>
      </c>
      <c r="F75" s="805">
        <v>0</v>
      </c>
      <c r="G75" s="805">
        <f>7167+25</f>
        <v>7192</v>
      </c>
      <c r="H75" s="805"/>
      <c r="I75" s="815" t="s">
        <v>142</v>
      </c>
      <c r="J75" s="815" t="s">
        <v>142</v>
      </c>
      <c r="K75" s="805"/>
      <c r="L75" s="815" t="s">
        <v>695</v>
      </c>
      <c r="M75" s="815" t="s">
        <v>695</v>
      </c>
      <c r="N75" s="816"/>
    </row>
    <row r="76" spans="1:14" x14ac:dyDescent="0.25">
      <c r="A76" s="796"/>
      <c r="B76" s="812" t="s">
        <v>85</v>
      </c>
      <c r="C76" s="798">
        <v>329776</v>
      </c>
      <c r="D76" s="842">
        <v>4770</v>
      </c>
      <c r="E76" s="798">
        <f t="shared" si="5"/>
        <v>334546</v>
      </c>
      <c r="F76" s="800"/>
      <c r="G76" s="800">
        <f>310344+19432+4770</f>
        <v>334546</v>
      </c>
      <c r="H76" s="800"/>
      <c r="I76" s="801" t="s">
        <v>142</v>
      </c>
      <c r="J76" s="801" t="s">
        <v>142</v>
      </c>
      <c r="K76" s="800"/>
      <c r="L76" s="801" t="s">
        <v>695</v>
      </c>
      <c r="M76" s="801" t="s">
        <v>695</v>
      </c>
      <c r="N76" s="801"/>
    </row>
    <row r="77" spans="1:14" x14ac:dyDescent="0.25">
      <c r="A77" s="796"/>
      <c r="B77" s="812" t="s">
        <v>86</v>
      </c>
      <c r="C77" s="798">
        <v>225594</v>
      </c>
      <c r="D77" s="842">
        <v>65000</v>
      </c>
      <c r="E77" s="798">
        <f t="shared" si="5"/>
        <v>290594</v>
      </c>
      <c r="F77" s="800">
        <v>0</v>
      </c>
      <c r="G77" s="800">
        <f>225594+65000</f>
        <v>290594</v>
      </c>
      <c r="H77" s="800"/>
      <c r="I77" s="801" t="s">
        <v>142</v>
      </c>
      <c r="J77" s="801"/>
      <c r="K77" s="800"/>
      <c r="L77" s="801" t="s">
        <v>695</v>
      </c>
      <c r="M77" s="801"/>
      <c r="N77" s="801"/>
    </row>
    <row r="78" spans="1:14" x14ac:dyDescent="0.25">
      <c r="A78" s="796"/>
      <c r="B78" s="843" t="s">
        <v>109</v>
      </c>
      <c r="C78" s="830">
        <v>225340</v>
      </c>
      <c r="D78" s="844"/>
      <c r="E78" s="830">
        <f t="shared" si="5"/>
        <v>225340</v>
      </c>
      <c r="F78" s="824"/>
      <c r="G78" s="839">
        <v>225340</v>
      </c>
      <c r="H78" s="839"/>
      <c r="I78" s="822" t="s">
        <v>142</v>
      </c>
      <c r="J78" s="822"/>
      <c r="K78" s="821"/>
      <c r="L78" s="840" t="s">
        <v>695</v>
      </c>
      <c r="M78" s="840"/>
      <c r="N78" s="840"/>
    </row>
    <row r="79" spans="1:14" x14ac:dyDescent="0.25">
      <c r="A79" s="796"/>
      <c r="B79" s="812" t="s">
        <v>110</v>
      </c>
      <c r="C79" s="798">
        <v>70018</v>
      </c>
      <c r="D79" s="842">
        <f>SUM(D80:D84)</f>
        <v>0</v>
      </c>
      <c r="E79" s="798">
        <f t="shared" si="5"/>
        <v>70018</v>
      </c>
      <c r="F79" s="800"/>
      <c r="G79" s="800">
        <f>62550+7468</f>
        <v>70018</v>
      </c>
      <c r="H79" s="800"/>
      <c r="I79" s="801"/>
      <c r="J79" s="801" t="s">
        <v>142</v>
      </c>
      <c r="K79" s="800"/>
      <c r="L79" s="801"/>
      <c r="M79" s="801" t="s">
        <v>695</v>
      </c>
      <c r="N79" s="801"/>
    </row>
    <row r="80" spans="1:14" x14ac:dyDescent="0.25">
      <c r="A80" s="796"/>
      <c r="B80" s="836" t="s">
        <v>535</v>
      </c>
      <c r="C80" s="837">
        <v>10000</v>
      </c>
      <c r="D80" s="838"/>
      <c r="E80" s="837">
        <f t="shared" si="5"/>
        <v>10000</v>
      </c>
      <c r="F80" s="824"/>
      <c r="G80" s="824">
        <v>10000</v>
      </c>
      <c r="H80" s="824"/>
      <c r="I80" s="822"/>
      <c r="J80" s="822" t="s">
        <v>142</v>
      </c>
      <c r="K80" s="821"/>
      <c r="L80" s="825"/>
      <c r="M80" s="825" t="s">
        <v>695</v>
      </c>
      <c r="N80" s="825"/>
    </row>
    <row r="81" spans="1:14" ht="31.5" x14ac:dyDescent="0.25">
      <c r="A81" s="796"/>
      <c r="B81" s="836" t="s">
        <v>717</v>
      </c>
      <c r="C81" s="837">
        <v>28000</v>
      </c>
      <c r="D81" s="838"/>
      <c r="E81" s="837">
        <f t="shared" si="5"/>
        <v>28000</v>
      </c>
      <c r="F81" s="824"/>
      <c r="G81" s="824">
        <v>28000</v>
      </c>
      <c r="H81" s="824"/>
      <c r="I81" s="822"/>
      <c r="J81" s="822" t="s">
        <v>142</v>
      </c>
      <c r="K81" s="821"/>
      <c r="L81" s="825"/>
      <c r="M81" s="825" t="s">
        <v>695</v>
      </c>
      <c r="N81" s="825"/>
    </row>
    <row r="82" spans="1:14" ht="31.5" x14ac:dyDescent="0.25">
      <c r="A82" s="796"/>
      <c r="B82" s="818" t="s">
        <v>718</v>
      </c>
      <c r="C82" s="819">
        <v>2500</v>
      </c>
      <c r="D82" s="820"/>
      <c r="E82" s="837">
        <f t="shared" si="5"/>
        <v>2500</v>
      </c>
      <c r="F82" s="824"/>
      <c r="G82" s="824">
        <v>2500</v>
      </c>
      <c r="H82" s="824"/>
      <c r="I82" s="822"/>
      <c r="J82" s="822" t="s">
        <v>142</v>
      </c>
      <c r="K82" s="821"/>
      <c r="L82" s="825"/>
      <c r="M82" s="825" t="s">
        <v>695</v>
      </c>
      <c r="N82" s="825"/>
    </row>
    <row r="83" spans="1:14" ht="31.5" x14ac:dyDescent="0.25">
      <c r="A83" s="796"/>
      <c r="B83" s="818" t="s">
        <v>536</v>
      </c>
      <c r="C83" s="819">
        <v>26518</v>
      </c>
      <c r="D83" s="820"/>
      <c r="E83" s="837">
        <f t="shared" si="5"/>
        <v>26518</v>
      </c>
      <c r="F83" s="824"/>
      <c r="G83" s="824">
        <f>19050+7468</f>
        <v>26518</v>
      </c>
      <c r="H83" s="824"/>
      <c r="I83" s="822"/>
      <c r="J83" s="822" t="s">
        <v>142</v>
      </c>
      <c r="K83" s="821"/>
      <c r="L83" s="825"/>
      <c r="M83" s="825" t="s">
        <v>695</v>
      </c>
      <c r="N83" s="825"/>
    </row>
    <row r="84" spans="1:14" x14ac:dyDescent="0.25">
      <c r="A84" s="796"/>
      <c r="B84" s="818" t="s">
        <v>246</v>
      </c>
      <c r="C84" s="819">
        <v>3000</v>
      </c>
      <c r="D84" s="820"/>
      <c r="E84" s="837">
        <f t="shared" si="5"/>
        <v>3000</v>
      </c>
      <c r="F84" s="824"/>
      <c r="G84" s="824">
        <v>3000</v>
      </c>
      <c r="H84" s="824"/>
      <c r="I84" s="822"/>
      <c r="J84" s="822" t="s">
        <v>142</v>
      </c>
      <c r="K84" s="821"/>
      <c r="L84" s="825"/>
      <c r="M84" s="825" t="s">
        <v>695</v>
      </c>
      <c r="N84" s="825"/>
    </row>
    <row r="85" spans="1:14" x14ac:dyDescent="0.25">
      <c r="A85" s="796" t="s">
        <v>111</v>
      </c>
      <c r="B85" s="797" t="s">
        <v>112</v>
      </c>
      <c r="C85" s="798">
        <v>40701</v>
      </c>
      <c r="D85" s="845">
        <f t="shared" ref="D85:E85" si="6">SUM(D86:D87)</f>
        <v>0</v>
      </c>
      <c r="E85" s="846">
        <f t="shared" si="6"/>
        <v>40701</v>
      </c>
      <c r="F85" s="846">
        <f>SUM(F86:F87)</f>
        <v>0</v>
      </c>
      <c r="G85" s="847">
        <f t="shared" ref="G85:H85" si="7">SUM(G86:G87)</f>
        <v>40701</v>
      </c>
      <c r="H85" s="847">
        <f t="shared" si="7"/>
        <v>0</v>
      </c>
      <c r="I85" s="848" t="s">
        <v>142</v>
      </c>
      <c r="J85" s="848" t="s">
        <v>142</v>
      </c>
      <c r="K85" s="847"/>
      <c r="L85" s="848" t="s">
        <v>695</v>
      </c>
      <c r="M85" s="848"/>
      <c r="N85" s="848"/>
    </row>
    <row r="86" spans="1:14" x14ac:dyDescent="0.25">
      <c r="A86" s="796"/>
      <c r="B86" s="833" t="s">
        <v>247</v>
      </c>
      <c r="C86" s="834">
        <v>15689</v>
      </c>
      <c r="D86" s="841"/>
      <c r="E86" s="834">
        <f>SUM(C86:D86)</f>
        <v>15689</v>
      </c>
      <c r="F86" s="805"/>
      <c r="G86" s="807">
        <f>15000+689</f>
        <v>15689</v>
      </c>
      <c r="H86" s="807"/>
      <c r="I86" s="806" t="s">
        <v>142</v>
      </c>
      <c r="J86" s="808"/>
      <c r="K86" s="807"/>
      <c r="L86" s="806" t="s">
        <v>695</v>
      </c>
      <c r="M86" s="808"/>
      <c r="N86" s="808"/>
    </row>
    <row r="87" spans="1:14" x14ac:dyDescent="0.25">
      <c r="A87" s="796"/>
      <c r="B87" s="833" t="s">
        <v>87</v>
      </c>
      <c r="C87" s="834">
        <v>25012</v>
      </c>
      <c r="D87" s="841"/>
      <c r="E87" s="834">
        <f>SUM(C87:D87)</f>
        <v>25012</v>
      </c>
      <c r="F87" s="805"/>
      <c r="G87" s="805">
        <f>25000+12</f>
        <v>25012</v>
      </c>
      <c r="H87" s="805"/>
      <c r="I87" s="815" t="s">
        <v>142</v>
      </c>
      <c r="J87" s="815" t="s">
        <v>142</v>
      </c>
      <c r="K87" s="805"/>
      <c r="L87" s="815" t="s">
        <v>695</v>
      </c>
      <c r="M87" s="816"/>
      <c r="N87" s="816"/>
    </row>
    <row r="88" spans="1:14" x14ac:dyDescent="0.25">
      <c r="A88" s="796" t="s">
        <v>113</v>
      </c>
      <c r="B88" s="812" t="s">
        <v>335</v>
      </c>
      <c r="C88" s="845">
        <f t="shared" ref="C88:E88" si="8">SUM(C89:C92)</f>
        <v>38915091</v>
      </c>
      <c r="D88" s="845">
        <f t="shared" si="8"/>
        <v>667149</v>
      </c>
      <c r="E88" s="846">
        <f t="shared" si="8"/>
        <v>39582240</v>
      </c>
      <c r="F88" s="846">
        <f>SUM(F89:F92)</f>
        <v>44407</v>
      </c>
      <c r="G88" s="847">
        <f t="shared" ref="G88:H88" si="9">SUM(G89:G92)</f>
        <v>39549833</v>
      </c>
      <c r="H88" s="847">
        <f t="shared" si="9"/>
        <v>-12000</v>
      </c>
      <c r="I88" s="848" t="s">
        <v>142</v>
      </c>
      <c r="J88" s="848"/>
      <c r="K88" s="847"/>
      <c r="L88" s="848" t="s">
        <v>695</v>
      </c>
      <c r="M88" s="848" t="s">
        <v>695</v>
      </c>
      <c r="N88" s="848"/>
    </row>
    <row r="89" spans="1:14" x14ac:dyDescent="0.25">
      <c r="A89" s="796"/>
      <c r="B89" s="809" t="s">
        <v>692</v>
      </c>
      <c r="C89" s="810">
        <v>2611543</v>
      </c>
      <c r="D89" s="811">
        <v>23097</v>
      </c>
      <c r="E89" s="810">
        <f>SUM(C89:D89)</f>
        <v>2634640</v>
      </c>
      <c r="F89" s="805"/>
      <c r="G89" s="805">
        <f>585714+1983949+41880+23097</f>
        <v>2634640</v>
      </c>
      <c r="H89" s="805"/>
      <c r="I89" s="815" t="s">
        <v>142</v>
      </c>
      <c r="J89" s="816"/>
      <c r="K89" s="805"/>
      <c r="L89" s="815" t="s">
        <v>695</v>
      </c>
      <c r="M89" s="816"/>
      <c r="N89" s="816"/>
    </row>
    <row r="90" spans="1:14" x14ac:dyDescent="0.25">
      <c r="A90" s="796"/>
      <c r="B90" s="802" t="s">
        <v>88</v>
      </c>
      <c r="C90" s="803">
        <v>35153665</v>
      </c>
      <c r="D90" s="804">
        <f>624321+5000</f>
        <v>629321</v>
      </c>
      <c r="E90" s="810">
        <f t="shared" ref="E90:E92" si="10">SUM(C90:D90)</f>
        <v>35782986</v>
      </c>
      <c r="F90" s="805">
        <v>44407</v>
      </c>
      <c r="G90" s="805">
        <f>14725155+20175466+220637+629321</f>
        <v>35750579</v>
      </c>
      <c r="H90" s="805">
        <v>-12000</v>
      </c>
      <c r="I90" s="806" t="s">
        <v>142</v>
      </c>
      <c r="J90" s="806" t="s">
        <v>142</v>
      </c>
      <c r="K90" s="807"/>
      <c r="L90" s="806" t="s">
        <v>695</v>
      </c>
      <c r="M90" s="806" t="s">
        <v>695</v>
      </c>
      <c r="N90" s="808"/>
    </row>
    <row r="91" spans="1:14" x14ac:dyDescent="0.25">
      <c r="A91" s="796"/>
      <c r="B91" s="849" t="s">
        <v>537</v>
      </c>
      <c r="C91" s="850">
        <v>1130411</v>
      </c>
      <c r="D91" s="851">
        <v>3988</v>
      </c>
      <c r="E91" s="810">
        <f t="shared" si="10"/>
        <v>1134399</v>
      </c>
      <c r="F91" s="805"/>
      <c r="G91" s="805">
        <f>647811+482600+3988</f>
        <v>1134399</v>
      </c>
      <c r="H91" s="805"/>
      <c r="I91" s="815" t="s">
        <v>142</v>
      </c>
      <c r="J91" s="816"/>
      <c r="K91" s="805"/>
      <c r="L91" s="815" t="s">
        <v>695</v>
      </c>
      <c r="M91" s="816"/>
      <c r="N91" s="816"/>
    </row>
    <row r="92" spans="1:14" x14ac:dyDescent="0.25">
      <c r="A92" s="796"/>
      <c r="B92" s="852" t="s">
        <v>115</v>
      </c>
      <c r="C92" s="853">
        <v>19472</v>
      </c>
      <c r="D92" s="854">
        <v>10743</v>
      </c>
      <c r="E92" s="810">
        <f t="shared" si="10"/>
        <v>30215</v>
      </c>
      <c r="F92" s="805"/>
      <c r="G92" s="805">
        <f>2643+16829+10743</f>
        <v>30215</v>
      </c>
      <c r="H92" s="805"/>
      <c r="I92" s="806" t="s">
        <v>142</v>
      </c>
      <c r="J92" s="808"/>
      <c r="K92" s="807"/>
      <c r="L92" s="806" t="s">
        <v>695</v>
      </c>
      <c r="M92" s="808"/>
      <c r="N92" s="808"/>
    </row>
    <row r="93" spans="1:14" x14ac:dyDescent="0.25">
      <c r="A93" s="796" t="s">
        <v>89</v>
      </c>
      <c r="B93" s="812" t="s">
        <v>64</v>
      </c>
      <c r="C93" s="799">
        <f t="shared" ref="C93:E93" si="11">SUM(C96,C94)</f>
        <v>1269814</v>
      </c>
      <c r="D93" s="799">
        <f t="shared" si="11"/>
        <v>127000</v>
      </c>
      <c r="E93" s="800">
        <f t="shared" si="11"/>
        <v>1396814</v>
      </c>
      <c r="F93" s="800">
        <f>SUM(F96,F94)</f>
        <v>0</v>
      </c>
      <c r="G93" s="800">
        <f>SUM(G96,G94)</f>
        <v>1396814</v>
      </c>
      <c r="H93" s="800">
        <f>SUM(H96,H94)</f>
        <v>0</v>
      </c>
      <c r="I93" s="855" t="s">
        <v>142</v>
      </c>
      <c r="J93" s="855" t="s">
        <v>142</v>
      </c>
      <c r="K93" s="856"/>
      <c r="L93" s="855" t="s">
        <v>695</v>
      </c>
      <c r="M93" s="855" t="s">
        <v>695</v>
      </c>
      <c r="N93" s="855"/>
    </row>
    <row r="94" spans="1:14" x14ac:dyDescent="0.25">
      <c r="A94" s="796"/>
      <c r="B94" s="852" t="s">
        <v>90</v>
      </c>
      <c r="C94" s="853">
        <v>1258482</v>
      </c>
      <c r="D94" s="854">
        <v>127000</v>
      </c>
      <c r="E94" s="857">
        <f>SUM(C94:D94)</f>
        <v>1385482</v>
      </c>
      <c r="F94" s="805"/>
      <c r="G94" s="805">
        <f>14104+886048+358330+127000</f>
        <v>1385482</v>
      </c>
      <c r="H94" s="805"/>
      <c r="I94" s="806" t="s">
        <v>142</v>
      </c>
      <c r="J94" s="806" t="s">
        <v>142</v>
      </c>
      <c r="K94" s="807"/>
      <c r="L94" s="806" t="s">
        <v>695</v>
      </c>
      <c r="M94" s="806" t="s">
        <v>695</v>
      </c>
      <c r="N94" s="808"/>
    </row>
    <row r="95" spans="1:14" x14ac:dyDescent="0.25">
      <c r="A95" s="796"/>
      <c r="B95" s="843" t="s">
        <v>719</v>
      </c>
      <c r="C95" s="830">
        <v>20000</v>
      </c>
      <c r="D95" s="844"/>
      <c r="E95" s="830">
        <f>SUM(C95:D95)</f>
        <v>20000</v>
      </c>
      <c r="F95" s="824"/>
      <c r="G95" s="839">
        <v>20000</v>
      </c>
      <c r="H95" s="839"/>
      <c r="I95" s="858"/>
      <c r="J95" s="858" t="s">
        <v>142</v>
      </c>
      <c r="K95" s="859"/>
      <c r="L95" s="840"/>
      <c r="M95" s="840" t="s">
        <v>695</v>
      </c>
      <c r="N95" s="840"/>
    </row>
    <row r="96" spans="1:14" x14ac:dyDescent="0.25">
      <c r="A96" s="796"/>
      <c r="B96" s="852" t="s">
        <v>266</v>
      </c>
      <c r="C96" s="853">
        <v>11332</v>
      </c>
      <c r="D96" s="860"/>
      <c r="E96" s="853">
        <f>SUM(C96:D96)</f>
        <v>11332</v>
      </c>
      <c r="F96" s="805"/>
      <c r="G96" s="807">
        <f>332+11000</f>
        <v>11332</v>
      </c>
      <c r="H96" s="807"/>
      <c r="I96" s="808"/>
      <c r="J96" s="806" t="s">
        <v>142</v>
      </c>
      <c r="K96" s="807"/>
      <c r="L96" s="808"/>
      <c r="M96" s="806" t="s">
        <v>695</v>
      </c>
      <c r="N96" s="808"/>
    </row>
    <row r="97" spans="1:14" x14ac:dyDescent="0.25">
      <c r="A97" s="796" t="s">
        <v>91</v>
      </c>
      <c r="B97" s="812" t="s">
        <v>65</v>
      </c>
      <c r="C97" s="845">
        <f t="shared" ref="C97:E97" si="12">SUM(C105,C103,C100,C98:C99)</f>
        <v>8110978</v>
      </c>
      <c r="D97" s="845">
        <f t="shared" si="12"/>
        <v>248344</v>
      </c>
      <c r="E97" s="846">
        <f t="shared" si="12"/>
        <v>8359322</v>
      </c>
      <c r="F97" s="846">
        <f>SUM(F105,F103,F100,F98:F99)</f>
        <v>0</v>
      </c>
      <c r="G97" s="846">
        <f>SUM(G105,G103,G100,G98:G99)</f>
        <v>8359322</v>
      </c>
      <c r="H97" s="846">
        <f>SUM(H105,H103,H100,H98:H99)</f>
        <v>0</v>
      </c>
      <c r="I97" s="861"/>
      <c r="J97" s="861"/>
      <c r="K97" s="846"/>
      <c r="L97" s="861" t="s">
        <v>695</v>
      </c>
      <c r="M97" s="861" t="s">
        <v>695</v>
      </c>
      <c r="N97" s="861"/>
    </row>
    <row r="98" spans="1:14" x14ac:dyDescent="0.25">
      <c r="A98" s="796"/>
      <c r="B98" s="833" t="s">
        <v>92</v>
      </c>
      <c r="C98" s="834">
        <v>6793699</v>
      </c>
      <c r="D98" s="841">
        <v>247344</v>
      </c>
      <c r="E98" s="834">
        <f>SUM(C98:D98)</f>
        <v>7041043</v>
      </c>
      <c r="F98" s="805">
        <v>0</v>
      </c>
      <c r="G98" s="805">
        <f>6793699+247344</f>
        <v>7041043</v>
      </c>
      <c r="H98" s="805"/>
      <c r="I98" s="815" t="s">
        <v>142</v>
      </c>
      <c r="J98" s="816"/>
      <c r="K98" s="805"/>
      <c r="L98" s="815" t="s">
        <v>695</v>
      </c>
      <c r="M98" s="816"/>
      <c r="N98" s="816"/>
    </row>
    <row r="99" spans="1:14" x14ac:dyDescent="0.25">
      <c r="A99" s="796"/>
      <c r="B99" s="833" t="s">
        <v>93</v>
      </c>
      <c r="C99" s="834">
        <v>499868</v>
      </c>
      <c r="D99" s="841"/>
      <c r="E99" s="834">
        <f t="shared" ref="E99:E100" si="13">SUM(C99:D99)</f>
        <v>499868</v>
      </c>
      <c r="F99" s="805"/>
      <c r="G99" s="807">
        <f>452255+47613</f>
        <v>499868</v>
      </c>
      <c r="H99" s="807"/>
      <c r="I99" s="806" t="s">
        <v>142</v>
      </c>
      <c r="J99" s="806" t="s">
        <v>142</v>
      </c>
      <c r="K99" s="807"/>
      <c r="L99" s="806" t="s">
        <v>695</v>
      </c>
      <c r="M99" s="806" t="s">
        <v>695</v>
      </c>
      <c r="N99" s="808"/>
    </row>
    <row r="100" spans="1:14" x14ac:dyDescent="0.25">
      <c r="A100" s="796"/>
      <c r="B100" s="852" t="s">
        <v>290</v>
      </c>
      <c r="C100" s="853">
        <v>763000</v>
      </c>
      <c r="D100" s="860"/>
      <c r="E100" s="834">
        <f t="shared" si="13"/>
        <v>763000</v>
      </c>
      <c r="F100" s="805">
        <v>0</v>
      </c>
      <c r="G100" s="807">
        <v>763000</v>
      </c>
      <c r="H100" s="807"/>
      <c r="I100" s="806"/>
      <c r="J100" s="806" t="s">
        <v>142</v>
      </c>
      <c r="K100" s="807"/>
      <c r="L100" s="808"/>
      <c r="M100" s="806" t="s">
        <v>695</v>
      </c>
      <c r="N100" s="808"/>
    </row>
    <row r="101" spans="1:14" x14ac:dyDescent="0.25">
      <c r="A101" s="796"/>
      <c r="B101" s="843" t="s">
        <v>538</v>
      </c>
      <c r="C101" s="830">
        <v>700000</v>
      </c>
      <c r="D101" s="844"/>
      <c r="E101" s="830">
        <f>SUM(C101:D101)</f>
        <v>700000</v>
      </c>
      <c r="F101" s="824"/>
      <c r="G101" s="839">
        <v>700000</v>
      </c>
      <c r="H101" s="839"/>
      <c r="I101" s="858"/>
      <c r="J101" s="858" t="s">
        <v>142</v>
      </c>
      <c r="K101" s="859"/>
      <c r="L101" s="840"/>
      <c r="M101" s="840" t="s">
        <v>695</v>
      </c>
      <c r="N101" s="840"/>
    </row>
    <row r="102" spans="1:14" ht="31.5" x14ac:dyDescent="0.25">
      <c r="A102" s="796"/>
      <c r="B102" s="843" t="s">
        <v>248</v>
      </c>
      <c r="C102" s="830">
        <v>63000</v>
      </c>
      <c r="D102" s="844"/>
      <c r="E102" s="830">
        <f>SUM(C102:D102)</f>
        <v>63000</v>
      </c>
      <c r="F102" s="824"/>
      <c r="G102" s="839">
        <v>63000</v>
      </c>
      <c r="H102" s="839"/>
      <c r="I102" s="858"/>
      <c r="J102" s="858" t="s">
        <v>142</v>
      </c>
      <c r="K102" s="859"/>
      <c r="L102" s="840"/>
      <c r="M102" s="840" t="s">
        <v>695</v>
      </c>
      <c r="N102" s="840"/>
    </row>
    <row r="103" spans="1:14" x14ac:dyDescent="0.25">
      <c r="A103" s="796"/>
      <c r="B103" s="852" t="s">
        <v>720</v>
      </c>
      <c r="C103" s="853">
        <v>39488</v>
      </c>
      <c r="D103" s="860">
        <v>1000</v>
      </c>
      <c r="E103" s="853">
        <f>SUM(C103:D103)</f>
        <v>40488</v>
      </c>
      <c r="F103" s="805"/>
      <c r="G103" s="807">
        <f>37488+2000+1000</f>
        <v>40488</v>
      </c>
      <c r="H103" s="807"/>
      <c r="I103" s="806" t="s">
        <v>142</v>
      </c>
      <c r="J103" s="806" t="s">
        <v>142</v>
      </c>
      <c r="K103" s="807"/>
      <c r="L103" s="806" t="s">
        <v>695</v>
      </c>
      <c r="M103" s="806" t="s">
        <v>695</v>
      </c>
      <c r="N103" s="808"/>
    </row>
    <row r="104" spans="1:14" x14ac:dyDescent="0.25">
      <c r="A104" s="796"/>
      <c r="B104" s="843" t="s">
        <v>291</v>
      </c>
      <c r="C104" s="830">
        <v>8000</v>
      </c>
      <c r="D104" s="844">
        <v>1000</v>
      </c>
      <c r="E104" s="830">
        <f>SUM(C104:D104)</f>
        <v>9000</v>
      </c>
      <c r="F104" s="824"/>
      <c r="G104" s="839">
        <f>6000+2000+1000</f>
        <v>9000</v>
      </c>
      <c r="H104" s="839"/>
      <c r="I104" s="858"/>
      <c r="J104" s="858" t="s">
        <v>142</v>
      </c>
      <c r="K104" s="859"/>
      <c r="L104" s="840"/>
      <c r="M104" s="840" t="s">
        <v>695</v>
      </c>
      <c r="N104" s="840"/>
    </row>
    <row r="105" spans="1:14" x14ac:dyDescent="0.25">
      <c r="A105" s="796"/>
      <c r="B105" s="833" t="s">
        <v>94</v>
      </c>
      <c r="C105" s="834">
        <v>14923</v>
      </c>
      <c r="D105" s="841"/>
      <c r="E105" s="834">
        <f>SUM(C105:D105)</f>
        <v>14923</v>
      </c>
      <c r="F105" s="805"/>
      <c r="G105" s="807">
        <f>11710+3213</f>
        <v>14923</v>
      </c>
      <c r="H105" s="807"/>
      <c r="I105" s="806" t="s">
        <v>142</v>
      </c>
      <c r="J105" s="808"/>
      <c r="K105" s="862" t="s">
        <v>142</v>
      </c>
      <c r="L105" s="808"/>
      <c r="M105" s="806" t="s">
        <v>695</v>
      </c>
      <c r="N105" s="808"/>
    </row>
    <row r="106" spans="1:14" x14ac:dyDescent="0.25">
      <c r="A106" s="796" t="s">
        <v>95</v>
      </c>
      <c r="B106" s="812" t="s">
        <v>66</v>
      </c>
      <c r="C106" s="845">
        <f t="shared" ref="C106:H106" si="14">SUM(C213,C209,C200,C197,C138,C122,C107)</f>
        <v>2659162</v>
      </c>
      <c r="D106" s="845">
        <f t="shared" si="14"/>
        <v>47358</v>
      </c>
      <c r="E106" s="846">
        <f t="shared" si="14"/>
        <v>2706520</v>
      </c>
      <c r="F106" s="846">
        <f t="shared" si="14"/>
        <v>0</v>
      </c>
      <c r="G106" s="846">
        <f t="shared" si="14"/>
        <v>2767040</v>
      </c>
      <c r="H106" s="846">
        <f t="shared" si="14"/>
        <v>-60520</v>
      </c>
      <c r="I106" s="861"/>
      <c r="J106" s="861"/>
      <c r="K106" s="846"/>
      <c r="L106" s="861" t="s">
        <v>695</v>
      </c>
      <c r="M106" s="861" t="s">
        <v>695</v>
      </c>
      <c r="N106" s="861"/>
    </row>
    <row r="107" spans="1:14" x14ac:dyDescent="0.25">
      <c r="A107" s="796"/>
      <c r="B107" s="833" t="s">
        <v>96</v>
      </c>
      <c r="C107" s="834">
        <v>275698</v>
      </c>
      <c r="D107" s="804">
        <v>9850</v>
      </c>
      <c r="E107" s="803">
        <f>SUM(C107:D107)</f>
        <v>285548</v>
      </c>
      <c r="F107" s="805"/>
      <c r="G107" s="805">
        <f>203531+69701+2466+10000</f>
        <v>285698</v>
      </c>
      <c r="H107" s="807">
        <v>-150</v>
      </c>
      <c r="I107" s="806" t="s">
        <v>142</v>
      </c>
      <c r="J107" s="806" t="s">
        <v>142</v>
      </c>
      <c r="K107" s="807"/>
      <c r="L107" s="806" t="s">
        <v>695</v>
      </c>
      <c r="M107" s="806" t="s">
        <v>695</v>
      </c>
      <c r="N107" s="808"/>
    </row>
    <row r="108" spans="1:14" s="832" customFormat="1" ht="31.5" x14ac:dyDescent="0.25">
      <c r="A108" s="826"/>
      <c r="B108" s="827" t="s">
        <v>721</v>
      </c>
      <c r="C108" s="828">
        <v>7022</v>
      </c>
      <c r="D108" s="829"/>
      <c r="E108" s="828">
        <f>SUM(C108:D108)</f>
        <v>7022</v>
      </c>
      <c r="F108" s="824"/>
      <c r="G108" s="824">
        <v>7022</v>
      </c>
      <c r="H108" s="824"/>
      <c r="I108" s="822" t="s">
        <v>142</v>
      </c>
      <c r="J108" s="822"/>
      <c r="K108" s="821"/>
      <c r="L108" s="825" t="s">
        <v>695</v>
      </c>
      <c r="M108" s="825"/>
      <c r="N108" s="825"/>
    </row>
    <row r="109" spans="1:14" s="832" customFormat="1" ht="31.5" x14ac:dyDescent="0.25">
      <c r="A109" s="826"/>
      <c r="B109" s="827" t="s">
        <v>132</v>
      </c>
      <c r="C109" s="828">
        <v>2174</v>
      </c>
      <c r="D109" s="829"/>
      <c r="E109" s="828">
        <f t="shared" ref="E109:E120" si="15">SUM(C109:D109)</f>
        <v>2174</v>
      </c>
      <c r="F109" s="824"/>
      <c r="G109" s="824">
        <v>2174</v>
      </c>
      <c r="H109" s="824"/>
      <c r="I109" s="822" t="s">
        <v>142</v>
      </c>
      <c r="J109" s="822"/>
      <c r="K109" s="821"/>
      <c r="L109" s="825" t="s">
        <v>695</v>
      </c>
      <c r="M109" s="825"/>
      <c r="N109" s="825"/>
    </row>
    <row r="110" spans="1:14" s="832" customFormat="1" ht="31.5" x14ac:dyDescent="0.25">
      <c r="A110" s="826"/>
      <c r="B110" s="827" t="s">
        <v>722</v>
      </c>
      <c r="C110" s="828">
        <v>6000</v>
      </c>
      <c r="D110" s="829"/>
      <c r="E110" s="828">
        <f t="shared" si="15"/>
        <v>6000</v>
      </c>
      <c r="F110" s="824"/>
      <c r="G110" s="824">
        <v>6000</v>
      </c>
      <c r="H110" s="824"/>
      <c r="I110" s="822"/>
      <c r="J110" s="822" t="s">
        <v>142</v>
      </c>
      <c r="K110" s="821"/>
      <c r="L110" s="825"/>
      <c r="M110" s="825" t="s">
        <v>695</v>
      </c>
      <c r="N110" s="825"/>
    </row>
    <row r="111" spans="1:14" s="832" customFormat="1" x14ac:dyDescent="0.25">
      <c r="A111" s="826"/>
      <c r="B111" s="827" t="s">
        <v>723</v>
      </c>
      <c r="C111" s="828">
        <v>13500</v>
      </c>
      <c r="D111" s="829"/>
      <c r="E111" s="828">
        <f t="shared" si="15"/>
        <v>13500</v>
      </c>
      <c r="F111" s="824"/>
      <c r="G111" s="824">
        <v>13500</v>
      </c>
      <c r="H111" s="824"/>
      <c r="I111" s="822"/>
      <c r="J111" s="822" t="s">
        <v>142</v>
      </c>
      <c r="K111" s="821"/>
      <c r="L111" s="825"/>
      <c r="M111" s="825" t="s">
        <v>695</v>
      </c>
      <c r="N111" s="825"/>
    </row>
    <row r="112" spans="1:14" s="832" customFormat="1" ht="31.5" x14ac:dyDescent="0.25">
      <c r="A112" s="826"/>
      <c r="B112" s="827" t="s">
        <v>724</v>
      </c>
      <c r="C112" s="828">
        <v>500</v>
      </c>
      <c r="D112" s="829"/>
      <c r="E112" s="828">
        <f t="shared" si="15"/>
        <v>500</v>
      </c>
      <c r="F112" s="824"/>
      <c r="G112" s="824">
        <v>500</v>
      </c>
      <c r="H112" s="824"/>
      <c r="I112" s="822"/>
      <c r="J112" s="822" t="s">
        <v>142</v>
      </c>
      <c r="K112" s="821"/>
      <c r="L112" s="825"/>
      <c r="M112" s="825" t="s">
        <v>695</v>
      </c>
      <c r="N112" s="825"/>
    </row>
    <row r="113" spans="1:14" s="832" customFormat="1" x14ac:dyDescent="0.25">
      <c r="A113" s="826"/>
      <c r="B113" s="827" t="s">
        <v>725</v>
      </c>
      <c r="C113" s="828">
        <v>216880</v>
      </c>
      <c r="D113" s="829"/>
      <c r="E113" s="828">
        <f t="shared" si="15"/>
        <v>216880</v>
      </c>
      <c r="F113" s="824"/>
      <c r="G113" s="824">
        <f>150000+66880</f>
        <v>216880</v>
      </c>
      <c r="H113" s="824"/>
      <c r="I113" s="822"/>
      <c r="J113" s="822" t="s">
        <v>142</v>
      </c>
      <c r="K113" s="821"/>
      <c r="L113" s="825"/>
      <c r="M113" s="825" t="s">
        <v>695</v>
      </c>
      <c r="N113" s="825"/>
    </row>
    <row r="114" spans="1:14" s="832" customFormat="1" x14ac:dyDescent="0.25">
      <c r="A114" s="826"/>
      <c r="B114" s="827" t="s">
        <v>726</v>
      </c>
      <c r="C114" s="828">
        <v>14321</v>
      </c>
      <c r="D114" s="829"/>
      <c r="E114" s="828">
        <f t="shared" si="15"/>
        <v>14321</v>
      </c>
      <c r="F114" s="824"/>
      <c r="G114" s="824">
        <f>12500+1821</f>
        <v>14321</v>
      </c>
      <c r="H114" s="824"/>
      <c r="I114" s="822"/>
      <c r="J114" s="822" t="s">
        <v>142</v>
      </c>
      <c r="K114" s="821"/>
      <c r="L114" s="825"/>
      <c r="M114" s="825" t="s">
        <v>695</v>
      </c>
      <c r="N114" s="825"/>
    </row>
    <row r="115" spans="1:14" s="832" customFormat="1" x14ac:dyDescent="0.25">
      <c r="A115" s="826"/>
      <c r="B115" s="827" t="s">
        <v>539</v>
      </c>
      <c r="C115" s="828">
        <v>100</v>
      </c>
      <c r="D115" s="829"/>
      <c r="E115" s="828">
        <f t="shared" si="15"/>
        <v>100</v>
      </c>
      <c r="F115" s="824"/>
      <c r="G115" s="824">
        <v>100</v>
      </c>
      <c r="H115" s="824"/>
      <c r="I115" s="822"/>
      <c r="J115" s="822" t="s">
        <v>142</v>
      </c>
      <c r="K115" s="821"/>
      <c r="L115" s="825"/>
      <c r="M115" s="825" t="s">
        <v>695</v>
      </c>
      <c r="N115" s="825"/>
    </row>
    <row r="116" spans="1:14" s="832" customFormat="1" x14ac:dyDescent="0.25">
      <c r="A116" s="826"/>
      <c r="B116" s="827" t="s">
        <v>727</v>
      </c>
      <c r="C116" s="828">
        <v>1000</v>
      </c>
      <c r="D116" s="829"/>
      <c r="E116" s="828">
        <f t="shared" si="15"/>
        <v>1000</v>
      </c>
      <c r="F116" s="824"/>
      <c r="G116" s="824">
        <v>1000</v>
      </c>
      <c r="H116" s="824"/>
      <c r="I116" s="822"/>
      <c r="J116" s="822"/>
      <c r="K116" s="821"/>
      <c r="L116" s="825"/>
      <c r="M116" s="825" t="s">
        <v>695</v>
      </c>
      <c r="N116" s="825"/>
    </row>
    <row r="117" spans="1:14" s="832" customFormat="1" ht="31.5" x14ac:dyDescent="0.25">
      <c r="A117" s="826"/>
      <c r="B117" s="827" t="s">
        <v>540</v>
      </c>
      <c r="C117" s="828">
        <v>5466</v>
      </c>
      <c r="D117" s="829"/>
      <c r="E117" s="828">
        <f t="shared" si="15"/>
        <v>5466</v>
      </c>
      <c r="F117" s="824"/>
      <c r="G117" s="824">
        <f>3500+1966</f>
        <v>5466</v>
      </c>
      <c r="H117" s="824"/>
      <c r="I117" s="822"/>
      <c r="J117" s="822"/>
      <c r="K117" s="821"/>
      <c r="L117" s="825"/>
      <c r="M117" s="825" t="s">
        <v>695</v>
      </c>
      <c r="N117" s="825"/>
    </row>
    <row r="118" spans="1:14" s="832" customFormat="1" ht="31.5" x14ac:dyDescent="0.25">
      <c r="A118" s="826"/>
      <c r="B118" s="827" t="s">
        <v>541</v>
      </c>
      <c r="C118" s="828">
        <v>3000</v>
      </c>
      <c r="D118" s="829"/>
      <c r="E118" s="828">
        <f t="shared" si="15"/>
        <v>3000</v>
      </c>
      <c r="F118" s="824"/>
      <c r="G118" s="824">
        <v>3000</v>
      </c>
      <c r="H118" s="824"/>
      <c r="I118" s="822"/>
      <c r="J118" s="822"/>
      <c r="K118" s="821"/>
      <c r="L118" s="825"/>
      <c r="M118" s="825" t="s">
        <v>695</v>
      </c>
      <c r="N118" s="825"/>
    </row>
    <row r="119" spans="1:14" s="832" customFormat="1" x14ac:dyDescent="0.25">
      <c r="A119" s="826"/>
      <c r="B119" s="827" t="s">
        <v>728</v>
      </c>
      <c r="C119" s="828">
        <v>5085</v>
      </c>
      <c r="D119" s="829"/>
      <c r="E119" s="828">
        <f t="shared" si="15"/>
        <v>5085</v>
      </c>
      <c r="F119" s="824"/>
      <c r="G119" s="824">
        <v>5085</v>
      </c>
      <c r="H119" s="824"/>
      <c r="I119" s="822"/>
      <c r="J119" s="822"/>
      <c r="K119" s="821"/>
      <c r="L119" s="825"/>
      <c r="M119" s="825" t="s">
        <v>695</v>
      </c>
      <c r="N119" s="825"/>
    </row>
    <row r="120" spans="1:14" s="832" customFormat="1" x14ac:dyDescent="0.25">
      <c r="A120" s="826"/>
      <c r="B120" s="827" t="s">
        <v>915</v>
      </c>
      <c r="C120" s="828">
        <v>500</v>
      </c>
      <c r="D120" s="829"/>
      <c r="E120" s="828">
        <f t="shared" si="15"/>
        <v>500</v>
      </c>
      <c r="F120" s="824"/>
      <c r="G120" s="824">
        <v>500</v>
      </c>
      <c r="H120" s="824"/>
      <c r="I120" s="822"/>
      <c r="J120" s="822"/>
      <c r="K120" s="821"/>
      <c r="L120" s="825"/>
      <c r="M120" s="825" t="s">
        <v>695</v>
      </c>
      <c r="N120" s="825"/>
    </row>
    <row r="121" spans="1:14" s="832" customFormat="1" ht="47.25" x14ac:dyDescent="0.25">
      <c r="A121" s="826"/>
      <c r="B121" s="827" t="s">
        <v>1277</v>
      </c>
      <c r="C121" s="828"/>
      <c r="D121" s="829">
        <v>10000</v>
      </c>
      <c r="E121" s="828">
        <f t="shared" ref="E121" si="16">SUM(C121:D121)</f>
        <v>10000</v>
      </c>
      <c r="F121" s="824"/>
      <c r="G121" s="824">
        <v>10000</v>
      </c>
      <c r="H121" s="824"/>
      <c r="I121" s="822"/>
      <c r="J121" s="822"/>
      <c r="K121" s="821"/>
      <c r="L121" s="825"/>
      <c r="M121" s="825" t="s">
        <v>695</v>
      </c>
      <c r="N121" s="825"/>
    </row>
    <row r="122" spans="1:14" x14ac:dyDescent="0.25">
      <c r="A122" s="796"/>
      <c r="B122" s="833" t="s">
        <v>97</v>
      </c>
      <c r="C122" s="834">
        <v>385423</v>
      </c>
      <c r="D122" s="804">
        <v>-232</v>
      </c>
      <c r="E122" s="803">
        <f>SUM(C122:D122)</f>
        <v>385191</v>
      </c>
      <c r="F122" s="805"/>
      <c r="G122" s="805">
        <f>289675+91798+3950+368</f>
        <v>385791</v>
      </c>
      <c r="H122" s="805">
        <v>-600</v>
      </c>
      <c r="I122" s="815" t="s">
        <v>142</v>
      </c>
      <c r="J122" s="815" t="s">
        <v>142</v>
      </c>
      <c r="K122" s="805"/>
      <c r="L122" s="815" t="s">
        <v>695</v>
      </c>
      <c r="M122" s="815" t="s">
        <v>695</v>
      </c>
      <c r="N122" s="816"/>
    </row>
    <row r="123" spans="1:14" s="832" customFormat="1" ht="31.5" x14ac:dyDescent="0.25">
      <c r="A123" s="826"/>
      <c r="B123" s="827" t="s">
        <v>346</v>
      </c>
      <c r="C123" s="828">
        <v>65000</v>
      </c>
      <c r="D123" s="829"/>
      <c r="E123" s="828">
        <f>SUM(C123:D123)</f>
        <v>65000</v>
      </c>
      <c r="F123" s="824"/>
      <c r="G123" s="824">
        <v>65000</v>
      </c>
      <c r="H123" s="824"/>
      <c r="I123" s="822"/>
      <c r="J123" s="822" t="s">
        <v>142</v>
      </c>
      <c r="K123" s="821"/>
      <c r="L123" s="825"/>
      <c r="M123" s="825" t="s">
        <v>695</v>
      </c>
      <c r="N123" s="825"/>
    </row>
    <row r="124" spans="1:14" s="832" customFormat="1" x14ac:dyDescent="0.25">
      <c r="A124" s="826"/>
      <c r="B124" s="827" t="s">
        <v>123</v>
      </c>
      <c r="C124" s="828">
        <v>29400</v>
      </c>
      <c r="D124" s="829"/>
      <c r="E124" s="828">
        <f t="shared" ref="E124:E137" si="17">SUM(C124:D124)</f>
        <v>29400</v>
      </c>
      <c r="F124" s="824"/>
      <c r="G124" s="824">
        <v>29400</v>
      </c>
      <c r="H124" s="824"/>
      <c r="I124" s="822" t="s">
        <v>142</v>
      </c>
      <c r="J124" s="822"/>
      <c r="K124" s="821"/>
      <c r="L124" s="825" t="s">
        <v>695</v>
      </c>
      <c r="M124" s="825"/>
      <c r="N124" s="825"/>
    </row>
    <row r="125" spans="1:14" s="832" customFormat="1" ht="31.5" x14ac:dyDescent="0.25">
      <c r="A125" s="826"/>
      <c r="B125" s="827" t="s">
        <v>542</v>
      </c>
      <c r="C125" s="828">
        <v>10833</v>
      </c>
      <c r="D125" s="829"/>
      <c r="E125" s="828">
        <f t="shared" si="17"/>
        <v>10833</v>
      </c>
      <c r="F125" s="824"/>
      <c r="G125" s="824">
        <v>10833</v>
      </c>
      <c r="H125" s="824"/>
      <c r="I125" s="822"/>
      <c r="J125" s="822" t="s">
        <v>142</v>
      </c>
      <c r="K125" s="821"/>
      <c r="L125" s="825"/>
      <c r="M125" s="825" t="s">
        <v>695</v>
      </c>
      <c r="N125" s="825"/>
    </row>
    <row r="126" spans="1:14" s="832" customFormat="1" ht="31.5" x14ac:dyDescent="0.25">
      <c r="A126" s="826"/>
      <c r="B126" s="827" t="s">
        <v>729</v>
      </c>
      <c r="C126" s="828">
        <v>15405</v>
      </c>
      <c r="D126" s="829"/>
      <c r="E126" s="828">
        <f t="shared" si="17"/>
        <v>15405</v>
      </c>
      <c r="F126" s="824"/>
      <c r="G126" s="824">
        <v>15405</v>
      </c>
      <c r="H126" s="824"/>
      <c r="I126" s="822"/>
      <c r="J126" s="822"/>
      <c r="K126" s="821"/>
      <c r="L126" s="825"/>
      <c r="M126" s="825" t="s">
        <v>695</v>
      </c>
      <c r="N126" s="825"/>
    </row>
    <row r="127" spans="1:14" s="832" customFormat="1" x14ac:dyDescent="0.25">
      <c r="A127" s="826"/>
      <c r="B127" s="827" t="s">
        <v>543</v>
      </c>
      <c r="C127" s="828">
        <v>13000</v>
      </c>
      <c r="D127" s="829"/>
      <c r="E127" s="828">
        <f t="shared" si="17"/>
        <v>13000</v>
      </c>
      <c r="F127" s="824"/>
      <c r="G127" s="824">
        <v>13000</v>
      </c>
      <c r="H127" s="824"/>
      <c r="I127" s="822"/>
      <c r="J127" s="822" t="s">
        <v>142</v>
      </c>
      <c r="K127" s="821"/>
      <c r="L127" s="825"/>
      <c r="M127" s="825" t="s">
        <v>695</v>
      </c>
      <c r="N127" s="825"/>
    </row>
    <row r="128" spans="1:14" s="832" customFormat="1" x14ac:dyDescent="0.25">
      <c r="A128" s="826"/>
      <c r="B128" s="827" t="s">
        <v>544</v>
      </c>
      <c r="C128" s="828">
        <v>66169</v>
      </c>
      <c r="D128" s="829"/>
      <c r="E128" s="828">
        <f t="shared" si="17"/>
        <v>66169</v>
      </c>
      <c r="F128" s="824"/>
      <c r="G128" s="824">
        <f>6000+60169</f>
        <v>66169</v>
      </c>
      <c r="H128" s="824"/>
      <c r="I128" s="822"/>
      <c r="J128" s="822" t="s">
        <v>142</v>
      </c>
      <c r="K128" s="821"/>
      <c r="L128" s="825"/>
      <c r="M128" s="825" t="s">
        <v>695</v>
      </c>
      <c r="N128" s="825"/>
    </row>
    <row r="129" spans="1:15" s="832" customFormat="1" x14ac:dyDescent="0.25">
      <c r="A129" s="826"/>
      <c r="B129" s="827" t="s">
        <v>730</v>
      </c>
      <c r="C129" s="828">
        <v>180</v>
      </c>
      <c r="D129" s="829"/>
      <c r="E129" s="828">
        <f t="shared" si="17"/>
        <v>180</v>
      </c>
      <c r="F129" s="824"/>
      <c r="G129" s="824">
        <v>180</v>
      </c>
      <c r="H129" s="824"/>
      <c r="I129" s="822"/>
      <c r="J129" s="822" t="s">
        <v>142</v>
      </c>
      <c r="K129" s="821"/>
      <c r="L129" s="825"/>
      <c r="M129" s="825" t="s">
        <v>695</v>
      </c>
      <c r="N129" s="831"/>
    </row>
    <row r="130" spans="1:15" s="832" customFormat="1" ht="31.5" x14ac:dyDescent="0.25">
      <c r="A130" s="826"/>
      <c r="B130" s="827" t="s">
        <v>545</v>
      </c>
      <c r="C130" s="828">
        <v>100000</v>
      </c>
      <c r="D130" s="829"/>
      <c r="E130" s="828">
        <f t="shared" si="17"/>
        <v>100000</v>
      </c>
      <c r="F130" s="824"/>
      <c r="G130" s="824">
        <v>100000</v>
      </c>
      <c r="H130" s="824"/>
      <c r="I130" s="822"/>
      <c r="J130" s="822" t="s">
        <v>142</v>
      </c>
      <c r="K130" s="821"/>
      <c r="L130" s="825"/>
      <c r="M130" s="825" t="s">
        <v>695</v>
      </c>
      <c r="N130" s="831"/>
    </row>
    <row r="131" spans="1:15" s="832" customFormat="1" x14ac:dyDescent="0.25">
      <c r="A131" s="826"/>
      <c r="B131" s="827" t="s">
        <v>546</v>
      </c>
      <c r="C131" s="828">
        <v>14400</v>
      </c>
      <c r="D131" s="829">
        <v>-600</v>
      </c>
      <c r="E131" s="828">
        <f t="shared" si="17"/>
        <v>13800</v>
      </c>
      <c r="F131" s="824"/>
      <c r="G131" s="824">
        <v>14400</v>
      </c>
      <c r="H131" s="824">
        <v>-600</v>
      </c>
      <c r="I131" s="822"/>
      <c r="J131" s="822" t="s">
        <v>142</v>
      </c>
      <c r="K131" s="821"/>
      <c r="L131" s="825"/>
      <c r="M131" s="825" t="s">
        <v>695</v>
      </c>
      <c r="N131" s="831"/>
    </row>
    <row r="132" spans="1:15" s="832" customFormat="1" ht="47.25" x14ac:dyDescent="0.25">
      <c r="A132" s="826"/>
      <c r="B132" s="827" t="s">
        <v>731</v>
      </c>
      <c r="C132" s="828">
        <v>42320</v>
      </c>
      <c r="D132" s="829"/>
      <c r="E132" s="828">
        <f t="shared" si="17"/>
        <v>42320</v>
      </c>
      <c r="F132" s="824"/>
      <c r="G132" s="824">
        <v>42320</v>
      </c>
      <c r="H132" s="824"/>
      <c r="I132" s="822"/>
      <c r="J132" s="822" t="s">
        <v>142</v>
      </c>
      <c r="K132" s="821"/>
      <c r="L132" s="825"/>
      <c r="M132" s="825" t="s">
        <v>695</v>
      </c>
      <c r="N132" s="831"/>
    </row>
    <row r="133" spans="1:15" s="832" customFormat="1" ht="31.5" x14ac:dyDescent="0.25">
      <c r="A133" s="826"/>
      <c r="B133" s="827" t="s">
        <v>547</v>
      </c>
      <c r="C133" s="828">
        <v>14650</v>
      </c>
      <c r="D133" s="829"/>
      <c r="E133" s="828">
        <f t="shared" si="17"/>
        <v>14650</v>
      </c>
      <c r="F133" s="824"/>
      <c r="G133" s="824">
        <v>14650</v>
      </c>
      <c r="H133" s="824"/>
      <c r="I133" s="822"/>
      <c r="J133" s="822"/>
      <c r="K133" s="821"/>
      <c r="L133" s="825"/>
      <c r="M133" s="825" t="s">
        <v>695</v>
      </c>
      <c r="N133" s="831"/>
    </row>
    <row r="134" spans="1:15" s="832" customFormat="1" ht="31.5" x14ac:dyDescent="0.25">
      <c r="A134" s="826"/>
      <c r="B134" s="827" t="s">
        <v>958</v>
      </c>
      <c r="C134" s="828">
        <v>3950</v>
      </c>
      <c r="D134" s="829"/>
      <c r="E134" s="828">
        <f t="shared" si="17"/>
        <v>3950</v>
      </c>
      <c r="F134" s="824"/>
      <c r="G134" s="824">
        <v>3950</v>
      </c>
      <c r="H134" s="824"/>
      <c r="I134" s="822"/>
      <c r="J134" s="822"/>
      <c r="K134" s="821"/>
      <c r="L134" s="825"/>
      <c r="M134" s="825" t="s">
        <v>695</v>
      </c>
      <c r="N134" s="831"/>
    </row>
    <row r="135" spans="1:15" s="832" customFormat="1" x14ac:dyDescent="0.25">
      <c r="A135" s="826"/>
      <c r="B135" s="827" t="s">
        <v>732</v>
      </c>
      <c r="C135" s="828">
        <v>500</v>
      </c>
      <c r="D135" s="829"/>
      <c r="E135" s="828">
        <f t="shared" si="17"/>
        <v>500</v>
      </c>
      <c r="F135" s="824"/>
      <c r="G135" s="824">
        <v>500</v>
      </c>
      <c r="H135" s="824"/>
      <c r="I135" s="822"/>
      <c r="J135" s="822"/>
      <c r="K135" s="821"/>
      <c r="L135" s="825"/>
      <c r="M135" s="825" t="s">
        <v>695</v>
      </c>
      <c r="N135" s="831"/>
    </row>
    <row r="136" spans="1:15" s="832" customFormat="1" x14ac:dyDescent="0.25">
      <c r="A136" s="826"/>
      <c r="B136" s="827" t="s">
        <v>733</v>
      </c>
      <c r="C136" s="828">
        <v>1000</v>
      </c>
      <c r="D136" s="829"/>
      <c r="E136" s="828">
        <f t="shared" si="17"/>
        <v>1000</v>
      </c>
      <c r="F136" s="824"/>
      <c r="G136" s="824">
        <v>1000</v>
      </c>
      <c r="H136" s="824"/>
      <c r="I136" s="822"/>
      <c r="J136" s="822"/>
      <c r="K136" s="821"/>
      <c r="L136" s="825"/>
      <c r="M136" s="825" t="s">
        <v>695</v>
      </c>
      <c r="N136" s="831"/>
    </row>
    <row r="137" spans="1:15" s="832" customFormat="1" x14ac:dyDescent="0.25">
      <c r="A137" s="826"/>
      <c r="B137" s="827" t="s">
        <v>734</v>
      </c>
      <c r="C137" s="828">
        <v>4376</v>
      </c>
      <c r="D137" s="829"/>
      <c r="E137" s="828">
        <f t="shared" si="17"/>
        <v>4376</v>
      </c>
      <c r="F137" s="824"/>
      <c r="G137" s="824">
        <v>4376</v>
      </c>
      <c r="H137" s="824"/>
      <c r="I137" s="822"/>
      <c r="J137" s="822"/>
      <c r="K137" s="821"/>
      <c r="L137" s="825"/>
      <c r="M137" s="825" t="s">
        <v>695</v>
      </c>
      <c r="N137" s="831"/>
    </row>
    <row r="138" spans="1:15" x14ac:dyDescent="0.25">
      <c r="A138" s="796"/>
      <c r="B138" s="802" t="s">
        <v>98</v>
      </c>
      <c r="C138" s="803">
        <v>926563</v>
      </c>
      <c r="D138" s="804">
        <v>31215</v>
      </c>
      <c r="E138" s="803">
        <f>SUM(C138:D138)</f>
        <v>957778</v>
      </c>
      <c r="F138" s="805"/>
      <c r="G138" s="805">
        <f>829706+62676+57500+35340</f>
        <v>985222</v>
      </c>
      <c r="H138" s="805">
        <f>-23319-4125</f>
        <v>-27444</v>
      </c>
      <c r="I138" s="806" t="s">
        <v>142</v>
      </c>
      <c r="J138" s="806" t="s">
        <v>142</v>
      </c>
      <c r="K138" s="807"/>
      <c r="L138" s="806" t="s">
        <v>695</v>
      </c>
      <c r="M138" s="806" t="s">
        <v>695</v>
      </c>
      <c r="N138" s="863"/>
      <c r="O138" s="832"/>
    </row>
    <row r="139" spans="1:15" s="832" customFormat="1" x14ac:dyDescent="0.25">
      <c r="A139" s="826"/>
      <c r="B139" s="864" t="s">
        <v>125</v>
      </c>
      <c r="C139" s="865"/>
      <c r="D139" s="813"/>
      <c r="E139" s="866"/>
      <c r="F139" s="824"/>
      <c r="G139" s="824"/>
      <c r="H139" s="824"/>
      <c r="I139" s="822"/>
      <c r="J139" s="822"/>
      <c r="K139" s="821"/>
      <c r="L139" s="825"/>
      <c r="M139" s="825"/>
      <c r="N139" s="831"/>
    </row>
    <row r="140" spans="1:15" s="832" customFormat="1" x14ac:dyDescent="0.25">
      <c r="A140" s="826"/>
      <c r="B140" s="827" t="s">
        <v>735</v>
      </c>
      <c r="C140" s="828">
        <v>7154</v>
      </c>
      <c r="D140" s="829"/>
      <c r="E140" s="828">
        <f>SUM(C140:D140)</f>
        <v>7154</v>
      </c>
      <c r="F140" s="824"/>
      <c r="G140" s="824">
        <f>6800+354</f>
        <v>7154</v>
      </c>
      <c r="H140" s="824"/>
      <c r="I140" s="822" t="s">
        <v>142</v>
      </c>
      <c r="J140" s="822"/>
      <c r="K140" s="821"/>
      <c r="L140" s="825" t="s">
        <v>695</v>
      </c>
      <c r="M140" s="825"/>
      <c r="N140" s="831"/>
    </row>
    <row r="141" spans="1:15" s="832" customFormat="1" x14ac:dyDescent="0.25">
      <c r="A141" s="826"/>
      <c r="B141" s="864" t="s">
        <v>126</v>
      </c>
      <c r="C141" s="865"/>
      <c r="D141" s="813"/>
      <c r="E141" s="866"/>
      <c r="F141" s="824"/>
      <c r="G141" s="824"/>
      <c r="H141" s="824"/>
      <c r="I141" s="822"/>
      <c r="J141" s="822"/>
      <c r="K141" s="821"/>
      <c r="L141" s="825"/>
      <c r="M141" s="825"/>
      <c r="N141" s="831"/>
    </row>
    <row r="142" spans="1:15" s="832" customFormat="1" x14ac:dyDescent="0.25">
      <c r="A142" s="826"/>
      <c r="B142" s="818" t="s">
        <v>249</v>
      </c>
      <c r="C142" s="819">
        <v>1000</v>
      </c>
      <c r="D142" s="820"/>
      <c r="E142" s="819">
        <f>SUM(C142:D142)</f>
        <v>1000</v>
      </c>
      <c r="F142" s="824"/>
      <c r="G142" s="824">
        <v>1000</v>
      </c>
      <c r="H142" s="824"/>
      <c r="I142" s="822"/>
      <c r="J142" s="822" t="s">
        <v>142</v>
      </c>
      <c r="K142" s="821"/>
      <c r="L142" s="825"/>
      <c r="M142" s="825" t="s">
        <v>695</v>
      </c>
      <c r="N142" s="831"/>
    </row>
    <row r="143" spans="1:15" s="832" customFormat="1" x14ac:dyDescent="0.25">
      <c r="A143" s="826"/>
      <c r="B143" s="818" t="s">
        <v>124</v>
      </c>
      <c r="C143" s="819">
        <v>3000</v>
      </c>
      <c r="D143" s="820"/>
      <c r="E143" s="819">
        <f t="shared" ref="E143:E176" si="18">SUM(C143:D143)</f>
        <v>3000</v>
      </c>
      <c r="F143" s="824"/>
      <c r="G143" s="824">
        <v>3000</v>
      </c>
      <c r="H143" s="824"/>
      <c r="I143" s="822"/>
      <c r="J143" s="822" t="s">
        <v>142</v>
      </c>
      <c r="K143" s="821"/>
      <c r="L143" s="825"/>
      <c r="M143" s="825" t="s">
        <v>695</v>
      </c>
      <c r="N143" s="831"/>
    </row>
    <row r="144" spans="1:15" s="832" customFormat="1" x14ac:dyDescent="0.25">
      <c r="A144" s="826"/>
      <c r="B144" s="818" t="s">
        <v>336</v>
      </c>
      <c r="C144" s="819">
        <v>18000</v>
      </c>
      <c r="D144" s="820"/>
      <c r="E144" s="819">
        <f t="shared" si="18"/>
        <v>18000</v>
      </c>
      <c r="F144" s="824"/>
      <c r="G144" s="824">
        <v>18000</v>
      </c>
      <c r="H144" s="824"/>
      <c r="I144" s="822"/>
      <c r="J144" s="822" t="s">
        <v>142</v>
      </c>
      <c r="K144" s="821"/>
      <c r="L144" s="825"/>
      <c r="M144" s="825" t="s">
        <v>695</v>
      </c>
      <c r="N144" s="831"/>
    </row>
    <row r="145" spans="1:14" s="832" customFormat="1" x14ac:dyDescent="0.25">
      <c r="A145" s="826"/>
      <c r="B145" s="818" t="s">
        <v>337</v>
      </c>
      <c r="C145" s="819">
        <v>5000</v>
      </c>
      <c r="D145" s="820"/>
      <c r="E145" s="819">
        <f t="shared" si="18"/>
        <v>5000</v>
      </c>
      <c r="F145" s="824"/>
      <c r="G145" s="824">
        <v>5000</v>
      </c>
      <c r="H145" s="824"/>
      <c r="I145" s="822"/>
      <c r="J145" s="822" t="s">
        <v>142</v>
      </c>
      <c r="K145" s="821"/>
      <c r="L145" s="825"/>
      <c r="M145" s="825" t="s">
        <v>695</v>
      </c>
      <c r="N145" s="831"/>
    </row>
    <row r="146" spans="1:14" s="832" customFormat="1" x14ac:dyDescent="0.25">
      <c r="A146" s="826"/>
      <c r="B146" s="818" t="s">
        <v>136</v>
      </c>
      <c r="C146" s="819">
        <v>1600</v>
      </c>
      <c r="D146" s="820"/>
      <c r="E146" s="819">
        <f t="shared" si="18"/>
        <v>1600</v>
      </c>
      <c r="F146" s="824"/>
      <c r="G146" s="824">
        <v>1600</v>
      </c>
      <c r="H146" s="824"/>
      <c r="I146" s="822"/>
      <c r="J146" s="822" t="s">
        <v>142</v>
      </c>
      <c r="K146" s="821"/>
      <c r="L146" s="825"/>
      <c r="M146" s="825" t="s">
        <v>695</v>
      </c>
      <c r="N146" s="831"/>
    </row>
    <row r="147" spans="1:14" s="832" customFormat="1" x14ac:dyDescent="0.25">
      <c r="A147" s="826"/>
      <c r="B147" s="818" t="s">
        <v>137</v>
      </c>
      <c r="C147" s="819">
        <v>1000</v>
      </c>
      <c r="D147" s="820"/>
      <c r="E147" s="819">
        <f t="shared" si="18"/>
        <v>1000</v>
      </c>
      <c r="F147" s="824"/>
      <c r="G147" s="824">
        <v>1000</v>
      </c>
      <c r="H147" s="824"/>
      <c r="I147" s="822"/>
      <c r="J147" s="822" t="s">
        <v>142</v>
      </c>
      <c r="K147" s="821"/>
      <c r="L147" s="825"/>
      <c r="M147" s="825" t="s">
        <v>695</v>
      </c>
      <c r="N147" s="831"/>
    </row>
    <row r="148" spans="1:14" s="832" customFormat="1" x14ac:dyDescent="0.25">
      <c r="A148" s="826"/>
      <c r="B148" s="818" t="s">
        <v>75</v>
      </c>
      <c r="C148" s="819">
        <v>2650</v>
      </c>
      <c r="D148" s="820"/>
      <c r="E148" s="819">
        <f t="shared" si="18"/>
        <v>2650</v>
      </c>
      <c r="F148" s="824"/>
      <c r="G148" s="824">
        <v>2650</v>
      </c>
      <c r="H148" s="824"/>
      <c r="I148" s="822"/>
      <c r="J148" s="822" t="s">
        <v>142</v>
      </c>
      <c r="K148" s="821"/>
      <c r="L148" s="825"/>
      <c r="M148" s="825" t="s">
        <v>695</v>
      </c>
      <c r="N148" s="831"/>
    </row>
    <row r="149" spans="1:14" s="832" customFormat="1" x14ac:dyDescent="0.25">
      <c r="A149" s="826"/>
      <c r="B149" s="867" t="s">
        <v>917</v>
      </c>
      <c r="C149" s="829">
        <v>1000</v>
      </c>
      <c r="D149" s="829"/>
      <c r="E149" s="819">
        <f>SUM(C149:D149)</f>
        <v>1000</v>
      </c>
      <c r="F149" s="824"/>
      <c r="G149" s="824">
        <v>1000</v>
      </c>
      <c r="H149" s="824"/>
      <c r="I149" s="822"/>
      <c r="J149" s="822"/>
      <c r="K149" s="821"/>
      <c r="L149" s="825"/>
      <c r="M149" s="825" t="s">
        <v>695</v>
      </c>
      <c r="N149" s="831"/>
    </row>
    <row r="150" spans="1:14" s="832" customFormat="1" x14ac:dyDescent="0.25">
      <c r="A150" s="826"/>
      <c r="B150" s="818" t="s">
        <v>77</v>
      </c>
      <c r="C150" s="819">
        <v>1200</v>
      </c>
      <c r="D150" s="820"/>
      <c r="E150" s="819">
        <f t="shared" si="18"/>
        <v>1200</v>
      </c>
      <c r="F150" s="824"/>
      <c r="G150" s="824">
        <v>1200</v>
      </c>
      <c r="H150" s="824"/>
      <c r="I150" s="822"/>
      <c r="J150" s="822" t="s">
        <v>142</v>
      </c>
      <c r="K150" s="821"/>
      <c r="L150" s="825"/>
      <c r="M150" s="825" t="s">
        <v>695</v>
      </c>
      <c r="N150" s="831"/>
    </row>
    <row r="151" spans="1:14" s="832" customFormat="1" x14ac:dyDescent="0.25">
      <c r="A151" s="826"/>
      <c r="B151" s="818" t="s">
        <v>138</v>
      </c>
      <c r="C151" s="819">
        <v>5000</v>
      </c>
      <c r="D151" s="820"/>
      <c r="E151" s="819">
        <f t="shared" si="18"/>
        <v>5000</v>
      </c>
      <c r="F151" s="824"/>
      <c r="G151" s="824">
        <v>5000</v>
      </c>
      <c r="H151" s="824"/>
      <c r="I151" s="822"/>
      <c r="J151" s="822" t="s">
        <v>142</v>
      </c>
      <c r="K151" s="821"/>
      <c r="L151" s="825"/>
      <c r="M151" s="825" t="s">
        <v>695</v>
      </c>
      <c r="N151" s="831"/>
    </row>
    <row r="152" spans="1:14" s="832" customFormat="1" x14ac:dyDescent="0.25">
      <c r="A152" s="826"/>
      <c r="B152" s="818" t="s">
        <v>76</v>
      </c>
      <c r="C152" s="819">
        <v>2000</v>
      </c>
      <c r="D152" s="820"/>
      <c r="E152" s="819">
        <f t="shared" si="18"/>
        <v>2000</v>
      </c>
      <c r="F152" s="824"/>
      <c r="G152" s="824">
        <v>2000</v>
      </c>
      <c r="H152" s="824"/>
      <c r="I152" s="822"/>
      <c r="J152" s="822" t="s">
        <v>142</v>
      </c>
      <c r="K152" s="821"/>
      <c r="L152" s="825"/>
      <c r="M152" s="825" t="s">
        <v>695</v>
      </c>
      <c r="N152" s="831"/>
    </row>
    <row r="153" spans="1:14" s="832" customFormat="1" x14ac:dyDescent="0.25">
      <c r="A153" s="826"/>
      <c r="B153" s="818" t="s">
        <v>118</v>
      </c>
      <c r="C153" s="819">
        <v>8000</v>
      </c>
      <c r="D153" s="820"/>
      <c r="E153" s="819">
        <f t="shared" si="18"/>
        <v>8000</v>
      </c>
      <c r="F153" s="824"/>
      <c r="G153" s="824">
        <v>8000</v>
      </c>
      <c r="H153" s="824"/>
      <c r="I153" s="822"/>
      <c r="J153" s="822" t="s">
        <v>142</v>
      </c>
      <c r="K153" s="821"/>
      <c r="L153" s="825"/>
      <c r="M153" s="825" t="s">
        <v>695</v>
      </c>
      <c r="N153" s="831"/>
    </row>
    <row r="154" spans="1:14" s="832" customFormat="1" ht="31.5" x14ac:dyDescent="0.25">
      <c r="A154" s="826"/>
      <c r="B154" s="818" t="s">
        <v>131</v>
      </c>
      <c r="C154" s="819">
        <v>2000</v>
      </c>
      <c r="D154" s="820"/>
      <c r="E154" s="819">
        <f t="shared" si="18"/>
        <v>2000</v>
      </c>
      <c r="F154" s="824"/>
      <c r="G154" s="824">
        <v>2000</v>
      </c>
      <c r="H154" s="824"/>
      <c r="I154" s="822"/>
      <c r="J154" s="822" t="s">
        <v>142</v>
      </c>
      <c r="K154" s="821"/>
      <c r="L154" s="825"/>
      <c r="M154" s="825" t="s">
        <v>695</v>
      </c>
      <c r="N154" s="831"/>
    </row>
    <row r="155" spans="1:14" s="832" customFormat="1" x14ac:dyDescent="0.25">
      <c r="A155" s="826"/>
      <c r="B155" s="818" t="s">
        <v>127</v>
      </c>
      <c r="C155" s="819">
        <v>8600</v>
      </c>
      <c r="D155" s="820"/>
      <c r="E155" s="819">
        <f t="shared" si="18"/>
        <v>8600</v>
      </c>
      <c r="F155" s="824"/>
      <c r="G155" s="824">
        <v>8600</v>
      </c>
      <c r="H155" s="824"/>
      <c r="I155" s="822"/>
      <c r="J155" s="822" t="s">
        <v>142</v>
      </c>
      <c r="K155" s="821"/>
      <c r="L155" s="825"/>
      <c r="M155" s="825" t="s">
        <v>695</v>
      </c>
      <c r="N155" s="831"/>
    </row>
    <row r="156" spans="1:14" s="832" customFormat="1" x14ac:dyDescent="0.25">
      <c r="A156" s="826"/>
      <c r="B156" s="818" t="s">
        <v>139</v>
      </c>
      <c r="C156" s="819">
        <v>5700</v>
      </c>
      <c r="D156" s="820"/>
      <c r="E156" s="819">
        <f t="shared" si="18"/>
        <v>5700</v>
      </c>
      <c r="F156" s="824"/>
      <c r="G156" s="824">
        <v>5700</v>
      </c>
      <c r="H156" s="824"/>
      <c r="I156" s="822"/>
      <c r="J156" s="822" t="s">
        <v>142</v>
      </c>
      <c r="K156" s="821"/>
      <c r="L156" s="825"/>
      <c r="M156" s="825" t="s">
        <v>695</v>
      </c>
      <c r="N156" s="831"/>
    </row>
    <row r="157" spans="1:14" s="832" customFormat="1" x14ac:dyDescent="0.25">
      <c r="A157" s="826"/>
      <c r="B157" s="818" t="s">
        <v>1278</v>
      </c>
      <c r="C157" s="819"/>
      <c r="D157" s="820">
        <v>800</v>
      </c>
      <c r="E157" s="819">
        <f t="shared" si="18"/>
        <v>800</v>
      </c>
      <c r="F157" s="824"/>
      <c r="G157" s="824">
        <v>800</v>
      </c>
      <c r="H157" s="824"/>
      <c r="I157" s="822"/>
      <c r="J157" s="822" t="s">
        <v>142</v>
      </c>
      <c r="K157" s="821"/>
      <c r="L157" s="825"/>
      <c r="M157" s="825" t="s">
        <v>695</v>
      </c>
      <c r="N157" s="831"/>
    </row>
    <row r="158" spans="1:14" s="832" customFormat="1" x14ac:dyDescent="0.25">
      <c r="A158" s="826"/>
      <c r="B158" s="818" t="s">
        <v>338</v>
      </c>
      <c r="C158" s="819">
        <v>21000</v>
      </c>
      <c r="D158" s="820"/>
      <c r="E158" s="819">
        <f t="shared" si="18"/>
        <v>21000</v>
      </c>
      <c r="F158" s="824"/>
      <c r="G158" s="824">
        <v>21000</v>
      </c>
      <c r="H158" s="824"/>
      <c r="I158" s="822"/>
      <c r="J158" s="822" t="s">
        <v>142</v>
      </c>
      <c r="K158" s="821"/>
      <c r="L158" s="825"/>
      <c r="M158" s="825" t="s">
        <v>695</v>
      </c>
      <c r="N158" s="831"/>
    </row>
    <row r="159" spans="1:14" s="832" customFormat="1" ht="31.5" x14ac:dyDescent="0.25">
      <c r="A159" s="826"/>
      <c r="B159" s="867" t="s">
        <v>916</v>
      </c>
      <c r="C159" s="829">
        <v>2400</v>
      </c>
      <c r="D159" s="829"/>
      <c r="E159" s="819">
        <f>SUM(C159:D159)</f>
        <v>2400</v>
      </c>
      <c r="F159" s="824"/>
      <c r="G159" s="824">
        <v>2400</v>
      </c>
      <c r="H159" s="824"/>
      <c r="I159" s="822"/>
      <c r="J159" s="822"/>
      <c r="K159" s="821"/>
      <c r="L159" s="825"/>
      <c r="M159" s="825" t="s">
        <v>695</v>
      </c>
      <c r="N159" s="831"/>
    </row>
    <row r="160" spans="1:14" s="832" customFormat="1" ht="31.5" x14ac:dyDescent="0.25">
      <c r="A160" s="826"/>
      <c r="B160" s="818" t="s">
        <v>268</v>
      </c>
      <c r="C160" s="819">
        <v>100</v>
      </c>
      <c r="D160" s="820"/>
      <c r="E160" s="819">
        <f t="shared" si="18"/>
        <v>100</v>
      </c>
      <c r="F160" s="824"/>
      <c r="G160" s="824">
        <v>100</v>
      </c>
      <c r="H160" s="824"/>
      <c r="I160" s="822"/>
      <c r="J160" s="822" t="s">
        <v>142</v>
      </c>
      <c r="K160" s="821"/>
      <c r="L160" s="825"/>
      <c r="M160" s="825" t="s">
        <v>695</v>
      </c>
      <c r="N160" s="831"/>
    </row>
    <row r="161" spans="1:14" s="832" customFormat="1" x14ac:dyDescent="0.25">
      <c r="A161" s="826"/>
      <c r="B161" s="818" t="s">
        <v>250</v>
      </c>
      <c r="C161" s="819">
        <v>85552</v>
      </c>
      <c r="D161" s="820"/>
      <c r="E161" s="819">
        <f t="shared" si="18"/>
        <v>85552</v>
      </c>
      <c r="F161" s="824"/>
      <c r="G161" s="824">
        <v>85552</v>
      </c>
      <c r="H161" s="824"/>
      <c r="I161" s="822"/>
      <c r="J161" s="822" t="s">
        <v>142</v>
      </c>
      <c r="K161" s="821"/>
      <c r="L161" s="825"/>
      <c r="M161" s="825" t="s">
        <v>695</v>
      </c>
      <c r="N161" s="831"/>
    </row>
    <row r="162" spans="1:14" s="832" customFormat="1" x14ac:dyDescent="0.25">
      <c r="A162" s="826"/>
      <c r="B162" s="818" t="s">
        <v>345</v>
      </c>
      <c r="C162" s="819">
        <v>513455</v>
      </c>
      <c r="D162" s="820">
        <v>2540</v>
      </c>
      <c r="E162" s="819">
        <f t="shared" si="18"/>
        <v>515995</v>
      </c>
      <c r="F162" s="824"/>
      <c r="G162" s="824">
        <f>468316+45139+2540</f>
        <v>515995</v>
      </c>
      <c r="H162" s="824"/>
      <c r="I162" s="822"/>
      <c r="J162" s="822" t="s">
        <v>142</v>
      </c>
      <c r="K162" s="821"/>
      <c r="L162" s="825"/>
      <c r="M162" s="825" t="s">
        <v>695</v>
      </c>
      <c r="N162" s="831"/>
    </row>
    <row r="163" spans="1:14" s="832" customFormat="1" x14ac:dyDescent="0.25">
      <c r="A163" s="826"/>
      <c r="B163" s="818" t="s">
        <v>548</v>
      </c>
      <c r="C163" s="819">
        <v>10000</v>
      </c>
      <c r="D163" s="820"/>
      <c r="E163" s="819">
        <f t="shared" si="18"/>
        <v>10000</v>
      </c>
      <c r="F163" s="824"/>
      <c r="G163" s="824">
        <v>10000</v>
      </c>
      <c r="H163" s="824"/>
      <c r="I163" s="822"/>
      <c r="J163" s="822" t="s">
        <v>142</v>
      </c>
      <c r="K163" s="821"/>
      <c r="L163" s="825"/>
      <c r="M163" s="825" t="s">
        <v>695</v>
      </c>
      <c r="N163" s="831"/>
    </row>
    <row r="164" spans="1:14" s="832" customFormat="1" x14ac:dyDescent="0.25">
      <c r="A164" s="826"/>
      <c r="B164" s="818" t="s">
        <v>279</v>
      </c>
      <c r="C164" s="819">
        <v>1000</v>
      </c>
      <c r="D164" s="820"/>
      <c r="E164" s="819">
        <f t="shared" si="18"/>
        <v>1000</v>
      </c>
      <c r="F164" s="824"/>
      <c r="G164" s="824">
        <v>1000</v>
      </c>
      <c r="H164" s="824"/>
      <c r="I164" s="822"/>
      <c r="J164" s="822" t="s">
        <v>142</v>
      </c>
      <c r="K164" s="821"/>
      <c r="L164" s="825"/>
      <c r="M164" s="825" t="s">
        <v>695</v>
      </c>
      <c r="N164" s="831"/>
    </row>
    <row r="165" spans="1:14" s="832" customFormat="1" x14ac:dyDescent="0.25">
      <c r="A165" s="826"/>
      <c r="B165" s="818" t="s">
        <v>267</v>
      </c>
      <c r="C165" s="819">
        <v>1200</v>
      </c>
      <c r="D165" s="820"/>
      <c r="E165" s="819">
        <f t="shared" si="18"/>
        <v>1200</v>
      </c>
      <c r="F165" s="824"/>
      <c r="G165" s="824">
        <v>1200</v>
      </c>
      <c r="H165" s="824"/>
      <c r="I165" s="822"/>
      <c r="J165" s="822" t="s">
        <v>142</v>
      </c>
      <c r="K165" s="821"/>
      <c r="L165" s="825"/>
      <c r="M165" s="825" t="s">
        <v>695</v>
      </c>
      <c r="N165" s="831"/>
    </row>
    <row r="166" spans="1:14" s="832" customFormat="1" x14ac:dyDescent="0.25">
      <c r="A166" s="826"/>
      <c r="B166" s="818" t="s">
        <v>269</v>
      </c>
      <c r="C166" s="819">
        <v>800</v>
      </c>
      <c r="D166" s="820"/>
      <c r="E166" s="819">
        <f t="shared" si="18"/>
        <v>800</v>
      </c>
      <c r="F166" s="824"/>
      <c r="G166" s="824">
        <v>800</v>
      </c>
      <c r="H166" s="824"/>
      <c r="I166" s="822"/>
      <c r="J166" s="822" t="s">
        <v>142</v>
      </c>
      <c r="K166" s="821"/>
      <c r="L166" s="825"/>
      <c r="M166" s="825" t="s">
        <v>695</v>
      </c>
      <c r="N166" s="831"/>
    </row>
    <row r="167" spans="1:14" s="832" customFormat="1" x14ac:dyDescent="0.25">
      <c r="A167" s="826"/>
      <c r="B167" s="867" t="s">
        <v>549</v>
      </c>
      <c r="C167" s="829">
        <v>1500</v>
      </c>
      <c r="D167" s="829"/>
      <c r="E167" s="819">
        <f t="shared" si="18"/>
        <v>1500</v>
      </c>
      <c r="F167" s="824"/>
      <c r="G167" s="824">
        <v>1500</v>
      </c>
      <c r="H167" s="824"/>
      <c r="I167" s="822"/>
      <c r="J167" s="822" t="s">
        <v>142</v>
      </c>
      <c r="K167" s="821"/>
      <c r="L167" s="825"/>
      <c r="M167" s="825" t="s">
        <v>695</v>
      </c>
      <c r="N167" s="831"/>
    </row>
    <row r="168" spans="1:14" s="832" customFormat="1" x14ac:dyDescent="0.25">
      <c r="A168" s="826"/>
      <c r="B168" s="867" t="s">
        <v>736</v>
      </c>
      <c r="C168" s="829">
        <v>1330</v>
      </c>
      <c r="D168" s="829"/>
      <c r="E168" s="819">
        <f t="shared" si="18"/>
        <v>1330</v>
      </c>
      <c r="F168" s="824"/>
      <c r="G168" s="824">
        <v>1330</v>
      </c>
      <c r="H168" s="824"/>
      <c r="I168" s="822"/>
      <c r="J168" s="822"/>
      <c r="K168" s="821"/>
      <c r="L168" s="825"/>
      <c r="M168" s="825" t="s">
        <v>695</v>
      </c>
      <c r="N168" s="831"/>
    </row>
    <row r="169" spans="1:14" s="832" customFormat="1" ht="31.5" x14ac:dyDescent="0.25">
      <c r="A169" s="826"/>
      <c r="B169" s="867" t="s">
        <v>1279</v>
      </c>
      <c r="C169" s="829">
        <v>0</v>
      </c>
      <c r="D169" s="829">
        <v>2000</v>
      </c>
      <c r="E169" s="819">
        <f t="shared" ref="E169" si="19">SUM(C169:D169)</f>
        <v>2000</v>
      </c>
      <c r="F169" s="824"/>
      <c r="G169" s="824">
        <v>2000</v>
      </c>
      <c r="H169" s="824"/>
      <c r="I169" s="822"/>
      <c r="J169" s="822"/>
      <c r="K169" s="821"/>
      <c r="L169" s="825"/>
      <c r="M169" s="825" t="s">
        <v>695</v>
      </c>
      <c r="N169" s="831"/>
    </row>
    <row r="170" spans="1:14" s="832" customFormat="1" x14ac:dyDescent="0.25">
      <c r="A170" s="826"/>
      <c r="B170" s="867" t="s">
        <v>737</v>
      </c>
      <c r="C170" s="829">
        <v>500</v>
      </c>
      <c r="D170" s="829"/>
      <c r="E170" s="819">
        <f t="shared" si="18"/>
        <v>500</v>
      </c>
      <c r="F170" s="824"/>
      <c r="G170" s="824">
        <v>500</v>
      </c>
      <c r="H170" s="824"/>
      <c r="I170" s="822"/>
      <c r="J170" s="822"/>
      <c r="K170" s="821"/>
      <c r="L170" s="825"/>
      <c r="M170" s="825" t="s">
        <v>695</v>
      </c>
      <c r="N170" s="831"/>
    </row>
    <row r="171" spans="1:14" s="832" customFormat="1" x14ac:dyDescent="0.25">
      <c r="A171" s="826"/>
      <c r="B171" s="827" t="s">
        <v>738</v>
      </c>
      <c r="C171" s="829">
        <v>10000</v>
      </c>
      <c r="D171" s="829"/>
      <c r="E171" s="819">
        <f t="shared" si="18"/>
        <v>10000</v>
      </c>
      <c r="F171" s="824"/>
      <c r="G171" s="824">
        <f>10000</f>
        <v>10000</v>
      </c>
      <c r="H171" s="824"/>
      <c r="I171" s="822"/>
      <c r="J171" s="822"/>
      <c r="K171" s="821"/>
      <c r="L171" s="825"/>
      <c r="M171" s="825" t="s">
        <v>695</v>
      </c>
      <c r="N171" s="831"/>
    </row>
    <row r="172" spans="1:14" s="832" customFormat="1" ht="31.5" x14ac:dyDescent="0.25">
      <c r="A172" s="826"/>
      <c r="B172" s="827" t="s">
        <v>1300</v>
      </c>
      <c r="C172" s="829">
        <v>0</v>
      </c>
      <c r="D172" s="829">
        <v>30000</v>
      </c>
      <c r="E172" s="819">
        <f>SUM(C172:D172)</f>
        <v>30000</v>
      </c>
      <c r="F172" s="824"/>
      <c r="G172" s="824">
        <v>30000</v>
      </c>
      <c r="H172" s="824"/>
      <c r="I172" s="822"/>
      <c r="J172" s="822"/>
      <c r="K172" s="821"/>
      <c r="L172" s="825"/>
      <c r="M172" s="825" t="s">
        <v>695</v>
      </c>
      <c r="N172" s="831"/>
    </row>
    <row r="173" spans="1:14" s="832" customFormat="1" ht="31.5" x14ac:dyDescent="0.25">
      <c r="A173" s="826"/>
      <c r="B173" s="827" t="s">
        <v>739</v>
      </c>
      <c r="C173" s="829">
        <v>50000</v>
      </c>
      <c r="D173" s="829"/>
      <c r="E173" s="819">
        <f t="shared" si="18"/>
        <v>50000</v>
      </c>
      <c r="F173" s="824"/>
      <c r="G173" s="824">
        <f>30000+20000</f>
        <v>50000</v>
      </c>
      <c r="H173" s="824"/>
      <c r="I173" s="822"/>
      <c r="J173" s="822"/>
      <c r="K173" s="821"/>
      <c r="L173" s="825"/>
      <c r="M173" s="825" t="s">
        <v>695</v>
      </c>
      <c r="N173" s="831"/>
    </row>
    <row r="174" spans="1:14" s="832" customFormat="1" x14ac:dyDescent="0.25">
      <c r="A174" s="826"/>
      <c r="B174" s="867" t="s">
        <v>740</v>
      </c>
      <c r="C174" s="829">
        <v>1600</v>
      </c>
      <c r="D174" s="829"/>
      <c r="E174" s="819">
        <f t="shared" si="18"/>
        <v>1600</v>
      </c>
      <c r="F174" s="824"/>
      <c r="G174" s="824">
        <f>800+800</f>
        <v>1600</v>
      </c>
      <c r="H174" s="824"/>
      <c r="I174" s="822"/>
      <c r="J174" s="822"/>
      <c r="K174" s="821"/>
      <c r="L174" s="825"/>
      <c r="M174" s="825" t="s">
        <v>695</v>
      </c>
      <c r="N174" s="831"/>
    </row>
    <row r="175" spans="1:14" s="832" customFormat="1" x14ac:dyDescent="0.25">
      <c r="A175" s="826"/>
      <c r="B175" s="867" t="s">
        <v>959</v>
      </c>
      <c r="C175" s="829">
        <v>1500</v>
      </c>
      <c r="D175" s="829"/>
      <c r="E175" s="819">
        <f t="shared" si="18"/>
        <v>1500</v>
      </c>
      <c r="F175" s="824"/>
      <c r="G175" s="824">
        <v>1500</v>
      </c>
      <c r="H175" s="824"/>
      <c r="I175" s="822"/>
      <c r="J175" s="822"/>
      <c r="K175" s="821"/>
      <c r="L175" s="825"/>
      <c r="M175" s="825" t="s">
        <v>695</v>
      </c>
      <c r="N175" s="831"/>
    </row>
    <row r="176" spans="1:14" s="832" customFormat="1" x14ac:dyDescent="0.25">
      <c r="A176" s="826"/>
      <c r="B176" s="867" t="s">
        <v>960</v>
      </c>
      <c r="C176" s="829">
        <v>1000</v>
      </c>
      <c r="D176" s="829"/>
      <c r="E176" s="819">
        <f t="shared" si="18"/>
        <v>1000</v>
      </c>
      <c r="F176" s="824"/>
      <c r="G176" s="824">
        <v>1000</v>
      </c>
      <c r="H176" s="824"/>
      <c r="I176" s="822"/>
      <c r="J176" s="822"/>
      <c r="K176" s="821"/>
      <c r="L176" s="825"/>
      <c r="M176" s="825" t="s">
        <v>695</v>
      </c>
      <c r="N176" s="831"/>
    </row>
    <row r="177" spans="1:14" s="832" customFormat="1" x14ac:dyDescent="0.25">
      <c r="A177" s="826"/>
      <c r="B177" s="864" t="s">
        <v>251</v>
      </c>
      <c r="C177" s="865"/>
      <c r="D177" s="813"/>
      <c r="E177" s="866"/>
      <c r="F177" s="824"/>
      <c r="G177" s="824"/>
      <c r="H177" s="824"/>
      <c r="I177" s="822"/>
      <c r="J177" s="822"/>
      <c r="K177" s="821"/>
      <c r="L177" s="825"/>
      <c r="M177" s="825"/>
      <c r="N177" s="831"/>
    </row>
    <row r="178" spans="1:14" s="832" customFormat="1" x14ac:dyDescent="0.25">
      <c r="A178" s="826"/>
      <c r="B178" s="867" t="s">
        <v>741</v>
      </c>
      <c r="C178" s="829">
        <v>1500</v>
      </c>
      <c r="D178" s="829"/>
      <c r="E178" s="829">
        <f>SUM(C178:D178)</f>
        <v>1500</v>
      </c>
      <c r="F178" s="824"/>
      <c r="G178" s="824">
        <v>1500</v>
      </c>
      <c r="H178" s="824"/>
      <c r="I178" s="822"/>
      <c r="J178" s="822" t="s">
        <v>142</v>
      </c>
      <c r="K178" s="821"/>
      <c r="L178" s="825"/>
      <c r="M178" s="825" t="s">
        <v>695</v>
      </c>
      <c r="N178" s="831"/>
    </row>
    <row r="179" spans="1:14" s="832" customFormat="1" x14ac:dyDescent="0.25">
      <c r="A179" s="826"/>
      <c r="B179" s="867" t="s">
        <v>742</v>
      </c>
      <c r="C179" s="829">
        <v>29602</v>
      </c>
      <c r="D179" s="829">
        <v>-1248</v>
      </c>
      <c r="E179" s="829">
        <f t="shared" ref="E179:E196" si="20">SUM(C179:D179)</f>
        <v>28354</v>
      </c>
      <c r="F179" s="824"/>
      <c r="G179" s="824">
        <f>22000+10587+2000</f>
        <v>34587</v>
      </c>
      <c r="H179" s="824">
        <f>-4985-1248</f>
        <v>-6233</v>
      </c>
      <c r="I179" s="822"/>
      <c r="J179" s="822" t="s">
        <v>142</v>
      </c>
      <c r="K179" s="821"/>
      <c r="L179" s="825"/>
      <c r="M179" s="825" t="s">
        <v>695</v>
      </c>
      <c r="N179" s="831"/>
    </row>
    <row r="180" spans="1:14" s="832" customFormat="1" x14ac:dyDescent="0.25">
      <c r="A180" s="826"/>
      <c r="B180" s="867" t="s">
        <v>743</v>
      </c>
      <c r="C180" s="829">
        <v>10000</v>
      </c>
      <c r="D180" s="829"/>
      <c r="E180" s="829">
        <f t="shared" si="20"/>
        <v>10000</v>
      </c>
      <c r="F180" s="824"/>
      <c r="G180" s="824">
        <v>10000</v>
      </c>
      <c r="H180" s="824"/>
      <c r="I180" s="822"/>
      <c r="J180" s="822" t="s">
        <v>142</v>
      </c>
      <c r="K180" s="821"/>
      <c r="L180" s="825"/>
      <c r="M180" s="825" t="s">
        <v>695</v>
      </c>
      <c r="N180" s="831"/>
    </row>
    <row r="181" spans="1:14" s="832" customFormat="1" x14ac:dyDescent="0.25">
      <c r="A181" s="826"/>
      <c r="B181" s="867" t="s">
        <v>744</v>
      </c>
      <c r="C181" s="829">
        <v>47197</v>
      </c>
      <c r="D181" s="829">
        <f>-400-2477</f>
        <v>-2877</v>
      </c>
      <c r="E181" s="829">
        <f t="shared" si="20"/>
        <v>44320</v>
      </c>
      <c r="F181" s="824"/>
      <c r="G181" s="824">
        <f>43000+230+22000</f>
        <v>65230</v>
      </c>
      <c r="H181" s="824">
        <f>-18033-400-2477</f>
        <v>-20910</v>
      </c>
      <c r="I181" s="822"/>
      <c r="J181" s="822" t="s">
        <v>142</v>
      </c>
      <c r="K181" s="821"/>
      <c r="L181" s="825"/>
      <c r="M181" s="825" t="s">
        <v>695</v>
      </c>
      <c r="N181" s="831"/>
    </row>
    <row r="182" spans="1:14" s="832" customFormat="1" x14ac:dyDescent="0.25">
      <c r="A182" s="826"/>
      <c r="B182" s="867" t="s">
        <v>745</v>
      </c>
      <c r="C182" s="829">
        <v>1000</v>
      </c>
      <c r="D182" s="829"/>
      <c r="E182" s="829">
        <f t="shared" si="20"/>
        <v>1000</v>
      </c>
      <c r="F182" s="824"/>
      <c r="G182" s="824">
        <v>1000</v>
      </c>
      <c r="H182" s="824"/>
      <c r="I182" s="822"/>
      <c r="J182" s="822" t="s">
        <v>142</v>
      </c>
      <c r="K182" s="821"/>
      <c r="L182" s="825"/>
      <c r="M182" s="825" t="s">
        <v>695</v>
      </c>
      <c r="N182" s="831"/>
    </row>
    <row r="183" spans="1:14" s="832" customFormat="1" x14ac:dyDescent="0.25">
      <c r="A183" s="826"/>
      <c r="B183" s="867" t="s">
        <v>746</v>
      </c>
      <c r="C183" s="829">
        <v>5000</v>
      </c>
      <c r="D183" s="829"/>
      <c r="E183" s="829">
        <f t="shared" si="20"/>
        <v>5000</v>
      </c>
      <c r="F183" s="824"/>
      <c r="G183" s="824">
        <v>5000</v>
      </c>
      <c r="H183" s="824"/>
      <c r="I183" s="822"/>
      <c r="J183" s="822" t="s">
        <v>142</v>
      </c>
      <c r="K183" s="821"/>
      <c r="L183" s="825"/>
      <c r="M183" s="825" t="s">
        <v>695</v>
      </c>
      <c r="N183" s="831"/>
    </row>
    <row r="184" spans="1:14" s="832" customFormat="1" x14ac:dyDescent="0.25">
      <c r="A184" s="826"/>
      <c r="B184" s="867" t="s">
        <v>747</v>
      </c>
      <c r="C184" s="829">
        <v>12000</v>
      </c>
      <c r="D184" s="829"/>
      <c r="E184" s="829">
        <f t="shared" si="20"/>
        <v>12000</v>
      </c>
      <c r="F184" s="824"/>
      <c r="G184" s="824">
        <v>12000</v>
      </c>
      <c r="H184" s="824"/>
      <c r="I184" s="822"/>
      <c r="J184" s="822"/>
      <c r="K184" s="821"/>
      <c r="L184" s="825"/>
      <c r="M184" s="825" t="s">
        <v>695</v>
      </c>
      <c r="N184" s="831"/>
    </row>
    <row r="185" spans="1:14" s="832" customFormat="1" x14ac:dyDescent="0.25">
      <c r="A185" s="826"/>
      <c r="B185" s="867" t="s">
        <v>748</v>
      </c>
      <c r="C185" s="829">
        <v>1500</v>
      </c>
      <c r="D185" s="829"/>
      <c r="E185" s="829">
        <f t="shared" si="20"/>
        <v>1500</v>
      </c>
      <c r="F185" s="824"/>
      <c r="G185" s="824">
        <v>1500</v>
      </c>
      <c r="H185" s="824"/>
      <c r="I185" s="822"/>
      <c r="J185" s="822" t="s">
        <v>142</v>
      </c>
      <c r="K185" s="821"/>
      <c r="L185" s="825"/>
      <c r="M185" s="825" t="s">
        <v>695</v>
      </c>
      <c r="N185" s="831"/>
    </row>
    <row r="186" spans="1:14" s="832" customFormat="1" x14ac:dyDescent="0.25">
      <c r="A186" s="826"/>
      <c r="B186" s="867" t="s">
        <v>749</v>
      </c>
      <c r="C186" s="829">
        <v>300</v>
      </c>
      <c r="D186" s="829"/>
      <c r="E186" s="829">
        <f t="shared" si="20"/>
        <v>300</v>
      </c>
      <c r="F186" s="824"/>
      <c r="G186" s="824">
        <v>300</v>
      </c>
      <c r="H186" s="824"/>
      <c r="I186" s="822"/>
      <c r="J186" s="822"/>
      <c r="K186" s="821"/>
      <c r="L186" s="825"/>
      <c r="M186" s="825" t="s">
        <v>695</v>
      </c>
      <c r="N186" s="831"/>
    </row>
    <row r="187" spans="1:14" s="832" customFormat="1" x14ac:dyDescent="0.25">
      <c r="A187" s="826"/>
      <c r="B187" s="867" t="s">
        <v>750</v>
      </c>
      <c r="C187" s="829">
        <v>500</v>
      </c>
      <c r="D187" s="829"/>
      <c r="E187" s="829">
        <f t="shared" si="20"/>
        <v>500</v>
      </c>
      <c r="F187" s="824"/>
      <c r="G187" s="824">
        <v>500</v>
      </c>
      <c r="H187" s="824"/>
      <c r="I187" s="822"/>
      <c r="J187" s="822"/>
      <c r="K187" s="821"/>
      <c r="L187" s="825"/>
      <c r="M187" s="825" t="s">
        <v>695</v>
      </c>
      <c r="N187" s="831"/>
    </row>
    <row r="188" spans="1:14" s="832" customFormat="1" x14ac:dyDescent="0.25">
      <c r="A188" s="826"/>
      <c r="B188" s="867" t="s">
        <v>751</v>
      </c>
      <c r="C188" s="829">
        <v>500</v>
      </c>
      <c r="D188" s="829"/>
      <c r="E188" s="829">
        <f t="shared" si="20"/>
        <v>500</v>
      </c>
      <c r="F188" s="824"/>
      <c r="G188" s="824">
        <v>500</v>
      </c>
      <c r="H188" s="824"/>
      <c r="I188" s="822"/>
      <c r="J188" s="822"/>
      <c r="K188" s="821"/>
      <c r="L188" s="825"/>
      <c r="M188" s="825" t="s">
        <v>695</v>
      </c>
      <c r="N188" s="831"/>
    </row>
    <row r="189" spans="1:14" s="832" customFormat="1" ht="31.5" x14ac:dyDescent="0.25">
      <c r="A189" s="826"/>
      <c r="B189" s="867" t="s">
        <v>752</v>
      </c>
      <c r="C189" s="829">
        <v>5000</v>
      </c>
      <c r="D189" s="829"/>
      <c r="E189" s="829">
        <f t="shared" si="20"/>
        <v>5000</v>
      </c>
      <c r="F189" s="824"/>
      <c r="G189" s="824">
        <v>5000</v>
      </c>
      <c r="H189" s="824"/>
      <c r="I189" s="822"/>
      <c r="J189" s="822"/>
      <c r="K189" s="821"/>
      <c r="L189" s="825"/>
      <c r="M189" s="825" t="s">
        <v>695</v>
      </c>
      <c r="N189" s="831"/>
    </row>
    <row r="190" spans="1:14" s="832" customFormat="1" x14ac:dyDescent="0.25">
      <c r="A190" s="826"/>
      <c r="B190" s="867" t="s">
        <v>753</v>
      </c>
      <c r="C190" s="829">
        <v>5899</v>
      </c>
      <c r="D190" s="829"/>
      <c r="E190" s="829">
        <f t="shared" si="20"/>
        <v>5899</v>
      </c>
      <c r="F190" s="824"/>
      <c r="G190" s="824">
        <f>6000+200</f>
        <v>6200</v>
      </c>
      <c r="H190" s="824">
        <v>-301</v>
      </c>
      <c r="I190" s="822"/>
      <c r="J190" s="822"/>
      <c r="K190" s="821"/>
      <c r="L190" s="825"/>
      <c r="M190" s="825" t="s">
        <v>695</v>
      </c>
      <c r="N190" s="831"/>
    </row>
    <row r="191" spans="1:14" s="832" customFormat="1" x14ac:dyDescent="0.25">
      <c r="A191" s="826"/>
      <c r="B191" s="867" t="s">
        <v>754</v>
      </c>
      <c r="C191" s="829">
        <v>5000</v>
      </c>
      <c r="D191" s="829"/>
      <c r="E191" s="829">
        <f t="shared" si="20"/>
        <v>5000</v>
      </c>
      <c r="F191" s="824"/>
      <c r="G191" s="824">
        <v>5000</v>
      </c>
      <c r="H191" s="824"/>
      <c r="I191" s="822"/>
      <c r="J191" s="822"/>
      <c r="K191" s="821"/>
      <c r="L191" s="825"/>
      <c r="M191" s="825" t="s">
        <v>695</v>
      </c>
      <c r="N191" s="831"/>
    </row>
    <row r="192" spans="1:14" s="832" customFormat="1" x14ac:dyDescent="0.25">
      <c r="A192" s="826"/>
      <c r="B192" s="867" t="s">
        <v>755</v>
      </c>
      <c r="C192" s="829">
        <v>1976</v>
      </c>
      <c r="D192" s="829"/>
      <c r="E192" s="829">
        <f t="shared" si="20"/>
        <v>1976</v>
      </c>
      <c r="F192" s="824"/>
      <c r="G192" s="824">
        <v>1976</v>
      </c>
      <c r="H192" s="824"/>
      <c r="I192" s="822"/>
      <c r="J192" s="822"/>
      <c r="K192" s="821"/>
      <c r="L192" s="825"/>
      <c r="M192" s="825" t="s">
        <v>695</v>
      </c>
      <c r="N192" s="831"/>
    </row>
    <row r="193" spans="1:14" s="832" customFormat="1" x14ac:dyDescent="0.25">
      <c r="A193" s="826"/>
      <c r="B193" s="827" t="s">
        <v>756</v>
      </c>
      <c r="C193" s="828">
        <v>3850</v>
      </c>
      <c r="D193" s="829"/>
      <c r="E193" s="829">
        <f t="shared" si="20"/>
        <v>3850</v>
      </c>
      <c r="F193" s="824"/>
      <c r="G193" s="824">
        <v>3850</v>
      </c>
      <c r="H193" s="824"/>
      <c r="I193" s="822"/>
      <c r="J193" s="822"/>
      <c r="K193" s="821"/>
      <c r="L193" s="825"/>
      <c r="M193" s="825" t="s">
        <v>695</v>
      </c>
      <c r="N193" s="831"/>
    </row>
    <row r="194" spans="1:14" s="832" customFormat="1" x14ac:dyDescent="0.25">
      <c r="A194" s="826"/>
      <c r="B194" s="827" t="s">
        <v>757</v>
      </c>
      <c r="C194" s="828">
        <v>1200</v>
      </c>
      <c r="D194" s="829"/>
      <c r="E194" s="829">
        <f t="shared" si="20"/>
        <v>1200</v>
      </c>
      <c r="F194" s="824"/>
      <c r="G194" s="824">
        <v>1200</v>
      </c>
      <c r="H194" s="824"/>
      <c r="I194" s="822"/>
      <c r="J194" s="822"/>
      <c r="K194" s="821"/>
      <c r="L194" s="825"/>
      <c r="M194" s="825" t="s">
        <v>695</v>
      </c>
      <c r="N194" s="831"/>
    </row>
    <row r="195" spans="1:14" s="832" customFormat="1" x14ac:dyDescent="0.25">
      <c r="A195" s="826"/>
      <c r="B195" s="827" t="s">
        <v>918</v>
      </c>
      <c r="C195" s="828">
        <v>800</v>
      </c>
      <c r="D195" s="829"/>
      <c r="E195" s="829">
        <f t="shared" si="20"/>
        <v>800</v>
      </c>
      <c r="F195" s="824"/>
      <c r="G195" s="824">
        <v>800</v>
      </c>
      <c r="H195" s="824"/>
      <c r="I195" s="822"/>
      <c r="J195" s="822"/>
      <c r="K195" s="821"/>
      <c r="L195" s="825"/>
      <c r="M195" s="825" t="s">
        <v>695</v>
      </c>
      <c r="N195" s="831"/>
    </row>
    <row r="196" spans="1:14" s="832" customFormat="1" x14ac:dyDescent="0.25">
      <c r="A196" s="826"/>
      <c r="B196" s="827" t="s">
        <v>919</v>
      </c>
      <c r="C196" s="828">
        <v>6000</v>
      </c>
      <c r="D196" s="829"/>
      <c r="E196" s="829">
        <f t="shared" si="20"/>
        <v>6000</v>
      </c>
      <c r="F196" s="824"/>
      <c r="G196" s="824">
        <v>6000</v>
      </c>
      <c r="H196" s="824"/>
      <c r="I196" s="822"/>
      <c r="J196" s="822"/>
      <c r="K196" s="821"/>
      <c r="L196" s="825"/>
      <c r="M196" s="825" t="s">
        <v>695</v>
      </c>
      <c r="N196" s="831"/>
    </row>
    <row r="197" spans="1:14" x14ac:dyDescent="0.25">
      <c r="A197" s="796"/>
      <c r="B197" s="833" t="s">
        <v>99</v>
      </c>
      <c r="C197" s="834">
        <v>27165</v>
      </c>
      <c r="D197" s="841">
        <f>SUM(D198:D199)</f>
        <v>-11167</v>
      </c>
      <c r="E197" s="834">
        <f>SUM(C197:D197)</f>
        <v>15998</v>
      </c>
      <c r="F197" s="805"/>
      <c r="G197" s="807">
        <f>48296+28</f>
        <v>48324</v>
      </c>
      <c r="H197" s="805">
        <f>SUM(H198:H199)</f>
        <v>-32326</v>
      </c>
      <c r="I197" s="808"/>
      <c r="J197" s="808"/>
      <c r="K197" s="807"/>
      <c r="L197" s="806" t="s">
        <v>695</v>
      </c>
      <c r="M197" s="806"/>
      <c r="N197" s="868"/>
    </row>
    <row r="198" spans="1:14" x14ac:dyDescent="0.25">
      <c r="A198" s="796"/>
      <c r="B198" s="818" t="s">
        <v>128</v>
      </c>
      <c r="C198" s="819">
        <v>5070</v>
      </c>
      <c r="D198" s="820">
        <v>-2351</v>
      </c>
      <c r="E198" s="819">
        <f>SUM(C198:D198)</f>
        <v>2719</v>
      </c>
      <c r="F198" s="869"/>
      <c r="G198" s="869">
        <v>8596</v>
      </c>
      <c r="H198" s="869">
        <f>-3526-2351</f>
        <v>-5877</v>
      </c>
      <c r="I198" s="815" t="s">
        <v>142</v>
      </c>
      <c r="J198" s="816"/>
      <c r="K198" s="805"/>
      <c r="L198" s="870" t="s">
        <v>695</v>
      </c>
      <c r="M198" s="870"/>
      <c r="N198" s="871"/>
    </row>
    <row r="199" spans="1:14" x14ac:dyDescent="0.25">
      <c r="A199" s="796"/>
      <c r="B199" s="818" t="s">
        <v>129</v>
      </c>
      <c r="C199" s="819">
        <v>22095</v>
      </c>
      <c r="D199" s="820">
        <v>-8816</v>
      </c>
      <c r="E199" s="819">
        <f>SUM(C199:D199)</f>
        <v>13279</v>
      </c>
      <c r="F199" s="869"/>
      <c r="G199" s="869">
        <f>39700+28</f>
        <v>39728</v>
      </c>
      <c r="H199" s="869">
        <f>-17633-8816</f>
        <v>-26449</v>
      </c>
      <c r="I199" s="815" t="s">
        <v>142</v>
      </c>
      <c r="J199" s="816"/>
      <c r="K199" s="805"/>
      <c r="L199" s="870" t="s">
        <v>695</v>
      </c>
      <c r="M199" s="872"/>
      <c r="N199" s="871"/>
    </row>
    <row r="200" spans="1:14" x14ac:dyDescent="0.25">
      <c r="A200" s="796"/>
      <c r="B200" s="833" t="s">
        <v>252</v>
      </c>
      <c r="C200" s="835">
        <f t="shared" ref="C200:E200" si="21">SUM(C201:C208)</f>
        <v>628000</v>
      </c>
      <c r="D200" s="835">
        <f t="shared" si="21"/>
        <v>4286</v>
      </c>
      <c r="E200" s="805">
        <f t="shared" si="21"/>
        <v>632286</v>
      </c>
      <c r="F200" s="805">
        <f>SUM(F201:F208)</f>
        <v>0</v>
      </c>
      <c r="G200" s="805">
        <f>SUM(G201:G208)</f>
        <v>632286</v>
      </c>
      <c r="H200" s="805">
        <f>SUM(H201:H208)</f>
        <v>0</v>
      </c>
      <c r="I200" s="816"/>
      <c r="J200" s="815" t="s">
        <v>142</v>
      </c>
      <c r="K200" s="805"/>
      <c r="L200" s="816"/>
      <c r="M200" s="815" t="s">
        <v>695</v>
      </c>
      <c r="N200" s="871"/>
    </row>
    <row r="201" spans="1:14" x14ac:dyDescent="0.25">
      <c r="A201" s="796"/>
      <c r="B201" s="843" t="s">
        <v>550</v>
      </c>
      <c r="C201" s="830">
        <v>60000</v>
      </c>
      <c r="D201" s="844">
        <v>2286</v>
      </c>
      <c r="E201" s="830">
        <f>SUM(C201:D201)</f>
        <v>62286</v>
      </c>
      <c r="F201" s="824"/>
      <c r="G201" s="839">
        <f>60000+2286</f>
        <v>62286</v>
      </c>
      <c r="H201" s="839"/>
      <c r="I201" s="858"/>
      <c r="J201" s="858" t="s">
        <v>142</v>
      </c>
      <c r="K201" s="859"/>
      <c r="L201" s="840"/>
      <c r="M201" s="840" t="s">
        <v>695</v>
      </c>
      <c r="N201" s="873"/>
    </row>
    <row r="202" spans="1:14" x14ac:dyDescent="0.25">
      <c r="A202" s="796"/>
      <c r="B202" s="843" t="s">
        <v>758</v>
      </c>
      <c r="C202" s="830">
        <v>240000</v>
      </c>
      <c r="D202" s="844"/>
      <c r="E202" s="830">
        <f t="shared" ref="E202:E208" si="22">SUM(C202:D202)</f>
        <v>240000</v>
      </c>
      <c r="F202" s="824"/>
      <c r="G202" s="839">
        <f>165000+75000</f>
        <v>240000</v>
      </c>
      <c r="H202" s="839"/>
      <c r="I202" s="858"/>
      <c r="J202" s="858" t="s">
        <v>142</v>
      </c>
      <c r="K202" s="859"/>
      <c r="L202" s="840"/>
      <c r="M202" s="840" t="s">
        <v>695</v>
      </c>
      <c r="N202" s="873"/>
    </row>
    <row r="203" spans="1:14" x14ac:dyDescent="0.25">
      <c r="A203" s="796"/>
      <c r="B203" s="843" t="s">
        <v>116</v>
      </c>
      <c r="C203" s="830">
        <v>60000</v>
      </c>
      <c r="D203" s="844"/>
      <c r="E203" s="830">
        <f t="shared" si="22"/>
        <v>60000</v>
      </c>
      <c r="F203" s="824"/>
      <c r="G203" s="839">
        <v>60000</v>
      </c>
      <c r="H203" s="839"/>
      <c r="I203" s="858"/>
      <c r="J203" s="858" t="s">
        <v>142</v>
      </c>
      <c r="K203" s="859"/>
      <c r="L203" s="840"/>
      <c r="M203" s="840" t="s">
        <v>695</v>
      </c>
      <c r="N203" s="873"/>
    </row>
    <row r="204" spans="1:14" x14ac:dyDescent="0.25">
      <c r="A204" s="796"/>
      <c r="B204" s="843" t="s">
        <v>925</v>
      </c>
      <c r="C204" s="830">
        <v>70000</v>
      </c>
      <c r="D204" s="844"/>
      <c r="E204" s="830">
        <f t="shared" si="22"/>
        <v>70000</v>
      </c>
      <c r="F204" s="824"/>
      <c r="G204" s="839">
        <v>70000</v>
      </c>
      <c r="H204" s="839"/>
      <c r="I204" s="858"/>
      <c r="J204" s="858"/>
      <c r="K204" s="859"/>
      <c r="L204" s="840"/>
      <c r="M204" s="840" t="s">
        <v>695</v>
      </c>
      <c r="N204" s="873"/>
    </row>
    <row r="205" spans="1:14" x14ac:dyDescent="0.25">
      <c r="A205" s="796"/>
      <c r="B205" s="843" t="s">
        <v>551</v>
      </c>
      <c r="C205" s="830">
        <v>32000</v>
      </c>
      <c r="D205" s="844"/>
      <c r="E205" s="830">
        <f t="shared" si="22"/>
        <v>32000</v>
      </c>
      <c r="F205" s="824"/>
      <c r="G205" s="839">
        <v>32000</v>
      </c>
      <c r="H205" s="839"/>
      <c r="I205" s="858"/>
      <c r="J205" s="858" t="s">
        <v>142</v>
      </c>
      <c r="K205" s="859"/>
      <c r="L205" s="840"/>
      <c r="M205" s="840" t="s">
        <v>695</v>
      </c>
      <c r="N205" s="873"/>
    </row>
    <row r="206" spans="1:14" x14ac:dyDescent="0.25">
      <c r="A206" s="796"/>
      <c r="B206" s="843" t="s">
        <v>67</v>
      </c>
      <c r="C206" s="830">
        <v>35000</v>
      </c>
      <c r="D206" s="844"/>
      <c r="E206" s="830">
        <f t="shared" si="22"/>
        <v>35000</v>
      </c>
      <c r="F206" s="824"/>
      <c r="G206" s="839">
        <v>35000</v>
      </c>
      <c r="H206" s="839"/>
      <c r="I206" s="858"/>
      <c r="J206" s="858" t="s">
        <v>142</v>
      </c>
      <c r="K206" s="859"/>
      <c r="L206" s="840"/>
      <c r="M206" s="840" t="s">
        <v>695</v>
      </c>
      <c r="N206" s="873"/>
    </row>
    <row r="207" spans="1:14" x14ac:dyDescent="0.25">
      <c r="A207" s="796"/>
      <c r="B207" s="843" t="s">
        <v>339</v>
      </c>
      <c r="C207" s="830">
        <v>126000</v>
      </c>
      <c r="D207" s="844"/>
      <c r="E207" s="830">
        <f t="shared" si="22"/>
        <v>126000</v>
      </c>
      <c r="F207" s="824"/>
      <c r="G207" s="839">
        <v>126000</v>
      </c>
      <c r="H207" s="839"/>
      <c r="I207" s="858"/>
      <c r="J207" s="858" t="s">
        <v>142</v>
      </c>
      <c r="K207" s="859"/>
      <c r="L207" s="840"/>
      <c r="M207" s="840" t="s">
        <v>695</v>
      </c>
      <c r="N207" s="873"/>
    </row>
    <row r="208" spans="1:14" x14ac:dyDescent="0.25">
      <c r="A208" s="796"/>
      <c r="B208" s="843" t="s">
        <v>105</v>
      </c>
      <c r="C208" s="830">
        <v>5000</v>
      </c>
      <c r="D208" s="844">
        <v>2000</v>
      </c>
      <c r="E208" s="830">
        <f t="shared" si="22"/>
        <v>7000</v>
      </c>
      <c r="F208" s="824"/>
      <c r="G208" s="839">
        <f>5000+2000</f>
        <v>7000</v>
      </c>
      <c r="H208" s="839"/>
      <c r="I208" s="858"/>
      <c r="J208" s="858" t="s">
        <v>142</v>
      </c>
      <c r="K208" s="859"/>
      <c r="L208" s="840"/>
      <c r="M208" s="840" t="s">
        <v>695</v>
      </c>
      <c r="N208" s="873"/>
    </row>
    <row r="209" spans="1:14" x14ac:dyDescent="0.25">
      <c r="A209" s="796"/>
      <c r="B209" s="833" t="s">
        <v>144</v>
      </c>
      <c r="C209" s="834">
        <v>205000</v>
      </c>
      <c r="D209" s="835">
        <f t="shared" ref="D209:E209" si="23">SUM(D210:D212)</f>
        <v>0</v>
      </c>
      <c r="E209" s="805">
        <f t="shared" si="23"/>
        <v>205000</v>
      </c>
      <c r="F209" s="805">
        <f>SUM(F210:F212)</f>
        <v>0</v>
      </c>
      <c r="G209" s="807">
        <f>SUM(G210:G212)</f>
        <v>205000</v>
      </c>
      <c r="H209" s="807">
        <f>SUM(H210:H212)</f>
        <v>0</v>
      </c>
      <c r="I209" s="806" t="s">
        <v>142</v>
      </c>
      <c r="J209" s="808"/>
      <c r="K209" s="807"/>
      <c r="L209" s="806" t="s">
        <v>695</v>
      </c>
      <c r="M209" s="808"/>
      <c r="N209" s="868"/>
    </row>
    <row r="210" spans="1:14" ht="31.5" x14ac:dyDescent="0.25">
      <c r="A210" s="796"/>
      <c r="B210" s="843" t="s">
        <v>759</v>
      </c>
      <c r="C210" s="830">
        <v>130000</v>
      </c>
      <c r="D210" s="844"/>
      <c r="E210" s="830">
        <f>SUM(C210:D210)</f>
        <v>130000</v>
      </c>
      <c r="F210" s="824"/>
      <c r="G210" s="839">
        <v>130000</v>
      </c>
      <c r="H210" s="839"/>
      <c r="I210" s="858" t="s">
        <v>142</v>
      </c>
      <c r="J210" s="858"/>
      <c r="K210" s="859"/>
      <c r="L210" s="840" t="s">
        <v>695</v>
      </c>
      <c r="M210" s="840"/>
      <c r="N210" s="873"/>
    </row>
    <row r="211" spans="1:14" ht="30" customHeight="1" x14ac:dyDescent="0.25">
      <c r="A211" s="796"/>
      <c r="B211" s="843" t="s">
        <v>145</v>
      </c>
      <c r="C211" s="830">
        <v>40000</v>
      </c>
      <c r="D211" s="844"/>
      <c r="E211" s="830">
        <f t="shared" ref="E211:E235" si="24">SUM(C211:D211)</f>
        <v>40000</v>
      </c>
      <c r="F211" s="824"/>
      <c r="G211" s="839">
        <v>40000</v>
      </c>
      <c r="H211" s="839"/>
      <c r="I211" s="858" t="s">
        <v>142</v>
      </c>
      <c r="J211" s="858"/>
      <c r="K211" s="859"/>
      <c r="L211" s="840" t="s">
        <v>695</v>
      </c>
      <c r="M211" s="840"/>
      <c r="N211" s="873"/>
    </row>
    <row r="212" spans="1:14" ht="31.5" x14ac:dyDescent="0.25">
      <c r="A212" s="796"/>
      <c r="B212" s="843" t="s">
        <v>51</v>
      </c>
      <c r="C212" s="830">
        <v>35000</v>
      </c>
      <c r="D212" s="844"/>
      <c r="E212" s="830">
        <f t="shared" si="24"/>
        <v>35000</v>
      </c>
      <c r="F212" s="824"/>
      <c r="G212" s="839">
        <v>35000</v>
      </c>
      <c r="H212" s="839"/>
      <c r="I212" s="858" t="s">
        <v>142</v>
      </c>
      <c r="J212" s="858"/>
      <c r="K212" s="859"/>
      <c r="L212" s="840" t="s">
        <v>695</v>
      </c>
      <c r="M212" s="840"/>
      <c r="N212" s="873"/>
    </row>
    <row r="213" spans="1:14" x14ac:dyDescent="0.25">
      <c r="A213" s="796"/>
      <c r="B213" s="833" t="s">
        <v>253</v>
      </c>
      <c r="C213" s="834">
        <v>211313</v>
      </c>
      <c r="D213" s="804">
        <f>10000+3406</f>
        <v>13406</v>
      </c>
      <c r="E213" s="857">
        <f t="shared" si="24"/>
        <v>224719</v>
      </c>
      <c r="F213" s="805">
        <v>0</v>
      </c>
      <c r="G213" s="805">
        <f>149400+61913+10000+3406</f>
        <v>224719</v>
      </c>
      <c r="H213" s="807"/>
      <c r="I213" s="808"/>
      <c r="J213" s="806" t="s">
        <v>142</v>
      </c>
      <c r="K213" s="807"/>
      <c r="L213" s="808"/>
      <c r="M213" s="806" t="s">
        <v>695</v>
      </c>
      <c r="N213" s="868"/>
    </row>
    <row r="214" spans="1:14" s="832" customFormat="1" ht="31.5" x14ac:dyDescent="0.25">
      <c r="A214" s="826"/>
      <c r="B214" s="827" t="s">
        <v>760</v>
      </c>
      <c r="C214" s="828">
        <v>2000</v>
      </c>
      <c r="D214" s="829"/>
      <c r="E214" s="830">
        <f t="shared" si="24"/>
        <v>2000</v>
      </c>
      <c r="F214" s="824"/>
      <c r="G214" s="824">
        <v>2000</v>
      </c>
      <c r="H214" s="824"/>
      <c r="I214" s="822"/>
      <c r="J214" s="822" t="s">
        <v>142</v>
      </c>
      <c r="K214" s="821"/>
      <c r="L214" s="825"/>
      <c r="M214" s="825" t="s">
        <v>695</v>
      </c>
      <c r="N214" s="831"/>
    </row>
    <row r="215" spans="1:14" s="832" customFormat="1" x14ac:dyDescent="0.25">
      <c r="A215" s="826"/>
      <c r="B215" s="827" t="s">
        <v>340</v>
      </c>
      <c r="C215" s="828">
        <v>500</v>
      </c>
      <c r="D215" s="829"/>
      <c r="E215" s="830">
        <f t="shared" si="24"/>
        <v>500</v>
      </c>
      <c r="F215" s="824"/>
      <c r="G215" s="824">
        <v>500</v>
      </c>
      <c r="H215" s="824"/>
      <c r="I215" s="822"/>
      <c r="J215" s="822" t="s">
        <v>142</v>
      </c>
      <c r="K215" s="821"/>
      <c r="L215" s="825"/>
      <c r="M215" s="825" t="s">
        <v>695</v>
      </c>
      <c r="N215" s="831"/>
    </row>
    <row r="216" spans="1:14" s="832" customFormat="1" x14ac:dyDescent="0.25">
      <c r="A216" s="826"/>
      <c r="B216" s="827" t="s">
        <v>341</v>
      </c>
      <c r="C216" s="828">
        <v>12000</v>
      </c>
      <c r="D216" s="829"/>
      <c r="E216" s="830">
        <f t="shared" si="24"/>
        <v>12000</v>
      </c>
      <c r="F216" s="824"/>
      <c r="G216" s="824">
        <v>12000</v>
      </c>
      <c r="H216" s="824"/>
      <c r="I216" s="822"/>
      <c r="J216" s="822" t="s">
        <v>142</v>
      </c>
      <c r="K216" s="821"/>
      <c r="L216" s="825"/>
      <c r="M216" s="825" t="s">
        <v>695</v>
      </c>
      <c r="N216" s="831"/>
    </row>
    <row r="217" spans="1:14" s="832" customFormat="1" ht="31.5" x14ac:dyDescent="0.25">
      <c r="A217" s="826"/>
      <c r="B217" s="827" t="s">
        <v>761</v>
      </c>
      <c r="C217" s="828">
        <v>41000</v>
      </c>
      <c r="D217" s="829"/>
      <c r="E217" s="830">
        <f t="shared" si="24"/>
        <v>41000</v>
      </c>
      <c r="F217" s="824"/>
      <c r="G217" s="824">
        <v>41000</v>
      </c>
      <c r="H217" s="824"/>
      <c r="I217" s="822"/>
      <c r="J217" s="822" t="s">
        <v>142</v>
      </c>
      <c r="K217" s="821"/>
      <c r="L217" s="825"/>
      <c r="M217" s="825" t="s">
        <v>695</v>
      </c>
      <c r="N217" s="831"/>
    </row>
    <row r="218" spans="1:14" s="832" customFormat="1" ht="31.5" x14ac:dyDescent="0.25">
      <c r="A218" s="826"/>
      <c r="B218" s="827" t="s">
        <v>762</v>
      </c>
      <c r="C218" s="828">
        <v>4000</v>
      </c>
      <c r="D218" s="829"/>
      <c r="E218" s="830">
        <f t="shared" si="24"/>
        <v>4000</v>
      </c>
      <c r="F218" s="824"/>
      <c r="G218" s="824">
        <v>4000</v>
      </c>
      <c r="H218" s="824"/>
      <c r="I218" s="822"/>
      <c r="J218" s="822" t="s">
        <v>142</v>
      </c>
      <c r="K218" s="821"/>
      <c r="L218" s="825"/>
      <c r="M218" s="825" t="s">
        <v>695</v>
      </c>
      <c r="N218" s="831"/>
    </row>
    <row r="219" spans="1:14" s="832" customFormat="1" ht="31.5" x14ac:dyDescent="0.25">
      <c r="A219" s="826"/>
      <c r="B219" s="827" t="s">
        <v>342</v>
      </c>
      <c r="C219" s="828">
        <v>1000</v>
      </c>
      <c r="D219" s="829"/>
      <c r="E219" s="830">
        <f t="shared" si="24"/>
        <v>1000</v>
      </c>
      <c r="F219" s="824"/>
      <c r="G219" s="824">
        <v>1000</v>
      </c>
      <c r="H219" s="824"/>
      <c r="I219" s="822"/>
      <c r="J219" s="822" t="s">
        <v>142</v>
      </c>
      <c r="K219" s="821"/>
      <c r="L219" s="825"/>
      <c r="M219" s="825" t="s">
        <v>695</v>
      </c>
      <c r="N219" s="831"/>
    </row>
    <row r="220" spans="1:14" s="832" customFormat="1" x14ac:dyDescent="0.25">
      <c r="A220" s="826"/>
      <c r="B220" s="827" t="s">
        <v>763</v>
      </c>
      <c r="C220" s="828">
        <v>1500</v>
      </c>
      <c r="D220" s="829"/>
      <c r="E220" s="830">
        <f t="shared" si="24"/>
        <v>1500</v>
      </c>
      <c r="F220" s="824"/>
      <c r="G220" s="824">
        <v>1500</v>
      </c>
      <c r="H220" s="824"/>
      <c r="I220" s="822"/>
      <c r="J220" s="822" t="s">
        <v>142</v>
      </c>
      <c r="K220" s="821"/>
      <c r="L220" s="825"/>
      <c r="M220" s="825" t="s">
        <v>695</v>
      </c>
      <c r="N220" s="831"/>
    </row>
    <row r="221" spans="1:14" s="832" customFormat="1" x14ac:dyDescent="0.25">
      <c r="A221" s="826"/>
      <c r="B221" s="827" t="s">
        <v>764</v>
      </c>
      <c r="C221" s="828">
        <v>10000</v>
      </c>
      <c r="D221" s="829">
        <v>3406</v>
      </c>
      <c r="E221" s="830">
        <f t="shared" si="24"/>
        <v>13406</v>
      </c>
      <c r="F221" s="824"/>
      <c r="G221" s="824">
        <f>10000+3406</f>
        <v>13406</v>
      </c>
      <c r="H221" s="824"/>
      <c r="I221" s="822"/>
      <c r="J221" s="822"/>
      <c r="K221" s="821"/>
      <c r="L221" s="825"/>
      <c r="M221" s="825" t="s">
        <v>695</v>
      </c>
      <c r="N221" s="831"/>
    </row>
    <row r="222" spans="1:14" s="832" customFormat="1" x14ac:dyDescent="0.25">
      <c r="A222" s="826"/>
      <c r="B222" s="827" t="s">
        <v>552</v>
      </c>
      <c r="C222" s="828">
        <v>15000</v>
      </c>
      <c r="D222" s="829">
        <v>10000</v>
      </c>
      <c r="E222" s="830">
        <f t="shared" si="24"/>
        <v>25000</v>
      </c>
      <c r="F222" s="824"/>
      <c r="G222" s="824">
        <f>15000+10000</f>
        <v>25000</v>
      </c>
      <c r="H222" s="824"/>
      <c r="I222" s="822"/>
      <c r="J222" s="822"/>
      <c r="K222" s="821"/>
      <c r="L222" s="825"/>
      <c r="M222" s="825" t="s">
        <v>695</v>
      </c>
      <c r="N222" s="831"/>
    </row>
    <row r="223" spans="1:14" s="832" customFormat="1" x14ac:dyDescent="0.25">
      <c r="A223" s="826"/>
      <c r="B223" s="827" t="s">
        <v>553</v>
      </c>
      <c r="C223" s="828">
        <v>1000</v>
      </c>
      <c r="D223" s="829"/>
      <c r="E223" s="830">
        <f t="shared" si="24"/>
        <v>1000</v>
      </c>
      <c r="F223" s="824"/>
      <c r="G223" s="824">
        <v>1000</v>
      </c>
      <c r="H223" s="824"/>
      <c r="I223" s="822"/>
      <c r="J223" s="822"/>
      <c r="K223" s="821"/>
      <c r="L223" s="825"/>
      <c r="M223" s="825" t="s">
        <v>695</v>
      </c>
      <c r="N223" s="831"/>
    </row>
    <row r="224" spans="1:14" s="832" customFormat="1" x14ac:dyDescent="0.25">
      <c r="A224" s="826"/>
      <c r="B224" s="827" t="s">
        <v>765</v>
      </c>
      <c r="C224" s="828">
        <v>1000</v>
      </c>
      <c r="D224" s="829"/>
      <c r="E224" s="830">
        <f t="shared" si="24"/>
        <v>1000</v>
      </c>
      <c r="F224" s="824"/>
      <c r="G224" s="824">
        <v>1000</v>
      </c>
      <c r="H224" s="824"/>
      <c r="I224" s="822"/>
      <c r="J224" s="822"/>
      <c r="K224" s="821"/>
      <c r="L224" s="825"/>
      <c r="M224" s="825" t="s">
        <v>695</v>
      </c>
      <c r="N224" s="831"/>
    </row>
    <row r="225" spans="1:14" s="832" customFormat="1" x14ac:dyDescent="0.25">
      <c r="A225" s="826"/>
      <c r="B225" s="827" t="s">
        <v>766</v>
      </c>
      <c r="C225" s="828">
        <v>10000</v>
      </c>
      <c r="D225" s="829"/>
      <c r="E225" s="830">
        <f t="shared" si="24"/>
        <v>10000</v>
      </c>
      <c r="F225" s="824"/>
      <c r="G225" s="824">
        <v>10000</v>
      </c>
      <c r="H225" s="824"/>
      <c r="I225" s="822"/>
      <c r="J225" s="822" t="s">
        <v>142</v>
      </c>
      <c r="K225" s="821"/>
      <c r="L225" s="825"/>
      <c r="M225" s="825" t="s">
        <v>695</v>
      </c>
      <c r="N225" s="831"/>
    </row>
    <row r="226" spans="1:14" s="832" customFormat="1" x14ac:dyDescent="0.25">
      <c r="A226" s="826"/>
      <c r="B226" s="827" t="s">
        <v>767</v>
      </c>
      <c r="C226" s="828">
        <v>7000</v>
      </c>
      <c r="D226" s="829"/>
      <c r="E226" s="830">
        <f t="shared" si="24"/>
        <v>7000</v>
      </c>
      <c r="F226" s="824"/>
      <c r="G226" s="824">
        <v>7000</v>
      </c>
      <c r="H226" s="824"/>
      <c r="I226" s="822"/>
      <c r="J226" s="822" t="s">
        <v>142</v>
      </c>
      <c r="K226" s="821"/>
      <c r="L226" s="825"/>
      <c r="M226" s="825" t="s">
        <v>695</v>
      </c>
      <c r="N226" s="831"/>
    </row>
    <row r="227" spans="1:14" s="832" customFormat="1" x14ac:dyDescent="0.25">
      <c r="A227" s="826"/>
      <c r="B227" s="827" t="s">
        <v>768</v>
      </c>
      <c r="C227" s="828">
        <v>7500</v>
      </c>
      <c r="D227" s="829"/>
      <c r="E227" s="830">
        <f t="shared" si="24"/>
        <v>7500</v>
      </c>
      <c r="F227" s="824"/>
      <c r="G227" s="824">
        <v>7500</v>
      </c>
      <c r="H227" s="824"/>
      <c r="I227" s="822"/>
      <c r="J227" s="822" t="s">
        <v>142</v>
      </c>
      <c r="K227" s="821"/>
      <c r="L227" s="825"/>
      <c r="M227" s="825" t="s">
        <v>695</v>
      </c>
      <c r="N227" s="831"/>
    </row>
    <row r="228" spans="1:14" s="832" customFormat="1" x14ac:dyDescent="0.25">
      <c r="A228" s="826"/>
      <c r="B228" s="827" t="s">
        <v>769</v>
      </c>
      <c r="C228" s="828">
        <v>3900</v>
      </c>
      <c r="D228" s="829"/>
      <c r="E228" s="830">
        <f t="shared" si="24"/>
        <v>3900</v>
      </c>
      <c r="F228" s="824"/>
      <c r="G228" s="824">
        <v>3900</v>
      </c>
      <c r="H228" s="824"/>
      <c r="I228" s="822"/>
      <c r="J228" s="822"/>
      <c r="K228" s="821"/>
      <c r="L228" s="825"/>
      <c r="M228" s="825" t="s">
        <v>695</v>
      </c>
      <c r="N228" s="831"/>
    </row>
    <row r="229" spans="1:14" s="832" customFormat="1" x14ac:dyDescent="0.25">
      <c r="A229" s="826"/>
      <c r="B229" s="827" t="s">
        <v>770</v>
      </c>
      <c r="C229" s="828">
        <v>25000</v>
      </c>
      <c r="D229" s="829"/>
      <c r="E229" s="830">
        <f t="shared" si="24"/>
        <v>25000</v>
      </c>
      <c r="F229" s="824"/>
      <c r="G229" s="824">
        <v>25000</v>
      </c>
      <c r="H229" s="824"/>
      <c r="I229" s="822"/>
      <c r="J229" s="822"/>
      <c r="K229" s="821"/>
      <c r="L229" s="825"/>
      <c r="M229" s="825" t="s">
        <v>695</v>
      </c>
      <c r="N229" s="831"/>
    </row>
    <row r="230" spans="1:14" s="832" customFormat="1" x14ac:dyDescent="0.25">
      <c r="A230" s="826"/>
      <c r="B230" s="827" t="s">
        <v>771</v>
      </c>
      <c r="C230" s="828">
        <v>7000</v>
      </c>
      <c r="D230" s="829"/>
      <c r="E230" s="830">
        <f t="shared" si="24"/>
        <v>7000</v>
      </c>
      <c r="F230" s="824"/>
      <c r="G230" s="824">
        <v>7000</v>
      </c>
      <c r="H230" s="824"/>
      <c r="I230" s="822"/>
      <c r="J230" s="822"/>
      <c r="K230" s="821"/>
      <c r="L230" s="825"/>
      <c r="M230" s="825" t="s">
        <v>695</v>
      </c>
      <c r="N230" s="831"/>
    </row>
    <row r="231" spans="1:14" s="832" customFormat="1" x14ac:dyDescent="0.25">
      <c r="A231" s="826"/>
      <c r="B231" s="827" t="s">
        <v>920</v>
      </c>
      <c r="C231" s="828">
        <v>7000</v>
      </c>
      <c r="D231" s="829"/>
      <c r="E231" s="830">
        <f t="shared" si="24"/>
        <v>7000</v>
      </c>
      <c r="F231" s="824"/>
      <c r="G231" s="824">
        <v>7000</v>
      </c>
      <c r="H231" s="824"/>
      <c r="I231" s="822"/>
      <c r="J231" s="822"/>
      <c r="K231" s="821"/>
      <c r="L231" s="825"/>
      <c r="M231" s="825" t="s">
        <v>695</v>
      </c>
      <c r="N231" s="831"/>
    </row>
    <row r="232" spans="1:14" s="832" customFormat="1" x14ac:dyDescent="0.25">
      <c r="A232" s="826"/>
      <c r="B232" s="827" t="s">
        <v>921</v>
      </c>
      <c r="C232" s="828">
        <v>500</v>
      </c>
      <c r="D232" s="829"/>
      <c r="E232" s="830">
        <f t="shared" si="24"/>
        <v>500</v>
      </c>
      <c r="F232" s="824"/>
      <c r="G232" s="824">
        <v>500</v>
      </c>
      <c r="H232" s="824"/>
      <c r="I232" s="822"/>
      <c r="J232" s="822"/>
      <c r="K232" s="821"/>
      <c r="L232" s="825"/>
      <c r="M232" s="825" t="s">
        <v>695</v>
      </c>
      <c r="N232" s="831"/>
    </row>
    <row r="233" spans="1:14" s="832" customFormat="1" x14ac:dyDescent="0.25">
      <c r="A233" s="826"/>
      <c r="B233" s="827" t="s">
        <v>922</v>
      </c>
      <c r="C233" s="828">
        <v>6457</v>
      </c>
      <c r="D233" s="829"/>
      <c r="E233" s="830">
        <f t="shared" si="24"/>
        <v>6457</v>
      </c>
      <c r="F233" s="824"/>
      <c r="G233" s="824">
        <v>6457</v>
      </c>
      <c r="H233" s="824"/>
      <c r="I233" s="822"/>
      <c r="J233" s="822"/>
      <c r="K233" s="821"/>
      <c r="L233" s="825"/>
      <c r="M233" s="825" t="s">
        <v>695</v>
      </c>
      <c r="N233" s="831"/>
    </row>
    <row r="234" spans="1:14" s="832" customFormat="1" ht="31.5" x14ac:dyDescent="0.25">
      <c r="A234" s="826"/>
      <c r="B234" s="827" t="s">
        <v>961</v>
      </c>
      <c r="C234" s="828">
        <v>45000</v>
      </c>
      <c r="D234" s="829"/>
      <c r="E234" s="830">
        <f t="shared" si="24"/>
        <v>45000</v>
      </c>
      <c r="F234" s="824"/>
      <c r="G234" s="824">
        <v>45000</v>
      </c>
      <c r="H234" s="824"/>
      <c r="I234" s="822"/>
      <c r="J234" s="822"/>
      <c r="K234" s="821"/>
      <c r="L234" s="825"/>
      <c r="M234" s="825" t="s">
        <v>695</v>
      </c>
      <c r="N234" s="831"/>
    </row>
    <row r="235" spans="1:14" s="832" customFormat="1" ht="31.5" x14ac:dyDescent="0.25">
      <c r="A235" s="826"/>
      <c r="B235" s="827" t="s">
        <v>962</v>
      </c>
      <c r="C235" s="828">
        <v>2956</v>
      </c>
      <c r="D235" s="829"/>
      <c r="E235" s="830">
        <f t="shared" si="24"/>
        <v>2956</v>
      </c>
      <c r="F235" s="824"/>
      <c r="G235" s="824">
        <v>2956</v>
      </c>
      <c r="H235" s="824"/>
      <c r="I235" s="822"/>
      <c r="J235" s="822"/>
      <c r="K235" s="821"/>
      <c r="L235" s="825"/>
      <c r="M235" s="825" t="s">
        <v>695</v>
      </c>
      <c r="N235" s="831"/>
    </row>
    <row r="236" spans="1:14" x14ac:dyDescent="0.25">
      <c r="A236" s="796" t="s">
        <v>100</v>
      </c>
      <c r="B236" s="812" t="s">
        <v>68</v>
      </c>
      <c r="C236" s="798">
        <v>6000</v>
      </c>
      <c r="D236" s="842"/>
      <c r="E236" s="798">
        <f>SUM(C236:D236)</f>
        <v>6000</v>
      </c>
      <c r="F236" s="800"/>
      <c r="G236" s="856">
        <v>6000</v>
      </c>
      <c r="H236" s="856"/>
      <c r="I236" s="855" t="s">
        <v>142</v>
      </c>
      <c r="J236" s="855"/>
      <c r="K236" s="856"/>
      <c r="L236" s="855" t="s">
        <v>695</v>
      </c>
      <c r="M236" s="855"/>
      <c r="N236" s="874"/>
    </row>
    <row r="237" spans="1:14" x14ac:dyDescent="0.25">
      <c r="A237" s="796" t="s">
        <v>101</v>
      </c>
      <c r="B237" s="812" t="s">
        <v>554</v>
      </c>
      <c r="C237" s="799">
        <f t="shared" ref="C237:E237" si="25">SUM(C238,C244,C245,C246,C247)</f>
        <v>222443</v>
      </c>
      <c r="D237" s="799">
        <f t="shared" si="25"/>
        <v>-1205</v>
      </c>
      <c r="E237" s="814">
        <f t="shared" si="25"/>
        <v>221238</v>
      </c>
      <c r="F237" s="814">
        <f>SUM(F238,F244,F245,F246,F247)</f>
        <v>0</v>
      </c>
      <c r="G237" s="814">
        <f>SUM(G238,G244,G245,G246,G247)</f>
        <v>224703</v>
      </c>
      <c r="H237" s="814">
        <f>SUM(H238,H244,H245,H246,H247)</f>
        <v>-3465</v>
      </c>
      <c r="I237" s="801" t="s">
        <v>142</v>
      </c>
      <c r="J237" s="801" t="s">
        <v>142</v>
      </c>
      <c r="K237" s="814"/>
      <c r="L237" s="801" t="s">
        <v>695</v>
      </c>
      <c r="M237" s="801" t="s">
        <v>695</v>
      </c>
      <c r="N237" s="875"/>
    </row>
    <row r="238" spans="1:14" x14ac:dyDescent="0.25">
      <c r="A238" s="796"/>
      <c r="B238" s="812" t="s">
        <v>102</v>
      </c>
      <c r="C238" s="798">
        <v>75499</v>
      </c>
      <c r="D238" s="799">
        <f t="shared" ref="D238:E238" si="26">SUM(D239:D243)</f>
        <v>0</v>
      </c>
      <c r="E238" s="814">
        <f t="shared" si="26"/>
        <v>75499</v>
      </c>
      <c r="F238" s="814">
        <f>SUM(F239:F243)</f>
        <v>0</v>
      </c>
      <c r="G238" s="814">
        <f t="shared" ref="G238:H238" si="27">SUM(G239:G243)</f>
        <v>75499</v>
      </c>
      <c r="H238" s="814">
        <f t="shared" si="27"/>
        <v>0</v>
      </c>
      <c r="I238" s="801"/>
      <c r="J238" s="801" t="s">
        <v>142</v>
      </c>
      <c r="K238" s="814"/>
      <c r="L238" s="801" t="s">
        <v>695</v>
      </c>
      <c r="M238" s="801" t="s">
        <v>695</v>
      </c>
      <c r="N238" s="875"/>
    </row>
    <row r="239" spans="1:14" x14ac:dyDescent="0.25">
      <c r="A239" s="796"/>
      <c r="B239" s="818" t="s">
        <v>69</v>
      </c>
      <c r="C239" s="819">
        <v>5400</v>
      </c>
      <c r="D239" s="820"/>
      <c r="E239" s="819">
        <f>SUM(C239:D239)</f>
        <v>5400</v>
      </c>
      <c r="F239" s="821"/>
      <c r="G239" s="859">
        <f>5000+400</f>
        <v>5400</v>
      </c>
      <c r="H239" s="859"/>
      <c r="I239" s="858"/>
      <c r="J239" s="858" t="s">
        <v>142</v>
      </c>
      <c r="K239" s="859"/>
      <c r="L239" s="858"/>
      <c r="M239" s="858" t="s">
        <v>695</v>
      </c>
      <c r="N239" s="873"/>
    </row>
    <row r="240" spans="1:14" x14ac:dyDescent="0.25">
      <c r="A240" s="796"/>
      <c r="B240" s="836" t="s">
        <v>70</v>
      </c>
      <c r="C240" s="837">
        <v>8000</v>
      </c>
      <c r="D240" s="838"/>
      <c r="E240" s="819">
        <f t="shared" ref="E240:E243" si="28">SUM(C240:D240)</f>
        <v>8000</v>
      </c>
      <c r="F240" s="821"/>
      <c r="G240" s="859">
        <v>8000</v>
      </c>
      <c r="H240" s="859"/>
      <c r="I240" s="858"/>
      <c r="J240" s="858" t="s">
        <v>142</v>
      </c>
      <c r="K240" s="859"/>
      <c r="L240" s="858"/>
      <c r="M240" s="858" t="s">
        <v>695</v>
      </c>
      <c r="N240" s="873"/>
    </row>
    <row r="241" spans="1:14" x14ac:dyDescent="0.25">
      <c r="A241" s="796"/>
      <c r="B241" s="836" t="s">
        <v>71</v>
      </c>
      <c r="C241" s="837">
        <v>56599</v>
      </c>
      <c r="D241" s="838"/>
      <c r="E241" s="819">
        <f t="shared" si="28"/>
        <v>56599</v>
      </c>
      <c r="F241" s="821"/>
      <c r="G241" s="859">
        <f>56500+99</f>
        <v>56599</v>
      </c>
      <c r="H241" s="859"/>
      <c r="I241" s="858" t="s">
        <v>142</v>
      </c>
      <c r="J241" s="858" t="s">
        <v>142</v>
      </c>
      <c r="K241" s="859"/>
      <c r="L241" s="858" t="s">
        <v>695</v>
      </c>
      <c r="M241" s="858" t="s">
        <v>695</v>
      </c>
      <c r="N241" s="873"/>
    </row>
    <row r="242" spans="1:14" x14ac:dyDescent="0.25">
      <c r="A242" s="796"/>
      <c r="B242" s="836" t="s">
        <v>371</v>
      </c>
      <c r="C242" s="837">
        <v>1000</v>
      </c>
      <c r="D242" s="838"/>
      <c r="E242" s="819">
        <f t="shared" si="28"/>
        <v>1000</v>
      </c>
      <c r="F242" s="821"/>
      <c r="G242" s="859">
        <v>1000</v>
      </c>
      <c r="H242" s="859"/>
      <c r="I242" s="858"/>
      <c r="J242" s="858" t="s">
        <v>142</v>
      </c>
      <c r="K242" s="859"/>
      <c r="L242" s="858"/>
      <c r="M242" s="858" t="s">
        <v>695</v>
      </c>
      <c r="N242" s="873"/>
    </row>
    <row r="243" spans="1:14" x14ac:dyDescent="0.25">
      <c r="A243" s="796"/>
      <c r="B243" s="836" t="s">
        <v>343</v>
      </c>
      <c r="C243" s="837">
        <v>4500</v>
      </c>
      <c r="D243" s="838"/>
      <c r="E243" s="819">
        <f t="shared" si="28"/>
        <v>4500</v>
      </c>
      <c r="F243" s="821"/>
      <c r="G243" s="859">
        <v>4500</v>
      </c>
      <c r="H243" s="859"/>
      <c r="I243" s="858"/>
      <c r="J243" s="858" t="s">
        <v>142</v>
      </c>
      <c r="K243" s="859"/>
      <c r="L243" s="858"/>
      <c r="M243" s="858" t="s">
        <v>695</v>
      </c>
      <c r="N243" s="873"/>
    </row>
    <row r="244" spans="1:14" x14ac:dyDescent="0.25">
      <c r="A244" s="796"/>
      <c r="B244" s="812" t="s">
        <v>119</v>
      </c>
      <c r="C244" s="798">
        <v>52029</v>
      </c>
      <c r="D244" s="813"/>
      <c r="E244" s="865">
        <f>SUM(C244:D244)</f>
        <v>52029</v>
      </c>
      <c r="F244" s="800"/>
      <c r="G244" s="800">
        <v>52029</v>
      </c>
      <c r="H244" s="800"/>
      <c r="I244" s="855" t="s">
        <v>142</v>
      </c>
      <c r="J244" s="855"/>
      <c r="K244" s="856"/>
      <c r="L244" s="855" t="s">
        <v>695</v>
      </c>
      <c r="M244" s="855"/>
      <c r="N244" s="874"/>
    </row>
    <row r="245" spans="1:14" x14ac:dyDescent="0.25">
      <c r="A245" s="796"/>
      <c r="B245" s="812" t="s">
        <v>103</v>
      </c>
      <c r="C245" s="798">
        <v>29985</v>
      </c>
      <c r="D245" s="813">
        <v>-45</v>
      </c>
      <c r="E245" s="865">
        <f t="shared" ref="E245:E247" si="29">SUM(C245:D245)</f>
        <v>29940</v>
      </c>
      <c r="F245" s="800"/>
      <c r="G245" s="800">
        <f>30000+245</f>
        <v>30245</v>
      </c>
      <c r="H245" s="800">
        <f>-260-45</f>
        <v>-305</v>
      </c>
      <c r="I245" s="855"/>
      <c r="J245" s="855" t="s">
        <v>142</v>
      </c>
      <c r="K245" s="856"/>
      <c r="L245" s="855"/>
      <c r="M245" s="855" t="s">
        <v>695</v>
      </c>
      <c r="N245" s="874"/>
    </row>
    <row r="246" spans="1:14" x14ac:dyDescent="0.25">
      <c r="A246" s="796"/>
      <c r="B246" s="812" t="s">
        <v>104</v>
      </c>
      <c r="C246" s="798">
        <v>39930</v>
      </c>
      <c r="D246" s="813">
        <v>-1160</v>
      </c>
      <c r="E246" s="865">
        <f t="shared" si="29"/>
        <v>38770</v>
      </c>
      <c r="F246" s="800"/>
      <c r="G246" s="800">
        <f>42000-70</f>
        <v>41930</v>
      </c>
      <c r="H246" s="800">
        <f>-2000-1160</f>
        <v>-3160</v>
      </c>
      <c r="I246" s="855"/>
      <c r="J246" s="855" t="s">
        <v>142</v>
      </c>
      <c r="K246" s="856"/>
      <c r="L246" s="855"/>
      <c r="M246" s="855" t="s">
        <v>695</v>
      </c>
      <c r="N246" s="874"/>
    </row>
    <row r="247" spans="1:14" ht="16.5" thickBot="1" x14ac:dyDescent="0.3">
      <c r="A247" s="796"/>
      <c r="B247" s="812" t="s">
        <v>72</v>
      </c>
      <c r="C247" s="798">
        <v>25000</v>
      </c>
      <c r="D247" s="813"/>
      <c r="E247" s="865">
        <f t="shared" si="29"/>
        <v>25000</v>
      </c>
      <c r="F247" s="800"/>
      <c r="G247" s="800">
        <v>25000</v>
      </c>
      <c r="H247" s="800"/>
      <c r="I247" s="801" t="s">
        <v>142</v>
      </c>
      <c r="J247" s="801"/>
      <c r="K247" s="800"/>
      <c r="L247" s="801" t="s">
        <v>695</v>
      </c>
      <c r="M247" s="801"/>
      <c r="N247" s="875"/>
    </row>
    <row r="248" spans="1:14" ht="16.5" thickBot="1" x14ac:dyDescent="0.3">
      <c r="A248" s="876"/>
      <c r="B248" s="877" t="s">
        <v>79</v>
      </c>
      <c r="C248" s="878">
        <f t="shared" ref="C248:H248" si="30">SUM(C4,C85,C88,C93,C97,C106,C236,C237)</f>
        <v>56504645</v>
      </c>
      <c r="D248" s="878">
        <f t="shared" si="30"/>
        <v>1210569</v>
      </c>
      <c r="E248" s="879">
        <f t="shared" si="30"/>
        <v>57788349</v>
      </c>
      <c r="F248" s="879">
        <f t="shared" si="30"/>
        <v>45245</v>
      </c>
      <c r="G248" s="879">
        <f t="shared" si="30"/>
        <v>57827307</v>
      </c>
      <c r="H248" s="879">
        <f t="shared" si="30"/>
        <v>-84203</v>
      </c>
      <c r="I248" s="880" t="s">
        <v>143</v>
      </c>
      <c r="J248" s="880" t="s">
        <v>143</v>
      </c>
      <c r="K248" s="880" t="s">
        <v>143</v>
      </c>
      <c r="L248" s="880" t="s">
        <v>143</v>
      </c>
      <c r="M248" s="880" t="s">
        <v>143</v>
      </c>
      <c r="N248" s="881" t="s">
        <v>143</v>
      </c>
    </row>
    <row r="249" spans="1:14" x14ac:dyDescent="0.25">
      <c r="A249" s="876"/>
      <c r="B249" s="882" t="s">
        <v>78</v>
      </c>
      <c r="C249" s="883">
        <v>109885</v>
      </c>
      <c r="D249" s="884">
        <v>-36597</v>
      </c>
      <c r="E249" s="885">
        <f>SUM(C249:D249)</f>
        <v>73288</v>
      </c>
      <c r="F249" s="886">
        <v>0</v>
      </c>
      <c r="G249" s="886">
        <f>250000-138300-36597</f>
        <v>75103</v>
      </c>
      <c r="H249" s="886">
        <v>-1815</v>
      </c>
      <c r="I249" s="887"/>
      <c r="J249" s="888" t="s">
        <v>142</v>
      </c>
      <c r="K249" s="889"/>
      <c r="L249" s="887"/>
      <c r="M249" s="888" t="s">
        <v>695</v>
      </c>
      <c r="N249" s="890"/>
    </row>
    <row r="250" spans="1:14" x14ac:dyDescent="0.25">
      <c r="A250" s="876"/>
      <c r="B250" s="891" t="s">
        <v>73</v>
      </c>
      <c r="C250" s="892">
        <f t="shared" ref="C250:E250" si="31">SUM(C251:C263)</f>
        <v>2085542</v>
      </c>
      <c r="D250" s="892">
        <f t="shared" si="31"/>
        <v>541979</v>
      </c>
      <c r="E250" s="893">
        <f t="shared" si="31"/>
        <v>2627521</v>
      </c>
      <c r="F250" s="893">
        <f>SUM(F251:F263)</f>
        <v>0</v>
      </c>
      <c r="G250" s="894">
        <f>SUM(G251:G263)</f>
        <v>3337328</v>
      </c>
      <c r="H250" s="894">
        <f>SUM(H251:H263)</f>
        <v>-709807</v>
      </c>
      <c r="I250" s="815" t="s">
        <v>142</v>
      </c>
      <c r="J250" s="815" t="s">
        <v>142</v>
      </c>
      <c r="K250" s="894"/>
      <c r="L250" s="815" t="s">
        <v>695</v>
      </c>
      <c r="M250" s="815" t="s">
        <v>695</v>
      </c>
      <c r="N250" s="871"/>
    </row>
    <row r="251" spans="1:14" x14ac:dyDescent="0.25">
      <c r="A251" s="895"/>
      <c r="B251" s="843" t="s">
        <v>130</v>
      </c>
      <c r="C251" s="896">
        <v>49623</v>
      </c>
      <c r="D251" s="897">
        <v>-231</v>
      </c>
      <c r="E251" s="898">
        <f>SUM(C251:D251)</f>
        <v>49392</v>
      </c>
      <c r="F251" s="899"/>
      <c r="G251" s="899">
        <v>50000</v>
      </c>
      <c r="H251" s="899">
        <f>-377-231</f>
        <v>-608</v>
      </c>
      <c r="I251" s="900" t="s">
        <v>142</v>
      </c>
      <c r="J251" s="900"/>
      <c r="K251" s="901"/>
      <c r="L251" s="902" t="s">
        <v>695</v>
      </c>
      <c r="M251" s="902"/>
      <c r="N251" s="903"/>
    </row>
    <row r="252" spans="1:14" ht="31.5" x14ac:dyDescent="0.25">
      <c r="A252" s="895"/>
      <c r="B252" s="843" t="s">
        <v>117</v>
      </c>
      <c r="C252" s="904">
        <v>53726</v>
      </c>
      <c r="D252" s="897">
        <v>-45165</v>
      </c>
      <c r="E252" s="898">
        <f t="shared" ref="E252:E263" si="32">SUM(C252:D252)</f>
        <v>8561</v>
      </c>
      <c r="F252" s="899"/>
      <c r="G252" s="899">
        <v>80000</v>
      </c>
      <c r="H252" s="899">
        <f>-26274-45165</f>
        <v>-71439</v>
      </c>
      <c r="I252" s="900" t="s">
        <v>142</v>
      </c>
      <c r="J252" s="900"/>
      <c r="K252" s="901"/>
      <c r="L252" s="905" t="s">
        <v>695</v>
      </c>
      <c r="M252" s="905"/>
      <c r="N252" s="906"/>
    </row>
    <row r="253" spans="1:14" x14ac:dyDescent="0.25">
      <c r="A253" s="895"/>
      <c r="B253" s="843" t="s">
        <v>254</v>
      </c>
      <c r="C253" s="904">
        <v>182897</v>
      </c>
      <c r="D253" s="897">
        <v>-76128</v>
      </c>
      <c r="E253" s="898">
        <f t="shared" si="32"/>
        <v>106769</v>
      </c>
      <c r="F253" s="899"/>
      <c r="G253" s="899">
        <v>232000</v>
      </c>
      <c r="H253" s="899">
        <f>-49103-76128</f>
        <v>-125231</v>
      </c>
      <c r="I253" s="900"/>
      <c r="J253" s="900" t="s">
        <v>142</v>
      </c>
      <c r="K253" s="901"/>
      <c r="L253" s="905"/>
      <c r="M253" s="905" t="s">
        <v>695</v>
      </c>
      <c r="N253" s="906"/>
    </row>
    <row r="254" spans="1:14" ht="47.25" x14ac:dyDescent="0.25">
      <c r="A254" s="895"/>
      <c r="B254" s="827" t="s">
        <v>772</v>
      </c>
      <c r="C254" s="898">
        <v>240869</v>
      </c>
      <c r="D254" s="897">
        <f>6393+54312-170671</f>
        <v>-109966</v>
      </c>
      <c r="E254" s="898">
        <f t="shared" si="32"/>
        <v>130903</v>
      </c>
      <c r="F254" s="899"/>
      <c r="G254" s="899">
        <f>320000+6393</f>
        <v>326393</v>
      </c>
      <c r="H254" s="899">
        <f>-79131+54312-170671</f>
        <v>-195490</v>
      </c>
      <c r="I254" s="900" t="s">
        <v>142</v>
      </c>
      <c r="J254" s="900"/>
      <c r="K254" s="901"/>
      <c r="L254" s="905" t="s">
        <v>695</v>
      </c>
      <c r="M254" s="905"/>
      <c r="N254" s="906"/>
    </row>
    <row r="255" spans="1:14" x14ac:dyDescent="0.25">
      <c r="A255" s="895"/>
      <c r="B255" s="827" t="s">
        <v>773</v>
      </c>
      <c r="C255" s="898">
        <v>4000</v>
      </c>
      <c r="D255" s="897">
        <v>-3944</v>
      </c>
      <c r="E255" s="898">
        <f t="shared" si="32"/>
        <v>56</v>
      </c>
      <c r="F255" s="899"/>
      <c r="G255" s="899">
        <v>4000</v>
      </c>
      <c r="H255" s="899">
        <v>-3944</v>
      </c>
      <c r="I255" s="900"/>
      <c r="J255" s="900"/>
      <c r="K255" s="901"/>
      <c r="L255" s="905" t="s">
        <v>695</v>
      </c>
      <c r="M255" s="905"/>
      <c r="N255" s="906"/>
    </row>
    <row r="256" spans="1:14" ht="31.5" x14ac:dyDescent="0.25">
      <c r="A256" s="895"/>
      <c r="B256" s="843" t="s">
        <v>344</v>
      </c>
      <c r="C256" s="904">
        <v>55491</v>
      </c>
      <c r="D256" s="897">
        <v>-42601</v>
      </c>
      <c r="E256" s="898">
        <f t="shared" si="32"/>
        <v>12890</v>
      </c>
      <c r="F256" s="899"/>
      <c r="G256" s="899">
        <v>65976</v>
      </c>
      <c r="H256" s="899">
        <f>-10485-42601</f>
        <v>-53086</v>
      </c>
      <c r="I256" s="900" t="s">
        <v>142</v>
      </c>
      <c r="J256" s="900"/>
      <c r="K256" s="901"/>
      <c r="L256" s="905" t="s">
        <v>695</v>
      </c>
      <c r="M256" s="905"/>
      <c r="N256" s="906"/>
    </row>
    <row r="257" spans="1:14" ht="31.5" x14ac:dyDescent="0.25">
      <c r="A257" s="895"/>
      <c r="B257" s="843" t="s">
        <v>963</v>
      </c>
      <c r="C257" s="904">
        <v>586</v>
      </c>
      <c r="D257" s="897"/>
      <c r="E257" s="904">
        <f t="shared" si="32"/>
        <v>586</v>
      </c>
      <c r="F257" s="899"/>
      <c r="G257" s="907">
        <v>586</v>
      </c>
      <c r="H257" s="907"/>
      <c r="I257" s="900" t="s">
        <v>142</v>
      </c>
      <c r="J257" s="900"/>
      <c r="K257" s="901"/>
      <c r="L257" s="905" t="s">
        <v>695</v>
      </c>
      <c r="M257" s="905"/>
      <c r="N257" s="906"/>
    </row>
    <row r="258" spans="1:14" x14ac:dyDescent="0.25">
      <c r="A258" s="895"/>
      <c r="B258" s="827" t="s">
        <v>964</v>
      </c>
      <c r="C258" s="898">
        <v>0</v>
      </c>
      <c r="D258" s="897">
        <f>13114-11993-1121</f>
        <v>0</v>
      </c>
      <c r="E258" s="898">
        <f t="shared" si="32"/>
        <v>0</v>
      </c>
      <c r="F258" s="899"/>
      <c r="G258" s="899">
        <v>12361</v>
      </c>
      <c r="H258" s="899">
        <f>-11242-1119</f>
        <v>-12361</v>
      </c>
      <c r="I258" s="900"/>
      <c r="J258" s="900"/>
      <c r="K258" s="901"/>
      <c r="L258" s="905" t="s">
        <v>695</v>
      </c>
      <c r="M258" s="905"/>
      <c r="N258" s="906"/>
    </row>
    <row r="259" spans="1:14" x14ac:dyDescent="0.25">
      <c r="A259" s="895"/>
      <c r="B259" s="827" t="s">
        <v>965</v>
      </c>
      <c r="C259" s="898">
        <v>0</v>
      </c>
      <c r="D259" s="897">
        <f>60554-60554</f>
        <v>0</v>
      </c>
      <c r="E259" s="898">
        <f t="shared" si="32"/>
        <v>0</v>
      </c>
      <c r="F259" s="899"/>
      <c r="G259" s="899">
        <v>58928</v>
      </c>
      <c r="H259" s="899">
        <v>-58928</v>
      </c>
      <c r="I259" s="900"/>
      <c r="J259" s="900"/>
      <c r="K259" s="901"/>
      <c r="L259" s="905" t="s">
        <v>695</v>
      </c>
      <c r="M259" s="905"/>
      <c r="N259" s="906"/>
    </row>
    <row r="260" spans="1:14" ht="31.5" x14ac:dyDescent="0.25">
      <c r="A260" s="895"/>
      <c r="B260" s="827" t="s">
        <v>966</v>
      </c>
      <c r="C260" s="898">
        <v>0</v>
      </c>
      <c r="D260" s="897">
        <f>2631-2631</f>
        <v>0</v>
      </c>
      <c r="E260" s="898">
        <f t="shared" si="32"/>
        <v>0</v>
      </c>
      <c r="F260" s="899"/>
      <c r="G260" s="899">
        <v>1810</v>
      </c>
      <c r="H260" s="899">
        <v>-1810</v>
      </c>
      <c r="I260" s="900" t="s">
        <v>142</v>
      </c>
      <c r="J260" s="900"/>
      <c r="K260" s="901"/>
      <c r="L260" s="905" t="s">
        <v>695</v>
      </c>
      <c r="M260" s="905"/>
      <c r="N260" s="906"/>
    </row>
    <row r="261" spans="1:14" x14ac:dyDescent="0.25">
      <c r="A261" s="895"/>
      <c r="B261" s="827" t="s">
        <v>967</v>
      </c>
      <c r="C261" s="898">
        <v>0</v>
      </c>
      <c r="D261" s="897">
        <f>29983-29983</f>
        <v>0</v>
      </c>
      <c r="E261" s="898">
        <f t="shared" si="32"/>
        <v>0</v>
      </c>
      <c r="F261" s="899"/>
      <c r="G261" s="899">
        <v>29375</v>
      </c>
      <c r="H261" s="899">
        <v>-29375</v>
      </c>
      <c r="I261" s="900" t="s">
        <v>142</v>
      </c>
      <c r="J261" s="900"/>
      <c r="K261" s="901"/>
      <c r="L261" s="905" t="s">
        <v>695</v>
      </c>
      <c r="M261" s="905"/>
      <c r="N261" s="906"/>
    </row>
    <row r="262" spans="1:14" x14ac:dyDescent="0.25">
      <c r="A262" s="895"/>
      <c r="B262" s="827" t="s">
        <v>968</v>
      </c>
      <c r="C262" s="898">
        <v>150000</v>
      </c>
      <c r="D262" s="897"/>
      <c r="E262" s="898">
        <f t="shared" si="32"/>
        <v>150000</v>
      </c>
      <c r="F262" s="899"/>
      <c r="G262" s="899">
        <v>150000</v>
      </c>
      <c r="H262" s="899"/>
      <c r="I262" s="900" t="s">
        <v>142</v>
      </c>
      <c r="J262" s="900"/>
      <c r="K262" s="901"/>
      <c r="L262" s="905" t="s">
        <v>695</v>
      </c>
      <c r="M262" s="905"/>
      <c r="N262" s="906"/>
    </row>
    <row r="263" spans="1:14" ht="16.5" thickBot="1" x14ac:dyDescent="0.3">
      <c r="A263" s="895"/>
      <c r="B263" s="827" t="s">
        <v>969</v>
      </c>
      <c r="C263" s="898">
        <v>1348350</v>
      </c>
      <c r="D263" s="897">
        <f>1526715-668197-28504-10000</f>
        <v>820014</v>
      </c>
      <c r="E263" s="898">
        <f t="shared" si="32"/>
        <v>2168364</v>
      </c>
      <c r="F263" s="899"/>
      <c r="G263" s="899">
        <f>2013702-536321+1526715-668197-10000</f>
        <v>2325899</v>
      </c>
      <c r="H263" s="899">
        <f>-118138-10893-28504</f>
        <v>-157535</v>
      </c>
      <c r="I263" s="908" t="s">
        <v>142</v>
      </c>
      <c r="J263" s="908"/>
      <c r="K263" s="909"/>
      <c r="L263" s="905" t="s">
        <v>695</v>
      </c>
      <c r="M263" s="905"/>
      <c r="N263" s="906"/>
    </row>
    <row r="264" spans="1:14" ht="16.5" thickBot="1" x14ac:dyDescent="0.3">
      <c r="A264" s="910"/>
      <c r="B264" s="877" t="s">
        <v>74</v>
      </c>
      <c r="C264" s="911">
        <f t="shared" ref="C264:E264" si="33">SUM(C248:C250)</f>
        <v>58700072</v>
      </c>
      <c r="D264" s="911">
        <f t="shared" si="33"/>
        <v>1715951</v>
      </c>
      <c r="E264" s="912">
        <f t="shared" si="33"/>
        <v>60489158</v>
      </c>
      <c r="F264" s="912">
        <f>SUM(F248:F250)</f>
        <v>45245</v>
      </c>
      <c r="G264" s="912">
        <f>SUM(G248:G250)</f>
        <v>61239738</v>
      </c>
      <c r="H264" s="912">
        <f>SUM(H248:H250)</f>
        <v>-795825</v>
      </c>
      <c r="I264" s="881" t="s">
        <v>143</v>
      </c>
      <c r="J264" s="881" t="s">
        <v>143</v>
      </c>
      <c r="K264" s="881" t="s">
        <v>143</v>
      </c>
      <c r="L264" s="881" t="s">
        <v>143</v>
      </c>
      <c r="M264" s="881" t="s">
        <v>143</v>
      </c>
      <c r="N264" s="881" t="s">
        <v>143</v>
      </c>
    </row>
    <row r="267" spans="1:14" x14ac:dyDescent="0.25">
      <c r="C267" s="778"/>
      <c r="D267" s="778"/>
      <c r="F267" s="778"/>
      <c r="H267" s="913"/>
      <c r="L267" s="914"/>
      <c r="M267" s="914"/>
      <c r="N267" s="914"/>
    </row>
    <row r="271" spans="1:14" x14ac:dyDescent="0.25">
      <c r="C271" s="778"/>
      <c r="D271" s="778"/>
      <c r="F271" s="778"/>
      <c r="G271" s="913"/>
      <c r="H271" s="913"/>
      <c r="I271" s="914"/>
      <c r="J271" s="914"/>
      <c r="K271" s="913"/>
      <c r="L271" s="914"/>
      <c r="M271" s="914"/>
      <c r="N271" s="914"/>
    </row>
  </sheetData>
  <mergeCells count="1">
    <mergeCell ref="A1:N1"/>
  </mergeCells>
  <printOptions horizontalCentered="1"/>
  <pageMargins left="0.19685039370078741" right="0.27559055118110237" top="0.9055118110236221" bottom="0.62992125984251968" header="0.35433070866141736" footer="0.15748031496062992"/>
  <pageSetup paperSize="9" scale="48" orientation="portrait" r:id="rId1"/>
  <headerFooter alignWithMargins="0">
    <oddHeader xml:space="preserve">&amp;R&amp;"Times New Roman CE,Félkövér"10. melléklet a 23/2018.(X.15.) önkormányzati rendelethez&amp;"Times New Roman CE,Dőlt"&amp;11
 11. melléklet
a 3/2018.(II.8.) önkormányzati rendelethez
</oddHeader>
  </headerFooter>
  <rowBreaks count="2" manualBreakCount="2">
    <brk id="76" max="13" man="1"/>
    <brk id="143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45"/>
  <sheetViews>
    <sheetView topLeftCell="A79" zoomScaleNormal="100" workbookViewId="0">
      <selection activeCell="I94" sqref="I94"/>
    </sheetView>
  </sheetViews>
  <sheetFormatPr defaultRowHeight="15.75" x14ac:dyDescent="0.25"/>
  <cols>
    <col min="1" max="1" width="68.875" style="596" customWidth="1"/>
    <col min="2" max="2" width="14.25" style="596" customWidth="1"/>
    <col min="3" max="3" width="14.375" style="596" customWidth="1"/>
    <col min="4" max="4" width="15" style="596" customWidth="1"/>
    <col min="5" max="253" width="9" style="596"/>
    <col min="254" max="254" width="56" style="596" bestFit="1" customWidth="1"/>
    <col min="255" max="255" width="25.5" style="596" customWidth="1"/>
    <col min="256" max="256" width="13.25" style="596" customWidth="1"/>
    <col min="257" max="257" width="49.75" style="596" customWidth="1"/>
    <col min="258" max="509" width="9" style="596"/>
    <col min="510" max="510" width="56" style="596" bestFit="1" customWidth="1"/>
    <col min="511" max="511" width="25.5" style="596" customWidth="1"/>
    <col min="512" max="512" width="13.25" style="596" customWidth="1"/>
    <col min="513" max="513" width="49.75" style="596" customWidth="1"/>
    <col min="514" max="765" width="9" style="596"/>
    <col min="766" max="766" width="56" style="596" bestFit="1" customWidth="1"/>
    <col min="767" max="767" width="25.5" style="596" customWidth="1"/>
    <col min="768" max="768" width="13.25" style="596" customWidth="1"/>
    <col min="769" max="769" width="49.75" style="596" customWidth="1"/>
    <col min="770" max="1021" width="9" style="596"/>
    <col min="1022" max="1022" width="56" style="596" bestFit="1" customWidth="1"/>
    <col min="1023" max="1023" width="25.5" style="596" customWidth="1"/>
    <col min="1024" max="1024" width="13.25" style="596" customWidth="1"/>
    <col min="1025" max="1025" width="49.75" style="596" customWidth="1"/>
    <col min="1026" max="1277" width="9" style="596"/>
    <col min="1278" max="1278" width="56" style="596" bestFit="1" customWidth="1"/>
    <col min="1279" max="1279" width="25.5" style="596" customWidth="1"/>
    <col min="1280" max="1280" width="13.25" style="596" customWidth="1"/>
    <col min="1281" max="1281" width="49.75" style="596" customWidth="1"/>
    <col min="1282" max="1533" width="9" style="596"/>
    <col min="1534" max="1534" width="56" style="596" bestFit="1" customWidth="1"/>
    <col min="1535" max="1535" width="25.5" style="596" customWidth="1"/>
    <col min="1536" max="1536" width="13.25" style="596" customWidth="1"/>
    <col min="1537" max="1537" width="49.75" style="596" customWidth="1"/>
    <col min="1538" max="1789" width="9" style="596"/>
    <col min="1790" max="1790" width="56" style="596" bestFit="1" customWidth="1"/>
    <col min="1791" max="1791" width="25.5" style="596" customWidth="1"/>
    <col min="1792" max="1792" width="13.25" style="596" customWidth="1"/>
    <col min="1793" max="1793" width="49.75" style="596" customWidth="1"/>
    <col min="1794" max="2045" width="9" style="596"/>
    <col min="2046" max="2046" width="56" style="596" bestFit="1" customWidth="1"/>
    <col min="2047" max="2047" width="25.5" style="596" customWidth="1"/>
    <col min="2048" max="2048" width="13.25" style="596" customWidth="1"/>
    <col min="2049" max="2049" width="49.75" style="596" customWidth="1"/>
    <col min="2050" max="2301" width="9" style="596"/>
    <col min="2302" max="2302" width="56" style="596" bestFit="1" customWidth="1"/>
    <col min="2303" max="2303" width="25.5" style="596" customWidth="1"/>
    <col min="2304" max="2304" width="13.25" style="596" customWidth="1"/>
    <col min="2305" max="2305" width="49.75" style="596" customWidth="1"/>
    <col min="2306" max="2557" width="9" style="596"/>
    <col min="2558" max="2558" width="56" style="596" bestFit="1" customWidth="1"/>
    <col min="2559" max="2559" width="25.5" style="596" customWidth="1"/>
    <col min="2560" max="2560" width="13.25" style="596" customWidth="1"/>
    <col min="2561" max="2561" width="49.75" style="596" customWidth="1"/>
    <col min="2562" max="2813" width="9" style="596"/>
    <col min="2814" max="2814" width="56" style="596" bestFit="1" customWidth="1"/>
    <col min="2815" max="2815" width="25.5" style="596" customWidth="1"/>
    <col min="2816" max="2816" width="13.25" style="596" customWidth="1"/>
    <col min="2817" max="2817" width="49.75" style="596" customWidth="1"/>
    <col min="2818" max="3069" width="9" style="596"/>
    <col min="3070" max="3070" width="56" style="596" bestFit="1" customWidth="1"/>
    <col min="3071" max="3071" width="25.5" style="596" customWidth="1"/>
    <col min="3072" max="3072" width="13.25" style="596" customWidth="1"/>
    <col min="3073" max="3073" width="49.75" style="596" customWidth="1"/>
    <col min="3074" max="3325" width="9" style="596"/>
    <col min="3326" max="3326" width="56" style="596" bestFit="1" customWidth="1"/>
    <col min="3327" max="3327" width="25.5" style="596" customWidth="1"/>
    <col min="3328" max="3328" width="13.25" style="596" customWidth="1"/>
    <col min="3329" max="3329" width="49.75" style="596" customWidth="1"/>
    <col min="3330" max="3581" width="9" style="596"/>
    <col min="3582" max="3582" width="56" style="596" bestFit="1" customWidth="1"/>
    <col min="3583" max="3583" width="25.5" style="596" customWidth="1"/>
    <col min="3584" max="3584" width="13.25" style="596" customWidth="1"/>
    <col min="3585" max="3585" width="49.75" style="596" customWidth="1"/>
    <col min="3586" max="3837" width="9" style="596"/>
    <col min="3838" max="3838" width="56" style="596" bestFit="1" customWidth="1"/>
    <col min="3839" max="3839" width="25.5" style="596" customWidth="1"/>
    <col min="3840" max="3840" width="13.25" style="596" customWidth="1"/>
    <col min="3841" max="3841" width="49.75" style="596" customWidth="1"/>
    <col min="3842" max="4093" width="9" style="596"/>
    <col min="4094" max="4094" width="56" style="596" bestFit="1" customWidth="1"/>
    <col min="4095" max="4095" width="25.5" style="596" customWidth="1"/>
    <col min="4096" max="4096" width="13.25" style="596" customWidth="1"/>
    <col min="4097" max="4097" width="49.75" style="596" customWidth="1"/>
    <col min="4098" max="4349" width="9" style="596"/>
    <col min="4350" max="4350" width="56" style="596" bestFit="1" customWidth="1"/>
    <col min="4351" max="4351" width="25.5" style="596" customWidth="1"/>
    <col min="4352" max="4352" width="13.25" style="596" customWidth="1"/>
    <col min="4353" max="4353" width="49.75" style="596" customWidth="1"/>
    <col min="4354" max="4605" width="9" style="596"/>
    <col min="4606" max="4606" width="56" style="596" bestFit="1" customWidth="1"/>
    <col min="4607" max="4607" width="25.5" style="596" customWidth="1"/>
    <col min="4608" max="4608" width="13.25" style="596" customWidth="1"/>
    <col min="4609" max="4609" width="49.75" style="596" customWidth="1"/>
    <col min="4610" max="4861" width="9" style="596"/>
    <col min="4862" max="4862" width="56" style="596" bestFit="1" customWidth="1"/>
    <col min="4863" max="4863" width="25.5" style="596" customWidth="1"/>
    <col min="4864" max="4864" width="13.25" style="596" customWidth="1"/>
    <col min="4865" max="4865" width="49.75" style="596" customWidth="1"/>
    <col min="4866" max="5117" width="9" style="596"/>
    <col min="5118" max="5118" width="56" style="596" bestFit="1" customWidth="1"/>
    <col min="5119" max="5119" width="25.5" style="596" customWidth="1"/>
    <col min="5120" max="5120" width="13.25" style="596" customWidth="1"/>
    <col min="5121" max="5121" width="49.75" style="596" customWidth="1"/>
    <col min="5122" max="5373" width="9" style="596"/>
    <col min="5374" max="5374" width="56" style="596" bestFit="1" customWidth="1"/>
    <col min="5375" max="5375" width="25.5" style="596" customWidth="1"/>
    <col min="5376" max="5376" width="13.25" style="596" customWidth="1"/>
    <col min="5377" max="5377" width="49.75" style="596" customWidth="1"/>
    <col min="5378" max="5629" width="9" style="596"/>
    <col min="5630" max="5630" width="56" style="596" bestFit="1" customWidth="1"/>
    <col min="5631" max="5631" width="25.5" style="596" customWidth="1"/>
    <col min="5632" max="5632" width="13.25" style="596" customWidth="1"/>
    <col min="5633" max="5633" width="49.75" style="596" customWidth="1"/>
    <col min="5634" max="5885" width="9" style="596"/>
    <col min="5886" max="5886" width="56" style="596" bestFit="1" customWidth="1"/>
    <col min="5887" max="5887" width="25.5" style="596" customWidth="1"/>
    <col min="5888" max="5888" width="13.25" style="596" customWidth="1"/>
    <col min="5889" max="5889" width="49.75" style="596" customWidth="1"/>
    <col min="5890" max="6141" width="9" style="596"/>
    <col min="6142" max="6142" width="56" style="596" bestFit="1" customWidth="1"/>
    <col min="6143" max="6143" width="25.5" style="596" customWidth="1"/>
    <col min="6144" max="6144" width="13.25" style="596" customWidth="1"/>
    <col min="6145" max="6145" width="49.75" style="596" customWidth="1"/>
    <col min="6146" max="6397" width="9" style="596"/>
    <col min="6398" max="6398" width="56" style="596" bestFit="1" customWidth="1"/>
    <col min="6399" max="6399" width="25.5" style="596" customWidth="1"/>
    <col min="6400" max="6400" width="13.25" style="596" customWidth="1"/>
    <col min="6401" max="6401" width="49.75" style="596" customWidth="1"/>
    <col min="6402" max="6653" width="9" style="596"/>
    <col min="6654" max="6654" width="56" style="596" bestFit="1" customWidth="1"/>
    <col min="6655" max="6655" width="25.5" style="596" customWidth="1"/>
    <col min="6656" max="6656" width="13.25" style="596" customWidth="1"/>
    <col min="6657" max="6657" width="49.75" style="596" customWidth="1"/>
    <col min="6658" max="6909" width="9" style="596"/>
    <col min="6910" max="6910" width="56" style="596" bestFit="1" customWidth="1"/>
    <col min="6911" max="6911" width="25.5" style="596" customWidth="1"/>
    <col min="6912" max="6912" width="13.25" style="596" customWidth="1"/>
    <col min="6913" max="6913" width="49.75" style="596" customWidth="1"/>
    <col min="6914" max="7165" width="9" style="596"/>
    <col min="7166" max="7166" width="56" style="596" bestFit="1" customWidth="1"/>
    <col min="7167" max="7167" width="25.5" style="596" customWidth="1"/>
    <col min="7168" max="7168" width="13.25" style="596" customWidth="1"/>
    <col min="7169" max="7169" width="49.75" style="596" customWidth="1"/>
    <col min="7170" max="7421" width="9" style="596"/>
    <col min="7422" max="7422" width="56" style="596" bestFit="1" customWidth="1"/>
    <col min="7423" max="7423" width="25.5" style="596" customWidth="1"/>
    <col min="7424" max="7424" width="13.25" style="596" customWidth="1"/>
    <col min="7425" max="7425" width="49.75" style="596" customWidth="1"/>
    <col min="7426" max="7677" width="9" style="596"/>
    <col min="7678" max="7678" width="56" style="596" bestFit="1" customWidth="1"/>
    <col min="7679" max="7679" width="25.5" style="596" customWidth="1"/>
    <col min="7680" max="7680" width="13.25" style="596" customWidth="1"/>
    <col min="7681" max="7681" width="49.75" style="596" customWidth="1"/>
    <col min="7682" max="7933" width="9" style="596"/>
    <col min="7934" max="7934" width="56" style="596" bestFit="1" customWidth="1"/>
    <col min="7935" max="7935" width="25.5" style="596" customWidth="1"/>
    <col min="7936" max="7936" width="13.25" style="596" customWidth="1"/>
    <col min="7937" max="7937" width="49.75" style="596" customWidth="1"/>
    <col min="7938" max="8189" width="9" style="596"/>
    <col min="8190" max="8190" width="56" style="596" bestFit="1" customWidth="1"/>
    <col min="8191" max="8191" width="25.5" style="596" customWidth="1"/>
    <col min="8192" max="8192" width="13.25" style="596" customWidth="1"/>
    <col min="8193" max="8193" width="49.75" style="596" customWidth="1"/>
    <col min="8194" max="8445" width="9" style="596"/>
    <col min="8446" max="8446" width="56" style="596" bestFit="1" customWidth="1"/>
    <col min="8447" max="8447" width="25.5" style="596" customWidth="1"/>
    <col min="8448" max="8448" width="13.25" style="596" customWidth="1"/>
    <col min="8449" max="8449" width="49.75" style="596" customWidth="1"/>
    <col min="8450" max="8701" width="9" style="596"/>
    <col min="8702" max="8702" width="56" style="596" bestFit="1" customWidth="1"/>
    <col min="8703" max="8703" width="25.5" style="596" customWidth="1"/>
    <col min="8704" max="8704" width="13.25" style="596" customWidth="1"/>
    <col min="8705" max="8705" width="49.75" style="596" customWidth="1"/>
    <col min="8706" max="8957" width="9" style="596"/>
    <col min="8958" max="8958" width="56" style="596" bestFit="1" customWidth="1"/>
    <col min="8959" max="8959" width="25.5" style="596" customWidth="1"/>
    <col min="8960" max="8960" width="13.25" style="596" customWidth="1"/>
    <col min="8961" max="8961" width="49.75" style="596" customWidth="1"/>
    <col min="8962" max="9213" width="9" style="596"/>
    <col min="9214" max="9214" width="56" style="596" bestFit="1" customWidth="1"/>
    <col min="9215" max="9215" width="25.5" style="596" customWidth="1"/>
    <col min="9216" max="9216" width="13.25" style="596" customWidth="1"/>
    <col min="9217" max="9217" width="49.75" style="596" customWidth="1"/>
    <col min="9218" max="9469" width="9" style="596"/>
    <col min="9470" max="9470" width="56" style="596" bestFit="1" customWidth="1"/>
    <col min="9471" max="9471" width="25.5" style="596" customWidth="1"/>
    <col min="9472" max="9472" width="13.25" style="596" customWidth="1"/>
    <col min="9473" max="9473" width="49.75" style="596" customWidth="1"/>
    <col min="9474" max="9725" width="9" style="596"/>
    <col min="9726" max="9726" width="56" style="596" bestFit="1" customWidth="1"/>
    <col min="9727" max="9727" width="25.5" style="596" customWidth="1"/>
    <col min="9728" max="9728" width="13.25" style="596" customWidth="1"/>
    <col min="9729" max="9729" width="49.75" style="596" customWidth="1"/>
    <col min="9730" max="9981" width="9" style="596"/>
    <col min="9982" max="9982" width="56" style="596" bestFit="1" customWidth="1"/>
    <col min="9983" max="9983" width="25.5" style="596" customWidth="1"/>
    <col min="9984" max="9984" width="13.25" style="596" customWidth="1"/>
    <col min="9985" max="9985" width="49.75" style="596" customWidth="1"/>
    <col min="9986" max="10237" width="9" style="596"/>
    <col min="10238" max="10238" width="56" style="596" bestFit="1" customWidth="1"/>
    <col min="10239" max="10239" width="25.5" style="596" customWidth="1"/>
    <col min="10240" max="10240" width="13.25" style="596" customWidth="1"/>
    <col min="10241" max="10241" width="49.75" style="596" customWidth="1"/>
    <col min="10242" max="10493" width="9" style="596"/>
    <col min="10494" max="10494" width="56" style="596" bestFit="1" customWidth="1"/>
    <col min="10495" max="10495" width="25.5" style="596" customWidth="1"/>
    <col min="10496" max="10496" width="13.25" style="596" customWidth="1"/>
    <col min="10497" max="10497" width="49.75" style="596" customWidth="1"/>
    <col min="10498" max="10749" width="9" style="596"/>
    <col min="10750" max="10750" width="56" style="596" bestFit="1" customWidth="1"/>
    <col min="10751" max="10751" width="25.5" style="596" customWidth="1"/>
    <col min="10752" max="10752" width="13.25" style="596" customWidth="1"/>
    <col min="10753" max="10753" width="49.75" style="596" customWidth="1"/>
    <col min="10754" max="11005" width="9" style="596"/>
    <col min="11006" max="11006" width="56" style="596" bestFit="1" customWidth="1"/>
    <col min="11007" max="11007" width="25.5" style="596" customWidth="1"/>
    <col min="11008" max="11008" width="13.25" style="596" customWidth="1"/>
    <col min="11009" max="11009" width="49.75" style="596" customWidth="1"/>
    <col min="11010" max="11261" width="9" style="596"/>
    <col min="11262" max="11262" width="56" style="596" bestFit="1" customWidth="1"/>
    <col min="11263" max="11263" width="25.5" style="596" customWidth="1"/>
    <col min="11264" max="11264" width="13.25" style="596" customWidth="1"/>
    <col min="11265" max="11265" width="49.75" style="596" customWidth="1"/>
    <col min="11266" max="11517" width="9" style="596"/>
    <col min="11518" max="11518" width="56" style="596" bestFit="1" customWidth="1"/>
    <col min="11519" max="11519" width="25.5" style="596" customWidth="1"/>
    <col min="11520" max="11520" width="13.25" style="596" customWidth="1"/>
    <col min="11521" max="11521" width="49.75" style="596" customWidth="1"/>
    <col min="11522" max="11773" width="9" style="596"/>
    <col min="11774" max="11774" width="56" style="596" bestFit="1" customWidth="1"/>
    <col min="11775" max="11775" width="25.5" style="596" customWidth="1"/>
    <col min="11776" max="11776" width="13.25" style="596" customWidth="1"/>
    <col min="11777" max="11777" width="49.75" style="596" customWidth="1"/>
    <col min="11778" max="12029" width="9" style="596"/>
    <col min="12030" max="12030" width="56" style="596" bestFit="1" customWidth="1"/>
    <col min="12031" max="12031" width="25.5" style="596" customWidth="1"/>
    <col min="12032" max="12032" width="13.25" style="596" customWidth="1"/>
    <col min="12033" max="12033" width="49.75" style="596" customWidth="1"/>
    <col min="12034" max="12285" width="9" style="596"/>
    <col min="12286" max="12286" width="56" style="596" bestFit="1" customWidth="1"/>
    <col min="12287" max="12287" width="25.5" style="596" customWidth="1"/>
    <col min="12288" max="12288" width="13.25" style="596" customWidth="1"/>
    <col min="12289" max="12289" width="49.75" style="596" customWidth="1"/>
    <col min="12290" max="12541" width="9" style="596"/>
    <col min="12542" max="12542" width="56" style="596" bestFit="1" customWidth="1"/>
    <col min="12543" max="12543" width="25.5" style="596" customWidth="1"/>
    <col min="12544" max="12544" width="13.25" style="596" customWidth="1"/>
    <col min="12545" max="12545" width="49.75" style="596" customWidth="1"/>
    <col min="12546" max="12797" width="9" style="596"/>
    <col min="12798" max="12798" width="56" style="596" bestFit="1" customWidth="1"/>
    <col min="12799" max="12799" width="25.5" style="596" customWidth="1"/>
    <col min="12800" max="12800" width="13.25" style="596" customWidth="1"/>
    <col min="12801" max="12801" width="49.75" style="596" customWidth="1"/>
    <col min="12802" max="13053" width="9" style="596"/>
    <col min="13054" max="13054" width="56" style="596" bestFit="1" customWidth="1"/>
    <col min="13055" max="13055" width="25.5" style="596" customWidth="1"/>
    <col min="13056" max="13056" width="13.25" style="596" customWidth="1"/>
    <col min="13057" max="13057" width="49.75" style="596" customWidth="1"/>
    <col min="13058" max="13309" width="9" style="596"/>
    <col min="13310" max="13310" width="56" style="596" bestFit="1" customWidth="1"/>
    <col min="13311" max="13311" width="25.5" style="596" customWidth="1"/>
    <col min="13312" max="13312" width="13.25" style="596" customWidth="1"/>
    <col min="13313" max="13313" width="49.75" style="596" customWidth="1"/>
    <col min="13314" max="13565" width="9" style="596"/>
    <col min="13566" max="13566" width="56" style="596" bestFit="1" customWidth="1"/>
    <col min="13567" max="13567" width="25.5" style="596" customWidth="1"/>
    <col min="13568" max="13568" width="13.25" style="596" customWidth="1"/>
    <col min="13569" max="13569" width="49.75" style="596" customWidth="1"/>
    <col min="13570" max="13821" width="9" style="596"/>
    <col min="13822" max="13822" width="56" style="596" bestFit="1" customWidth="1"/>
    <col min="13823" max="13823" width="25.5" style="596" customWidth="1"/>
    <col min="13824" max="13824" width="13.25" style="596" customWidth="1"/>
    <col min="13825" max="13825" width="49.75" style="596" customWidth="1"/>
    <col min="13826" max="14077" width="9" style="596"/>
    <col min="14078" max="14078" width="56" style="596" bestFit="1" customWidth="1"/>
    <col min="14079" max="14079" width="25.5" style="596" customWidth="1"/>
    <col min="14080" max="14080" width="13.25" style="596" customWidth="1"/>
    <col min="14081" max="14081" width="49.75" style="596" customWidth="1"/>
    <col min="14082" max="14333" width="9" style="596"/>
    <col min="14334" max="14334" width="56" style="596" bestFit="1" customWidth="1"/>
    <col min="14335" max="14335" width="25.5" style="596" customWidth="1"/>
    <col min="14336" max="14336" width="13.25" style="596" customWidth="1"/>
    <col min="14337" max="14337" width="49.75" style="596" customWidth="1"/>
    <col min="14338" max="14589" width="9" style="596"/>
    <col min="14590" max="14590" width="56" style="596" bestFit="1" customWidth="1"/>
    <col min="14591" max="14591" width="25.5" style="596" customWidth="1"/>
    <col min="14592" max="14592" width="13.25" style="596" customWidth="1"/>
    <col min="14593" max="14593" width="49.75" style="596" customWidth="1"/>
    <col min="14594" max="14845" width="9" style="596"/>
    <col min="14846" max="14846" width="56" style="596" bestFit="1" customWidth="1"/>
    <col min="14847" max="14847" width="25.5" style="596" customWidth="1"/>
    <col min="14848" max="14848" width="13.25" style="596" customWidth="1"/>
    <col min="14849" max="14849" width="49.75" style="596" customWidth="1"/>
    <col min="14850" max="15101" width="9" style="596"/>
    <col min="15102" max="15102" width="56" style="596" bestFit="1" customWidth="1"/>
    <col min="15103" max="15103" width="25.5" style="596" customWidth="1"/>
    <col min="15104" max="15104" width="13.25" style="596" customWidth="1"/>
    <col min="15105" max="15105" width="49.75" style="596" customWidth="1"/>
    <col min="15106" max="15357" width="9" style="596"/>
    <col min="15358" max="15358" width="56" style="596" bestFit="1" customWidth="1"/>
    <col min="15359" max="15359" width="25.5" style="596" customWidth="1"/>
    <col min="15360" max="15360" width="13.25" style="596" customWidth="1"/>
    <col min="15361" max="15361" width="49.75" style="596" customWidth="1"/>
    <col min="15362" max="15613" width="9" style="596"/>
    <col min="15614" max="15614" width="56" style="596" bestFit="1" customWidth="1"/>
    <col min="15615" max="15615" width="25.5" style="596" customWidth="1"/>
    <col min="15616" max="15616" width="13.25" style="596" customWidth="1"/>
    <col min="15617" max="15617" width="49.75" style="596" customWidth="1"/>
    <col min="15618" max="15869" width="9" style="596"/>
    <col min="15870" max="15870" width="56" style="596" bestFit="1" customWidth="1"/>
    <col min="15871" max="15871" width="25.5" style="596" customWidth="1"/>
    <col min="15872" max="15872" width="13.25" style="596" customWidth="1"/>
    <col min="15873" max="15873" width="49.75" style="596" customWidth="1"/>
    <col min="15874" max="16125" width="9" style="596"/>
    <col min="16126" max="16126" width="56" style="596" bestFit="1" customWidth="1"/>
    <col min="16127" max="16127" width="25.5" style="596" customWidth="1"/>
    <col min="16128" max="16128" width="13.25" style="596" customWidth="1"/>
    <col min="16129" max="16129" width="49.75" style="596" customWidth="1"/>
    <col min="16130" max="16384" width="9" style="596"/>
  </cols>
  <sheetData>
    <row r="1" spans="1:4" ht="31.5" customHeight="1" x14ac:dyDescent="0.25">
      <c r="A1" s="989" t="s">
        <v>774</v>
      </c>
      <c r="B1" s="989"/>
      <c r="C1" s="989"/>
      <c r="D1" s="989"/>
    </row>
    <row r="3" spans="1:4" ht="16.5" thickBot="1" x14ac:dyDescent="0.3"/>
    <row r="4" spans="1:4" s="599" customFormat="1" ht="72" customHeight="1" thickTop="1" thickBot="1" x14ac:dyDescent="0.3">
      <c r="A4" s="598" t="s">
        <v>347</v>
      </c>
      <c r="B4" s="598" t="s">
        <v>389</v>
      </c>
      <c r="C4" s="598" t="s">
        <v>390</v>
      </c>
      <c r="D4" s="598" t="s">
        <v>975</v>
      </c>
    </row>
    <row r="5" spans="1:4" s="601" customFormat="1" ht="16.5" thickTop="1" x14ac:dyDescent="0.25">
      <c r="A5" s="600"/>
      <c r="B5" s="341"/>
      <c r="C5" s="341"/>
      <c r="D5" s="341"/>
    </row>
    <row r="6" spans="1:4" s="601" customFormat="1" x14ac:dyDescent="0.25">
      <c r="A6" s="600" t="s">
        <v>184</v>
      </c>
      <c r="B6" s="341"/>
      <c r="C6" s="341"/>
      <c r="D6" s="341"/>
    </row>
    <row r="7" spans="1:4" x14ac:dyDescent="0.25">
      <c r="A7" s="602" t="s">
        <v>185</v>
      </c>
      <c r="B7" s="603">
        <v>3315</v>
      </c>
      <c r="C7" s="603"/>
      <c r="D7" s="603">
        <f>SUM(B7:C7)</f>
        <v>3315</v>
      </c>
    </row>
    <row r="8" spans="1:4" ht="31.5" x14ac:dyDescent="0.25">
      <c r="A8" s="602" t="s">
        <v>775</v>
      </c>
      <c r="B8" s="603">
        <v>4500</v>
      </c>
      <c r="C8" s="603"/>
      <c r="D8" s="603">
        <f>SUM(B8:C8)</f>
        <v>4500</v>
      </c>
    </row>
    <row r="9" spans="1:4" x14ac:dyDescent="0.25">
      <c r="A9" s="604" t="s">
        <v>348</v>
      </c>
      <c r="B9" s="605">
        <f t="shared" ref="B9:D9" si="0">SUM(B7:B8)</f>
        <v>7815</v>
      </c>
      <c r="C9" s="605">
        <f t="shared" si="0"/>
        <v>0</v>
      </c>
      <c r="D9" s="605">
        <f t="shared" si="0"/>
        <v>7815</v>
      </c>
    </row>
    <row r="10" spans="1:4" x14ac:dyDescent="0.25">
      <c r="A10" s="602"/>
      <c r="B10" s="603"/>
      <c r="C10" s="603"/>
      <c r="D10" s="603"/>
    </row>
    <row r="11" spans="1:4" x14ac:dyDescent="0.25">
      <c r="A11" s="606" t="s">
        <v>349</v>
      </c>
      <c r="B11" s="603"/>
      <c r="C11" s="603"/>
      <c r="D11" s="603"/>
    </row>
    <row r="12" spans="1:4" x14ac:dyDescent="0.25">
      <c r="A12" s="607" t="s">
        <v>776</v>
      </c>
      <c r="B12" s="608">
        <f>SUM(B13:B36)</f>
        <v>2343350</v>
      </c>
      <c r="C12" s="608">
        <f t="shared" ref="C12:D12" si="1">SUM(C13:C36)</f>
        <v>26063</v>
      </c>
      <c r="D12" s="608">
        <f t="shared" si="1"/>
        <v>2369413</v>
      </c>
    </row>
    <row r="13" spans="1:4" x14ac:dyDescent="0.25">
      <c r="A13" s="609" t="s">
        <v>555</v>
      </c>
      <c r="B13" s="603">
        <v>5906</v>
      </c>
      <c r="C13" s="603"/>
      <c r="D13" s="603">
        <f>SUM(B13:C13)</f>
        <v>5906</v>
      </c>
    </row>
    <row r="14" spans="1:4" x14ac:dyDescent="0.25">
      <c r="A14" s="610" t="s">
        <v>350</v>
      </c>
      <c r="B14" s="603">
        <v>52774</v>
      </c>
      <c r="C14" s="603"/>
      <c r="D14" s="603">
        <f t="shared" ref="D14:D36" si="2">SUM(B14:C14)</f>
        <v>52774</v>
      </c>
    </row>
    <row r="15" spans="1:4" x14ac:dyDescent="0.25">
      <c r="A15" s="610" t="s">
        <v>556</v>
      </c>
      <c r="B15" s="603">
        <v>762</v>
      </c>
      <c r="C15" s="603"/>
      <c r="D15" s="603">
        <f t="shared" si="2"/>
        <v>762</v>
      </c>
    </row>
    <row r="16" spans="1:4" x14ac:dyDescent="0.25">
      <c r="A16" s="610" t="s">
        <v>351</v>
      </c>
      <c r="B16" s="603">
        <v>44209</v>
      </c>
      <c r="C16" s="603"/>
      <c r="D16" s="603">
        <f t="shared" si="2"/>
        <v>44209</v>
      </c>
    </row>
    <row r="17" spans="1:4" x14ac:dyDescent="0.25">
      <c r="A17" s="610" t="s">
        <v>777</v>
      </c>
      <c r="B17" s="603">
        <v>186797</v>
      </c>
      <c r="C17" s="603"/>
      <c r="D17" s="603">
        <f t="shared" si="2"/>
        <v>186797</v>
      </c>
    </row>
    <row r="18" spans="1:4" x14ac:dyDescent="0.25">
      <c r="A18" s="610" t="s">
        <v>352</v>
      </c>
      <c r="B18" s="603">
        <v>17248</v>
      </c>
      <c r="C18" s="603"/>
      <c r="D18" s="603">
        <f t="shared" si="2"/>
        <v>17248</v>
      </c>
    </row>
    <row r="19" spans="1:4" x14ac:dyDescent="0.25">
      <c r="A19" s="610" t="s">
        <v>778</v>
      </c>
      <c r="B19" s="603">
        <v>465353</v>
      </c>
      <c r="C19" s="603"/>
      <c r="D19" s="603">
        <f t="shared" si="2"/>
        <v>465353</v>
      </c>
    </row>
    <row r="20" spans="1:4" x14ac:dyDescent="0.25">
      <c r="A20" s="610" t="s">
        <v>779</v>
      </c>
      <c r="B20" s="603">
        <v>3161</v>
      </c>
      <c r="C20" s="603"/>
      <c r="D20" s="603">
        <f t="shared" si="2"/>
        <v>3161</v>
      </c>
    </row>
    <row r="21" spans="1:4" ht="31.5" x14ac:dyDescent="0.25">
      <c r="A21" s="610" t="s">
        <v>780</v>
      </c>
      <c r="B21" s="603">
        <v>635</v>
      </c>
      <c r="C21" s="603"/>
      <c r="D21" s="603">
        <f t="shared" si="2"/>
        <v>635</v>
      </c>
    </row>
    <row r="22" spans="1:4" x14ac:dyDescent="0.25">
      <c r="A22" s="610" t="s">
        <v>781</v>
      </c>
      <c r="B22" s="603">
        <v>31406</v>
      </c>
      <c r="C22" s="603"/>
      <c r="D22" s="603">
        <f t="shared" si="2"/>
        <v>31406</v>
      </c>
    </row>
    <row r="23" spans="1:4" x14ac:dyDescent="0.25">
      <c r="A23" s="610" t="s">
        <v>782</v>
      </c>
      <c r="B23" s="603">
        <v>2997</v>
      </c>
      <c r="C23" s="603"/>
      <c r="D23" s="603">
        <f t="shared" si="2"/>
        <v>2997</v>
      </c>
    </row>
    <row r="24" spans="1:4" x14ac:dyDescent="0.25">
      <c r="A24" s="610" t="s">
        <v>783</v>
      </c>
      <c r="B24" s="603">
        <v>10000</v>
      </c>
      <c r="C24" s="603"/>
      <c r="D24" s="603">
        <f t="shared" si="2"/>
        <v>10000</v>
      </c>
    </row>
    <row r="25" spans="1:4" x14ac:dyDescent="0.25">
      <c r="A25" s="610" t="s">
        <v>784</v>
      </c>
      <c r="B25" s="603">
        <v>183923</v>
      </c>
      <c r="C25" s="603"/>
      <c r="D25" s="603">
        <f t="shared" si="2"/>
        <v>183923</v>
      </c>
    </row>
    <row r="26" spans="1:4" x14ac:dyDescent="0.25">
      <c r="A26" s="610" t="s">
        <v>785</v>
      </c>
      <c r="B26" s="603">
        <v>572</v>
      </c>
      <c r="C26" s="603"/>
      <c r="D26" s="603">
        <f t="shared" si="2"/>
        <v>572</v>
      </c>
    </row>
    <row r="27" spans="1:4" x14ac:dyDescent="0.25">
      <c r="A27" s="610" t="s">
        <v>786</v>
      </c>
      <c r="B27" s="603">
        <v>2286</v>
      </c>
      <c r="C27" s="603"/>
      <c r="D27" s="603">
        <f t="shared" si="2"/>
        <v>2286</v>
      </c>
    </row>
    <row r="28" spans="1:4" ht="31.5" x14ac:dyDescent="0.25">
      <c r="A28" s="610" t="s">
        <v>787</v>
      </c>
      <c r="B28" s="603">
        <v>90000</v>
      </c>
      <c r="C28" s="603"/>
      <c r="D28" s="603">
        <f t="shared" si="2"/>
        <v>90000</v>
      </c>
    </row>
    <row r="29" spans="1:4" x14ac:dyDescent="0.25">
      <c r="A29" s="610" t="s">
        <v>788</v>
      </c>
      <c r="B29" s="603">
        <v>95000</v>
      </c>
      <c r="C29" s="603">
        <v>17004</v>
      </c>
      <c r="D29" s="603">
        <f t="shared" si="2"/>
        <v>112004</v>
      </c>
    </row>
    <row r="30" spans="1:4" x14ac:dyDescent="0.25">
      <c r="A30" s="610" t="s">
        <v>789</v>
      </c>
      <c r="B30" s="603">
        <v>217416</v>
      </c>
      <c r="C30" s="603">
        <v>13555</v>
      </c>
      <c r="D30" s="603">
        <f t="shared" si="2"/>
        <v>230971</v>
      </c>
    </row>
    <row r="31" spans="1:4" x14ac:dyDescent="0.25">
      <c r="A31" s="610" t="s">
        <v>790</v>
      </c>
      <c r="B31" s="603">
        <v>142000</v>
      </c>
      <c r="C31" s="603">
        <v>30163</v>
      </c>
      <c r="D31" s="603">
        <f t="shared" si="2"/>
        <v>172163</v>
      </c>
    </row>
    <row r="32" spans="1:4" x14ac:dyDescent="0.25">
      <c r="A32" s="610" t="s">
        <v>791</v>
      </c>
      <c r="B32" s="603">
        <v>285000</v>
      </c>
      <c r="C32" s="603"/>
      <c r="D32" s="603">
        <f t="shared" si="2"/>
        <v>285000</v>
      </c>
    </row>
    <row r="33" spans="1:4" x14ac:dyDescent="0.25">
      <c r="A33" s="610" t="s">
        <v>792</v>
      </c>
      <c r="B33" s="603">
        <v>260905</v>
      </c>
      <c r="C33" s="603">
        <f>-4100-13555-17004</f>
        <v>-34659</v>
      </c>
      <c r="D33" s="603">
        <f t="shared" si="2"/>
        <v>226246</v>
      </c>
    </row>
    <row r="34" spans="1:4" x14ac:dyDescent="0.25">
      <c r="A34" s="610" t="s">
        <v>793</v>
      </c>
      <c r="B34" s="603">
        <v>15000</v>
      </c>
      <c r="C34" s="603"/>
      <c r="D34" s="603">
        <f t="shared" si="2"/>
        <v>15000</v>
      </c>
    </row>
    <row r="35" spans="1:4" x14ac:dyDescent="0.25">
      <c r="A35" s="610" t="s">
        <v>794</v>
      </c>
      <c r="B35" s="603">
        <v>200000</v>
      </c>
      <c r="C35" s="603"/>
      <c r="D35" s="603">
        <f t="shared" si="2"/>
        <v>200000</v>
      </c>
    </row>
    <row r="36" spans="1:4" x14ac:dyDescent="0.25">
      <c r="A36" s="610" t="s">
        <v>795</v>
      </c>
      <c r="B36" s="603">
        <v>30000</v>
      </c>
      <c r="C36" s="603"/>
      <c r="D36" s="603">
        <f t="shared" si="2"/>
        <v>30000</v>
      </c>
    </row>
    <row r="37" spans="1:4" x14ac:dyDescent="0.25">
      <c r="A37" s="607" t="s">
        <v>353</v>
      </c>
      <c r="B37" s="603"/>
      <c r="C37" s="603"/>
      <c r="D37" s="603"/>
    </row>
    <row r="38" spans="1:4" x14ac:dyDescent="0.25">
      <c r="A38" s="611" t="s">
        <v>557</v>
      </c>
      <c r="B38" s="603"/>
      <c r="C38" s="603"/>
      <c r="D38" s="603"/>
    </row>
    <row r="39" spans="1:4" x14ac:dyDescent="0.25">
      <c r="A39" s="610" t="s">
        <v>558</v>
      </c>
      <c r="B39" s="603">
        <v>5178</v>
      </c>
      <c r="C39" s="603"/>
      <c r="D39" s="603">
        <f>SUM(B39:C39)</f>
        <v>5178</v>
      </c>
    </row>
    <row r="40" spans="1:4" x14ac:dyDescent="0.25">
      <c r="A40" s="610"/>
      <c r="B40" s="603"/>
      <c r="C40" s="603"/>
      <c r="D40" s="603"/>
    </row>
    <row r="41" spans="1:4" x14ac:dyDescent="0.25">
      <c r="A41" s="610" t="s">
        <v>354</v>
      </c>
      <c r="B41" s="603">
        <v>25000</v>
      </c>
      <c r="C41" s="603"/>
      <c r="D41" s="603">
        <f>SUM(B41:C41)</f>
        <v>25000</v>
      </c>
    </row>
    <row r="42" spans="1:4" x14ac:dyDescent="0.25">
      <c r="A42" s="610" t="s">
        <v>796</v>
      </c>
      <c r="B42" s="603">
        <v>252725</v>
      </c>
      <c r="C42" s="603">
        <v>4100</v>
      </c>
      <c r="D42" s="603">
        <f>SUM(B42:C42)</f>
        <v>256825</v>
      </c>
    </row>
    <row r="43" spans="1:4" ht="31.5" x14ac:dyDescent="0.25">
      <c r="A43" s="602" t="s">
        <v>1280</v>
      </c>
      <c r="B43" s="603"/>
      <c r="C43" s="603">
        <v>26000</v>
      </c>
      <c r="D43" s="603">
        <f>SUM(B43:C43)</f>
        <v>26000</v>
      </c>
    </row>
    <row r="44" spans="1:4" x14ac:dyDescent="0.25">
      <c r="A44" s="612" t="s">
        <v>355</v>
      </c>
      <c r="B44" s="613">
        <f>SUM(B42+B41+B39+B12+B43)</f>
        <v>2626253</v>
      </c>
      <c r="C44" s="613">
        <f t="shared" ref="C44:D44" si="3">SUM(C42+C41+C39+C12+C43)</f>
        <v>56163</v>
      </c>
      <c r="D44" s="613">
        <f t="shared" si="3"/>
        <v>2682416</v>
      </c>
    </row>
    <row r="45" spans="1:4" x14ac:dyDescent="0.25">
      <c r="A45" s="612"/>
      <c r="B45" s="603"/>
      <c r="C45" s="603"/>
      <c r="D45" s="603"/>
    </row>
    <row r="46" spans="1:4" x14ac:dyDescent="0.25">
      <c r="A46" s="606" t="s">
        <v>356</v>
      </c>
      <c r="B46" s="603"/>
      <c r="C46" s="603"/>
      <c r="D46" s="603"/>
    </row>
    <row r="47" spans="1:4" x14ac:dyDescent="0.25">
      <c r="A47" s="610" t="s">
        <v>357</v>
      </c>
      <c r="B47" s="603">
        <v>58239</v>
      </c>
      <c r="C47" s="603">
        <v>5000</v>
      </c>
      <c r="D47" s="603">
        <f>SUM(B47:C47)</f>
        <v>63239</v>
      </c>
    </row>
    <row r="48" spans="1:4" x14ac:dyDescent="0.25">
      <c r="A48" s="610" t="s">
        <v>358</v>
      </c>
      <c r="B48" s="603">
        <v>223</v>
      </c>
      <c r="C48" s="603"/>
      <c r="D48" s="603">
        <f t="shared" ref="D48:D57" si="4">SUM(B48:C48)</f>
        <v>223</v>
      </c>
    </row>
    <row r="49" spans="1:4" x14ac:dyDescent="0.25">
      <c r="A49" s="610" t="s">
        <v>559</v>
      </c>
      <c r="B49" s="603">
        <v>61761</v>
      </c>
      <c r="C49" s="603"/>
      <c r="D49" s="603">
        <f t="shared" si="4"/>
        <v>61761</v>
      </c>
    </row>
    <row r="50" spans="1:4" x14ac:dyDescent="0.25">
      <c r="A50" s="610" t="s">
        <v>560</v>
      </c>
      <c r="B50" s="603">
        <v>9017</v>
      </c>
      <c r="C50" s="603"/>
      <c r="D50" s="603">
        <f t="shared" si="4"/>
        <v>9017</v>
      </c>
    </row>
    <row r="51" spans="1:4" ht="31.5" x14ac:dyDescent="0.25">
      <c r="A51" s="610" t="s">
        <v>561</v>
      </c>
      <c r="B51" s="603">
        <v>12446</v>
      </c>
      <c r="C51" s="603"/>
      <c r="D51" s="603">
        <f t="shared" si="4"/>
        <v>12446</v>
      </c>
    </row>
    <row r="52" spans="1:4" x14ac:dyDescent="0.25">
      <c r="A52" s="610" t="s">
        <v>797</v>
      </c>
      <c r="B52" s="603">
        <v>6591</v>
      </c>
      <c r="C52" s="603"/>
      <c r="D52" s="603">
        <f t="shared" si="4"/>
        <v>6591</v>
      </c>
    </row>
    <row r="53" spans="1:4" x14ac:dyDescent="0.25">
      <c r="A53" s="610" t="s">
        <v>798</v>
      </c>
      <c r="B53" s="603">
        <v>6299</v>
      </c>
      <c r="C53" s="603"/>
      <c r="D53" s="603">
        <f t="shared" si="4"/>
        <v>6299</v>
      </c>
    </row>
    <row r="54" spans="1:4" x14ac:dyDescent="0.25">
      <c r="A54" s="610" t="s">
        <v>799</v>
      </c>
      <c r="B54" s="603">
        <v>95000</v>
      </c>
      <c r="C54" s="603">
        <v>250</v>
      </c>
      <c r="D54" s="603">
        <f t="shared" si="4"/>
        <v>95250</v>
      </c>
    </row>
    <row r="55" spans="1:4" x14ac:dyDescent="0.25">
      <c r="A55" s="610" t="s">
        <v>800</v>
      </c>
      <c r="B55" s="603">
        <v>186614</v>
      </c>
      <c r="C55" s="603"/>
      <c r="D55" s="603">
        <f t="shared" si="4"/>
        <v>186614</v>
      </c>
    </row>
    <row r="56" spans="1:4" x14ac:dyDescent="0.25">
      <c r="A56" s="610" t="s">
        <v>801</v>
      </c>
      <c r="B56" s="603">
        <v>48397</v>
      </c>
      <c r="C56" s="603">
        <f>2286+6755</f>
        <v>9041</v>
      </c>
      <c r="D56" s="603">
        <f t="shared" si="4"/>
        <v>57438</v>
      </c>
    </row>
    <row r="57" spans="1:4" x14ac:dyDescent="0.25">
      <c r="A57" s="610" t="s">
        <v>802</v>
      </c>
      <c r="B57" s="603">
        <v>159095</v>
      </c>
      <c r="C57" s="603"/>
      <c r="D57" s="603">
        <f t="shared" si="4"/>
        <v>159095</v>
      </c>
    </row>
    <row r="58" spans="1:4" x14ac:dyDescent="0.25">
      <c r="A58" s="607" t="s">
        <v>359</v>
      </c>
      <c r="B58" s="614">
        <f>SUM(B47:B57)</f>
        <v>643682</v>
      </c>
      <c r="C58" s="614">
        <f t="shared" ref="C58:D58" si="5">SUM(C47:C57)</f>
        <v>14291</v>
      </c>
      <c r="D58" s="614">
        <f t="shared" si="5"/>
        <v>657973</v>
      </c>
    </row>
    <row r="59" spans="1:4" x14ac:dyDescent="0.25">
      <c r="A59" s="610"/>
      <c r="B59" s="603"/>
      <c r="C59" s="603"/>
      <c r="D59" s="603"/>
    </row>
    <row r="60" spans="1:4" x14ac:dyDescent="0.25">
      <c r="A60" s="607" t="s">
        <v>186</v>
      </c>
      <c r="B60" s="603"/>
      <c r="C60" s="603"/>
      <c r="D60" s="603"/>
    </row>
    <row r="61" spans="1:4" x14ac:dyDescent="0.25">
      <c r="A61" s="610" t="s">
        <v>187</v>
      </c>
      <c r="B61" s="603">
        <v>72501</v>
      </c>
      <c r="C61" s="603"/>
      <c r="D61" s="603">
        <f>SUM(B61:C61)</f>
        <v>72501</v>
      </c>
    </row>
    <row r="62" spans="1:4" x14ac:dyDescent="0.25">
      <c r="A62" s="610" t="s">
        <v>803</v>
      </c>
      <c r="B62" s="603">
        <v>38000</v>
      </c>
      <c r="C62" s="603"/>
      <c r="D62" s="603">
        <f t="shared" ref="D62:D111" si="6">SUM(B62:C62)</f>
        <v>38000</v>
      </c>
    </row>
    <row r="63" spans="1:4" x14ac:dyDescent="0.25">
      <c r="A63" s="610" t="s">
        <v>188</v>
      </c>
      <c r="B63" s="603">
        <v>24917</v>
      </c>
      <c r="C63" s="603"/>
      <c r="D63" s="603">
        <f t="shared" si="6"/>
        <v>24917</v>
      </c>
    </row>
    <row r="64" spans="1:4" x14ac:dyDescent="0.25">
      <c r="A64" s="610" t="s">
        <v>360</v>
      </c>
      <c r="B64" s="603">
        <v>30559</v>
      </c>
      <c r="C64" s="603"/>
      <c r="D64" s="603">
        <f t="shared" si="6"/>
        <v>30559</v>
      </c>
    </row>
    <row r="65" spans="1:4" x14ac:dyDescent="0.25">
      <c r="A65" s="610" t="s">
        <v>804</v>
      </c>
      <c r="B65" s="603">
        <v>22225</v>
      </c>
      <c r="C65" s="603"/>
      <c r="D65" s="603">
        <f t="shared" si="6"/>
        <v>22225</v>
      </c>
    </row>
    <row r="66" spans="1:4" x14ac:dyDescent="0.25">
      <c r="A66" s="610" t="s">
        <v>805</v>
      </c>
      <c r="B66" s="603">
        <v>68261</v>
      </c>
      <c r="C66" s="603"/>
      <c r="D66" s="603">
        <f t="shared" si="6"/>
        <v>68261</v>
      </c>
    </row>
    <row r="67" spans="1:4" x14ac:dyDescent="0.25">
      <c r="A67" s="610" t="s">
        <v>361</v>
      </c>
      <c r="B67" s="603">
        <v>50000</v>
      </c>
      <c r="C67" s="603">
        <v>-3264</v>
      </c>
      <c r="D67" s="603">
        <f t="shared" si="6"/>
        <v>46736</v>
      </c>
    </row>
    <row r="68" spans="1:4" x14ac:dyDescent="0.25">
      <c r="A68" s="610" t="s">
        <v>1281</v>
      </c>
      <c r="B68" s="603"/>
      <c r="C68" s="603">
        <v>3264</v>
      </c>
      <c r="D68" s="603">
        <f t="shared" si="6"/>
        <v>3264</v>
      </c>
    </row>
    <row r="69" spans="1:4" ht="31.5" x14ac:dyDescent="0.25">
      <c r="A69" s="610" t="s">
        <v>806</v>
      </c>
      <c r="B69" s="603">
        <v>12391384</v>
      </c>
      <c r="C69" s="603"/>
      <c r="D69" s="603">
        <f t="shared" si="6"/>
        <v>12391384</v>
      </c>
    </row>
    <row r="70" spans="1:4" ht="47.25" x14ac:dyDescent="0.25">
      <c r="A70" s="610" t="s">
        <v>609</v>
      </c>
      <c r="B70" s="603">
        <v>2687423</v>
      </c>
      <c r="C70" s="603"/>
      <c r="D70" s="603">
        <f t="shared" si="6"/>
        <v>2687423</v>
      </c>
    </row>
    <row r="71" spans="1:4" ht="30" customHeight="1" x14ac:dyDescent="0.25">
      <c r="A71" s="610" t="s">
        <v>807</v>
      </c>
      <c r="B71" s="603">
        <v>161322</v>
      </c>
      <c r="C71" s="603"/>
      <c r="D71" s="603">
        <f t="shared" si="6"/>
        <v>161322</v>
      </c>
    </row>
    <row r="72" spans="1:4" ht="30" customHeight="1" x14ac:dyDescent="0.25">
      <c r="A72" s="610" t="s">
        <v>933</v>
      </c>
      <c r="B72" s="603">
        <v>92393</v>
      </c>
      <c r="C72" s="603"/>
      <c r="D72" s="603">
        <f t="shared" si="6"/>
        <v>92393</v>
      </c>
    </row>
    <row r="73" spans="1:4" ht="31.5" x14ac:dyDescent="0.25">
      <c r="A73" s="610" t="s">
        <v>562</v>
      </c>
      <c r="B73" s="603">
        <v>70071</v>
      </c>
      <c r="C73" s="603"/>
      <c r="D73" s="603">
        <f t="shared" si="6"/>
        <v>70071</v>
      </c>
    </row>
    <row r="74" spans="1:4" x14ac:dyDescent="0.25">
      <c r="A74" s="719" t="s">
        <v>808</v>
      </c>
      <c r="B74" s="603">
        <v>31750</v>
      </c>
      <c r="C74" s="603">
        <v>393730</v>
      </c>
      <c r="D74" s="603">
        <f t="shared" si="6"/>
        <v>425480</v>
      </c>
    </row>
    <row r="75" spans="1:4" ht="47.25" x14ac:dyDescent="0.25">
      <c r="A75" s="602" t="s">
        <v>1032</v>
      </c>
      <c r="B75" s="603">
        <v>2468200</v>
      </c>
      <c r="C75" s="603"/>
      <c r="D75" s="603">
        <f t="shared" si="6"/>
        <v>2468200</v>
      </c>
    </row>
    <row r="76" spans="1:4" ht="68.25" customHeight="1" x14ac:dyDescent="0.25">
      <c r="A76" s="602" t="s">
        <v>810</v>
      </c>
      <c r="B76" s="603">
        <v>65000</v>
      </c>
      <c r="C76" s="603"/>
      <c r="D76" s="603">
        <f t="shared" si="6"/>
        <v>65000</v>
      </c>
    </row>
    <row r="77" spans="1:4" x14ac:dyDescent="0.25">
      <c r="A77" s="610" t="s">
        <v>563</v>
      </c>
      <c r="B77" s="603">
        <v>7233552</v>
      </c>
      <c r="C77" s="603"/>
      <c r="D77" s="603">
        <f t="shared" si="6"/>
        <v>7233552</v>
      </c>
    </row>
    <row r="78" spans="1:4" x14ac:dyDescent="0.25">
      <c r="A78" s="610" t="s">
        <v>189</v>
      </c>
      <c r="B78" s="603">
        <v>277345</v>
      </c>
      <c r="C78" s="603">
        <v>-2286</v>
      </c>
      <c r="D78" s="603">
        <f t="shared" si="6"/>
        <v>275059</v>
      </c>
    </row>
    <row r="79" spans="1:4" x14ac:dyDescent="0.25">
      <c r="A79" s="610" t="s">
        <v>238</v>
      </c>
      <c r="B79" s="603">
        <v>44233</v>
      </c>
      <c r="C79" s="603"/>
      <c r="D79" s="603">
        <f t="shared" si="6"/>
        <v>44233</v>
      </c>
    </row>
    <row r="80" spans="1:4" x14ac:dyDescent="0.25">
      <c r="A80" s="610" t="s">
        <v>811</v>
      </c>
      <c r="B80" s="603">
        <v>51281</v>
      </c>
      <c r="C80" s="603"/>
      <c r="D80" s="603">
        <f t="shared" si="6"/>
        <v>51281</v>
      </c>
    </row>
    <row r="81" spans="1:4" x14ac:dyDescent="0.25">
      <c r="A81" s="610" t="s">
        <v>366</v>
      </c>
      <c r="B81" s="603">
        <v>65</v>
      </c>
      <c r="C81" s="603"/>
      <c r="D81" s="603">
        <f t="shared" si="6"/>
        <v>65</v>
      </c>
    </row>
    <row r="82" spans="1:4" ht="30.75" customHeight="1" x14ac:dyDescent="0.25">
      <c r="A82" s="610" t="s">
        <v>362</v>
      </c>
      <c r="B82" s="603">
        <v>10000</v>
      </c>
      <c r="C82" s="603"/>
      <c r="D82" s="603">
        <f t="shared" si="6"/>
        <v>10000</v>
      </c>
    </row>
    <row r="83" spans="1:4" ht="31.5" x14ac:dyDescent="0.25">
      <c r="A83" s="610" t="s">
        <v>190</v>
      </c>
      <c r="B83" s="603">
        <v>17142</v>
      </c>
      <c r="C83" s="603"/>
      <c r="D83" s="603">
        <f t="shared" si="6"/>
        <v>17142</v>
      </c>
    </row>
    <row r="84" spans="1:4" x14ac:dyDescent="0.25">
      <c r="A84" s="610" t="s">
        <v>564</v>
      </c>
      <c r="B84" s="603">
        <v>11490</v>
      </c>
      <c r="C84" s="603"/>
      <c r="D84" s="603">
        <f t="shared" si="6"/>
        <v>11490</v>
      </c>
    </row>
    <row r="85" spans="1:4" x14ac:dyDescent="0.25">
      <c r="A85" s="610" t="s">
        <v>367</v>
      </c>
      <c r="B85" s="603">
        <v>20819</v>
      </c>
      <c r="C85" s="603"/>
      <c r="D85" s="603">
        <f t="shared" si="6"/>
        <v>20819</v>
      </c>
    </row>
    <row r="86" spans="1:4" x14ac:dyDescent="0.25">
      <c r="A86" s="602" t="s">
        <v>363</v>
      </c>
      <c r="B86" s="603">
        <v>10000</v>
      </c>
      <c r="C86" s="603"/>
      <c r="D86" s="603">
        <f t="shared" si="6"/>
        <v>10000</v>
      </c>
    </row>
    <row r="87" spans="1:4" x14ac:dyDescent="0.25">
      <c r="A87" s="602" t="s">
        <v>812</v>
      </c>
      <c r="B87" s="603">
        <v>55995</v>
      </c>
      <c r="C87" s="603"/>
      <c r="D87" s="603">
        <f t="shared" si="6"/>
        <v>55995</v>
      </c>
    </row>
    <row r="88" spans="1:4" x14ac:dyDescent="0.25">
      <c r="A88" s="719" t="s">
        <v>813</v>
      </c>
      <c r="B88" s="603">
        <v>25000</v>
      </c>
      <c r="C88" s="603"/>
      <c r="D88" s="603">
        <f t="shared" si="6"/>
        <v>25000</v>
      </c>
    </row>
    <row r="89" spans="1:4" ht="47.25" x14ac:dyDescent="0.25">
      <c r="A89" s="602" t="s">
        <v>565</v>
      </c>
      <c r="B89" s="603">
        <v>169673</v>
      </c>
      <c r="C89" s="603"/>
      <c r="D89" s="603">
        <f t="shared" si="6"/>
        <v>169673</v>
      </c>
    </row>
    <row r="90" spans="1:4" ht="31.5" x14ac:dyDescent="0.25">
      <c r="A90" s="602" t="s">
        <v>615</v>
      </c>
      <c r="B90" s="603">
        <v>95000</v>
      </c>
      <c r="C90" s="603"/>
      <c r="D90" s="603">
        <f t="shared" si="6"/>
        <v>95000</v>
      </c>
    </row>
    <row r="91" spans="1:4" ht="31.5" x14ac:dyDescent="0.25">
      <c r="A91" s="602" t="s">
        <v>616</v>
      </c>
      <c r="B91" s="603">
        <v>700000</v>
      </c>
      <c r="C91" s="603"/>
      <c r="D91" s="603">
        <f t="shared" si="6"/>
        <v>700000</v>
      </c>
    </row>
    <row r="92" spans="1:4" x14ac:dyDescent="0.25">
      <c r="A92" s="610" t="s">
        <v>617</v>
      </c>
      <c r="B92" s="603">
        <v>40000</v>
      </c>
      <c r="C92" s="603"/>
      <c r="D92" s="603">
        <f t="shared" si="6"/>
        <v>40000</v>
      </c>
    </row>
    <row r="93" spans="1:4" x14ac:dyDescent="0.25">
      <c r="A93" s="610" t="s">
        <v>618</v>
      </c>
      <c r="B93" s="603">
        <v>15492</v>
      </c>
      <c r="C93" s="603"/>
      <c r="D93" s="603">
        <f t="shared" si="6"/>
        <v>15492</v>
      </c>
    </row>
    <row r="94" spans="1:4" ht="31.5" x14ac:dyDescent="0.25">
      <c r="A94" s="602" t="s">
        <v>814</v>
      </c>
      <c r="B94" s="603">
        <v>25400</v>
      </c>
      <c r="C94" s="603"/>
      <c r="D94" s="603">
        <f t="shared" si="6"/>
        <v>25400</v>
      </c>
    </row>
    <row r="95" spans="1:4" x14ac:dyDescent="0.25">
      <c r="A95" s="720" t="s">
        <v>815</v>
      </c>
      <c r="B95" s="603">
        <v>6000</v>
      </c>
      <c r="C95" s="603"/>
      <c r="D95" s="603">
        <f t="shared" si="6"/>
        <v>6000</v>
      </c>
    </row>
    <row r="96" spans="1:4" x14ac:dyDescent="0.25">
      <c r="A96" s="721" t="s">
        <v>816</v>
      </c>
      <c r="B96" s="603">
        <v>330200</v>
      </c>
      <c r="C96" s="603"/>
      <c r="D96" s="603">
        <f t="shared" si="6"/>
        <v>330200</v>
      </c>
    </row>
    <row r="97" spans="1:4" x14ac:dyDescent="0.25">
      <c r="A97" s="719" t="s">
        <v>817</v>
      </c>
      <c r="B97" s="603">
        <v>16000</v>
      </c>
      <c r="C97" s="603"/>
      <c r="D97" s="603">
        <f t="shared" si="6"/>
        <v>16000</v>
      </c>
    </row>
    <row r="98" spans="1:4" ht="31.5" x14ac:dyDescent="0.25">
      <c r="A98" s="719" t="s">
        <v>1299</v>
      </c>
      <c r="B98" s="603">
        <v>62174</v>
      </c>
      <c r="C98" s="603"/>
      <c r="D98" s="603">
        <f t="shared" si="6"/>
        <v>62174</v>
      </c>
    </row>
    <row r="99" spans="1:4" x14ac:dyDescent="0.25">
      <c r="A99" s="602" t="s">
        <v>818</v>
      </c>
      <c r="B99" s="603">
        <v>35000</v>
      </c>
      <c r="C99" s="603"/>
      <c r="D99" s="603">
        <f t="shared" si="6"/>
        <v>35000</v>
      </c>
    </row>
    <row r="100" spans="1:4" ht="31.5" x14ac:dyDescent="0.25">
      <c r="A100" s="602" t="s">
        <v>819</v>
      </c>
      <c r="B100" s="603">
        <v>88509</v>
      </c>
      <c r="C100" s="603"/>
      <c r="D100" s="603">
        <f t="shared" si="6"/>
        <v>88509</v>
      </c>
    </row>
    <row r="101" spans="1:4" x14ac:dyDescent="0.25">
      <c r="A101" s="602" t="s">
        <v>820</v>
      </c>
      <c r="B101" s="603">
        <v>199500</v>
      </c>
      <c r="C101" s="603"/>
      <c r="D101" s="603">
        <f t="shared" si="6"/>
        <v>199500</v>
      </c>
    </row>
    <row r="102" spans="1:4" x14ac:dyDescent="0.25">
      <c r="A102" s="602" t="s">
        <v>821</v>
      </c>
      <c r="B102" s="603">
        <v>27000</v>
      </c>
      <c r="C102" s="603"/>
      <c r="D102" s="603">
        <f t="shared" si="6"/>
        <v>27000</v>
      </c>
    </row>
    <row r="103" spans="1:4" ht="31.5" x14ac:dyDescent="0.25">
      <c r="A103" s="602" t="s">
        <v>822</v>
      </c>
      <c r="B103" s="603">
        <v>222102</v>
      </c>
      <c r="C103" s="603"/>
      <c r="D103" s="603">
        <f t="shared" si="6"/>
        <v>222102</v>
      </c>
    </row>
    <row r="104" spans="1:4" x14ac:dyDescent="0.25">
      <c r="A104" s="602" t="s">
        <v>823</v>
      </c>
      <c r="B104" s="603">
        <v>300000</v>
      </c>
      <c r="C104" s="603"/>
      <c r="D104" s="603">
        <f t="shared" si="6"/>
        <v>300000</v>
      </c>
    </row>
    <row r="105" spans="1:4" x14ac:dyDescent="0.25">
      <c r="A105" s="602" t="s">
        <v>824</v>
      </c>
      <c r="B105" s="603">
        <v>400000</v>
      </c>
      <c r="C105" s="603"/>
      <c r="D105" s="603">
        <f t="shared" si="6"/>
        <v>400000</v>
      </c>
    </row>
    <row r="106" spans="1:4" ht="31.5" x14ac:dyDescent="0.25">
      <c r="A106" s="602" t="s">
        <v>937</v>
      </c>
      <c r="B106" s="603">
        <v>20000</v>
      </c>
      <c r="C106" s="603"/>
      <c r="D106" s="603">
        <f t="shared" si="6"/>
        <v>20000</v>
      </c>
    </row>
    <row r="107" spans="1:4" x14ac:dyDescent="0.25">
      <c r="A107" s="602" t="s">
        <v>1282</v>
      </c>
      <c r="B107" s="603"/>
      <c r="C107" s="603">
        <v>15000</v>
      </c>
      <c r="D107" s="603">
        <f t="shared" si="6"/>
        <v>15000</v>
      </c>
    </row>
    <row r="108" spans="1:4" ht="31.5" x14ac:dyDescent="0.25">
      <c r="A108" s="602" t="s">
        <v>1283</v>
      </c>
      <c r="B108" s="603"/>
      <c r="C108" s="603">
        <v>105000</v>
      </c>
      <c r="D108" s="603">
        <f t="shared" si="6"/>
        <v>105000</v>
      </c>
    </row>
    <row r="109" spans="1:4" x14ac:dyDescent="0.25">
      <c r="A109" s="602" t="s">
        <v>1284</v>
      </c>
      <c r="B109" s="603"/>
      <c r="C109" s="603">
        <v>5588</v>
      </c>
      <c r="D109" s="603">
        <f t="shared" si="6"/>
        <v>5588</v>
      </c>
    </row>
    <row r="110" spans="1:4" x14ac:dyDescent="0.25">
      <c r="A110" s="602" t="s">
        <v>1285</v>
      </c>
      <c r="B110" s="603"/>
      <c r="C110" s="603">
        <v>12840</v>
      </c>
      <c r="D110" s="603">
        <f t="shared" si="6"/>
        <v>12840</v>
      </c>
    </row>
    <row r="111" spans="1:4" x14ac:dyDescent="0.25">
      <c r="A111" s="602" t="s">
        <v>1286</v>
      </c>
      <c r="B111" s="603"/>
      <c r="C111" s="603">
        <v>23000</v>
      </c>
      <c r="D111" s="603">
        <f t="shared" si="6"/>
        <v>23000</v>
      </c>
    </row>
    <row r="112" spans="1:4" x14ac:dyDescent="0.25">
      <c r="A112" s="604" t="s">
        <v>364</v>
      </c>
      <c r="B112" s="605">
        <f>SUM(B61:B111)</f>
        <v>28782978</v>
      </c>
      <c r="C112" s="605">
        <f>SUM(C61:C111)</f>
        <v>552872</v>
      </c>
      <c r="D112" s="605">
        <f>SUM(D61:D111)</f>
        <v>29335850</v>
      </c>
    </row>
    <row r="113" spans="1:4" x14ac:dyDescent="0.25">
      <c r="A113" s="602"/>
      <c r="B113" s="603"/>
      <c r="C113" s="603"/>
      <c r="D113" s="603"/>
    </row>
    <row r="114" spans="1:4" x14ac:dyDescent="0.25">
      <c r="A114" s="722"/>
      <c r="B114" s="603"/>
      <c r="C114" s="603"/>
      <c r="D114" s="603"/>
    </row>
    <row r="115" spans="1:4" x14ac:dyDescent="0.25">
      <c r="A115" s="607" t="s">
        <v>825</v>
      </c>
      <c r="B115" s="603"/>
      <c r="C115" s="603"/>
      <c r="D115" s="603"/>
    </row>
    <row r="116" spans="1:4" ht="31.5" x14ac:dyDescent="0.25">
      <c r="A116" s="602" t="s">
        <v>365</v>
      </c>
      <c r="B116" s="603">
        <v>359928</v>
      </c>
      <c r="C116" s="603"/>
      <c r="D116" s="603">
        <f>SUM(B116:C116)</f>
        <v>359928</v>
      </c>
    </row>
    <row r="117" spans="1:4" x14ac:dyDescent="0.25">
      <c r="A117" s="602" t="s">
        <v>826</v>
      </c>
      <c r="B117" s="603">
        <v>510885</v>
      </c>
      <c r="C117" s="603"/>
      <c r="D117" s="603">
        <f t="shared" ref="D117:D134" si="7">SUM(B117:C117)</f>
        <v>510885</v>
      </c>
    </row>
    <row r="118" spans="1:4" ht="31.5" x14ac:dyDescent="0.25">
      <c r="A118" s="602" t="s">
        <v>604</v>
      </c>
      <c r="B118" s="603">
        <v>10315</v>
      </c>
      <c r="C118" s="603"/>
      <c r="D118" s="603">
        <f t="shared" si="7"/>
        <v>10315</v>
      </c>
    </row>
    <row r="119" spans="1:4" x14ac:dyDescent="0.25">
      <c r="A119" s="602" t="s">
        <v>827</v>
      </c>
      <c r="B119" s="603">
        <v>527159</v>
      </c>
      <c r="C119" s="603"/>
      <c r="D119" s="603">
        <f t="shared" si="7"/>
        <v>527159</v>
      </c>
    </row>
    <row r="120" spans="1:4" ht="31.5" x14ac:dyDescent="0.25">
      <c r="A120" s="602" t="s">
        <v>570</v>
      </c>
      <c r="B120" s="603">
        <v>224988</v>
      </c>
      <c r="C120" s="603">
        <v>3731</v>
      </c>
      <c r="D120" s="603">
        <f t="shared" si="7"/>
        <v>228719</v>
      </c>
    </row>
    <row r="121" spans="1:4" ht="31.5" x14ac:dyDescent="0.25">
      <c r="A121" s="602" t="s">
        <v>828</v>
      </c>
      <c r="B121" s="603">
        <v>109152</v>
      </c>
      <c r="C121" s="603"/>
      <c r="D121" s="603">
        <f t="shared" si="7"/>
        <v>109152</v>
      </c>
    </row>
    <row r="122" spans="1:4" x14ac:dyDescent="0.25">
      <c r="A122" s="602" t="s">
        <v>572</v>
      </c>
      <c r="B122" s="603">
        <v>30500</v>
      </c>
      <c r="C122" s="603"/>
      <c r="D122" s="603">
        <f t="shared" si="7"/>
        <v>30500</v>
      </c>
    </row>
    <row r="123" spans="1:4" x14ac:dyDescent="0.25">
      <c r="A123" s="602" t="s">
        <v>829</v>
      </c>
      <c r="B123" s="603">
        <v>66579</v>
      </c>
      <c r="C123" s="603"/>
      <c r="D123" s="603">
        <f t="shared" si="7"/>
        <v>66579</v>
      </c>
    </row>
    <row r="124" spans="1:4" x14ac:dyDescent="0.25">
      <c r="A124" s="602" t="s">
        <v>567</v>
      </c>
      <c r="B124" s="603">
        <v>63528</v>
      </c>
      <c r="C124" s="603"/>
      <c r="D124" s="603">
        <f t="shared" si="7"/>
        <v>63528</v>
      </c>
    </row>
    <row r="125" spans="1:4" x14ac:dyDescent="0.25">
      <c r="A125" s="602" t="s">
        <v>830</v>
      </c>
      <c r="B125" s="603">
        <v>136800</v>
      </c>
      <c r="C125" s="603"/>
      <c r="D125" s="603">
        <f t="shared" si="7"/>
        <v>136800</v>
      </c>
    </row>
    <row r="126" spans="1:4" x14ac:dyDescent="0.25">
      <c r="A126" s="602" t="s">
        <v>831</v>
      </c>
      <c r="B126" s="603">
        <v>114311</v>
      </c>
      <c r="C126" s="603">
        <v>2264</v>
      </c>
      <c r="D126" s="603">
        <f t="shared" si="7"/>
        <v>116575</v>
      </c>
    </row>
    <row r="127" spans="1:4" x14ac:dyDescent="0.25">
      <c r="A127" s="602" t="s">
        <v>569</v>
      </c>
      <c r="B127" s="603">
        <v>127054</v>
      </c>
      <c r="C127" s="603"/>
      <c r="D127" s="603">
        <f t="shared" si="7"/>
        <v>127054</v>
      </c>
    </row>
    <row r="128" spans="1:4" x14ac:dyDescent="0.25">
      <c r="A128" s="602" t="s">
        <v>571</v>
      </c>
      <c r="B128" s="603">
        <v>64848</v>
      </c>
      <c r="C128" s="603"/>
      <c r="D128" s="603">
        <f t="shared" si="7"/>
        <v>64848</v>
      </c>
    </row>
    <row r="129" spans="1:4" x14ac:dyDescent="0.25">
      <c r="A129" s="602" t="s">
        <v>832</v>
      </c>
      <c r="B129" s="603">
        <v>10657</v>
      </c>
      <c r="C129" s="603"/>
      <c r="D129" s="603">
        <f t="shared" si="7"/>
        <v>10657</v>
      </c>
    </row>
    <row r="130" spans="1:4" x14ac:dyDescent="0.25">
      <c r="A130" s="602" t="s">
        <v>833</v>
      </c>
      <c r="B130" s="603">
        <v>147197</v>
      </c>
      <c r="C130" s="603"/>
      <c r="D130" s="603">
        <f t="shared" si="7"/>
        <v>147197</v>
      </c>
    </row>
    <row r="131" spans="1:4" x14ac:dyDescent="0.25">
      <c r="A131" s="602" t="s">
        <v>834</v>
      </c>
      <c r="B131" s="603">
        <v>151721</v>
      </c>
      <c r="C131" s="603"/>
      <c r="D131" s="603">
        <f t="shared" si="7"/>
        <v>151721</v>
      </c>
    </row>
    <row r="132" spans="1:4" x14ac:dyDescent="0.25">
      <c r="A132" s="602" t="s">
        <v>835</v>
      </c>
      <c r="B132" s="603">
        <v>19685</v>
      </c>
      <c r="C132" s="603"/>
      <c r="D132" s="603">
        <f t="shared" si="7"/>
        <v>19685</v>
      </c>
    </row>
    <row r="133" spans="1:4" x14ac:dyDescent="0.25">
      <c r="A133" s="602" t="s">
        <v>836</v>
      </c>
      <c r="B133" s="603">
        <v>394130</v>
      </c>
      <c r="C133" s="603"/>
      <c r="D133" s="603">
        <f t="shared" si="7"/>
        <v>394130</v>
      </c>
    </row>
    <row r="134" spans="1:4" x14ac:dyDescent="0.25">
      <c r="A134" s="602" t="s">
        <v>837</v>
      </c>
      <c r="B134" s="603">
        <v>23500</v>
      </c>
      <c r="C134" s="603"/>
      <c r="D134" s="603">
        <f t="shared" si="7"/>
        <v>23500</v>
      </c>
    </row>
    <row r="135" spans="1:4" x14ac:dyDescent="0.25">
      <c r="A135" s="607" t="s">
        <v>825</v>
      </c>
      <c r="B135" s="605">
        <f>SUM(B116:B134)</f>
        <v>3092937</v>
      </c>
      <c r="C135" s="605">
        <f t="shared" ref="C135:D135" si="8">SUM(C116:C134)</f>
        <v>5995</v>
      </c>
      <c r="D135" s="605">
        <f t="shared" si="8"/>
        <v>3098932</v>
      </c>
    </row>
    <row r="136" spans="1:4" x14ac:dyDescent="0.25">
      <c r="A136" s="615"/>
      <c r="B136" s="603"/>
      <c r="C136" s="603"/>
      <c r="D136" s="603"/>
    </row>
    <row r="137" spans="1:4" ht="16.5" thickBot="1" x14ac:dyDescent="0.3">
      <c r="A137" s="616" t="s">
        <v>415</v>
      </c>
      <c r="B137" s="617">
        <f>SUM(B135+B112+B58+B44+B9)</f>
        <v>35153665</v>
      </c>
      <c r="C137" s="617">
        <f>SUM(C135+C112+C58+C44+C9)</f>
        <v>629321</v>
      </c>
      <c r="D137" s="617">
        <f>SUM(D135+D112+D58+D44+D9)</f>
        <v>35782986</v>
      </c>
    </row>
    <row r="138" spans="1:4" ht="16.5" thickTop="1" x14ac:dyDescent="0.25"/>
    <row r="141" spans="1:4" x14ac:dyDescent="0.25">
      <c r="B141" s="597"/>
      <c r="C141" s="597"/>
      <c r="D141" s="597"/>
    </row>
    <row r="142" spans="1:4" x14ac:dyDescent="0.25">
      <c r="B142" s="597"/>
      <c r="C142" s="597"/>
      <c r="D142" s="597"/>
    </row>
    <row r="143" spans="1:4" x14ac:dyDescent="0.25">
      <c r="B143" s="597"/>
      <c r="C143" s="597"/>
      <c r="D143" s="597"/>
    </row>
    <row r="144" spans="1:4" x14ac:dyDescent="0.25">
      <c r="B144" s="597"/>
      <c r="C144" s="597"/>
      <c r="D144" s="597"/>
    </row>
    <row r="145" spans="2:4" x14ac:dyDescent="0.25">
      <c r="B145" s="597"/>
      <c r="C145" s="597"/>
      <c r="D145" s="597"/>
    </row>
  </sheetData>
  <mergeCells count="1">
    <mergeCell ref="A1:D1"/>
  </mergeCells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 xml:space="preserve">&amp;R&amp;"Times New Roman CE,Félkövér"11. melléklet a 23/2018.(X.15.) önkormányzati rendelethez&amp;"Times New Roman CE,Dőlt"&amp;11
 12. melléklet
a 3/2018.(II.8.) önkormányzati rendelethez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21"/>
  <sheetViews>
    <sheetView topLeftCell="A19" zoomScaleNormal="100" workbookViewId="0">
      <selection activeCell="D79" sqref="D79"/>
    </sheetView>
  </sheetViews>
  <sheetFormatPr defaultRowHeight="15.75" x14ac:dyDescent="0.25"/>
  <cols>
    <col min="1" max="1" width="36" style="724" customWidth="1"/>
    <col min="2" max="2" width="51.125" style="723" customWidth="1"/>
    <col min="3" max="3" width="12.875" style="725" customWidth="1"/>
    <col min="4" max="4" width="12.5" style="725" customWidth="1"/>
    <col min="5" max="5" width="12.75" style="725" customWidth="1"/>
    <col min="6" max="253" width="9" style="723"/>
    <col min="254" max="254" width="43.5" style="723" customWidth="1"/>
    <col min="255" max="255" width="19.5" style="723" customWidth="1"/>
    <col min="256" max="256" width="17.375" style="723" customWidth="1"/>
    <col min="257" max="257" width="50.375" style="723" customWidth="1"/>
    <col min="258" max="509" width="9" style="723"/>
    <col min="510" max="510" width="43.5" style="723" customWidth="1"/>
    <col min="511" max="511" width="19.5" style="723" customWidth="1"/>
    <col min="512" max="512" width="17.375" style="723" customWidth="1"/>
    <col min="513" max="513" width="50.375" style="723" customWidth="1"/>
    <col min="514" max="765" width="9" style="723"/>
    <col min="766" max="766" width="43.5" style="723" customWidth="1"/>
    <col min="767" max="767" width="19.5" style="723" customWidth="1"/>
    <col min="768" max="768" width="17.375" style="723" customWidth="1"/>
    <col min="769" max="769" width="50.375" style="723" customWidth="1"/>
    <col min="770" max="1021" width="9" style="723"/>
    <col min="1022" max="1022" width="43.5" style="723" customWidth="1"/>
    <col min="1023" max="1023" width="19.5" style="723" customWidth="1"/>
    <col min="1024" max="1024" width="17.375" style="723" customWidth="1"/>
    <col min="1025" max="1025" width="50.375" style="723" customWidth="1"/>
    <col min="1026" max="1277" width="9" style="723"/>
    <col min="1278" max="1278" width="43.5" style="723" customWidth="1"/>
    <col min="1279" max="1279" width="19.5" style="723" customWidth="1"/>
    <col min="1280" max="1280" width="17.375" style="723" customWidth="1"/>
    <col min="1281" max="1281" width="50.375" style="723" customWidth="1"/>
    <col min="1282" max="1533" width="9" style="723"/>
    <col min="1534" max="1534" width="43.5" style="723" customWidth="1"/>
    <col min="1535" max="1535" width="19.5" style="723" customWidth="1"/>
    <col min="1536" max="1536" width="17.375" style="723" customWidth="1"/>
    <col min="1537" max="1537" width="50.375" style="723" customWidth="1"/>
    <col min="1538" max="1789" width="9" style="723"/>
    <col min="1790" max="1790" width="43.5" style="723" customWidth="1"/>
    <col min="1791" max="1791" width="19.5" style="723" customWidth="1"/>
    <col min="1792" max="1792" width="17.375" style="723" customWidth="1"/>
    <col min="1793" max="1793" width="50.375" style="723" customWidth="1"/>
    <col min="1794" max="2045" width="9" style="723"/>
    <col min="2046" max="2046" width="43.5" style="723" customWidth="1"/>
    <col min="2047" max="2047" width="19.5" style="723" customWidth="1"/>
    <col min="2048" max="2048" width="17.375" style="723" customWidth="1"/>
    <col min="2049" max="2049" width="50.375" style="723" customWidth="1"/>
    <col min="2050" max="2301" width="9" style="723"/>
    <col min="2302" max="2302" width="43.5" style="723" customWidth="1"/>
    <col min="2303" max="2303" width="19.5" style="723" customWidth="1"/>
    <col min="2304" max="2304" width="17.375" style="723" customWidth="1"/>
    <col min="2305" max="2305" width="50.375" style="723" customWidth="1"/>
    <col min="2306" max="2557" width="9" style="723"/>
    <col min="2558" max="2558" width="43.5" style="723" customWidth="1"/>
    <col min="2559" max="2559" width="19.5" style="723" customWidth="1"/>
    <col min="2560" max="2560" width="17.375" style="723" customWidth="1"/>
    <col min="2561" max="2561" width="50.375" style="723" customWidth="1"/>
    <col min="2562" max="2813" width="9" style="723"/>
    <col min="2814" max="2814" width="43.5" style="723" customWidth="1"/>
    <col min="2815" max="2815" width="19.5" style="723" customWidth="1"/>
    <col min="2816" max="2816" width="17.375" style="723" customWidth="1"/>
    <col min="2817" max="2817" width="50.375" style="723" customWidth="1"/>
    <col min="2818" max="3069" width="9" style="723"/>
    <col min="3070" max="3070" width="43.5" style="723" customWidth="1"/>
    <col min="3071" max="3071" width="19.5" style="723" customWidth="1"/>
    <col min="3072" max="3072" width="17.375" style="723" customWidth="1"/>
    <col min="3073" max="3073" width="50.375" style="723" customWidth="1"/>
    <col min="3074" max="3325" width="9" style="723"/>
    <col min="3326" max="3326" width="43.5" style="723" customWidth="1"/>
    <col min="3327" max="3327" width="19.5" style="723" customWidth="1"/>
    <col min="3328" max="3328" width="17.375" style="723" customWidth="1"/>
    <col min="3329" max="3329" width="50.375" style="723" customWidth="1"/>
    <col min="3330" max="3581" width="9" style="723"/>
    <col min="3582" max="3582" width="43.5" style="723" customWidth="1"/>
    <col min="3583" max="3583" width="19.5" style="723" customWidth="1"/>
    <col min="3584" max="3584" width="17.375" style="723" customWidth="1"/>
    <col min="3585" max="3585" width="50.375" style="723" customWidth="1"/>
    <col min="3586" max="3837" width="9" style="723"/>
    <col min="3838" max="3838" width="43.5" style="723" customWidth="1"/>
    <col min="3839" max="3839" width="19.5" style="723" customWidth="1"/>
    <col min="3840" max="3840" width="17.375" style="723" customWidth="1"/>
    <col min="3841" max="3841" width="50.375" style="723" customWidth="1"/>
    <col min="3842" max="4093" width="9" style="723"/>
    <col min="4094" max="4094" width="43.5" style="723" customWidth="1"/>
    <col min="4095" max="4095" width="19.5" style="723" customWidth="1"/>
    <col min="4096" max="4096" width="17.375" style="723" customWidth="1"/>
    <col min="4097" max="4097" width="50.375" style="723" customWidth="1"/>
    <col min="4098" max="4349" width="9" style="723"/>
    <col min="4350" max="4350" width="43.5" style="723" customWidth="1"/>
    <col min="4351" max="4351" width="19.5" style="723" customWidth="1"/>
    <col min="4352" max="4352" width="17.375" style="723" customWidth="1"/>
    <col min="4353" max="4353" width="50.375" style="723" customWidth="1"/>
    <col min="4354" max="4605" width="9" style="723"/>
    <col min="4606" max="4606" width="43.5" style="723" customWidth="1"/>
    <col min="4607" max="4607" width="19.5" style="723" customWidth="1"/>
    <col min="4608" max="4608" width="17.375" style="723" customWidth="1"/>
    <col min="4609" max="4609" width="50.375" style="723" customWidth="1"/>
    <col min="4610" max="4861" width="9" style="723"/>
    <col min="4862" max="4862" width="43.5" style="723" customWidth="1"/>
    <col min="4863" max="4863" width="19.5" style="723" customWidth="1"/>
    <col min="4864" max="4864" width="17.375" style="723" customWidth="1"/>
    <col min="4865" max="4865" width="50.375" style="723" customWidth="1"/>
    <col min="4866" max="5117" width="9" style="723"/>
    <col min="5118" max="5118" width="43.5" style="723" customWidth="1"/>
    <col min="5119" max="5119" width="19.5" style="723" customWidth="1"/>
    <col min="5120" max="5120" width="17.375" style="723" customWidth="1"/>
    <col min="5121" max="5121" width="50.375" style="723" customWidth="1"/>
    <col min="5122" max="5373" width="9" style="723"/>
    <col min="5374" max="5374" width="43.5" style="723" customWidth="1"/>
    <col min="5375" max="5375" width="19.5" style="723" customWidth="1"/>
    <col min="5376" max="5376" width="17.375" style="723" customWidth="1"/>
    <col min="5377" max="5377" width="50.375" style="723" customWidth="1"/>
    <col min="5378" max="5629" width="9" style="723"/>
    <col min="5630" max="5630" width="43.5" style="723" customWidth="1"/>
    <col min="5631" max="5631" width="19.5" style="723" customWidth="1"/>
    <col min="5632" max="5632" width="17.375" style="723" customWidth="1"/>
    <col min="5633" max="5633" width="50.375" style="723" customWidth="1"/>
    <col min="5634" max="5885" width="9" style="723"/>
    <col min="5886" max="5886" width="43.5" style="723" customWidth="1"/>
    <col min="5887" max="5887" width="19.5" style="723" customWidth="1"/>
    <col min="5888" max="5888" width="17.375" style="723" customWidth="1"/>
    <col min="5889" max="5889" width="50.375" style="723" customWidth="1"/>
    <col min="5890" max="6141" width="9" style="723"/>
    <col min="6142" max="6142" width="43.5" style="723" customWidth="1"/>
    <col min="6143" max="6143" width="19.5" style="723" customWidth="1"/>
    <col min="6144" max="6144" width="17.375" style="723" customWidth="1"/>
    <col min="6145" max="6145" width="50.375" style="723" customWidth="1"/>
    <col min="6146" max="6397" width="9" style="723"/>
    <col min="6398" max="6398" width="43.5" style="723" customWidth="1"/>
    <col min="6399" max="6399" width="19.5" style="723" customWidth="1"/>
    <col min="6400" max="6400" width="17.375" style="723" customWidth="1"/>
    <col min="6401" max="6401" width="50.375" style="723" customWidth="1"/>
    <col min="6402" max="6653" width="9" style="723"/>
    <col min="6654" max="6654" width="43.5" style="723" customWidth="1"/>
    <col min="6655" max="6655" width="19.5" style="723" customWidth="1"/>
    <col min="6656" max="6656" width="17.375" style="723" customWidth="1"/>
    <col min="6657" max="6657" width="50.375" style="723" customWidth="1"/>
    <col min="6658" max="6909" width="9" style="723"/>
    <col min="6910" max="6910" width="43.5" style="723" customWidth="1"/>
    <col min="6911" max="6911" width="19.5" style="723" customWidth="1"/>
    <col min="6912" max="6912" width="17.375" style="723" customWidth="1"/>
    <col min="6913" max="6913" width="50.375" style="723" customWidth="1"/>
    <col min="6914" max="7165" width="9" style="723"/>
    <col min="7166" max="7166" width="43.5" style="723" customWidth="1"/>
    <col min="7167" max="7167" width="19.5" style="723" customWidth="1"/>
    <col min="7168" max="7168" width="17.375" style="723" customWidth="1"/>
    <col min="7169" max="7169" width="50.375" style="723" customWidth="1"/>
    <col min="7170" max="7421" width="9" style="723"/>
    <col min="7422" max="7422" width="43.5" style="723" customWidth="1"/>
    <col min="7423" max="7423" width="19.5" style="723" customWidth="1"/>
    <col min="7424" max="7424" width="17.375" style="723" customWidth="1"/>
    <col min="7425" max="7425" width="50.375" style="723" customWidth="1"/>
    <col min="7426" max="7677" width="9" style="723"/>
    <col min="7678" max="7678" width="43.5" style="723" customWidth="1"/>
    <col min="7679" max="7679" width="19.5" style="723" customWidth="1"/>
    <col min="7680" max="7680" width="17.375" style="723" customWidth="1"/>
    <col min="7681" max="7681" width="50.375" style="723" customWidth="1"/>
    <col min="7682" max="7933" width="9" style="723"/>
    <col min="7934" max="7934" width="43.5" style="723" customWidth="1"/>
    <col min="7935" max="7935" width="19.5" style="723" customWidth="1"/>
    <col min="7936" max="7936" width="17.375" style="723" customWidth="1"/>
    <col min="7937" max="7937" width="50.375" style="723" customWidth="1"/>
    <col min="7938" max="8189" width="9" style="723"/>
    <col min="8190" max="8190" width="43.5" style="723" customWidth="1"/>
    <col min="8191" max="8191" width="19.5" style="723" customWidth="1"/>
    <col min="8192" max="8192" width="17.375" style="723" customWidth="1"/>
    <col min="8193" max="8193" width="50.375" style="723" customWidth="1"/>
    <col min="8194" max="8445" width="9" style="723"/>
    <col min="8446" max="8446" width="43.5" style="723" customWidth="1"/>
    <col min="8447" max="8447" width="19.5" style="723" customWidth="1"/>
    <col min="8448" max="8448" width="17.375" style="723" customWidth="1"/>
    <col min="8449" max="8449" width="50.375" style="723" customWidth="1"/>
    <col min="8450" max="8701" width="9" style="723"/>
    <col min="8702" max="8702" width="43.5" style="723" customWidth="1"/>
    <col min="8703" max="8703" width="19.5" style="723" customWidth="1"/>
    <col min="8704" max="8704" width="17.375" style="723" customWidth="1"/>
    <col min="8705" max="8705" width="50.375" style="723" customWidth="1"/>
    <col min="8706" max="8957" width="9" style="723"/>
    <col min="8958" max="8958" width="43.5" style="723" customWidth="1"/>
    <col min="8959" max="8959" width="19.5" style="723" customWidth="1"/>
    <col min="8960" max="8960" width="17.375" style="723" customWidth="1"/>
    <col min="8961" max="8961" width="50.375" style="723" customWidth="1"/>
    <col min="8962" max="9213" width="9" style="723"/>
    <col min="9214" max="9214" width="43.5" style="723" customWidth="1"/>
    <col min="9215" max="9215" width="19.5" style="723" customWidth="1"/>
    <col min="9216" max="9216" width="17.375" style="723" customWidth="1"/>
    <col min="9217" max="9217" width="50.375" style="723" customWidth="1"/>
    <col min="9218" max="9469" width="9" style="723"/>
    <col min="9470" max="9470" width="43.5" style="723" customWidth="1"/>
    <col min="9471" max="9471" width="19.5" style="723" customWidth="1"/>
    <col min="9472" max="9472" width="17.375" style="723" customWidth="1"/>
    <col min="9473" max="9473" width="50.375" style="723" customWidth="1"/>
    <col min="9474" max="9725" width="9" style="723"/>
    <col min="9726" max="9726" width="43.5" style="723" customWidth="1"/>
    <col min="9727" max="9727" width="19.5" style="723" customWidth="1"/>
    <col min="9728" max="9728" width="17.375" style="723" customWidth="1"/>
    <col min="9729" max="9729" width="50.375" style="723" customWidth="1"/>
    <col min="9730" max="9981" width="9" style="723"/>
    <col min="9982" max="9982" width="43.5" style="723" customWidth="1"/>
    <col min="9983" max="9983" width="19.5" style="723" customWidth="1"/>
    <col min="9984" max="9984" width="17.375" style="723" customWidth="1"/>
    <col min="9985" max="9985" width="50.375" style="723" customWidth="1"/>
    <col min="9986" max="10237" width="9" style="723"/>
    <col min="10238" max="10238" width="43.5" style="723" customWidth="1"/>
    <col min="10239" max="10239" width="19.5" style="723" customWidth="1"/>
    <col min="10240" max="10240" width="17.375" style="723" customWidth="1"/>
    <col min="10241" max="10241" width="50.375" style="723" customWidth="1"/>
    <col min="10242" max="10493" width="9" style="723"/>
    <col min="10494" max="10494" width="43.5" style="723" customWidth="1"/>
    <col min="10495" max="10495" width="19.5" style="723" customWidth="1"/>
    <col min="10496" max="10496" width="17.375" style="723" customWidth="1"/>
    <col min="10497" max="10497" width="50.375" style="723" customWidth="1"/>
    <col min="10498" max="10749" width="9" style="723"/>
    <col min="10750" max="10750" width="43.5" style="723" customWidth="1"/>
    <col min="10751" max="10751" width="19.5" style="723" customWidth="1"/>
    <col min="10752" max="10752" width="17.375" style="723" customWidth="1"/>
    <col min="10753" max="10753" width="50.375" style="723" customWidth="1"/>
    <col min="10754" max="11005" width="9" style="723"/>
    <col min="11006" max="11006" width="43.5" style="723" customWidth="1"/>
    <col min="11007" max="11007" width="19.5" style="723" customWidth="1"/>
    <col min="11008" max="11008" width="17.375" style="723" customWidth="1"/>
    <col min="11009" max="11009" width="50.375" style="723" customWidth="1"/>
    <col min="11010" max="11261" width="9" style="723"/>
    <col min="11262" max="11262" width="43.5" style="723" customWidth="1"/>
    <col min="11263" max="11263" width="19.5" style="723" customWidth="1"/>
    <col min="11264" max="11264" width="17.375" style="723" customWidth="1"/>
    <col min="11265" max="11265" width="50.375" style="723" customWidth="1"/>
    <col min="11266" max="11517" width="9" style="723"/>
    <col min="11518" max="11518" width="43.5" style="723" customWidth="1"/>
    <col min="11519" max="11519" width="19.5" style="723" customWidth="1"/>
    <col min="11520" max="11520" width="17.375" style="723" customWidth="1"/>
    <col min="11521" max="11521" width="50.375" style="723" customWidth="1"/>
    <col min="11522" max="11773" width="9" style="723"/>
    <col min="11774" max="11774" width="43.5" style="723" customWidth="1"/>
    <col min="11775" max="11775" width="19.5" style="723" customWidth="1"/>
    <col min="11776" max="11776" width="17.375" style="723" customWidth="1"/>
    <col min="11777" max="11777" width="50.375" style="723" customWidth="1"/>
    <col min="11778" max="12029" width="9" style="723"/>
    <col min="12030" max="12030" width="43.5" style="723" customWidth="1"/>
    <col min="12031" max="12031" width="19.5" style="723" customWidth="1"/>
    <col min="12032" max="12032" width="17.375" style="723" customWidth="1"/>
    <col min="12033" max="12033" width="50.375" style="723" customWidth="1"/>
    <col min="12034" max="12285" width="9" style="723"/>
    <col min="12286" max="12286" width="43.5" style="723" customWidth="1"/>
    <col min="12287" max="12287" width="19.5" style="723" customWidth="1"/>
    <col min="12288" max="12288" width="17.375" style="723" customWidth="1"/>
    <col min="12289" max="12289" width="50.375" style="723" customWidth="1"/>
    <col min="12290" max="12541" width="9" style="723"/>
    <col min="12542" max="12542" width="43.5" style="723" customWidth="1"/>
    <col min="12543" max="12543" width="19.5" style="723" customWidth="1"/>
    <col min="12544" max="12544" width="17.375" style="723" customWidth="1"/>
    <col min="12545" max="12545" width="50.375" style="723" customWidth="1"/>
    <col min="12546" max="12797" width="9" style="723"/>
    <col min="12798" max="12798" width="43.5" style="723" customWidth="1"/>
    <col min="12799" max="12799" width="19.5" style="723" customWidth="1"/>
    <col min="12800" max="12800" width="17.375" style="723" customWidth="1"/>
    <col min="12801" max="12801" width="50.375" style="723" customWidth="1"/>
    <col min="12802" max="13053" width="9" style="723"/>
    <col min="13054" max="13054" width="43.5" style="723" customWidth="1"/>
    <col min="13055" max="13055" width="19.5" style="723" customWidth="1"/>
    <col min="13056" max="13056" width="17.375" style="723" customWidth="1"/>
    <col min="13057" max="13057" width="50.375" style="723" customWidth="1"/>
    <col min="13058" max="13309" width="9" style="723"/>
    <col min="13310" max="13310" width="43.5" style="723" customWidth="1"/>
    <col min="13311" max="13311" width="19.5" style="723" customWidth="1"/>
    <col min="13312" max="13312" width="17.375" style="723" customWidth="1"/>
    <col min="13313" max="13313" width="50.375" style="723" customWidth="1"/>
    <col min="13314" max="13565" width="9" style="723"/>
    <col min="13566" max="13566" width="43.5" style="723" customWidth="1"/>
    <col min="13567" max="13567" width="19.5" style="723" customWidth="1"/>
    <col min="13568" max="13568" width="17.375" style="723" customWidth="1"/>
    <col min="13569" max="13569" width="50.375" style="723" customWidth="1"/>
    <col min="13570" max="13821" width="9" style="723"/>
    <col min="13822" max="13822" width="43.5" style="723" customWidth="1"/>
    <col min="13823" max="13823" width="19.5" style="723" customWidth="1"/>
    <col min="13824" max="13824" width="17.375" style="723" customWidth="1"/>
    <col min="13825" max="13825" width="50.375" style="723" customWidth="1"/>
    <col min="13826" max="14077" width="9" style="723"/>
    <col min="14078" max="14078" width="43.5" style="723" customWidth="1"/>
    <col min="14079" max="14079" width="19.5" style="723" customWidth="1"/>
    <col min="14080" max="14080" width="17.375" style="723" customWidth="1"/>
    <col min="14081" max="14081" width="50.375" style="723" customWidth="1"/>
    <col min="14082" max="14333" width="9" style="723"/>
    <col min="14334" max="14334" width="43.5" style="723" customWidth="1"/>
    <col min="14335" max="14335" width="19.5" style="723" customWidth="1"/>
    <col min="14336" max="14336" width="17.375" style="723" customWidth="1"/>
    <col min="14337" max="14337" width="50.375" style="723" customWidth="1"/>
    <col min="14338" max="14589" width="9" style="723"/>
    <col min="14590" max="14590" width="43.5" style="723" customWidth="1"/>
    <col min="14591" max="14591" width="19.5" style="723" customWidth="1"/>
    <col min="14592" max="14592" width="17.375" style="723" customWidth="1"/>
    <col min="14593" max="14593" width="50.375" style="723" customWidth="1"/>
    <col min="14594" max="14845" width="9" style="723"/>
    <col min="14846" max="14846" width="43.5" style="723" customWidth="1"/>
    <col min="14847" max="14847" width="19.5" style="723" customWidth="1"/>
    <col min="14848" max="14848" width="17.375" style="723" customWidth="1"/>
    <col min="14849" max="14849" width="50.375" style="723" customWidth="1"/>
    <col min="14850" max="15101" width="9" style="723"/>
    <col min="15102" max="15102" width="43.5" style="723" customWidth="1"/>
    <col min="15103" max="15103" width="19.5" style="723" customWidth="1"/>
    <col min="15104" max="15104" width="17.375" style="723" customWidth="1"/>
    <col min="15105" max="15105" width="50.375" style="723" customWidth="1"/>
    <col min="15106" max="15357" width="9" style="723"/>
    <col min="15358" max="15358" width="43.5" style="723" customWidth="1"/>
    <col min="15359" max="15359" width="19.5" style="723" customWidth="1"/>
    <col min="15360" max="15360" width="17.375" style="723" customWidth="1"/>
    <col min="15361" max="15361" width="50.375" style="723" customWidth="1"/>
    <col min="15362" max="15613" width="9" style="723"/>
    <col min="15614" max="15614" width="43.5" style="723" customWidth="1"/>
    <col min="15615" max="15615" width="19.5" style="723" customWidth="1"/>
    <col min="15616" max="15616" width="17.375" style="723" customWidth="1"/>
    <col min="15617" max="15617" width="50.375" style="723" customWidth="1"/>
    <col min="15618" max="15869" width="9" style="723"/>
    <col min="15870" max="15870" width="43.5" style="723" customWidth="1"/>
    <col min="15871" max="15871" width="19.5" style="723" customWidth="1"/>
    <col min="15872" max="15872" width="17.375" style="723" customWidth="1"/>
    <col min="15873" max="15873" width="50.375" style="723" customWidth="1"/>
    <col min="15874" max="16125" width="9" style="723"/>
    <col min="16126" max="16126" width="43.5" style="723" customWidth="1"/>
    <col min="16127" max="16127" width="19.5" style="723" customWidth="1"/>
    <col min="16128" max="16128" width="17.375" style="723" customWidth="1"/>
    <col min="16129" max="16129" width="50.375" style="723" customWidth="1"/>
    <col min="16130" max="16384" width="9" style="723"/>
  </cols>
  <sheetData>
    <row r="1" spans="1:5" ht="31.5" customHeight="1" x14ac:dyDescent="0.25">
      <c r="A1" s="990" t="s">
        <v>838</v>
      </c>
      <c r="B1" s="990"/>
      <c r="C1" s="990"/>
      <c r="D1" s="990"/>
      <c r="E1" s="990"/>
    </row>
    <row r="3" spans="1:5" ht="16.5" thickBot="1" x14ac:dyDescent="0.3"/>
    <row r="4" spans="1:5" s="729" customFormat="1" ht="62.25" customHeight="1" thickBot="1" x14ac:dyDescent="0.3">
      <c r="A4" s="726" t="s">
        <v>146</v>
      </c>
      <c r="B4" s="727" t="s">
        <v>412</v>
      </c>
      <c r="C4" s="728" t="s">
        <v>389</v>
      </c>
      <c r="D4" s="728" t="s">
        <v>390</v>
      </c>
      <c r="E4" s="728" t="s">
        <v>975</v>
      </c>
    </row>
    <row r="5" spans="1:5" s="601" customFormat="1" ht="21" customHeight="1" x14ac:dyDescent="0.25">
      <c r="A5" s="991" t="s">
        <v>413</v>
      </c>
      <c r="B5" s="992"/>
      <c r="C5" s="992"/>
      <c r="D5" s="992"/>
      <c r="E5" s="993"/>
    </row>
    <row r="6" spans="1:5" s="596" customFormat="1" ht="31.5" x14ac:dyDescent="0.25">
      <c r="A6" s="403" t="s">
        <v>414</v>
      </c>
      <c r="B6" s="404" t="s">
        <v>839</v>
      </c>
      <c r="C6" s="405">
        <v>3000</v>
      </c>
      <c r="D6" s="405"/>
      <c r="E6" s="405">
        <f>SUM(C6:D6)</f>
        <v>3000</v>
      </c>
    </row>
    <row r="7" spans="1:5" s="596" customFormat="1" ht="31.5" x14ac:dyDescent="0.25">
      <c r="A7" s="404"/>
      <c r="B7" s="404" t="s">
        <v>840</v>
      </c>
      <c r="C7" s="405">
        <v>13000</v>
      </c>
      <c r="D7" s="405"/>
      <c r="E7" s="405">
        <f t="shared" ref="E7:E9" si="0">SUM(C7:D7)</f>
        <v>13000</v>
      </c>
    </row>
    <row r="8" spans="1:5" s="596" customFormat="1" ht="31.5" x14ac:dyDescent="0.25">
      <c r="A8" s="404"/>
      <c r="B8" s="404" t="s">
        <v>841</v>
      </c>
      <c r="C8" s="405">
        <v>3827</v>
      </c>
      <c r="D8" s="405"/>
      <c r="E8" s="405">
        <f t="shared" si="0"/>
        <v>3827</v>
      </c>
    </row>
    <row r="9" spans="1:5" s="596" customFormat="1" ht="63" x14ac:dyDescent="0.25">
      <c r="A9" s="404"/>
      <c r="B9" s="404" t="s">
        <v>842</v>
      </c>
      <c r="C9" s="405">
        <v>78000</v>
      </c>
      <c r="D9" s="405"/>
      <c r="E9" s="405">
        <f t="shared" si="0"/>
        <v>78000</v>
      </c>
    </row>
    <row r="10" spans="1:5" s="618" customFormat="1" x14ac:dyDescent="0.25">
      <c r="A10" s="403"/>
      <c r="B10" s="403" t="s">
        <v>415</v>
      </c>
      <c r="C10" s="406">
        <f t="shared" ref="C10:E10" si="1">SUM(C6:C9)</f>
        <v>97827</v>
      </c>
      <c r="D10" s="406">
        <f t="shared" si="1"/>
        <v>0</v>
      </c>
      <c r="E10" s="406">
        <f t="shared" si="1"/>
        <v>97827</v>
      </c>
    </row>
    <row r="11" spans="1:5" s="596" customFormat="1" x14ac:dyDescent="0.25">
      <c r="A11" s="404"/>
      <c r="B11" s="404"/>
      <c r="C11" s="405"/>
      <c r="D11" s="405"/>
      <c r="E11" s="405"/>
    </row>
    <row r="12" spans="1:5" s="596" customFormat="1" x14ac:dyDescent="0.25">
      <c r="A12" s="403" t="s">
        <v>416</v>
      </c>
      <c r="B12" s="404" t="s">
        <v>417</v>
      </c>
      <c r="C12" s="405">
        <v>21593</v>
      </c>
      <c r="D12" s="405"/>
      <c r="E12" s="405">
        <f>SUM(C12:D12)</f>
        <v>21593</v>
      </c>
    </row>
    <row r="13" spans="1:5" s="596" customFormat="1" x14ac:dyDescent="0.25">
      <c r="A13" s="404"/>
      <c r="B13" s="403" t="s">
        <v>415</v>
      </c>
      <c r="C13" s="406">
        <f t="shared" ref="C13:E13" si="2">SUM(C12)</f>
        <v>21593</v>
      </c>
      <c r="D13" s="406">
        <f t="shared" si="2"/>
        <v>0</v>
      </c>
      <c r="E13" s="406">
        <f t="shared" si="2"/>
        <v>21593</v>
      </c>
    </row>
    <row r="14" spans="1:5" s="596" customFormat="1" x14ac:dyDescent="0.25">
      <c r="A14" s="404"/>
      <c r="B14" s="403"/>
      <c r="C14" s="406"/>
      <c r="D14" s="406"/>
      <c r="E14" s="406"/>
    </row>
    <row r="15" spans="1:5" s="596" customFormat="1" x14ac:dyDescent="0.25">
      <c r="A15" s="403" t="s">
        <v>843</v>
      </c>
      <c r="B15" s="404" t="s">
        <v>844</v>
      </c>
      <c r="C15" s="405">
        <v>10000</v>
      </c>
      <c r="D15" s="405"/>
      <c r="E15" s="405">
        <f>SUM(C15:D15)</f>
        <v>10000</v>
      </c>
    </row>
    <row r="16" spans="1:5" s="596" customFormat="1" x14ac:dyDescent="0.25">
      <c r="A16" s="404"/>
      <c r="B16" s="403" t="s">
        <v>415</v>
      </c>
      <c r="C16" s="406">
        <f>SUM(C15)</f>
        <v>10000</v>
      </c>
      <c r="D16" s="406">
        <f t="shared" ref="D16:E16" si="3">SUM(D15)</f>
        <v>0</v>
      </c>
      <c r="E16" s="406">
        <f t="shared" si="3"/>
        <v>10000</v>
      </c>
    </row>
    <row r="17" spans="1:5" s="596" customFormat="1" x14ac:dyDescent="0.25">
      <c r="A17" s="404"/>
      <c r="B17" s="403"/>
      <c r="C17" s="406"/>
      <c r="D17" s="406"/>
      <c r="E17" s="406"/>
    </row>
    <row r="18" spans="1:5" s="596" customFormat="1" x14ac:dyDescent="0.25">
      <c r="A18" s="403" t="s">
        <v>637</v>
      </c>
      <c r="B18" s="404" t="s">
        <v>845</v>
      </c>
      <c r="C18" s="405">
        <v>25000</v>
      </c>
      <c r="D18" s="405">
        <v>1556</v>
      </c>
      <c r="E18" s="405">
        <f>SUM(C18:D18)</f>
        <v>26556</v>
      </c>
    </row>
    <row r="19" spans="1:5" s="596" customFormat="1" x14ac:dyDescent="0.25">
      <c r="A19" s="403"/>
      <c r="B19" s="404" t="s">
        <v>846</v>
      </c>
      <c r="C19" s="405">
        <v>6500</v>
      </c>
      <c r="D19" s="405"/>
      <c r="E19" s="405">
        <f>SUM(C19:D19)</f>
        <v>6500</v>
      </c>
    </row>
    <row r="20" spans="1:5" s="596" customFormat="1" x14ac:dyDescent="0.25">
      <c r="A20" s="404"/>
      <c r="B20" s="403" t="s">
        <v>415</v>
      </c>
      <c r="C20" s="406">
        <f t="shared" ref="C20:E20" si="4">SUM(C18:C19)</f>
        <v>31500</v>
      </c>
      <c r="D20" s="406">
        <f t="shared" si="4"/>
        <v>1556</v>
      </c>
      <c r="E20" s="406">
        <f t="shared" si="4"/>
        <v>33056</v>
      </c>
    </row>
    <row r="21" spans="1:5" s="596" customFormat="1" x14ac:dyDescent="0.25">
      <c r="A21" s="404"/>
      <c r="B21" s="403"/>
      <c r="C21" s="406"/>
      <c r="D21" s="406"/>
      <c r="E21" s="406"/>
    </row>
    <row r="22" spans="1:5" s="596" customFormat="1" x14ac:dyDescent="0.25">
      <c r="A22" s="403" t="s">
        <v>935</v>
      </c>
      <c r="B22" s="404" t="s">
        <v>970</v>
      </c>
      <c r="C22" s="405">
        <v>13015</v>
      </c>
      <c r="D22" s="405"/>
      <c r="E22" s="405">
        <f>SUM(C22:D22)</f>
        <v>13015</v>
      </c>
    </row>
    <row r="23" spans="1:5" s="596" customFormat="1" ht="31.5" x14ac:dyDescent="0.25">
      <c r="A23" s="403"/>
      <c r="B23" s="404" t="s">
        <v>1287</v>
      </c>
      <c r="C23" s="405"/>
      <c r="D23" s="405">
        <v>11115</v>
      </c>
      <c r="E23" s="405">
        <f>SUM(C23:D23)</f>
        <v>11115</v>
      </c>
    </row>
    <row r="24" spans="1:5" s="596" customFormat="1" x14ac:dyDescent="0.25">
      <c r="A24" s="404"/>
      <c r="B24" s="403" t="s">
        <v>415</v>
      </c>
      <c r="C24" s="406">
        <f>SUM(C22:C23)</f>
        <v>13015</v>
      </c>
      <c r="D24" s="406">
        <f t="shared" ref="D24:E24" si="5">SUM(D22:D23)</f>
        <v>11115</v>
      </c>
      <c r="E24" s="406">
        <f t="shared" si="5"/>
        <v>24130</v>
      </c>
    </row>
    <row r="25" spans="1:5" s="596" customFormat="1" x14ac:dyDescent="0.25">
      <c r="A25" s="404"/>
      <c r="B25" s="404"/>
      <c r="C25" s="405"/>
      <c r="D25" s="405"/>
      <c r="E25" s="405"/>
    </row>
    <row r="26" spans="1:5" s="596" customFormat="1" x14ac:dyDescent="0.25">
      <c r="A26" s="403" t="s">
        <v>449</v>
      </c>
      <c r="B26" s="404" t="s">
        <v>847</v>
      </c>
      <c r="C26" s="405">
        <v>55000</v>
      </c>
      <c r="D26" s="405"/>
      <c r="E26" s="405">
        <f>SUM(C26:D26)</f>
        <v>55000</v>
      </c>
    </row>
    <row r="27" spans="1:5" s="596" customFormat="1" x14ac:dyDescent="0.25">
      <c r="A27" s="404"/>
      <c r="B27" s="403" t="s">
        <v>415</v>
      </c>
      <c r="C27" s="406">
        <f t="shared" ref="C27:E27" si="6">SUM(C26)</f>
        <v>55000</v>
      </c>
      <c r="D27" s="406">
        <f t="shared" si="6"/>
        <v>0</v>
      </c>
      <c r="E27" s="406">
        <f t="shared" si="6"/>
        <v>55000</v>
      </c>
    </row>
    <row r="28" spans="1:5" s="596" customFormat="1" x14ac:dyDescent="0.25">
      <c r="A28" s="404"/>
      <c r="B28" s="404"/>
      <c r="C28" s="405"/>
      <c r="D28" s="405"/>
      <c r="E28" s="405"/>
    </row>
    <row r="29" spans="1:5" s="596" customFormat="1" ht="31.5" x14ac:dyDescent="0.25">
      <c r="A29" s="403" t="s">
        <v>848</v>
      </c>
      <c r="B29" s="404" t="s">
        <v>849</v>
      </c>
      <c r="C29" s="405">
        <v>30000</v>
      </c>
      <c r="D29" s="405">
        <f>-3458-1556</f>
        <v>-5014</v>
      </c>
      <c r="E29" s="405">
        <f>SUM(C29:D29)</f>
        <v>24986</v>
      </c>
    </row>
    <row r="30" spans="1:5" s="596" customFormat="1" x14ac:dyDescent="0.25">
      <c r="A30" s="403"/>
      <c r="B30" s="404" t="s">
        <v>850</v>
      </c>
      <c r="C30" s="405">
        <v>13000</v>
      </c>
      <c r="D30" s="405"/>
      <c r="E30" s="405">
        <f>SUM(C30:D30)</f>
        <v>13000</v>
      </c>
    </row>
    <row r="31" spans="1:5" s="596" customFormat="1" x14ac:dyDescent="0.25">
      <c r="A31" s="404"/>
      <c r="B31" s="403" t="s">
        <v>415</v>
      </c>
      <c r="C31" s="406">
        <f t="shared" ref="C31:E31" si="7">SUM(C29:C30)</f>
        <v>43000</v>
      </c>
      <c r="D31" s="406">
        <f t="shared" si="7"/>
        <v>-5014</v>
      </c>
      <c r="E31" s="406">
        <f t="shared" si="7"/>
        <v>37986</v>
      </c>
    </row>
    <row r="32" spans="1:5" s="596" customFormat="1" x14ac:dyDescent="0.25">
      <c r="A32" s="404"/>
      <c r="B32" s="404"/>
      <c r="C32" s="405"/>
      <c r="D32" s="405"/>
      <c r="E32" s="405"/>
    </row>
    <row r="33" spans="1:5" s="596" customFormat="1" x14ac:dyDescent="0.25">
      <c r="A33" s="403" t="s">
        <v>450</v>
      </c>
      <c r="B33" s="404" t="s">
        <v>970</v>
      </c>
      <c r="C33" s="405">
        <v>15732</v>
      </c>
      <c r="D33" s="405"/>
      <c r="E33" s="405">
        <f>SUM(C33:D33)</f>
        <v>15732</v>
      </c>
    </row>
    <row r="34" spans="1:5" s="596" customFormat="1" x14ac:dyDescent="0.25">
      <c r="A34" s="404"/>
      <c r="B34" s="403" t="s">
        <v>415</v>
      </c>
      <c r="C34" s="406">
        <f t="shared" ref="C34:E34" si="8">SUM(C33)</f>
        <v>15732</v>
      </c>
      <c r="D34" s="406">
        <f t="shared" si="8"/>
        <v>0</v>
      </c>
      <c r="E34" s="406">
        <f t="shared" si="8"/>
        <v>15732</v>
      </c>
    </row>
    <row r="35" spans="1:5" s="596" customFormat="1" x14ac:dyDescent="0.25">
      <c r="A35" s="404"/>
      <c r="B35" s="404"/>
      <c r="C35" s="405"/>
      <c r="D35" s="405"/>
      <c r="E35" s="405"/>
    </row>
    <row r="36" spans="1:5" s="596" customFormat="1" x14ac:dyDescent="0.25">
      <c r="A36" s="403" t="s">
        <v>455</v>
      </c>
      <c r="B36" s="404" t="s">
        <v>849</v>
      </c>
      <c r="C36" s="405">
        <v>50000</v>
      </c>
      <c r="D36" s="405"/>
      <c r="E36" s="405">
        <f>SUM(C36:D36)</f>
        <v>50000</v>
      </c>
    </row>
    <row r="37" spans="1:5" s="596" customFormat="1" x14ac:dyDescent="0.25">
      <c r="A37" s="403"/>
      <c r="B37" s="404" t="s">
        <v>970</v>
      </c>
      <c r="C37" s="405">
        <v>6144</v>
      </c>
      <c r="D37" s="405"/>
      <c r="E37" s="405">
        <f>SUM(C37:D37)</f>
        <v>6144</v>
      </c>
    </row>
    <row r="38" spans="1:5" s="596" customFormat="1" x14ac:dyDescent="0.25">
      <c r="A38" s="404"/>
      <c r="B38" s="403" t="s">
        <v>415</v>
      </c>
      <c r="C38" s="406">
        <f>SUM(C36:C37)</f>
        <v>56144</v>
      </c>
      <c r="D38" s="406">
        <f t="shared" ref="D38:E38" si="9">SUM(D36:D37)</f>
        <v>0</v>
      </c>
      <c r="E38" s="406">
        <f t="shared" si="9"/>
        <v>56144</v>
      </c>
    </row>
    <row r="39" spans="1:5" s="596" customFormat="1" x14ac:dyDescent="0.25">
      <c r="A39" s="404"/>
      <c r="B39" s="404"/>
      <c r="C39" s="405"/>
      <c r="D39" s="405"/>
      <c r="E39" s="405"/>
    </row>
    <row r="40" spans="1:5" s="596" customFormat="1" x14ac:dyDescent="0.25">
      <c r="A40" s="403" t="s">
        <v>575</v>
      </c>
      <c r="B40" s="404" t="s">
        <v>851</v>
      </c>
      <c r="C40" s="405">
        <v>7000</v>
      </c>
      <c r="D40" s="405"/>
      <c r="E40" s="405">
        <f>SUM(C40:D40)</f>
        <v>7000</v>
      </c>
    </row>
    <row r="41" spans="1:5" s="596" customFormat="1" x14ac:dyDescent="0.25">
      <c r="A41" s="403"/>
      <c r="B41" s="404" t="s">
        <v>852</v>
      </c>
      <c r="C41" s="405">
        <v>5000</v>
      </c>
      <c r="D41" s="405">
        <v>4144</v>
      </c>
      <c r="E41" s="405">
        <f>SUM(C41:D41)</f>
        <v>9144</v>
      </c>
    </row>
    <row r="42" spans="1:5" s="596" customFormat="1" x14ac:dyDescent="0.25">
      <c r="A42" s="404"/>
      <c r="B42" s="403" t="s">
        <v>415</v>
      </c>
      <c r="C42" s="406">
        <f t="shared" ref="C42:E42" si="10">SUM(C40:C41)</f>
        <v>12000</v>
      </c>
      <c r="D42" s="406">
        <f t="shared" si="10"/>
        <v>4144</v>
      </c>
      <c r="E42" s="406">
        <f t="shared" si="10"/>
        <v>16144</v>
      </c>
    </row>
    <row r="43" spans="1:5" s="596" customFormat="1" x14ac:dyDescent="0.25">
      <c r="A43" s="404"/>
      <c r="B43" s="404"/>
      <c r="C43" s="405"/>
      <c r="D43" s="405"/>
      <c r="E43" s="405"/>
    </row>
    <row r="44" spans="1:5" s="596" customFormat="1" x14ac:dyDescent="0.25">
      <c r="A44" s="403" t="s">
        <v>853</v>
      </c>
      <c r="B44" s="404" t="s">
        <v>573</v>
      </c>
      <c r="C44" s="405">
        <v>32000</v>
      </c>
      <c r="D44" s="405">
        <v>-1876</v>
      </c>
      <c r="E44" s="405">
        <f>SUM(C44:D44)</f>
        <v>30124</v>
      </c>
    </row>
    <row r="45" spans="1:5" s="596" customFormat="1" x14ac:dyDescent="0.25">
      <c r="A45" s="404"/>
      <c r="B45" s="403" t="s">
        <v>415</v>
      </c>
      <c r="C45" s="406">
        <f t="shared" ref="C45:E45" si="11">SUM(C44)</f>
        <v>32000</v>
      </c>
      <c r="D45" s="406">
        <f t="shared" si="11"/>
        <v>-1876</v>
      </c>
      <c r="E45" s="406">
        <f t="shared" si="11"/>
        <v>30124</v>
      </c>
    </row>
    <row r="46" spans="1:5" s="596" customFormat="1" x14ac:dyDescent="0.25">
      <c r="A46" s="404"/>
      <c r="B46" s="404"/>
      <c r="C46" s="405"/>
      <c r="D46" s="405"/>
      <c r="E46" s="405"/>
    </row>
    <row r="47" spans="1:5" s="596" customFormat="1" x14ac:dyDescent="0.25">
      <c r="A47" s="403" t="s">
        <v>854</v>
      </c>
      <c r="B47" s="404" t="s">
        <v>855</v>
      </c>
      <c r="C47" s="405">
        <v>30000</v>
      </c>
      <c r="D47" s="405"/>
      <c r="E47" s="405">
        <f>SUM(C47:D47)</f>
        <v>30000</v>
      </c>
    </row>
    <row r="48" spans="1:5" s="596" customFormat="1" x14ac:dyDescent="0.25">
      <c r="A48" s="403"/>
      <c r="B48" s="404" t="s">
        <v>856</v>
      </c>
      <c r="C48" s="405">
        <v>20000</v>
      </c>
      <c r="D48" s="405"/>
      <c r="E48" s="405">
        <f>SUM(C48:D48)</f>
        <v>20000</v>
      </c>
    </row>
    <row r="49" spans="1:5" s="596" customFormat="1" x14ac:dyDescent="0.25">
      <c r="A49" s="404"/>
      <c r="B49" s="403" t="s">
        <v>415</v>
      </c>
      <c r="C49" s="406">
        <f t="shared" ref="C49:E49" si="12">SUM(C47:C48)</f>
        <v>50000</v>
      </c>
      <c r="D49" s="406">
        <f t="shared" si="12"/>
        <v>0</v>
      </c>
      <c r="E49" s="406">
        <f t="shared" si="12"/>
        <v>50000</v>
      </c>
    </row>
    <row r="50" spans="1:5" s="596" customFormat="1" x14ac:dyDescent="0.25">
      <c r="A50" s="404"/>
      <c r="B50" s="404"/>
      <c r="C50" s="405"/>
      <c r="D50" s="405"/>
      <c r="E50" s="405"/>
    </row>
    <row r="51" spans="1:5" s="596" customFormat="1" x14ac:dyDescent="0.25">
      <c r="A51" s="403" t="s">
        <v>857</v>
      </c>
      <c r="B51" s="404" t="s">
        <v>574</v>
      </c>
      <c r="C51" s="405">
        <v>12000</v>
      </c>
      <c r="D51" s="405">
        <v>1824</v>
      </c>
      <c r="E51" s="405">
        <f>SUM(C51:D51)</f>
        <v>13824</v>
      </c>
    </row>
    <row r="52" spans="1:5" s="596" customFormat="1" x14ac:dyDescent="0.25">
      <c r="A52" s="404"/>
      <c r="B52" s="403" t="s">
        <v>415</v>
      </c>
      <c r="C52" s="406">
        <f t="shared" ref="C52:E52" si="13">SUM(C51)</f>
        <v>12000</v>
      </c>
      <c r="D52" s="406">
        <f t="shared" si="13"/>
        <v>1824</v>
      </c>
      <c r="E52" s="406">
        <f t="shared" si="13"/>
        <v>13824</v>
      </c>
    </row>
    <row r="53" spans="1:5" s="596" customFormat="1" x14ac:dyDescent="0.25">
      <c r="A53" s="404"/>
      <c r="B53" s="404"/>
      <c r="C53" s="405"/>
      <c r="D53" s="405"/>
      <c r="E53" s="405"/>
    </row>
    <row r="54" spans="1:5" s="596" customFormat="1" x14ac:dyDescent="0.25">
      <c r="A54" s="403" t="s">
        <v>448</v>
      </c>
      <c r="B54" s="404" t="s">
        <v>855</v>
      </c>
      <c r="C54" s="405">
        <v>40000</v>
      </c>
      <c r="D54" s="405"/>
      <c r="E54" s="405">
        <f>SUM(C54:D54)</f>
        <v>40000</v>
      </c>
    </row>
    <row r="55" spans="1:5" s="596" customFormat="1" x14ac:dyDescent="0.25">
      <c r="A55" s="403"/>
      <c r="B55" s="404" t="s">
        <v>573</v>
      </c>
      <c r="C55" s="405">
        <v>38000</v>
      </c>
      <c r="D55" s="405">
        <v>1876</v>
      </c>
      <c r="E55" s="405">
        <f>SUM(C55:D55)</f>
        <v>39876</v>
      </c>
    </row>
    <row r="56" spans="1:5" s="596" customFormat="1" x14ac:dyDescent="0.25">
      <c r="A56" s="404"/>
      <c r="B56" s="403" t="s">
        <v>415</v>
      </c>
      <c r="C56" s="406">
        <f t="shared" ref="C56:E56" si="14">SUM(C54:C55)</f>
        <v>78000</v>
      </c>
      <c r="D56" s="406">
        <f t="shared" si="14"/>
        <v>1876</v>
      </c>
      <c r="E56" s="406">
        <f t="shared" si="14"/>
        <v>79876</v>
      </c>
    </row>
    <row r="57" spans="1:5" s="596" customFormat="1" x14ac:dyDescent="0.25">
      <c r="A57" s="404"/>
      <c r="B57" s="404"/>
      <c r="C57" s="405"/>
      <c r="D57" s="405"/>
      <c r="E57" s="405"/>
    </row>
    <row r="58" spans="1:5" s="596" customFormat="1" ht="31.5" x14ac:dyDescent="0.25">
      <c r="A58" s="403" t="s">
        <v>858</v>
      </c>
      <c r="B58" s="404" t="s">
        <v>859</v>
      </c>
      <c r="C58" s="405">
        <v>201804</v>
      </c>
      <c r="D58" s="405"/>
      <c r="E58" s="405">
        <f>SUM(C58:D58)</f>
        <v>201804</v>
      </c>
    </row>
    <row r="59" spans="1:5" s="596" customFormat="1" x14ac:dyDescent="0.25">
      <c r="A59" s="404"/>
      <c r="B59" s="403" t="s">
        <v>415</v>
      </c>
      <c r="C59" s="406">
        <f t="shared" ref="C59:E59" si="15">SUM(C58)</f>
        <v>201804</v>
      </c>
      <c r="D59" s="406">
        <f t="shared" si="15"/>
        <v>0</v>
      </c>
      <c r="E59" s="406">
        <f t="shared" si="15"/>
        <v>201804</v>
      </c>
    </row>
    <row r="60" spans="1:5" s="596" customFormat="1" x14ac:dyDescent="0.25">
      <c r="A60" s="404"/>
      <c r="B60" s="404"/>
      <c r="C60" s="405"/>
      <c r="D60" s="405"/>
      <c r="E60" s="405"/>
    </row>
    <row r="61" spans="1:5" s="596" customFormat="1" ht="31.5" x14ac:dyDescent="0.25">
      <c r="A61" s="403" t="s">
        <v>1288</v>
      </c>
      <c r="B61" s="404" t="s">
        <v>1289</v>
      </c>
      <c r="C61" s="405"/>
      <c r="D61" s="405">
        <v>3300</v>
      </c>
      <c r="E61" s="405">
        <f>SUM(C61:D61)</f>
        <v>3300</v>
      </c>
    </row>
    <row r="62" spans="1:5" s="596" customFormat="1" x14ac:dyDescent="0.25">
      <c r="A62" s="404"/>
      <c r="B62" s="403" t="s">
        <v>415</v>
      </c>
      <c r="C62" s="406">
        <f t="shared" ref="C62:E62" si="16">SUM(C61)</f>
        <v>0</v>
      </c>
      <c r="D62" s="406">
        <f t="shared" si="16"/>
        <v>3300</v>
      </c>
      <c r="E62" s="406">
        <f t="shared" si="16"/>
        <v>3300</v>
      </c>
    </row>
    <row r="63" spans="1:5" s="596" customFormat="1" x14ac:dyDescent="0.25">
      <c r="A63" s="404"/>
      <c r="B63" s="404"/>
      <c r="C63" s="405"/>
      <c r="D63" s="405"/>
      <c r="E63" s="405"/>
    </row>
    <row r="64" spans="1:5" s="596" customFormat="1" x14ac:dyDescent="0.25">
      <c r="A64" s="403" t="s">
        <v>436</v>
      </c>
      <c r="B64" s="404" t="s">
        <v>860</v>
      </c>
      <c r="C64" s="405">
        <v>13244</v>
      </c>
      <c r="D64" s="405"/>
      <c r="E64" s="405">
        <f>SUM(C64:D64)</f>
        <v>13244</v>
      </c>
    </row>
    <row r="65" spans="1:5" s="618" customFormat="1" x14ac:dyDescent="0.25">
      <c r="A65" s="403"/>
      <c r="B65" s="403" t="s">
        <v>415</v>
      </c>
      <c r="C65" s="407">
        <f>SUM(C64)</f>
        <v>13244</v>
      </c>
      <c r="D65" s="407">
        <f t="shared" ref="D65:E65" si="17">SUM(D64)</f>
        <v>0</v>
      </c>
      <c r="E65" s="407">
        <f t="shared" si="17"/>
        <v>13244</v>
      </c>
    </row>
    <row r="66" spans="1:5" s="596" customFormat="1" x14ac:dyDescent="0.25">
      <c r="A66" s="404"/>
      <c r="B66" s="404"/>
      <c r="C66" s="405"/>
      <c r="D66" s="405"/>
      <c r="E66" s="405"/>
    </row>
    <row r="67" spans="1:5" s="596" customFormat="1" x14ac:dyDescent="0.25">
      <c r="A67" s="403" t="s">
        <v>442</v>
      </c>
      <c r="B67" s="404" t="s">
        <v>861</v>
      </c>
      <c r="C67" s="405">
        <v>35000</v>
      </c>
      <c r="D67" s="405"/>
      <c r="E67" s="405">
        <f>SUM(C67:D67)</f>
        <v>35000</v>
      </c>
    </row>
    <row r="68" spans="1:5" s="618" customFormat="1" x14ac:dyDescent="0.25">
      <c r="A68" s="403"/>
      <c r="B68" s="403" t="s">
        <v>415</v>
      </c>
      <c r="C68" s="407">
        <f>SUM(C67)</f>
        <v>35000</v>
      </c>
      <c r="D68" s="407">
        <f t="shared" ref="D68:E68" si="18">SUM(D67)</f>
        <v>0</v>
      </c>
      <c r="E68" s="407">
        <f t="shared" si="18"/>
        <v>35000</v>
      </c>
    </row>
    <row r="69" spans="1:5" s="596" customFormat="1" x14ac:dyDescent="0.25">
      <c r="A69" s="404"/>
      <c r="B69" s="404"/>
      <c r="C69" s="405"/>
      <c r="D69" s="405"/>
      <c r="E69" s="405"/>
    </row>
    <row r="70" spans="1:5" s="596" customFormat="1" ht="31.5" x14ac:dyDescent="0.25">
      <c r="A70" s="403" t="s">
        <v>862</v>
      </c>
      <c r="B70" s="404" t="s">
        <v>863</v>
      </c>
      <c r="C70" s="405">
        <v>37500</v>
      </c>
      <c r="D70" s="405"/>
      <c r="E70" s="405">
        <f>SUM(C70:D70)</f>
        <v>37500</v>
      </c>
    </row>
    <row r="71" spans="1:5" s="618" customFormat="1" x14ac:dyDescent="0.25">
      <c r="A71" s="403"/>
      <c r="B71" s="403" t="s">
        <v>415</v>
      </c>
      <c r="C71" s="407">
        <f>SUM(C70)</f>
        <v>37500</v>
      </c>
      <c r="D71" s="407">
        <f t="shared" ref="D71:E71" si="19">SUM(D70)</f>
        <v>0</v>
      </c>
      <c r="E71" s="407">
        <f t="shared" si="19"/>
        <v>37500</v>
      </c>
    </row>
    <row r="72" spans="1:5" s="596" customFormat="1" x14ac:dyDescent="0.25">
      <c r="A72" s="404"/>
      <c r="B72" s="404"/>
      <c r="C72" s="405"/>
      <c r="D72" s="405"/>
      <c r="E72" s="405"/>
    </row>
    <row r="73" spans="1:5" s="596" customFormat="1" x14ac:dyDescent="0.25">
      <c r="A73" s="403" t="s">
        <v>419</v>
      </c>
      <c r="B73" s="404" t="s">
        <v>420</v>
      </c>
      <c r="C73" s="405">
        <f>215000+150276</f>
        <v>365276</v>
      </c>
      <c r="D73" s="405"/>
      <c r="E73" s="405">
        <f>SUM(C73:D73)</f>
        <v>365276</v>
      </c>
    </row>
    <row r="74" spans="1:5" s="596" customFormat="1" x14ac:dyDescent="0.25">
      <c r="A74" s="404"/>
      <c r="B74" s="403" t="s">
        <v>415</v>
      </c>
      <c r="C74" s="406">
        <f t="shared" ref="C74:E74" si="20">SUM(C73)</f>
        <v>365276</v>
      </c>
      <c r="D74" s="406">
        <f t="shared" si="20"/>
        <v>0</v>
      </c>
      <c r="E74" s="406">
        <f t="shared" si="20"/>
        <v>365276</v>
      </c>
    </row>
    <row r="75" spans="1:5" s="596" customFormat="1" x14ac:dyDescent="0.25">
      <c r="A75" s="404"/>
      <c r="B75" s="403"/>
      <c r="C75" s="406"/>
      <c r="D75" s="406"/>
      <c r="E75" s="406"/>
    </row>
    <row r="76" spans="1:5" s="596" customFormat="1" ht="31.5" x14ac:dyDescent="0.25">
      <c r="A76" s="403" t="s">
        <v>576</v>
      </c>
      <c r="B76" s="404" t="s">
        <v>864</v>
      </c>
      <c r="C76" s="405">
        <v>23000</v>
      </c>
      <c r="D76" s="405"/>
      <c r="E76" s="405">
        <f>SUM(C76:D76)</f>
        <v>23000</v>
      </c>
    </row>
    <row r="77" spans="1:5" s="596" customFormat="1" x14ac:dyDescent="0.25">
      <c r="A77" s="404"/>
      <c r="B77" s="403" t="s">
        <v>415</v>
      </c>
      <c r="C77" s="406">
        <f t="shared" ref="C77:E77" si="21">SUM(C76)</f>
        <v>23000</v>
      </c>
      <c r="D77" s="406">
        <f t="shared" si="21"/>
        <v>0</v>
      </c>
      <c r="E77" s="406">
        <f t="shared" si="21"/>
        <v>23000</v>
      </c>
    </row>
    <row r="78" spans="1:5" s="596" customFormat="1" x14ac:dyDescent="0.25">
      <c r="A78" s="404"/>
      <c r="B78" s="403"/>
      <c r="C78" s="406"/>
      <c r="D78" s="406"/>
      <c r="E78" s="406"/>
    </row>
    <row r="79" spans="1:5" s="596" customFormat="1" x14ac:dyDescent="0.25">
      <c r="A79" s="403" t="s">
        <v>421</v>
      </c>
      <c r="B79" s="404"/>
      <c r="C79" s="407">
        <f>35000+15552</f>
        <v>50552</v>
      </c>
      <c r="D79" s="407">
        <f>1634-4144</f>
        <v>-2510</v>
      </c>
      <c r="E79" s="407">
        <f>SUM(C79:D79)</f>
        <v>48042</v>
      </c>
    </row>
    <row r="80" spans="1:5" s="596" customFormat="1" x14ac:dyDescent="0.25">
      <c r="A80" s="403"/>
      <c r="B80" s="404"/>
      <c r="C80" s="407"/>
      <c r="D80" s="407"/>
      <c r="E80" s="407"/>
    </row>
    <row r="81" spans="1:5" s="596" customFormat="1" ht="16.5" thickBot="1" x14ac:dyDescent="0.3">
      <c r="A81" s="403" t="s">
        <v>422</v>
      </c>
      <c r="B81" s="404"/>
      <c r="C81" s="408">
        <f>35000+709</f>
        <v>35709</v>
      </c>
      <c r="D81" s="624"/>
      <c r="E81" s="624">
        <f>SUM(C81:D81)</f>
        <v>35709</v>
      </c>
    </row>
    <row r="82" spans="1:5" s="596" customFormat="1" ht="15.75" customHeight="1" x14ac:dyDescent="0.25">
      <c r="A82" s="991" t="s">
        <v>577</v>
      </c>
      <c r="B82" s="992"/>
      <c r="C82" s="992"/>
      <c r="D82" s="992"/>
      <c r="E82" s="993"/>
    </row>
    <row r="83" spans="1:5" s="596" customFormat="1" ht="31.5" x14ac:dyDescent="0.25">
      <c r="A83" s="403" t="s">
        <v>865</v>
      </c>
      <c r="B83" s="404" t="s">
        <v>866</v>
      </c>
      <c r="C83" s="408">
        <v>165251</v>
      </c>
      <c r="D83" s="408"/>
      <c r="E83" s="408">
        <f>SUM(C83:D83)</f>
        <v>165251</v>
      </c>
    </row>
    <row r="84" spans="1:5" s="596" customFormat="1" x14ac:dyDescent="0.25">
      <c r="A84" s="403"/>
      <c r="B84" s="404"/>
      <c r="C84" s="408"/>
      <c r="D84" s="408"/>
      <c r="E84" s="408"/>
    </row>
    <row r="85" spans="1:5" s="596" customFormat="1" ht="15.75" customHeight="1" x14ac:dyDescent="0.25">
      <c r="A85" s="994" t="s">
        <v>578</v>
      </c>
      <c r="B85" s="995"/>
      <c r="C85" s="995"/>
      <c r="D85" s="995"/>
      <c r="E85" s="996"/>
    </row>
    <row r="86" spans="1:5" s="596" customFormat="1" ht="47.25" x14ac:dyDescent="0.25">
      <c r="A86" s="403" t="s">
        <v>418</v>
      </c>
      <c r="B86" s="404" t="s">
        <v>867</v>
      </c>
      <c r="C86" s="405">
        <v>709</v>
      </c>
      <c r="D86" s="405"/>
      <c r="E86" s="405">
        <f>SUM(C86:D86)</f>
        <v>709</v>
      </c>
    </row>
    <row r="87" spans="1:5" s="618" customFormat="1" x14ac:dyDescent="0.25">
      <c r="A87" s="403"/>
      <c r="B87" s="403" t="s">
        <v>415</v>
      </c>
      <c r="C87" s="406">
        <f t="shared" ref="C87:E87" si="22">SUM(C86)</f>
        <v>709</v>
      </c>
      <c r="D87" s="406">
        <f t="shared" si="22"/>
        <v>0</v>
      </c>
      <c r="E87" s="406">
        <f t="shared" si="22"/>
        <v>709</v>
      </c>
    </row>
    <row r="88" spans="1:5" s="596" customFormat="1" x14ac:dyDescent="0.25">
      <c r="A88" s="404"/>
      <c r="B88" s="404"/>
      <c r="C88" s="405"/>
      <c r="D88" s="405"/>
      <c r="E88" s="405"/>
    </row>
    <row r="89" spans="1:5" s="596" customFormat="1" ht="31.5" x14ac:dyDescent="0.25">
      <c r="A89" s="403" t="s">
        <v>868</v>
      </c>
      <c r="B89" s="404" t="s">
        <v>869</v>
      </c>
      <c r="C89" s="405">
        <v>227865</v>
      </c>
      <c r="D89" s="405"/>
      <c r="E89" s="405">
        <f>SUM(C89:D89)</f>
        <v>227865</v>
      </c>
    </row>
    <row r="90" spans="1:5" s="618" customFormat="1" x14ac:dyDescent="0.25">
      <c r="A90" s="403"/>
      <c r="B90" s="403" t="s">
        <v>415</v>
      </c>
      <c r="C90" s="406">
        <f t="shared" ref="C90:E90" si="23">SUM(C89)</f>
        <v>227865</v>
      </c>
      <c r="D90" s="406">
        <f t="shared" si="23"/>
        <v>0</v>
      </c>
      <c r="E90" s="406">
        <f t="shared" si="23"/>
        <v>227865</v>
      </c>
    </row>
    <row r="91" spans="1:5" s="596" customFormat="1" x14ac:dyDescent="0.25">
      <c r="A91" s="404"/>
      <c r="B91" s="404"/>
      <c r="C91" s="405"/>
      <c r="D91" s="405"/>
      <c r="E91" s="405"/>
    </row>
    <row r="92" spans="1:5" s="596" customFormat="1" ht="47.25" x14ac:dyDescent="0.25">
      <c r="A92" s="403" t="s">
        <v>424</v>
      </c>
      <c r="B92" s="404" t="s">
        <v>423</v>
      </c>
      <c r="C92" s="405">
        <f>171016+213052</f>
        <v>384068</v>
      </c>
      <c r="D92" s="405">
        <v>2738</v>
      </c>
      <c r="E92" s="405">
        <f>SUM(C92:D92)</f>
        <v>386806</v>
      </c>
    </row>
    <row r="93" spans="1:5" s="618" customFormat="1" x14ac:dyDescent="0.25">
      <c r="A93" s="403"/>
      <c r="B93" s="403" t="s">
        <v>415</v>
      </c>
      <c r="C93" s="406">
        <f t="shared" ref="C93:E93" si="24">SUM(C92)</f>
        <v>384068</v>
      </c>
      <c r="D93" s="406">
        <f t="shared" si="24"/>
        <v>2738</v>
      </c>
      <c r="E93" s="406">
        <f t="shared" si="24"/>
        <v>386806</v>
      </c>
    </row>
    <row r="94" spans="1:5" s="596" customFormat="1" x14ac:dyDescent="0.25">
      <c r="A94" s="404"/>
      <c r="B94" s="404"/>
      <c r="C94" s="405"/>
      <c r="D94" s="405"/>
      <c r="E94" s="405"/>
    </row>
    <row r="95" spans="1:5" s="596" customFormat="1" x14ac:dyDescent="0.25">
      <c r="A95" s="403" t="s">
        <v>870</v>
      </c>
      <c r="B95" s="404" t="s">
        <v>871</v>
      </c>
      <c r="C95" s="405">
        <v>27733</v>
      </c>
      <c r="D95" s="405">
        <v>188</v>
      </c>
      <c r="E95" s="405">
        <f>SUM(C95:D95)</f>
        <v>27921</v>
      </c>
    </row>
    <row r="96" spans="1:5" s="618" customFormat="1" x14ac:dyDescent="0.25">
      <c r="A96" s="403"/>
      <c r="B96" s="403" t="s">
        <v>415</v>
      </c>
      <c r="C96" s="406">
        <f t="shared" ref="C96:E96" si="25">SUM(C95)</f>
        <v>27733</v>
      </c>
      <c r="D96" s="406">
        <f t="shared" si="25"/>
        <v>188</v>
      </c>
      <c r="E96" s="406">
        <f t="shared" si="25"/>
        <v>27921</v>
      </c>
    </row>
    <row r="97" spans="1:5" s="596" customFormat="1" x14ac:dyDescent="0.25">
      <c r="A97" s="404"/>
      <c r="B97" s="404"/>
      <c r="C97" s="405"/>
      <c r="D97" s="405"/>
      <c r="E97" s="405"/>
    </row>
    <row r="98" spans="1:5" s="596" customFormat="1" x14ac:dyDescent="0.25">
      <c r="A98" s="403" t="s">
        <v>872</v>
      </c>
      <c r="B98" s="404" t="s">
        <v>873</v>
      </c>
      <c r="C98" s="405">
        <v>90203</v>
      </c>
      <c r="D98" s="405"/>
      <c r="E98" s="405">
        <f>SUM(C98:D98)</f>
        <v>90203</v>
      </c>
    </row>
    <row r="99" spans="1:5" s="618" customFormat="1" x14ac:dyDescent="0.25">
      <c r="A99" s="403"/>
      <c r="B99" s="403" t="s">
        <v>415</v>
      </c>
      <c r="C99" s="406">
        <f t="shared" ref="C99:E99" si="26">SUM(C98)</f>
        <v>90203</v>
      </c>
      <c r="D99" s="406">
        <f t="shared" si="26"/>
        <v>0</v>
      </c>
      <c r="E99" s="406">
        <f t="shared" si="26"/>
        <v>90203</v>
      </c>
    </row>
    <row r="100" spans="1:5" s="596" customFormat="1" x14ac:dyDescent="0.25">
      <c r="A100" s="404"/>
      <c r="B100" s="404"/>
      <c r="C100" s="405"/>
      <c r="D100" s="405"/>
      <c r="E100" s="405"/>
    </row>
    <row r="101" spans="1:5" s="596" customFormat="1" ht="47.25" x14ac:dyDescent="0.25">
      <c r="A101" s="403" t="s">
        <v>874</v>
      </c>
      <c r="B101" s="404" t="s">
        <v>875</v>
      </c>
      <c r="C101" s="405">
        <v>68180</v>
      </c>
      <c r="D101" s="405">
        <v>5756</v>
      </c>
      <c r="E101" s="405">
        <f>SUM(C101:D101)</f>
        <v>73936</v>
      </c>
    </row>
    <row r="102" spans="1:5" s="618" customFormat="1" x14ac:dyDescent="0.25">
      <c r="A102" s="403"/>
      <c r="B102" s="403" t="s">
        <v>415</v>
      </c>
      <c r="C102" s="406">
        <f t="shared" ref="C102:E102" si="27">SUM(C101)</f>
        <v>68180</v>
      </c>
      <c r="D102" s="406">
        <f t="shared" si="27"/>
        <v>5756</v>
      </c>
      <c r="E102" s="406">
        <f t="shared" si="27"/>
        <v>73936</v>
      </c>
    </row>
    <row r="103" spans="1:5" s="596" customFormat="1" x14ac:dyDescent="0.25">
      <c r="A103" s="404"/>
      <c r="B103" s="404"/>
      <c r="C103" s="405"/>
      <c r="D103" s="405"/>
      <c r="E103" s="405"/>
    </row>
    <row r="104" spans="1:5" s="596" customFormat="1" ht="31.5" x14ac:dyDescent="0.25">
      <c r="A104" s="403" t="s">
        <v>876</v>
      </c>
      <c r="B104" s="404" t="s">
        <v>877</v>
      </c>
      <c r="C104" s="405">
        <v>357638</v>
      </c>
      <c r="D104" s="405"/>
      <c r="E104" s="405">
        <f>SUM(C104:D104)</f>
        <v>357638</v>
      </c>
    </row>
    <row r="105" spans="1:5" s="618" customFormat="1" x14ac:dyDescent="0.25">
      <c r="A105" s="403"/>
      <c r="B105" s="403" t="s">
        <v>415</v>
      </c>
      <c r="C105" s="406">
        <f t="shared" ref="C105:E105" si="28">SUM(C104)</f>
        <v>357638</v>
      </c>
      <c r="D105" s="406">
        <f t="shared" si="28"/>
        <v>0</v>
      </c>
      <c r="E105" s="406">
        <f t="shared" si="28"/>
        <v>357638</v>
      </c>
    </row>
    <row r="106" spans="1:5" s="596" customFormat="1" x14ac:dyDescent="0.25">
      <c r="A106" s="404"/>
      <c r="B106" s="404"/>
      <c r="C106" s="405"/>
      <c r="D106" s="405"/>
      <c r="E106" s="405"/>
    </row>
    <row r="107" spans="1:5" s="618" customFormat="1" ht="16.5" thickBot="1" x14ac:dyDescent="0.3">
      <c r="A107" s="619" t="s">
        <v>579</v>
      </c>
      <c r="B107" s="620"/>
      <c r="C107" s="621">
        <f>SUM(C93,C96,C90,C87,C102,C99,C105)</f>
        <v>1156396</v>
      </c>
      <c r="D107" s="621">
        <f t="shared" ref="D107:E107" si="29">SUM(D93,D96,D90,D87,D102,D99,D105)</f>
        <v>8682</v>
      </c>
      <c r="E107" s="621">
        <f t="shared" si="29"/>
        <v>1165078</v>
      </c>
    </row>
    <row r="108" spans="1:5" s="596" customFormat="1" ht="16.5" thickBot="1" x14ac:dyDescent="0.3">
      <c r="A108" s="997" t="s">
        <v>425</v>
      </c>
      <c r="B108" s="997"/>
      <c r="C108" s="409">
        <f>SUM(C10,C13,C20,C27,C31,C38,C42,C45,C49,C52,C56,C59,C62,C65,C68,C71,C74,C77,C79,C81,C83,C16,C107,C24,C34)</f>
        <v>2611543</v>
      </c>
      <c r="D108" s="409">
        <f t="shared" ref="D108:E108" si="30">SUM(D10,D13,D20,D27,D31,D38,D42,D45,D49,D52,D56,D59,D62,D65,D68,D71,D74,D77,D79,D81,D83,D16,D107,D24,D34)</f>
        <v>23097</v>
      </c>
      <c r="E108" s="409">
        <f t="shared" si="30"/>
        <v>2634640</v>
      </c>
    </row>
    <row r="109" spans="1:5" s="596" customFormat="1" x14ac:dyDescent="0.25">
      <c r="A109" s="622"/>
      <c r="C109" s="597"/>
      <c r="D109" s="597"/>
      <c r="E109" s="597"/>
    </row>
    <row r="117" spans="1:5" x14ac:dyDescent="0.25">
      <c r="A117" s="723"/>
      <c r="C117" s="723"/>
      <c r="D117" s="915"/>
      <c r="E117" s="723"/>
    </row>
    <row r="118" spans="1:5" x14ac:dyDescent="0.25">
      <c r="A118" s="723"/>
      <c r="C118" s="723"/>
      <c r="D118" s="915"/>
      <c r="E118" s="723"/>
    </row>
    <row r="119" spans="1:5" x14ac:dyDescent="0.25">
      <c r="A119" s="723"/>
      <c r="C119" s="723"/>
      <c r="D119" s="915"/>
      <c r="E119" s="723"/>
    </row>
    <row r="120" spans="1:5" x14ac:dyDescent="0.25">
      <c r="A120" s="723"/>
      <c r="C120" s="723"/>
      <c r="D120" s="915"/>
      <c r="E120" s="723"/>
    </row>
    <row r="121" spans="1:5" x14ac:dyDescent="0.25">
      <c r="A121" s="723"/>
      <c r="C121" s="723"/>
      <c r="D121" s="915"/>
      <c r="E121" s="723"/>
    </row>
  </sheetData>
  <mergeCells count="5">
    <mergeCell ref="A1:E1"/>
    <mergeCell ref="A5:E5"/>
    <mergeCell ref="A82:E82"/>
    <mergeCell ref="A85:E85"/>
    <mergeCell ref="A108:B108"/>
  </mergeCells>
  <pageMargins left="0.31496062992125984" right="0.31496062992125984" top="0.74803149606299213" bottom="0.74803149606299213" header="0.31496062992125984" footer="0.31496062992125984"/>
  <pageSetup paperSize="9" scale="66" orientation="portrait" r:id="rId1"/>
  <headerFooter>
    <oddHeader xml:space="preserve">&amp;R&amp;"Times New Roman CE,Félkövér"12. melléklet a 23/2018.(X.15.) önkormányzati rendelethez&amp;"Times New Roman CE,Dőlt"&amp;11
 14. melléklet
a 3/2018.(II.8.) önkormányzati rendelethez
</oddHeader>
  </headerFooter>
  <rowBreaks count="1" manualBreakCount="1">
    <brk id="56" max="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53"/>
  <sheetViews>
    <sheetView topLeftCell="A13" zoomScale="110" zoomScaleNormal="110" workbookViewId="0">
      <selection activeCell="B12" sqref="B12"/>
    </sheetView>
  </sheetViews>
  <sheetFormatPr defaultColWidth="9" defaultRowHeight="15.75" x14ac:dyDescent="0.25"/>
  <cols>
    <col min="1" max="1" width="45.625" style="177" customWidth="1"/>
    <col min="2" max="2" width="16" style="178" customWidth="1"/>
    <col min="3" max="3" width="7.5" style="159" customWidth="1"/>
    <col min="4" max="4" width="43.75" style="159" customWidth="1"/>
    <col min="5" max="5" width="16" style="159" customWidth="1"/>
    <col min="6" max="6" width="24.625" style="159" customWidth="1"/>
    <col min="7" max="16384" width="9" style="159"/>
  </cols>
  <sheetData>
    <row r="1" spans="1:6" ht="31.5" customHeight="1" x14ac:dyDescent="0.25">
      <c r="A1" s="1000" t="s">
        <v>388</v>
      </c>
      <c r="B1" s="1000"/>
      <c r="C1" s="1000"/>
      <c r="D1" s="1000"/>
      <c r="E1" s="1000"/>
      <c r="F1" s="1000"/>
    </row>
    <row r="3" spans="1:6" ht="16.5" thickBot="1" x14ac:dyDescent="0.3"/>
    <row r="4" spans="1:6" ht="33" thickTop="1" thickBot="1" x14ac:dyDescent="0.3">
      <c r="A4" s="157" t="s">
        <v>53</v>
      </c>
      <c r="B4" s="158" t="s">
        <v>975</v>
      </c>
      <c r="D4" s="157" t="s">
        <v>53</v>
      </c>
      <c r="E4" s="158" t="s">
        <v>975</v>
      </c>
    </row>
    <row r="5" spans="1:6" s="161" customFormat="1" ht="16.5" thickTop="1" x14ac:dyDescent="0.25">
      <c r="A5" s="160" t="s">
        <v>295</v>
      </c>
      <c r="B5" s="681"/>
      <c r="D5" s="162" t="s">
        <v>296</v>
      </c>
      <c r="E5" s="163"/>
    </row>
    <row r="6" spans="1:6" s="166" customFormat="1" ht="31.5" x14ac:dyDescent="0.25">
      <c r="A6" s="164" t="s">
        <v>55</v>
      </c>
      <c r="B6" s="165">
        <v>7998834</v>
      </c>
      <c r="D6" s="164" t="s">
        <v>273</v>
      </c>
      <c r="E6" s="165">
        <v>6124316</v>
      </c>
    </row>
    <row r="7" spans="1:6" s="166" customFormat="1" ht="31.5" x14ac:dyDescent="0.25">
      <c r="A7" s="164" t="s">
        <v>32</v>
      </c>
      <c r="B7" s="165">
        <v>1688506</v>
      </c>
      <c r="D7" s="164" t="s">
        <v>56</v>
      </c>
      <c r="E7" s="165">
        <v>18387700</v>
      </c>
    </row>
    <row r="8" spans="1:6" s="166" customFormat="1" ht="16.5" thickBot="1" x14ac:dyDescent="0.3">
      <c r="A8" s="164" t="s">
        <v>57</v>
      </c>
      <c r="B8" s="165">
        <v>14049674</v>
      </c>
      <c r="D8" s="172" t="s">
        <v>54</v>
      </c>
      <c r="E8" s="173">
        <v>6674206</v>
      </c>
    </row>
    <row r="9" spans="1:6" s="166" customFormat="1" ht="16.5" thickTop="1" x14ac:dyDescent="0.25">
      <c r="A9" s="168" t="s">
        <v>491</v>
      </c>
      <c r="B9" s="165">
        <v>121853</v>
      </c>
      <c r="D9" s="172" t="s">
        <v>275</v>
      </c>
      <c r="E9" s="173">
        <v>559813</v>
      </c>
      <c r="F9" s="1001" t="s">
        <v>300</v>
      </c>
    </row>
    <row r="10" spans="1:6" s="166" customFormat="1" ht="15.75" customHeight="1" x14ac:dyDescent="0.25">
      <c r="A10" s="164" t="s">
        <v>280</v>
      </c>
      <c r="B10" s="682">
        <v>14002832</v>
      </c>
      <c r="D10" s="172"/>
      <c r="E10" s="173"/>
      <c r="F10" s="1002"/>
    </row>
    <row r="11" spans="1:6" s="166" customFormat="1" ht="16.5" customHeight="1" thickBot="1" x14ac:dyDescent="0.3">
      <c r="A11" s="168" t="s">
        <v>58</v>
      </c>
      <c r="B11" s="682">
        <v>2700809</v>
      </c>
      <c r="D11" s="169"/>
      <c r="E11" s="170"/>
      <c r="F11" s="1003"/>
    </row>
    <row r="12" spans="1:6" s="176" customFormat="1" ht="17.25" thickTop="1" thickBot="1" x14ac:dyDescent="0.3">
      <c r="A12" s="174" t="s">
        <v>293</v>
      </c>
      <c r="B12" s="175">
        <f>SUM(B5:B11)</f>
        <v>40562508</v>
      </c>
      <c r="D12" s="174" t="s">
        <v>294</v>
      </c>
      <c r="E12" s="175">
        <f>SUM(E6:E10)</f>
        <v>31746035</v>
      </c>
      <c r="F12" s="175">
        <f>+E12-B12</f>
        <v>-8816473</v>
      </c>
    </row>
    <row r="13" spans="1:6" s="176" customFormat="1" ht="17.25" thickTop="1" thickBot="1" x14ac:dyDescent="0.3">
      <c r="A13" s="270"/>
      <c r="B13" s="271"/>
      <c r="D13" s="270"/>
      <c r="E13" s="271"/>
      <c r="F13" s="271"/>
    </row>
    <row r="14" spans="1:6" s="161" customFormat="1" ht="17.25" thickTop="1" thickBot="1" x14ac:dyDescent="0.3">
      <c r="A14" s="162" t="s">
        <v>304</v>
      </c>
      <c r="B14" s="179"/>
      <c r="D14" s="162" t="s">
        <v>305</v>
      </c>
      <c r="E14" s="163"/>
    </row>
    <row r="15" spans="1:6" s="166" customFormat="1" ht="16.5" customHeight="1" thickTop="1" x14ac:dyDescent="0.25">
      <c r="A15" s="171" t="s">
        <v>322</v>
      </c>
      <c r="B15" s="165">
        <f>10792662-231085+377371-4312</f>
        <v>10934636</v>
      </c>
      <c r="D15" s="172" t="s">
        <v>323</v>
      </c>
      <c r="E15" s="167">
        <f>10792662-231085+377371-4312</f>
        <v>10934636</v>
      </c>
      <c r="F15" s="1004" t="s">
        <v>306</v>
      </c>
    </row>
    <row r="16" spans="1:6" s="166" customFormat="1" ht="31.5" x14ac:dyDescent="0.25">
      <c r="A16" s="171" t="s">
        <v>512</v>
      </c>
      <c r="B16" s="165">
        <v>32805492</v>
      </c>
      <c r="D16" s="337" t="s">
        <v>378</v>
      </c>
      <c r="E16" s="167">
        <v>2582734</v>
      </c>
      <c r="F16" s="1005"/>
    </row>
    <row r="17" spans="1:6" s="166" customFormat="1" ht="31.5" x14ac:dyDescent="0.25">
      <c r="A17" s="591" t="s">
        <v>580</v>
      </c>
      <c r="B17" s="682">
        <v>130927</v>
      </c>
      <c r="D17" s="337" t="s">
        <v>511</v>
      </c>
      <c r="E17" s="167">
        <f>21800000+18350000</f>
        <v>40150000</v>
      </c>
      <c r="F17" s="1005"/>
    </row>
    <row r="18" spans="1:6" s="166" customFormat="1" ht="16.5" thickBot="1" x14ac:dyDescent="0.3">
      <c r="A18" s="273"/>
      <c r="B18" s="683"/>
      <c r="D18" s="336"/>
      <c r="E18" s="623"/>
      <c r="F18" s="1006"/>
    </row>
    <row r="19" spans="1:6" s="176" customFormat="1" ht="17.25" thickTop="1" thickBot="1" x14ac:dyDescent="0.3">
      <c r="A19" s="174" t="s">
        <v>307</v>
      </c>
      <c r="B19" s="175">
        <f>SUM(B15:B18)</f>
        <v>43871055</v>
      </c>
      <c r="D19" s="174" t="s">
        <v>308</v>
      </c>
      <c r="E19" s="175">
        <f>SUM(E15:E18)</f>
        <v>53667370</v>
      </c>
      <c r="F19" s="175">
        <f>+E19-B19</f>
        <v>9796315</v>
      </c>
    </row>
    <row r="20" spans="1:6" s="176" customFormat="1" ht="17.25" thickTop="1" thickBot="1" x14ac:dyDescent="0.3">
      <c r="A20" s="270"/>
      <c r="B20" s="271"/>
      <c r="D20" s="270"/>
      <c r="E20" s="271"/>
      <c r="F20" s="271"/>
    </row>
    <row r="21" spans="1:6" s="176" customFormat="1" ht="17.25" thickTop="1" thickBot="1" x14ac:dyDescent="0.3">
      <c r="A21" s="270"/>
      <c r="B21" s="270"/>
      <c r="C21" s="270"/>
      <c r="D21" s="998" t="s">
        <v>309</v>
      </c>
      <c r="E21" s="998"/>
      <c r="F21" s="275">
        <f>SUM(F12+F19)</f>
        <v>979842</v>
      </c>
    </row>
    <row r="22" spans="1:6" s="176" customFormat="1" ht="16.5" thickTop="1" x14ac:dyDescent="0.25">
      <c r="A22" s="270"/>
      <c r="B22" s="271"/>
      <c r="D22" s="270"/>
      <c r="E22" s="271"/>
      <c r="F22" s="271"/>
    </row>
    <row r="23" spans="1:6" s="176" customFormat="1" ht="16.5" thickBot="1" x14ac:dyDescent="0.3">
      <c r="A23" s="270"/>
      <c r="B23" s="271"/>
      <c r="D23" s="270"/>
      <c r="E23" s="271"/>
      <c r="F23" s="271"/>
    </row>
    <row r="24" spans="1:6" ht="33" thickTop="1" thickBot="1" x14ac:dyDescent="0.3">
      <c r="A24" s="157" t="s">
        <v>53</v>
      </c>
      <c r="B24" s="158" t="s">
        <v>975</v>
      </c>
      <c r="D24" s="157" t="s">
        <v>53</v>
      </c>
      <c r="E24" s="158" t="s">
        <v>975</v>
      </c>
    </row>
    <row r="25" spans="1:6" ht="16.5" thickTop="1" x14ac:dyDescent="0.25">
      <c r="A25" s="162" t="s">
        <v>297</v>
      </c>
      <c r="B25" s="179"/>
      <c r="D25" s="162" t="s">
        <v>298</v>
      </c>
      <c r="E25" s="179"/>
    </row>
    <row r="26" spans="1:6" ht="32.25" customHeight="1" thickBot="1" x14ac:dyDescent="0.3">
      <c r="A26" s="164" t="s">
        <v>52</v>
      </c>
      <c r="B26" s="165">
        <v>29226867</v>
      </c>
      <c r="D26" s="164" t="s">
        <v>292</v>
      </c>
      <c r="E26" s="165">
        <v>15404030</v>
      </c>
      <c r="F26" s="340"/>
    </row>
    <row r="27" spans="1:6" ht="16.5" thickTop="1" x14ac:dyDescent="0.25">
      <c r="A27" s="164" t="s">
        <v>60</v>
      </c>
      <c r="B27" s="165">
        <v>4036288</v>
      </c>
      <c r="D27" s="164" t="s">
        <v>299</v>
      </c>
      <c r="E27" s="165">
        <v>282860</v>
      </c>
      <c r="F27" s="1004" t="s">
        <v>301</v>
      </c>
    </row>
    <row r="28" spans="1:6" x14ac:dyDescent="0.25">
      <c r="A28" s="164" t="s">
        <v>270</v>
      </c>
      <c r="B28" s="165">
        <v>1338685</v>
      </c>
      <c r="D28" s="164" t="s">
        <v>276</v>
      </c>
      <c r="E28" s="165">
        <v>120375</v>
      </c>
      <c r="F28" s="1005"/>
    </row>
    <row r="29" spans="1:6" ht="16.5" thickBot="1" x14ac:dyDescent="0.3">
      <c r="A29" s="164"/>
      <c r="B29" s="165"/>
      <c r="D29" s="338"/>
      <c r="E29" s="339"/>
      <c r="F29" s="1006"/>
    </row>
    <row r="30" spans="1:6" s="176" customFormat="1" ht="17.25" thickTop="1" thickBot="1" x14ac:dyDescent="0.3">
      <c r="A30" s="174" t="s">
        <v>302</v>
      </c>
      <c r="B30" s="175">
        <f>SUM(B26:B29)</f>
        <v>34601840</v>
      </c>
      <c r="D30" s="174" t="s">
        <v>303</v>
      </c>
      <c r="E30" s="175">
        <f>SUM(E26:E28)</f>
        <v>15807265</v>
      </c>
      <c r="F30" s="175">
        <f>+E30-B30</f>
        <v>-18794575</v>
      </c>
    </row>
    <row r="31" spans="1:6" s="176" customFormat="1" ht="17.25" thickTop="1" thickBot="1" x14ac:dyDescent="0.3">
      <c r="A31" s="270"/>
      <c r="B31" s="271"/>
      <c r="D31" s="270"/>
      <c r="E31" s="271"/>
      <c r="F31" s="271"/>
    </row>
    <row r="32" spans="1:6" s="161" customFormat="1" ht="17.25" thickTop="1" thickBot="1" x14ac:dyDescent="0.3">
      <c r="A32" s="162" t="s">
        <v>310</v>
      </c>
      <c r="B32" s="179"/>
      <c r="D32" s="162" t="s">
        <v>312</v>
      </c>
      <c r="E32" s="163"/>
    </row>
    <row r="33" spans="1:6" s="166" customFormat="1" ht="16.5" thickTop="1" x14ac:dyDescent="0.25">
      <c r="A33" s="171" t="s">
        <v>322</v>
      </c>
      <c r="B33" s="165">
        <v>231085</v>
      </c>
      <c r="D33" s="172" t="s">
        <v>323</v>
      </c>
      <c r="E33" s="167">
        <v>231085</v>
      </c>
      <c r="F33" s="1004" t="s">
        <v>319</v>
      </c>
    </row>
    <row r="34" spans="1:6" s="166" customFormat="1" ht="31.5" x14ac:dyDescent="0.25">
      <c r="A34" s="591"/>
      <c r="B34" s="682"/>
      <c r="D34" s="172" t="s">
        <v>377</v>
      </c>
      <c r="E34" s="167">
        <v>10814733</v>
      </c>
      <c r="F34" s="1005"/>
    </row>
    <row r="35" spans="1:6" s="166" customFormat="1" ht="32.25" thickBot="1" x14ac:dyDescent="0.3">
      <c r="A35" s="273"/>
      <c r="B35" s="683"/>
      <c r="D35" s="171" t="s">
        <v>511</v>
      </c>
      <c r="E35" s="717">
        <v>7000000</v>
      </c>
      <c r="F35" s="1006"/>
    </row>
    <row r="36" spans="1:6" s="176" customFormat="1" ht="17.25" thickTop="1" thickBot="1" x14ac:dyDescent="0.3">
      <c r="A36" s="174" t="s">
        <v>311</v>
      </c>
      <c r="B36" s="175">
        <f>SUM(B33)</f>
        <v>231085</v>
      </c>
      <c r="D36" s="174" t="s">
        <v>313</v>
      </c>
      <c r="E36" s="175">
        <f>SUM(E33:E35)</f>
        <v>18045818</v>
      </c>
      <c r="F36" s="175">
        <f>+E36-B36</f>
        <v>17814733</v>
      </c>
    </row>
    <row r="37" spans="1:6" s="176" customFormat="1" ht="17.25" thickTop="1" thickBot="1" x14ac:dyDescent="0.3">
      <c r="A37" s="270"/>
      <c r="B37" s="271"/>
      <c r="D37" s="270"/>
      <c r="E37" s="271"/>
      <c r="F37" s="271"/>
    </row>
    <row r="38" spans="1:6" s="176" customFormat="1" ht="17.25" thickTop="1" thickBot="1" x14ac:dyDescent="0.3">
      <c r="A38" s="270"/>
      <c r="B38" s="270"/>
      <c r="C38" s="270"/>
      <c r="D38" s="998" t="s">
        <v>314</v>
      </c>
      <c r="E38" s="998"/>
      <c r="F38" s="275">
        <f>SUM(F30+F36)</f>
        <v>-979842</v>
      </c>
    </row>
    <row r="39" spans="1:6" s="176" customFormat="1" ht="17.25" thickTop="1" thickBot="1" x14ac:dyDescent="0.3">
      <c r="A39" s="270"/>
      <c r="B39" s="271"/>
      <c r="D39" s="270"/>
      <c r="E39" s="271"/>
      <c r="F39" s="271"/>
    </row>
    <row r="40" spans="1:6" s="176" customFormat="1" ht="33" thickTop="1" thickBot="1" x14ac:dyDescent="0.3">
      <c r="A40" s="270"/>
      <c r="B40" s="271"/>
      <c r="D40" s="270"/>
      <c r="E40" s="271"/>
      <c r="F40" s="181" t="s">
        <v>61</v>
      </c>
    </row>
    <row r="41" spans="1:6" s="176" customFormat="1" ht="17.25" thickTop="1" thickBot="1" x14ac:dyDescent="0.3">
      <c r="A41" s="182" t="s">
        <v>62</v>
      </c>
      <c r="B41" s="684">
        <f>SUM(B30+B12)</f>
        <v>75164348</v>
      </c>
      <c r="C41" s="159"/>
      <c r="D41" s="182" t="s">
        <v>63</v>
      </c>
      <c r="E41" s="183">
        <f>SUM(E30+E12)</f>
        <v>47553300</v>
      </c>
      <c r="F41" s="184">
        <f>SUM(E41-B41)</f>
        <v>-27611048</v>
      </c>
    </row>
    <row r="42" spans="1:6" s="176" customFormat="1" ht="17.25" thickTop="1" thickBot="1" x14ac:dyDescent="0.3">
      <c r="A42" s="272"/>
      <c r="B42" s="685"/>
      <c r="C42" s="159"/>
      <c r="D42" s="272"/>
      <c r="E42" s="274"/>
      <c r="F42" s="274"/>
    </row>
    <row r="43" spans="1:6" s="176" customFormat="1" ht="33" thickTop="1" thickBot="1" x14ac:dyDescent="0.3">
      <c r="A43" s="270"/>
      <c r="B43" s="271"/>
      <c r="D43" s="270"/>
      <c r="E43" s="271"/>
      <c r="F43" s="181" t="s">
        <v>318</v>
      </c>
    </row>
    <row r="44" spans="1:6" s="176" customFormat="1" ht="17.25" thickTop="1" thickBot="1" x14ac:dyDescent="0.3">
      <c r="A44" s="182" t="s">
        <v>315</v>
      </c>
      <c r="B44" s="684">
        <f>SUM(B36+B19)</f>
        <v>44102140</v>
      </c>
      <c r="C44" s="159"/>
      <c r="D44" s="182" t="s">
        <v>316</v>
      </c>
      <c r="E44" s="183">
        <f>SUM(E36+E19)</f>
        <v>71713188</v>
      </c>
      <c r="F44" s="184">
        <f>SUM(E44-B44)</f>
        <v>27611048</v>
      </c>
    </row>
    <row r="45" spans="1:6" s="176" customFormat="1" ht="17.25" thickTop="1" thickBot="1" x14ac:dyDescent="0.3">
      <c r="A45" s="270"/>
      <c r="B45" s="271"/>
      <c r="D45" s="270"/>
      <c r="E45" s="271"/>
      <c r="F45" s="271"/>
    </row>
    <row r="46" spans="1:6" s="176" customFormat="1" ht="17.25" thickTop="1" thickBot="1" x14ac:dyDescent="0.3">
      <c r="A46" s="270"/>
      <c r="B46" s="271"/>
      <c r="D46" s="999" t="s">
        <v>317</v>
      </c>
      <c r="E46" s="999"/>
      <c r="F46" s="276">
        <f>SUM(F41+F44)</f>
        <v>0</v>
      </c>
    </row>
    <row r="47" spans="1:6" s="176" customFormat="1" ht="16.5" thickTop="1" x14ac:dyDescent="0.25">
      <c r="A47" s="270"/>
      <c r="B47" s="271"/>
      <c r="D47" s="270"/>
      <c r="E47" s="271"/>
      <c r="F47" s="271"/>
    </row>
    <row r="48" spans="1:6" x14ac:dyDescent="0.25">
      <c r="A48" s="185"/>
      <c r="C48" s="180"/>
      <c r="E48" s="178"/>
      <c r="F48" s="180"/>
    </row>
    <row r="49" spans="1:6" x14ac:dyDescent="0.25">
      <c r="E49" s="178"/>
    </row>
    <row r="50" spans="1:6" x14ac:dyDescent="0.25">
      <c r="A50" s="185"/>
      <c r="B50" s="186"/>
      <c r="E50" s="186"/>
      <c r="F50" s="180"/>
    </row>
    <row r="51" spans="1:6" x14ac:dyDescent="0.25">
      <c r="A51" s="185"/>
      <c r="C51" s="180"/>
      <c r="E51" s="178"/>
    </row>
    <row r="52" spans="1:6" x14ac:dyDescent="0.25">
      <c r="C52" s="180"/>
      <c r="E52" s="178"/>
    </row>
    <row r="53" spans="1:6" x14ac:dyDescent="0.25">
      <c r="A53" s="185"/>
      <c r="D53" s="187"/>
      <c r="E53" s="178"/>
    </row>
  </sheetData>
  <mergeCells count="8">
    <mergeCell ref="D38:E38"/>
    <mergeCell ref="D46:E46"/>
    <mergeCell ref="A1:F1"/>
    <mergeCell ref="F9:F11"/>
    <mergeCell ref="F15:F18"/>
    <mergeCell ref="D21:E21"/>
    <mergeCell ref="F27:F29"/>
    <mergeCell ref="F33:F35"/>
  </mergeCells>
  <printOptions horizontalCentered="1"/>
  <pageMargins left="0.31496062992125984" right="0.23622047244094491" top="0.47244094488188981" bottom="0.23622047244094491" header="0.23622047244094491" footer="0.15748031496062992"/>
  <pageSetup paperSize="9" scale="58" orientation="landscape" r:id="rId1"/>
  <headerFooter alignWithMargins="0">
    <oddHeader>&amp;R&amp;"Times New Roman CE,Félkövér"13. melléklet a 23/2018.(X.15.) önkormányzati rendelethez&amp;"Times New Roman CE,Dőlt"&amp;10
16. melléklet
a 3/2018.(II.8.) önkormányzati rendelethez</oddHeader>
    <oddFooter xml:space="preserve">&amp;C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38"/>
  <sheetViews>
    <sheetView zoomScaleNormal="100" workbookViewId="0">
      <pane xSplit="1" ySplit="5" topLeftCell="B24" activePane="bottomRight" state="frozen"/>
      <selection activeCell="B60" sqref="B60"/>
      <selection pane="topRight" activeCell="B60" sqref="B60"/>
      <selection pane="bottomLeft" activeCell="B60" sqref="B60"/>
      <selection pane="bottomRight" activeCell="N19" sqref="N19:N23"/>
    </sheetView>
  </sheetViews>
  <sheetFormatPr defaultColWidth="8" defaultRowHeight="15.75" x14ac:dyDescent="0.25"/>
  <cols>
    <col min="1" max="1" width="26.125" style="690" bestFit="1" customWidth="1"/>
    <col min="2" max="2" width="11" style="703" bestFit="1" customWidth="1"/>
    <col min="3" max="3" width="12" style="703" customWidth="1"/>
    <col min="4" max="5" width="11" style="703" bestFit="1" customWidth="1"/>
    <col min="6" max="6" width="10.5" style="703" customWidth="1"/>
    <col min="7" max="7" width="12.5" style="703" customWidth="1"/>
    <col min="8" max="8" width="11.125" style="703" customWidth="1"/>
    <col min="9" max="9" width="10" style="703" bestFit="1" customWidth="1"/>
    <col min="10" max="10" width="11" style="703" bestFit="1" customWidth="1"/>
    <col min="11" max="11" width="11" style="703" customWidth="1"/>
    <col min="12" max="12" width="11.125" style="703" customWidth="1"/>
    <col min="13" max="13" width="11.625" style="703" customWidth="1"/>
    <col min="14" max="14" width="11" style="703" bestFit="1" customWidth="1"/>
    <col min="15" max="15" width="8.875" style="690" bestFit="1" customWidth="1"/>
    <col min="16" max="16384" width="8" style="690"/>
  </cols>
  <sheetData>
    <row r="1" spans="1:14" x14ac:dyDescent="0.25">
      <c r="A1" s="1007" t="s">
        <v>971</v>
      </c>
      <c r="B1" s="1007"/>
      <c r="C1" s="1007"/>
      <c r="D1" s="1007"/>
      <c r="E1" s="1007"/>
      <c r="F1" s="1007"/>
      <c r="G1" s="1007"/>
      <c r="H1" s="1007"/>
      <c r="I1" s="1007"/>
      <c r="J1" s="1007"/>
      <c r="K1" s="1007"/>
      <c r="L1" s="1007"/>
      <c r="M1" s="1007"/>
      <c r="N1" s="1007"/>
    </row>
    <row r="2" spans="1:14" x14ac:dyDescent="0.25">
      <c r="A2" s="1007" t="s">
        <v>972</v>
      </c>
      <c r="B2" s="1007"/>
      <c r="C2" s="1007"/>
      <c r="D2" s="1007"/>
      <c r="E2" s="1007"/>
      <c r="F2" s="1007"/>
      <c r="G2" s="1007"/>
      <c r="H2" s="1007"/>
      <c r="I2" s="1007"/>
      <c r="J2" s="1007"/>
      <c r="K2" s="1007"/>
      <c r="L2" s="1007"/>
      <c r="M2" s="1007"/>
      <c r="N2" s="1007"/>
    </row>
    <row r="4" spans="1:14" ht="16.5" thickBot="1" x14ac:dyDescent="0.3">
      <c r="A4" s="688" t="s">
        <v>638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</row>
    <row r="5" spans="1:14" s="718" customFormat="1" x14ac:dyDescent="0.25">
      <c r="A5" s="691" t="s">
        <v>146</v>
      </c>
      <c r="B5" s="692" t="s">
        <v>639</v>
      </c>
      <c r="C5" s="692" t="s">
        <v>640</v>
      </c>
      <c r="D5" s="692" t="s">
        <v>641</v>
      </c>
      <c r="E5" s="692" t="s">
        <v>642</v>
      </c>
      <c r="F5" s="692" t="s">
        <v>643</v>
      </c>
      <c r="G5" s="692" t="s">
        <v>644</v>
      </c>
      <c r="H5" s="692" t="s">
        <v>645</v>
      </c>
      <c r="I5" s="692" t="s">
        <v>646</v>
      </c>
      <c r="J5" s="692" t="s">
        <v>647</v>
      </c>
      <c r="K5" s="692" t="s">
        <v>648</v>
      </c>
      <c r="L5" s="692" t="s">
        <v>649</v>
      </c>
      <c r="M5" s="692" t="s">
        <v>650</v>
      </c>
      <c r="N5" s="693" t="s">
        <v>651</v>
      </c>
    </row>
    <row r="6" spans="1:14" ht="31.5" x14ac:dyDescent="0.25">
      <c r="A6" s="694" t="s">
        <v>273</v>
      </c>
      <c r="B6" s="695">
        <f>74492+559464</f>
        <v>633956</v>
      </c>
      <c r="C6" s="695">
        <f>74492+395597</f>
        <v>470089</v>
      </c>
      <c r="D6" s="695">
        <f>32310+329423</f>
        <v>361733</v>
      </c>
      <c r="E6" s="695">
        <v>570090</v>
      </c>
      <c r="F6" s="695">
        <f>719114+379119</f>
        <v>1098233</v>
      </c>
      <c r="G6" s="695">
        <f>12566+355976</f>
        <v>368542</v>
      </c>
      <c r="H6" s="695">
        <f>32310+368975</f>
        <v>401285</v>
      </c>
      <c r="I6" s="695">
        <f>495470+422461</f>
        <v>917931</v>
      </c>
      <c r="J6" s="695">
        <v>325614</v>
      </c>
      <c r="K6" s="695">
        <v>325614</v>
      </c>
      <c r="L6" s="695">
        <v>325614</v>
      </c>
      <c r="M6" s="695">
        <v>325615</v>
      </c>
      <c r="N6" s="696">
        <f t="shared" ref="N6:N14" si="0">SUM(B6:M6)</f>
        <v>6124316</v>
      </c>
    </row>
    <row r="7" spans="1:14" ht="31.5" x14ac:dyDescent="0.25">
      <c r="A7" s="694" t="s">
        <v>274</v>
      </c>
      <c r="B7" s="695">
        <v>476448</v>
      </c>
      <c r="C7" s="695">
        <v>2253055</v>
      </c>
      <c r="D7" s="695">
        <v>431750</v>
      </c>
      <c r="E7" s="695">
        <v>222250</v>
      </c>
      <c r="F7" s="695">
        <v>4039632</v>
      </c>
      <c r="G7" s="695">
        <v>44403</v>
      </c>
      <c r="H7" s="695">
        <v>561862</v>
      </c>
      <c r="I7" s="695"/>
      <c r="J7" s="695">
        <f>1008189+107950</f>
        <v>1116139</v>
      </c>
      <c r="K7" s="695">
        <f>327900+431802+107950</f>
        <v>867652</v>
      </c>
      <c r="L7" s="695">
        <f>113853+1107951</f>
        <v>1221804</v>
      </c>
      <c r="M7" s="695">
        <f>3629282+431802+107951</f>
        <v>4169035</v>
      </c>
      <c r="N7" s="696">
        <f t="shared" si="0"/>
        <v>15404030</v>
      </c>
    </row>
    <row r="8" spans="1:14" x14ac:dyDescent="0.25">
      <c r="A8" s="694" t="s">
        <v>56</v>
      </c>
      <c r="B8" s="695">
        <v>276614</v>
      </c>
      <c r="C8" s="695">
        <v>70347</v>
      </c>
      <c r="D8" s="695">
        <v>7751894</v>
      </c>
      <c r="E8" s="695">
        <v>201176</v>
      </c>
      <c r="F8" s="695">
        <v>195628</v>
      </c>
      <c r="G8" s="695">
        <v>1141869</v>
      </c>
      <c r="H8" s="695">
        <v>136456</v>
      </c>
      <c r="I8" s="695">
        <v>193633</v>
      </c>
      <c r="J8" s="695">
        <v>6601145</v>
      </c>
      <c r="K8" s="695">
        <v>200000</v>
      </c>
      <c r="L8" s="695">
        <v>100000</v>
      </c>
      <c r="M8" s="695">
        <f>1487700+31238</f>
        <v>1518938</v>
      </c>
      <c r="N8" s="696">
        <f t="shared" si="0"/>
        <v>18387700</v>
      </c>
    </row>
    <row r="9" spans="1:14" x14ac:dyDescent="0.25">
      <c r="A9" s="694" t="s">
        <v>54</v>
      </c>
      <c r="B9" s="695">
        <f>150394+58473</f>
        <v>208867</v>
      </c>
      <c r="C9" s="695">
        <f>116192+187120</f>
        <v>303312</v>
      </c>
      <c r="D9" s="695">
        <f>172437+77540</f>
        <v>249977</v>
      </c>
      <c r="E9" s="695">
        <f>119311+619874</f>
        <v>739185</v>
      </c>
      <c r="F9" s="695">
        <f>79100+210798</f>
        <v>289898</v>
      </c>
      <c r="G9" s="695">
        <f>79100+139144</f>
        <v>218244</v>
      </c>
      <c r="H9" s="695">
        <f>203100+688968</f>
        <v>892068</v>
      </c>
      <c r="I9" s="695">
        <f>109989+1441404</f>
        <v>1551393</v>
      </c>
      <c r="J9" s="695">
        <f>1208591+58286</f>
        <v>1266877</v>
      </c>
      <c r="K9" s="695">
        <f>255544+58286</f>
        <v>313830</v>
      </c>
      <c r="L9" s="695">
        <f>232084+58287</f>
        <v>290371</v>
      </c>
      <c r="M9" s="695">
        <f>291897+58287</f>
        <v>350184</v>
      </c>
      <c r="N9" s="696">
        <f t="shared" si="0"/>
        <v>6674206</v>
      </c>
    </row>
    <row r="10" spans="1:14" x14ac:dyDescent="0.25">
      <c r="A10" s="694" t="s">
        <v>59</v>
      </c>
      <c r="B10" s="695">
        <v>53</v>
      </c>
      <c r="C10" s="695">
        <v>16624</v>
      </c>
      <c r="D10" s="695">
        <v>93572</v>
      </c>
      <c r="E10" s="695">
        <v>1060</v>
      </c>
      <c r="F10" s="695">
        <v>1483</v>
      </c>
      <c r="G10" s="695">
        <v>4370</v>
      </c>
      <c r="H10" s="695">
        <v>121309</v>
      </c>
      <c r="I10" s="695">
        <v>2390</v>
      </c>
      <c r="J10" s="695"/>
      <c r="K10" s="695">
        <v>41999</v>
      </c>
      <c r="L10" s="695"/>
      <c r="M10" s="695"/>
      <c r="N10" s="696">
        <f>SUM(B10:M10)</f>
        <v>282860</v>
      </c>
    </row>
    <row r="11" spans="1:14" ht="31.5" x14ac:dyDescent="0.25">
      <c r="A11" s="694" t="s">
        <v>652</v>
      </c>
      <c r="B11" s="695">
        <v>4340</v>
      </c>
      <c r="C11" s="695">
        <v>29517</v>
      </c>
      <c r="D11" s="695">
        <f>1394+5</f>
        <v>1399</v>
      </c>
      <c r="E11" s="695">
        <v>9500</v>
      </c>
      <c r="F11" s="695">
        <v>32238</v>
      </c>
      <c r="G11" s="695">
        <f>32238+5999</f>
        <v>38237</v>
      </c>
      <c r="H11" s="695">
        <f>32238+1500</f>
        <v>33738</v>
      </c>
      <c r="I11" s="695">
        <v>30842</v>
      </c>
      <c r="J11" s="695"/>
      <c r="K11" s="695"/>
      <c r="L11" s="695"/>
      <c r="M11" s="695">
        <v>380002</v>
      </c>
      <c r="N11" s="696">
        <f t="shared" si="0"/>
        <v>559813</v>
      </c>
    </row>
    <row r="12" spans="1:14" ht="31.5" x14ac:dyDescent="0.25">
      <c r="A12" s="694" t="s">
        <v>653</v>
      </c>
      <c r="B12" s="695">
        <v>28702</v>
      </c>
      <c r="C12" s="695">
        <v>1579</v>
      </c>
      <c r="D12" s="695">
        <v>42046</v>
      </c>
      <c r="E12" s="695">
        <v>1635</v>
      </c>
      <c r="F12" s="695">
        <v>7129</v>
      </c>
      <c r="G12" s="695">
        <v>5233</v>
      </c>
      <c r="H12" s="695">
        <v>1841</v>
      </c>
      <c r="I12" s="695">
        <v>1232</v>
      </c>
      <c r="J12" s="695">
        <v>7744</v>
      </c>
      <c r="K12" s="695">
        <v>7744</v>
      </c>
      <c r="L12" s="695">
        <v>7745</v>
      </c>
      <c r="M12" s="695">
        <v>7745</v>
      </c>
      <c r="N12" s="696">
        <f t="shared" si="0"/>
        <v>120375</v>
      </c>
    </row>
    <row r="13" spans="1:14" x14ac:dyDescent="0.25">
      <c r="A13" s="694" t="s">
        <v>277</v>
      </c>
      <c r="B13" s="695"/>
      <c r="C13" s="695"/>
      <c r="D13" s="695"/>
      <c r="E13" s="695"/>
      <c r="F13" s="695">
        <v>580031</v>
      </c>
      <c r="G13" s="695">
        <v>12817436</v>
      </c>
      <c r="H13" s="695"/>
      <c r="I13" s="695"/>
      <c r="J13" s="695"/>
      <c r="K13" s="695"/>
      <c r="L13" s="695"/>
      <c r="M13" s="695"/>
      <c r="N13" s="696">
        <f t="shared" si="0"/>
        <v>13397467</v>
      </c>
    </row>
    <row r="14" spans="1:14" ht="47.25" x14ac:dyDescent="0.25">
      <c r="A14" s="707" t="s">
        <v>511</v>
      </c>
      <c r="B14" s="708"/>
      <c r="C14" s="708"/>
      <c r="D14" s="708"/>
      <c r="E14" s="708"/>
      <c r="F14" s="708"/>
      <c r="G14" s="708">
        <v>14300000</v>
      </c>
      <c r="H14" s="708">
        <v>7999440</v>
      </c>
      <c r="I14" s="708">
        <v>1850000</v>
      </c>
      <c r="J14" s="708"/>
      <c r="K14" s="708"/>
      <c r="L14" s="708"/>
      <c r="M14" s="708">
        <v>23000560</v>
      </c>
      <c r="N14" s="696">
        <f t="shared" si="0"/>
        <v>47150000</v>
      </c>
    </row>
    <row r="15" spans="1:14" s="700" customFormat="1" ht="16.5" thickBot="1" x14ac:dyDescent="0.3">
      <c r="A15" s="697" t="s">
        <v>654</v>
      </c>
      <c r="B15" s="698">
        <f>SUM(B6:B14)</f>
        <v>1628980</v>
      </c>
      <c r="C15" s="698">
        <f t="shared" ref="C15:N15" si="1">SUM(C6:C14)</f>
        <v>3144523</v>
      </c>
      <c r="D15" s="698">
        <f t="shared" si="1"/>
        <v>8932371</v>
      </c>
      <c r="E15" s="698">
        <f t="shared" si="1"/>
        <v>1744896</v>
      </c>
      <c r="F15" s="698">
        <f t="shared" si="1"/>
        <v>6244272</v>
      </c>
      <c r="G15" s="698">
        <f t="shared" si="1"/>
        <v>28938334</v>
      </c>
      <c r="H15" s="698">
        <f t="shared" si="1"/>
        <v>10147999</v>
      </c>
      <c r="I15" s="698">
        <f t="shared" si="1"/>
        <v>4547421</v>
      </c>
      <c r="J15" s="698">
        <f t="shared" si="1"/>
        <v>9317519</v>
      </c>
      <c r="K15" s="698">
        <f t="shared" si="1"/>
        <v>1756839</v>
      </c>
      <c r="L15" s="698">
        <f t="shared" si="1"/>
        <v>1945534</v>
      </c>
      <c r="M15" s="698">
        <f t="shared" si="1"/>
        <v>29752079</v>
      </c>
      <c r="N15" s="699">
        <f t="shared" si="1"/>
        <v>108100767</v>
      </c>
    </row>
    <row r="16" spans="1:14" x14ac:dyDescent="0.25">
      <c r="A16" s="688"/>
      <c r="B16" s="701"/>
      <c r="C16" s="701"/>
      <c r="D16" s="701"/>
      <c r="E16" s="701"/>
      <c r="F16" s="701"/>
      <c r="G16" s="701"/>
      <c r="H16" s="701"/>
      <c r="I16" s="701"/>
      <c r="J16" s="701"/>
      <c r="K16" s="701"/>
      <c r="L16" s="701"/>
      <c r="M16" s="701"/>
      <c r="N16" s="701"/>
    </row>
    <row r="17" spans="1:14" ht="16.5" thickBot="1" x14ac:dyDescent="0.3">
      <c r="A17" s="702" t="s">
        <v>655</v>
      </c>
    </row>
    <row r="18" spans="1:14" x14ac:dyDescent="0.25">
      <c r="A18" s="704" t="s">
        <v>656</v>
      </c>
      <c r="B18" s="705">
        <v>1068213</v>
      </c>
      <c r="C18" s="705">
        <v>981903</v>
      </c>
      <c r="D18" s="705">
        <v>996650</v>
      </c>
      <c r="E18" s="705">
        <f>1031731</f>
        <v>1031731</v>
      </c>
      <c r="F18" s="705">
        <v>1053859</v>
      </c>
      <c r="G18" s="705">
        <v>1092946</v>
      </c>
      <c r="H18" s="705">
        <v>1140565</v>
      </c>
      <c r="I18" s="705">
        <v>1065334</v>
      </c>
      <c r="J18" s="705">
        <f>1173083+181722</f>
        <v>1354805</v>
      </c>
      <c r="K18" s="705">
        <f>1135685+181722</f>
        <v>1317407</v>
      </c>
      <c r="L18" s="705">
        <f>1710598+181723</f>
        <v>1892321</v>
      </c>
      <c r="M18" s="705">
        <f>1502045+181723-4312</f>
        <v>1679456</v>
      </c>
      <c r="N18" s="706">
        <f t="shared" ref="N18:N25" si="2">SUM(B18:M18)</f>
        <v>14675190</v>
      </c>
    </row>
    <row r="19" spans="1:14" ht="31.5" x14ac:dyDescent="0.25">
      <c r="A19" s="694" t="s">
        <v>657</v>
      </c>
      <c r="B19" s="695">
        <v>1443857</v>
      </c>
      <c r="C19" s="695">
        <v>1267426</v>
      </c>
      <c r="D19" s="695">
        <v>1315944</v>
      </c>
      <c r="E19" s="695">
        <v>1600287</v>
      </c>
      <c r="F19" s="695">
        <v>1492657</v>
      </c>
      <c r="G19" s="695">
        <v>1957319</v>
      </c>
      <c r="H19" s="695">
        <v>1479240</v>
      </c>
      <c r="I19" s="695">
        <v>1129641</v>
      </c>
      <c r="J19" s="695">
        <f>1380114+151921</f>
        <v>1532035</v>
      </c>
      <c r="K19" s="695">
        <f>1365831+151921</f>
        <v>1517752</v>
      </c>
      <c r="L19" s="695">
        <f>1328403+151921</f>
        <v>1480324</v>
      </c>
      <c r="M19" s="695">
        <f>1636682+151922+10000</f>
        <v>1798604</v>
      </c>
      <c r="N19" s="696">
        <f t="shared" si="2"/>
        <v>18015086</v>
      </c>
    </row>
    <row r="20" spans="1:14" x14ac:dyDescent="0.25">
      <c r="A20" s="694" t="s">
        <v>320</v>
      </c>
      <c r="B20" s="695">
        <v>1124</v>
      </c>
      <c r="C20" s="695">
        <v>799</v>
      </c>
      <c r="D20" s="695">
        <v>4095</v>
      </c>
      <c r="E20" s="695">
        <v>6016</v>
      </c>
      <c r="F20" s="695">
        <v>6916</v>
      </c>
      <c r="G20" s="695">
        <v>11281</v>
      </c>
      <c r="H20" s="695">
        <v>44130</v>
      </c>
      <c r="I20" s="695">
        <v>11169</v>
      </c>
      <c r="J20" s="695">
        <v>33927</v>
      </c>
      <c r="K20" s="695">
        <v>33927</v>
      </c>
      <c r="L20" s="695">
        <v>33927</v>
      </c>
      <c r="M20" s="695">
        <v>33927</v>
      </c>
      <c r="N20" s="696">
        <f t="shared" si="2"/>
        <v>221238</v>
      </c>
    </row>
    <row r="21" spans="1:14" s="703" customFormat="1" x14ac:dyDescent="0.25">
      <c r="A21" s="694" t="s">
        <v>692</v>
      </c>
      <c r="B21" s="695">
        <v>21100</v>
      </c>
      <c r="C21" s="695">
        <v>97012</v>
      </c>
      <c r="D21" s="695">
        <v>17475</v>
      </c>
      <c r="E21" s="695">
        <v>111770</v>
      </c>
      <c r="F21" s="695">
        <v>123474</v>
      </c>
      <c r="G21" s="695">
        <v>134261</v>
      </c>
      <c r="H21" s="695">
        <v>193730</v>
      </c>
      <c r="I21" s="695">
        <v>24879</v>
      </c>
      <c r="J21" s="695">
        <v>18019</v>
      </c>
      <c r="K21" s="695">
        <v>867450</v>
      </c>
      <c r="L21" s="695">
        <v>90037</v>
      </c>
      <c r="M21" s="695">
        <f>726577+208856</f>
        <v>935433</v>
      </c>
      <c r="N21" s="696">
        <f t="shared" si="2"/>
        <v>2634640</v>
      </c>
    </row>
    <row r="22" spans="1:14" s="703" customFormat="1" ht="45.75" customHeight="1" x14ac:dyDescent="0.25">
      <c r="A22" s="694" t="s">
        <v>658</v>
      </c>
      <c r="B22" s="695">
        <v>446960</v>
      </c>
      <c r="C22" s="695">
        <v>101168</v>
      </c>
      <c r="D22" s="695">
        <v>317854</v>
      </c>
      <c r="E22" s="695">
        <v>2418411</v>
      </c>
      <c r="F22" s="695">
        <v>340991</v>
      </c>
      <c r="G22" s="695">
        <v>1945998</v>
      </c>
      <c r="H22" s="695">
        <v>3194475</v>
      </c>
      <c r="I22" s="695">
        <v>692336</v>
      </c>
      <c r="J22" s="695">
        <f>67290+3459722</f>
        <v>3527012</v>
      </c>
      <c r="K22" s="695">
        <v>2895002</v>
      </c>
      <c r="L22" s="695">
        <v>2969484</v>
      </c>
      <c r="M22" s="695">
        <f>17633764+433930</f>
        <v>18067694</v>
      </c>
      <c r="N22" s="696">
        <f t="shared" si="2"/>
        <v>36917385</v>
      </c>
    </row>
    <row r="23" spans="1:14" s="703" customFormat="1" x14ac:dyDescent="0.25">
      <c r="A23" s="694" t="s">
        <v>659</v>
      </c>
      <c r="B23" s="695"/>
      <c r="C23" s="695"/>
      <c r="D23" s="695"/>
      <c r="E23" s="695"/>
      <c r="F23" s="695"/>
      <c r="G23" s="695"/>
      <c r="H23" s="695"/>
      <c r="I23" s="695"/>
      <c r="J23" s="695"/>
      <c r="K23" s="695"/>
      <c r="L23" s="695"/>
      <c r="M23" s="695">
        <v>2700809</v>
      </c>
      <c r="N23" s="696">
        <f t="shared" si="2"/>
        <v>2700809</v>
      </c>
    </row>
    <row r="24" spans="1:14" s="703" customFormat="1" ht="31.5" x14ac:dyDescent="0.25">
      <c r="A24" s="707" t="s">
        <v>512</v>
      </c>
      <c r="B24" s="708"/>
      <c r="C24" s="708">
        <v>1850000</v>
      </c>
      <c r="D24" s="708">
        <v>2000000</v>
      </c>
      <c r="E24" s="708">
        <v>4105492</v>
      </c>
      <c r="F24" s="708"/>
      <c r="G24" s="708">
        <v>7999440</v>
      </c>
      <c r="H24" s="708">
        <v>2999475</v>
      </c>
      <c r="I24" s="708">
        <v>2999673</v>
      </c>
      <c r="J24" s="708"/>
      <c r="K24" s="708">
        <v>6851412</v>
      </c>
      <c r="L24" s="708"/>
      <c r="M24" s="708">
        <v>4000000</v>
      </c>
      <c r="N24" s="696">
        <f t="shared" si="2"/>
        <v>32805492</v>
      </c>
    </row>
    <row r="25" spans="1:14" s="703" customFormat="1" ht="31.5" x14ac:dyDescent="0.25">
      <c r="A25" s="707" t="s">
        <v>660</v>
      </c>
      <c r="B25" s="708">
        <v>130927</v>
      </c>
      <c r="C25" s="708"/>
      <c r="D25" s="708"/>
      <c r="E25" s="708"/>
      <c r="F25" s="708"/>
      <c r="G25" s="708"/>
      <c r="H25" s="708"/>
      <c r="I25" s="708"/>
      <c r="J25" s="708"/>
      <c r="K25" s="708"/>
      <c r="L25" s="708"/>
      <c r="M25" s="708"/>
      <c r="N25" s="696">
        <f t="shared" si="2"/>
        <v>130927</v>
      </c>
    </row>
    <row r="26" spans="1:14" s="703" customFormat="1" ht="16.5" thickBot="1" x14ac:dyDescent="0.3">
      <c r="A26" s="697" t="s">
        <v>661</v>
      </c>
      <c r="B26" s="698">
        <f>SUM(B18:B25)</f>
        <v>3112181</v>
      </c>
      <c r="C26" s="698">
        <f t="shared" ref="C26:M26" si="3">SUM(C18:C25)</f>
        <v>4298308</v>
      </c>
      <c r="D26" s="698">
        <f t="shared" si="3"/>
        <v>4652018</v>
      </c>
      <c r="E26" s="698">
        <f t="shared" si="3"/>
        <v>9273707</v>
      </c>
      <c r="F26" s="698">
        <f t="shared" si="3"/>
        <v>3017897</v>
      </c>
      <c r="G26" s="698">
        <f t="shared" si="3"/>
        <v>13141245</v>
      </c>
      <c r="H26" s="698">
        <f t="shared" si="3"/>
        <v>9051615</v>
      </c>
      <c r="I26" s="698">
        <f t="shared" si="3"/>
        <v>5923032</v>
      </c>
      <c r="J26" s="698">
        <f t="shared" si="3"/>
        <v>6465798</v>
      </c>
      <c r="K26" s="698">
        <f t="shared" si="3"/>
        <v>13482950</v>
      </c>
      <c r="L26" s="698">
        <f t="shared" si="3"/>
        <v>6466093</v>
      </c>
      <c r="M26" s="698">
        <f t="shared" si="3"/>
        <v>29215923</v>
      </c>
      <c r="N26" s="699">
        <f>SUM(N18:N25)</f>
        <v>108100767</v>
      </c>
    </row>
    <row r="27" spans="1:14" s="703" customFormat="1" ht="61.5" customHeight="1" x14ac:dyDescent="0.25">
      <c r="A27" s="688"/>
      <c r="B27" s="701"/>
      <c r="C27" s="701"/>
      <c r="D27" s="701"/>
      <c r="E27" s="701"/>
      <c r="F27" s="701"/>
      <c r="G27" s="701"/>
      <c r="H27" s="701"/>
      <c r="I27" s="701"/>
      <c r="J27" s="701"/>
      <c r="K27" s="701"/>
      <c r="L27" s="701"/>
      <c r="M27" s="701"/>
      <c r="N27" s="701"/>
    </row>
    <row r="28" spans="1:14" s="703" customFormat="1" x14ac:dyDescent="0.25">
      <c r="A28" s="709" t="s">
        <v>878</v>
      </c>
      <c r="B28" s="710">
        <f>12821735+29327+1397467</f>
        <v>14248529</v>
      </c>
      <c r="C28" s="710">
        <f t="shared" ref="C28:M28" si="4">+B30</f>
        <v>12765328</v>
      </c>
      <c r="D28" s="710">
        <f t="shared" si="4"/>
        <v>11611543</v>
      </c>
      <c r="E28" s="710">
        <f t="shared" si="4"/>
        <v>15891896</v>
      </c>
      <c r="F28" s="710">
        <f t="shared" si="4"/>
        <v>8363085</v>
      </c>
      <c r="G28" s="710">
        <f t="shared" si="4"/>
        <v>11009429</v>
      </c>
      <c r="H28" s="710">
        <f t="shared" si="4"/>
        <v>13989082</v>
      </c>
      <c r="I28" s="710">
        <f t="shared" si="4"/>
        <v>15085466</v>
      </c>
      <c r="J28" s="710">
        <f t="shared" si="4"/>
        <v>13709855</v>
      </c>
      <c r="K28" s="710">
        <f t="shared" si="4"/>
        <v>16561576</v>
      </c>
      <c r="L28" s="710">
        <f t="shared" si="4"/>
        <v>4835465</v>
      </c>
      <c r="M28" s="710">
        <f t="shared" si="4"/>
        <v>314906</v>
      </c>
      <c r="N28" s="710"/>
    </row>
    <row r="29" spans="1:14" s="703" customFormat="1" ht="47.25" x14ac:dyDescent="0.25">
      <c r="A29" s="709" t="s">
        <v>879</v>
      </c>
      <c r="B29" s="710">
        <f t="shared" ref="B29:C29" si="5">+B15-B26</f>
        <v>-1483201</v>
      </c>
      <c r="C29" s="710">
        <f t="shared" si="5"/>
        <v>-1153785</v>
      </c>
      <c r="D29" s="710">
        <f>+D15-D26-D13</f>
        <v>4280353</v>
      </c>
      <c r="E29" s="710">
        <f t="shared" ref="E29:M29" si="6">+E15-E26-E13</f>
        <v>-7528811</v>
      </c>
      <c r="F29" s="710">
        <f t="shared" si="6"/>
        <v>2646344</v>
      </c>
      <c r="G29" s="710">
        <f t="shared" si="6"/>
        <v>2979653</v>
      </c>
      <c r="H29" s="710">
        <f t="shared" si="6"/>
        <v>1096384</v>
      </c>
      <c r="I29" s="710">
        <f t="shared" si="6"/>
        <v>-1375611</v>
      </c>
      <c r="J29" s="710">
        <f t="shared" si="6"/>
        <v>2851721</v>
      </c>
      <c r="K29" s="710">
        <f t="shared" si="6"/>
        <v>-11726111</v>
      </c>
      <c r="L29" s="710">
        <f t="shared" si="6"/>
        <v>-4520559</v>
      </c>
      <c r="M29" s="710">
        <f t="shared" si="6"/>
        <v>536156</v>
      </c>
      <c r="N29" s="710"/>
    </row>
    <row r="30" spans="1:14" s="703" customFormat="1" ht="47.25" x14ac:dyDescent="0.25">
      <c r="A30" s="709" t="s">
        <v>880</v>
      </c>
      <c r="B30" s="710">
        <f t="shared" ref="B30:M30" si="7">+B28+B29</f>
        <v>12765328</v>
      </c>
      <c r="C30" s="710">
        <f t="shared" si="7"/>
        <v>11611543</v>
      </c>
      <c r="D30" s="710">
        <f t="shared" si="7"/>
        <v>15891896</v>
      </c>
      <c r="E30" s="710">
        <f t="shared" si="7"/>
        <v>8363085</v>
      </c>
      <c r="F30" s="710">
        <f t="shared" si="7"/>
        <v>11009429</v>
      </c>
      <c r="G30" s="710">
        <f t="shared" si="7"/>
        <v>13989082</v>
      </c>
      <c r="H30" s="710">
        <f t="shared" si="7"/>
        <v>15085466</v>
      </c>
      <c r="I30" s="710">
        <f t="shared" si="7"/>
        <v>13709855</v>
      </c>
      <c r="J30" s="710">
        <f t="shared" si="7"/>
        <v>16561576</v>
      </c>
      <c r="K30" s="710">
        <f t="shared" si="7"/>
        <v>4835465</v>
      </c>
      <c r="L30" s="710">
        <f t="shared" si="7"/>
        <v>314906</v>
      </c>
      <c r="M30" s="710">
        <f t="shared" si="7"/>
        <v>851062</v>
      </c>
      <c r="N30" s="711"/>
    </row>
    <row r="31" spans="1:14" s="703" customFormat="1" x14ac:dyDescent="0.25">
      <c r="A31" s="690"/>
    </row>
    <row r="32" spans="1:14" x14ac:dyDescent="0.25">
      <c r="A32" s="690" t="s">
        <v>662</v>
      </c>
    </row>
    <row r="36" spans="1:14" x14ac:dyDescent="0.25">
      <c r="A36" s="700"/>
      <c r="B36" s="712"/>
      <c r="C36" s="712"/>
      <c r="D36" s="712"/>
      <c r="E36" s="712"/>
      <c r="F36" s="712"/>
      <c r="G36" s="712"/>
      <c r="H36" s="712"/>
      <c r="I36" s="712"/>
      <c r="J36" s="712"/>
      <c r="K36" s="712"/>
      <c r="L36" s="712"/>
      <c r="M36" s="712"/>
      <c r="N36" s="712"/>
    </row>
    <row r="38" spans="1:14" x14ac:dyDescent="0.25">
      <c r="A38" s="713"/>
      <c r="B38" s="714"/>
      <c r="C38" s="714"/>
      <c r="D38" s="714"/>
      <c r="E38" s="714"/>
      <c r="F38" s="714"/>
      <c r="H38" s="714"/>
      <c r="I38" s="714"/>
      <c r="J38" s="714"/>
      <c r="K38" s="714"/>
      <c r="L38" s="714"/>
      <c r="M38" s="714"/>
      <c r="N38" s="714"/>
    </row>
  </sheetData>
  <mergeCells count="2">
    <mergeCell ref="A1:N1"/>
    <mergeCell ref="A2:N2"/>
  </mergeCells>
  <pageMargins left="0.51181102362204722" right="0.51181102362204722" top="0.74803149606299213" bottom="0.35433070866141736" header="0.31496062992125984" footer="0.31496062992125984"/>
  <pageSetup paperSize="9" scale="68" orientation="landscape" r:id="rId1"/>
  <headerFooter>
    <oddHeader>&amp;R&amp;"Times New Roman CE,Félkövér"14. melléklet a 23/2018.(X.15.) önkormányzati rendelethez
 &amp;"Times New Roman CE,Dőlt"&amp;11 17. melléklet
a 3/2018.(II.8.)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55"/>
  <sheetViews>
    <sheetView topLeftCell="A46" zoomScale="130" zoomScaleNormal="130" zoomScaleSheetLayoutView="100" workbookViewId="0">
      <selection activeCell="H8" sqref="H8"/>
    </sheetView>
  </sheetViews>
  <sheetFormatPr defaultColWidth="9" defaultRowHeight="12.75" x14ac:dyDescent="0.2"/>
  <cols>
    <col min="1" max="1" width="4.375" style="630" customWidth="1"/>
    <col min="2" max="2" width="26" style="631" customWidth="1"/>
    <col min="3" max="3" width="14.25" style="632" customWidth="1"/>
    <col min="4" max="4" width="18.625" style="734" customWidth="1"/>
    <col min="5" max="5" width="8.125" style="630" customWidth="1"/>
    <col min="6" max="6" width="8.625" style="630" customWidth="1"/>
    <col min="7" max="7" width="9" style="630" customWidth="1"/>
    <col min="8" max="8" width="9.875" style="630" customWidth="1"/>
    <col min="9" max="9" width="8.625" style="630" customWidth="1"/>
    <col min="10" max="10" width="9" style="630" customWidth="1"/>
    <col min="11" max="11" width="8.125" style="630" customWidth="1"/>
    <col min="12" max="12" width="8.625" style="630" customWidth="1"/>
    <col min="13" max="13" width="9" style="630" customWidth="1"/>
    <col min="14" max="14" width="8.125" style="630" customWidth="1"/>
    <col min="15" max="15" width="8.625" style="630" customWidth="1"/>
    <col min="16" max="16" width="9" style="630" customWidth="1"/>
    <col min="17" max="17" width="8.125" style="630" customWidth="1"/>
    <col min="18" max="18" width="8.625" style="630" customWidth="1"/>
    <col min="19" max="19" width="9" style="630" customWidth="1"/>
    <col min="20" max="20" width="8.125" style="630" customWidth="1"/>
    <col min="21" max="21" width="8.625" style="630" customWidth="1"/>
    <col min="22" max="22" width="9" style="630" customWidth="1"/>
    <col min="23" max="23" width="8.125" style="630" customWidth="1"/>
    <col min="24" max="24" width="8.625" style="630" customWidth="1"/>
    <col min="25" max="25" width="9" style="630" customWidth="1"/>
    <col min="26" max="16384" width="9" style="630"/>
  </cols>
  <sheetData>
    <row r="1" spans="1:27" x14ac:dyDescent="0.2">
      <c r="A1" s="1011" t="s">
        <v>973</v>
      </c>
      <c r="B1" s="1011"/>
      <c r="C1" s="1011"/>
      <c r="D1" s="1011"/>
      <c r="E1" s="1011"/>
      <c r="F1" s="1011"/>
      <c r="G1" s="1011"/>
      <c r="H1" s="1011"/>
      <c r="I1" s="1011"/>
      <c r="J1" s="1011"/>
      <c r="K1" s="1011"/>
      <c r="L1" s="1011"/>
      <c r="M1" s="1011"/>
      <c r="N1" s="1011"/>
      <c r="O1" s="1011"/>
      <c r="P1" s="1011"/>
      <c r="Q1" s="1011"/>
      <c r="R1" s="1011"/>
      <c r="S1" s="1011"/>
      <c r="T1" s="1011"/>
      <c r="U1" s="1011"/>
      <c r="V1" s="1011"/>
      <c r="W1" s="1011"/>
      <c r="X1" s="1011"/>
      <c r="Y1" s="1011"/>
    </row>
    <row r="2" spans="1:27" x14ac:dyDescent="0.2">
      <c r="A2" s="1011" t="s">
        <v>974</v>
      </c>
      <c r="B2" s="1011"/>
      <c r="C2" s="1011"/>
      <c r="D2" s="1011"/>
      <c r="E2" s="1011"/>
      <c r="F2" s="1011"/>
      <c r="G2" s="1011"/>
      <c r="H2" s="1011"/>
      <c r="I2" s="1011"/>
      <c r="J2" s="1011"/>
      <c r="K2" s="1011"/>
      <c r="L2" s="1011"/>
      <c r="M2" s="1011"/>
      <c r="N2" s="1011"/>
      <c r="O2" s="1011"/>
      <c r="P2" s="1011"/>
      <c r="Q2" s="1011"/>
      <c r="R2" s="1011"/>
      <c r="S2" s="1011"/>
      <c r="T2" s="1011"/>
      <c r="U2" s="1011"/>
      <c r="V2" s="1011"/>
      <c r="W2" s="1011"/>
      <c r="X2" s="1011"/>
      <c r="Y2" s="1011"/>
    </row>
    <row r="3" spans="1:27" ht="12.75" customHeight="1" thickBot="1" x14ac:dyDescent="0.25"/>
    <row r="4" spans="1:27" s="633" customFormat="1" ht="15.75" customHeight="1" thickBot="1" x14ac:dyDescent="0.25">
      <c r="A4" s="1012" t="s">
        <v>585</v>
      </c>
      <c r="B4" s="1014" t="s">
        <v>586</v>
      </c>
      <c r="C4" s="1016" t="s">
        <v>587</v>
      </c>
      <c r="D4" s="1016" t="s">
        <v>588</v>
      </c>
      <c r="E4" s="1008" t="s">
        <v>589</v>
      </c>
      <c r="F4" s="1009"/>
      <c r="G4" s="1010"/>
      <c r="H4" s="1008" t="s">
        <v>590</v>
      </c>
      <c r="I4" s="1009"/>
      <c r="J4" s="1010"/>
      <c r="K4" s="1008" t="s">
        <v>591</v>
      </c>
      <c r="L4" s="1009"/>
      <c r="M4" s="1010"/>
      <c r="N4" s="1008" t="s">
        <v>592</v>
      </c>
      <c r="O4" s="1009"/>
      <c r="P4" s="1010"/>
      <c r="Q4" s="1008" t="s">
        <v>593</v>
      </c>
      <c r="R4" s="1009"/>
      <c r="S4" s="1010"/>
      <c r="T4" s="1008" t="s">
        <v>594</v>
      </c>
      <c r="U4" s="1009"/>
      <c r="V4" s="1010"/>
      <c r="W4" s="1008" t="s">
        <v>881</v>
      </c>
      <c r="X4" s="1009"/>
      <c r="Y4" s="1010"/>
    </row>
    <row r="5" spans="1:27" s="636" customFormat="1" ht="45.75" customHeight="1" thickBot="1" x14ac:dyDescent="0.25">
      <c r="A5" s="1013"/>
      <c r="B5" s="1015"/>
      <c r="C5" s="1017"/>
      <c r="D5" s="1017"/>
      <c r="E5" s="634" t="s">
        <v>595</v>
      </c>
      <c r="F5" s="635" t="s">
        <v>596</v>
      </c>
      <c r="G5" s="635" t="s">
        <v>153</v>
      </c>
      <c r="H5" s="730" t="s">
        <v>595</v>
      </c>
      <c r="I5" s="731" t="s">
        <v>596</v>
      </c>
      <c r="J5" s="731" t="s">
        <v>153</v>
      </c>
      <c r="K5" s="634" t="s">
        <v>595</v>
      </c>
      <c r="L5" s="635" t="s">
        <v>596</v>
      </c>
      <c r="M5" s="635" t="s">
        <v>153</v>
      </c>
      <c r="N5" s="634" t="s">
        <v>595</v>
      </c>
      <c r="O5" s="635" t="s">
        <v>596</v>
      </c>
      <c r="P5" s="635" t="s">
        <v>153</v>
      </c>
      <c r="Q5" s="634" t="s">
        <v>595</v>
      </c>
      <c r="R5" s="635" t="s">
        <v>596</v>
      </c>
      <c r="S5" s="635" t="s">
        <v>153</v>
      </c>
      <c r="T5" s="634" t="s">
        <v>595</v>
      </c>
      <c r="U5" s="635" t="s">
        <v>596</v>
      </c>
      <c r="V5" s="635" t="s">
        <v>153</v>
      </c>
      <c r="W5" s="634" t="s">
        <v>595</v>
      </c>
      <c r="X5" s="635" t="s">
        <v>596</v>
      </c>
      <c r="Y5" s="635" t="s">
        <v>153</v>
      </c>
    </row>
    <row r="6" spans="1:27" x14ac:dyDescent="0.2">
      <c r="A6" s="644" t="s">
        <v>154</v>
      </c>
      <c r="B6" s="645" t="s">
        <v>568</v>
      </c>
      <c r="C6" s="639" t="s">
        <v>599</v>
      </c>
      <c r="D6" s="649">
        <v>56689</v>
      </c>
      <c r="E6" s="646"/>
      <c r="F6" s="646"/>
      <c r="G6" s="642">
        <f>SUM(E6:F6)</f>
        <v>0</v>
      </c>
      <c r="H6" s="646">
        <v>162</v>
      </c>
      <c r="I6" s="646"/>
      <c r="J6" s="642">
        <f>SUM(H6:I6)</f>
        <v>162</v>
      </c>
      <c r="K6" s="646">
        <v>53702</v>
      </c>
      <c r="L6" s="646"/>
      <c r="M6" s="642">
        <f>SUM(K6:L6)</f>
        <v>53702</v>
      </c>
      <c r="N6" s="646">
        <v>535</v>
      </c>
      <c r="O6" s="646"/>
      <c r="P6" s="642">
        <f>SUM(N6:O6)</f>
        <v>535</v>
      </c>
      <c r="Q6" s="646"/>
      <c r="R6" s="646"/>
      <c r="S6" s="642">
        <f>SUM(Q6:R6)</f>
        <v>0</v>
      </c>
      <c r="T6" s="646"/>
      <c r="U6" s="646"/>
      <c r="V6" s="642">
        <f>SUM(T6:U6)</f>
        <v>0</v>
      </c>
      <c r="W6" s="646"/>
      <c r="X6" s="646"/>
      <c r="Y6" s="642">
        <f>SUM(W6:X6)</f>
        <v>0</v>
      </c>
      <c r="Z6" s="643"/>
      <c r="AA6" s="647"/>
    </row>
    <row r="7" spans="1:27" ht="66" customHeight="1" x14ac:dyDescent="0.2">
      <c r="A7" s="637" t="s">
        <v>155</v>
      </c>
      <c r="B7" s="645" t="s">
        <v>601</v>
      </c>
      <c r="C7" s="648" t="s">
        <v>599</v>
      </c>
      <c r="D7" s="649">
        <v>141107</v>
      </c>
      <c r="E7" s="646"/>
      <c r="F7" s="646"/>
      <c r="G7" s="642">
        <f>SUM(E7:F7)</f>
        <v>0</v>
      </c>
      <c r="H7" s="646">
        <v>69984</v>
      </c>
      <c r="I7" s="646"/>
      <c r="J7" s="642">
        <f>SUM(H7:I7)</f>
        <v>69984</v>
      </c>
      <c r="K7" s="646">
        <v>67181</v>
      </c>
      <c r="L7" s="646"/>
      <c r="M7" s="642">
        <f>SUM(K7:L7)</f>
        <v>67181</v>
      </c>
      <c r="N7" s="646">
        <v>3942</v>
      </c>
      <c r="O7" s="646"/>
      <c r="P7" s="642">
        <f>SUM(N7:O7)</f>
        <v>3942</v>
      </c>
      <c r="Q7" s="646"/>
      <c r="R7" s="646"/>
      <c r="S7" s="642">
        <f>SUM(Q7:R7)</f>
        <v>0</v>
      </c>
      <c r="T7" s="646"/>
      <c r="U7" s="646"/>
      <c r="V7" s="642">
        <f>SUM(T7:U7)</f>
        <v>0</v>
      </c>
      <c r="W7" s="646"/>
      <c r="X7" s="646"/>
      <c r="Y7" s="642">
        <f>SUM(W7:X7)</f>
        <v>0</v>
      </c>
      <c r="Z7" s="643"/>
      <c r="AA7" s="643"/>
    </row>
    <row r="8" spans="1:27" ht="69.75" customHeight="1" x14ac:dyDescent="0.2">
      <c r="A8" s="644" t="s">
        <v>156</v>
      </c>
      <c r="B8" s="645" t="s">
        <v>602</v>
      </c>
      <c r="C8" s="648" t="s">
        <v>599</v>
      </c>
      <c r="D8" s="649">
        <v>134979</v>
      </c>
      <c r="E8" s="646"/>
      <c r="F8" s="646"/>
      <c r="G8" s="642">
        <f>SUM(E8:F8)</f>
        <v>0</v>
      </c>
      <c r="H8" s="646">
        <v>66933</v>
      </c>
      <c r="I8" s="646"/>
      <c r="J8" s="642">
        <f>SUM(H8:I8)</f>
        <v>66933</v>
      </c>
      <c r="K8" s="646">
        <v>66568</v>
      </c>
      <c r="L8" s="646"/>
      <c r="M8" s="642">
        <f>SUM(K8:L8)</f>
        <v>66568</v>
      </c>
      <c r="N8" s="646">
        <v>1478</v>
      </c>
      <c r="O8" s="646"/>
      <c r="P8" s="642">
        <f>SUM(N8:O8)</f>
        <v>1478</v>
      </c>
      <c r="Q8" s="646"/>
      <c r="R8" s="646"/>
      <c r="S8" s="642">
        <f>SUM(Q8:R8)</f>
        <v>0</v>
      </c>
      <c r="T8" s="646"/>
      <c r="U8" s="646"/>
      <c r="V8" s="642">
        <f>SUM(T8:U8)</f>
        <v>0</v>
      </c>
      <c r="W8" s="646"/>
      <c r="X8" s="646"/>
      <c r="Y8" s="642">
        <f>SUM(W8:X8)</f>
        <v>0</v>
      </c>
      <c r="Z8" s="643"/>
      <c r="AA8" s="643"/>
    </row>
    <row r="9" spans="1:27" ht="25.5" x14ac:dyDescent="0.2">
      <c r="A9" s="644" t="s">
        <v>157</v>
      </c>
      <c r="B9" s="638" t="s">
        <v>597</v>
      </c>
      <c r="C9" s="639" t="s">
        <v>598</v>
      </c>
      <c r="D9" s="650">
        <v>518000</v>
      </c>
      <c r="E9" s="641"/>
      <c r="F9" s="641"/>
      <c r="G9" s="642">
        <f>SUM(E9:F9)</f>
        <v>0</v>
      </c>
      <c r="H9" s="641">
        <v>25900</v>
      </c>
      <c r="I9" s="641"/>
      <c r="J9" s="642">
        <f>SUM(H9:I9)</f>
        <v>25900</v>
      </c>
      <c r="K9" s="641">
        <v>161758</v>
      </c>
      <c r="L9" s="641"/>
      <c r="M9" s="642">
        <f>SUM(K9:L9)</f>
        <v>161758</v>
      </c>
      <c r="N9" s="641">
        <v>330342</v>
      </c>
      <c r="O9" s="641">
        <v>0</v>
      </c>
      <c r="P9" s="642">
        <f>SUM(N9:O9)</f>
        <v>330342</v>
      </c>
      <c r="Q9" s="641"/>
      <c r="R9" s="641"/>
      <c r="S9" s="642">
        <f>SUM(Q9:R9)</f>
        <v>0</v>
      </c>
      <c r="T9" s="641"/>
      <c r="U9" s="641"/>
      <c r="V9" s="642">
        <f>SUM(T9:U9)</f>
        <v>0</v>
      </c>
      <c r="W9" s="641"/>
      <c r="X9" s="641"/>
      <c r="Y9" s="642">
        <f>SUM(W9:X9)</f>
        <v>0</v>
      </c>
      <c r="Z9" s="643"/>
      <c r="AA9" s="643"/>
    </row>
    <row r="10" spans="1:27" ht="51" x14ac:dyDescent="0.2">
      <c r="A10" s="637" t="s">
        <v>158</v>
      </c>
      <c r="B10" s="638" t="s">
        <v>365</v>
      </c>
      <c r="C10" s="639" t="s">
        <v>598</v>
      </c>
      <c r="D10" s="650">
        <v>494940</v>
      </c>
      <c r="E10" s="641"/>
      <c r="F10" s="641"/>
      <c r="G10" s="642">
        <f t="shared" ref="G10:G51" si="0">SUM(E10:F10)</f>
        <v>0</v>
      </c>
      <c r="H10" s="641">
        <v>29716</v>
      </c>
      <c r="I10" s="641"/>
      <c r="J10" s="642">
        <f t="shared" ref="J10:J51" si="1">SUM(H10:I10)</f>
        <v>29716</v>
      </c>
      <c r="K10" s="641">
        <v>177611</v>
      </c>
      <c r="L10" s="641"/>
      <c r="M10" s="642">
        <f t="shared" ref="M10:M51" si="2">SUM(K10:L10)</f>
        <v>177611</v>
      </c>
      <c r="N10" s="641">
        <v>287613</v>
      </c>
      <c r="O10" s="641">
        <v>0</v>
      </c>
      <c r="P10" s="642">
        <f t="shared" ref="P10:P51" si="3">SUM(N10:O10)</f>
        <v>287613</v>
      </c>
      <c r="Q10" s="641"/>
      <c r="R10" s="641"/>
      <c r="S10" s="642">
        <f t="shared" ref="S10:S51" si="4">SUM(Q10:R10)</f>
        <v>0</v>
      </c>
      <c r="T10" s="641"/>
      <c r="U10" s="641"/>
      <c r="V10" s="642">
        <f t="shared" ref="V10:V51" si="5">SUM(T10:U10)</f>
        <v>0</v>
      </c>
      <c r="W10" s="641"/>
      <c r="X10" s="641"/>
      <c r="Y10" s="642">
        <f t="shared" ref="Y10:Y51" si="6">SUM(W10:X10)</f>
        <v>0</v>
      </c>
      <c r="Z10" s="643"/>
      <c r="AA10" s="643"/>
    </row>
    <row r="11" spans="1:27" ht="51" x14ac:dyDescent="0.2">
      <c r="A11" s="644" t="s">
        <v>159</v>
      </c>
      <c r="B11" s="645" t="s">
        <v>600</v>
      </c>
      <c r="C11" s="639" t="s">
        <v>598</v>
      </c>
      <c r="D11" s="649">
        <v>202274</v>
      </c>
      <c r="E11" s="646"/>
      <c r="F11" s="646"/>
      <c r="G11" s="642">
        <f t="shared" si="0"/>
        <v>0</v>
      </c>
      <c r="H11" s="646">
        <v>111331</v>
      </c>
      <c r="I11" s="646"/>
      <c r="J11" s="642">
        <f t="shared" si="1"/>
        <v>111331</v>
      </c>
      <c r="K11" s="646"/>
      <c r="L11" s="646"/>
      <c r="M11" s="642">
        <f t="shared" si="2"/>
        <v>0</v>
      </c>
      <c r="N11" s="646">
        <v>90943</v>
      </c>
      <c r="O11" s="646"/>
      <c r="P11" s="642">
        <f t="shared" si="3"/>
        <v>90943</v>
      </c>
      <c r="Q11" s="646"/>
      <c r="R11" s="646"/>
      <c r="S11" s="642">
        <f t="shared" si="4"/>
        <v>0</v>
      </c>
      <c r="T11" s="646"/>
      <c r="U11" s="646"/>
      <c r="V11" s="642">
        <f t="shared" si="5"/>
        <v>0</v>
      </c>
      <c r="W11" s="646"/>
      <c r="X11" s="646"/>
      <c r="Y11" s="642">
        <f t="shared" si="6"/>
        <v>0</v>
      </c>
      <c r="Z11" s="643"/>
      <c r="AA11" s="643"/>
    </row>
    <row r="12" spans="1:27" ht="25.5" x14ac:dyDescent="0.2">
      <c r="A12" s="644" t="s">
        <v>160</v>
      </c>
      <c r="B12" s="645" t="s">
        <v>566</v>
      </c>
      <c r="C12" s="648" t="s">
        <v>598</v>
      </c>
      <c r="D12" s="649">
        <v>3399703</v>
      </c>
      <c r="E12" s="646"/>
      <c r="F12" s="646"/>
      <c r="G12" s="642">
        <f t="shared" si="0"/>
        <v>0</v>
      </c>
      <c r="H12" s="646"/>
      <c r="I12" s="646"/>
      <c r="J12" s="642">
        <f t="shared" si="1"/>
        <v>0</v>
      </c>
      <c r="K12" s="646">
        <v>225083</v>
      </c>
      <c r="L12" s="646"/>
      <c r="M12" s="642">
        <f t="shared" si="2"/>
        <v>225083</v>
      </c>
      <c r="N12" s="646">
        <v>228083</v>
      </c>
      <c r="O12" s="646"/>
      <c r="P12" s="642">
        <f t="shared" si="3"/>
        <v>228083</v>
      </c>
      <c r="Q12" s="646">
        <v>1414876</v>
      </c>
      <c r="R12" s="646"/>
      <c r="S12" s="642">
        <f t="shared" si="4"/>
        <v>1414876</v>
      </c>
      <c r="T12" s="646">
        <v>1414876</v>
      </c>
      <c r="U12" s="646"/>
      <c r="V12" s="642">
        <f t="shared" si="5"/>
        <v>1414876</v>
      </c>
      <c r="W12" s="646"/>
      <c r="X12" s="646"/>
      <c r="Y12" s="642">
        <f t="shared" si="6"/>
        <v>0</v>
      </c>
      <c r="Z12" s="643"/>
      <c r="AA12" s="643"/>
    </row>
    <row r="13" spans="1:27" ht="76.5" x14ac:dyDescent="0.2">
      <c r="A13" s="637" t="s">
        <v>161</v>
      </c>
      <c r="B13" s="645" t="s">
        <v>603</v>
      </c>
      <c r="C13" s="648" t="s">
        <v>598</v>
      </c>
      <c r="D13" s="649">
        <f>391262+2738</f>
        <v>394000</v>
      </c>
      <c r="E13" s="646"/>
      <c r="F13" s="646"/>
      <c r="G13" s="642">
        <f t="shared" si="0"/>
        <v>0</v>
      </c>
      <c r="H13" s="646">
        <v>220246</v>
      </c>
      <c r="I13" s="646"/>
      <c r="J13" s="642">
        <f t="shared" si="1"/>
        <v>220246</v>
      </c>
      <c r="K13" s="646"/>
      <c r="L13" s="646"/>
      <c r="M13" s="642">
        <f t="shared" si="2"/>
        <v>0</v>
      </c>
      <c r="N13" s="646">
        <v>171016</v>
      </c>
      <c r="O13" s="646"/>
      <c r="P13" s="642">
        <f t="shared" si="3"/>
        <v>171016</v>
      </c>
      <c r="Q13" s="646"/>
      <c r="R13" s="646"/>
      <c r="S13" s="642">
        <f t="shared" si="4"/>
        <v>0</v>
      </c>
      <c r="T13" s="646"/>
      <c r="U13" s="646"/>
      <c r="V13" s="642">
        <f t="shared" si="5"/>
        <v>0</v>
      </c>
      <c r="W13" s="646"/>
      <c r="X13" s="646"/>
      <c r="Y13" s="642">
        <f t="shared" si="6"/>
        <v>0</v>
      </c>
      <c r="Z13" s="643"/>
      <c r="AA13" s="643"/>
    </row>
    <row r="14" spans="1:27" ht="38.25" x14ac:dyDescent="0.2">
      <c r="A14" s="644" t="s">
        <v>162</v>
      </c>
      <c r="B14" s="645" t="s">
        <v>604</v>
      </c>
      <c r="C14" s="648" t="s">
        <v>598</v>
      </c>
      <c r="D14" s="649">
        <v>291294</v>
      </c>
      <c r="E14" s="646"/>
      <c r="F14" s="646"/>
      <c r="G14" s="642">
        <f t="shared" si="0"/>
        <v>0</v>
      </c>
      <c r="H14" s="646">
        <v>186423</v>
      </c>
      <c r="I14" s="646"/>
      <c r="J14" s="642">
        <f t="shared" si="1"/>
        <v>186423</v>
      </c>
      <c r="K14" s="646">
        <v>101667</v>
      </c>
      <c r="L14" s="646"/>
      <c r="M14" s="642">
        <f t="shared" si="2"/>
        <v>101667</v>
      </c>
      <c r="N14" s="646">
        <v>3204</v>
      </c>
      <c r="O14" s="646"/>
      <c r="P14" s="642">
        <f t="shared" si="3"/>
        <v>3204</v>
      </c>
      <c r="Q14" s="646"/>
      <c r="R14" s="646"/>
      <c r="S14" s="642">
        <f t="shared" si="4"/>
        <v>0</v>
      </c>
      <c r="T14" s="646"/>
      <c r="U14" s="646"/>
      <c r="V14" s="642">
        <f t="shared" si="5"/>
        <v>0</v>
      </c>
      <c r="W14" s="646"/>
      <c r="X14" s="646"/>
      <c r="Y14" s="642">
        <f t="shared" si="6"/>
        <v>0</v>
      </c>
      <c r="Z14" s="643"/>
      <c r="AA14" s="643"/>
    </row>
    <row r="15" spans="1:27" ht="38.25" x14ac:dyDescent="0.2">
      <c r="A15" s="644" t="s">
        <v>0</v>
      </c>
      <c r="B15" s="638" t="s">
        <v>605</v>
      </c>
      <c r="C15" s="639" t="s">
        <v>598</v>
      </c>
      <c r="D15" s="650">
        <v>300935</v>
      </c>
      <c r="E15" s="640"/>
      <c r="F15" s="640"/>
      <c r="G15" s="642">
        <f t="shared" si="0"/>
        <v>0</v>
      </c>
      <c r="H15" s="640">
        <v>171432</v>
      </c>
      <c r="I15" s="640"/>
      <c r="J15" s="642">
        <f t="shared" si="1"/>
        <v>171432</v>
      </c>
      <c r="K15" s="640">
        <v>84001</v>
      </c>
      <c r="L15" s="640"/>
      <c r="M15" s="642">
        <f t="shared" si="2"/>
        <v>84001</v>
      </c>
      <c r="N15" s="640">
        <v>45502</v>
      </c>
      <c r="O15" s="640"/>
      <c r="P15" s="642">
        <f t="shared" si="3"/>
        <v>45502</v>
      </c>
      <c r="Q15" s="640"/>
      <c r="R15" s="640"/>
      <c r="S15" s="642">
        <f t="shared" si="4"/>
        <v>0</v>
      </c>
      <c r="T15" s="640"/>
      <c r="U15" s="640"/>
      <c r="V15" s="642">
        <f t="shared" si="5"/>
        <v>0</v>
      </c>
      <c r="W15" s="640"/>
      <c r="X15" s="640"/>
      <c r="Y15" s="642">
        <f t="shared" si="6"/>
        <v>0</v>
      </c>
      <c r="Z15" s="643"/>
      <c r="AA15" s="643"/>
    </row>
    <row r="16" spans="1:27" ht="38.25" x14ac:dyDescent="0.2">
      <c r="A16" s="637" t="s">
        <v>1</v>
      </c>
      <c r="B16" s="645" t="s">
        <v>606</v>
      </c>
      <c r="C16" s="648" t="s">
        <v>598</v>
      </c>
      <c r="D16" s="649">
        <v>58991</v>
      </c>
      <c r="E16" s="646"/>
      <c r="F16" s="646"/>
      <c r="G16" s="642">
        <f t="shared" si="0"/>
        <v>0</v>
      </c>
      <c r="H16" s="646">
        <v>27000</v>
      </c>
      <c r="I16" s="646"/>
      <c r="J16" s="642">
        <f t="shared" si="1"/>
        <v>27000</v>
      </c>
      <c r="K16" s="646"/>
      <c r="L16" s="646"/>
      <c r="M16" s="642">
        <f t="shared" si="2"/>
        <v>0</v>
      </c>
      <c r="N16" s="646">
        <v>31991</v>
      </c>
      <c r="O16" s="646"/>
      <c r="P16" s="642">
        <f t="shared" si="3"/>
        <v>31991</v>
      </c>
      <c r="Q16" s="646"/>
      <c r="R16" s="646"/>
      <c r="S16" s="642">
        <f t="shared" si="4"/>
        <v>0</v>
      </c>
      <c r="T16" s="646"/>
      <c r="U16" s="646"/>
      <c r="V16" s="642">
        <f t="shared" si="5"/>
        <v>0</v>
      </c>
      <c r="W16" s="646"/>
      <c r="X16" s="646"/>
      <c r="Y16" s="642">
        <f t="shared" si="6"/>
        <v>0</v>
      </c>
      <c r="Z16" s="643"/>
      <c r="AA16" s="643"/>
    </row>
    <row r="17" spans="1:27" x14ac:dyDescent="0.2">
      <c r="A17" s="644" t="s">
        <v>2</v>
      </c>
      <c r="B17" s="645" t="s">
        <v>607</v>
      </c>
      <c r="C17" s="648" t="s">
        <v>598</v>
      </c>
      <c r="D17" s="649">
        <v>7500</v>
      </c>
      <c r="E17" s="646"/>
      <c r="F17" s="646"/>
      <c r="G17" s="642">
        <f t="shared" si="0"/>
        <v>0</v>
      </c>
      <c r="H17" s="646"/>
      <c r="I17" s="646"/>
      <c r="J17" s="642">
        <f t="shared" si="1"/>
        <v>0</v>
      </c>
      <c r="K17" s="646"/>
      <c r="L17" s="646"/>
      <c r="M17" s="642">
        <f t="shared" si="2"/>
        <v>0</v>
      </c>
      <c r="N17" s="646">
        <v>4376</v>
      </c>
      <c r="O17" s="646"/>
      <c r="P17" s="642">
        <f t="shared" si="3"/>
        <v>4376</v>
      </c>
      <c r="Q17" s="646">
        <v>1562</v>
      </c>
      <c r="R17" s="646"/>
      <c r="S17" s="642">
        <f t="shared" si="4"/>
        <v>1562</v>
      </c>
      <c r="T17" s="646">
        <v>1562</v>
      </c>
      <c r="U17" s="646"/>
      <c r="V17" s="642">
        <f t="shared" si="5"/>
        <v>1562</v>
      </c>
      <c r="W17" s="646"/>
      <c r="X17" s="646"/>
      <c r="Y17" s="642">
        <f t="shared" si="6"/>
        <v>0</v>
      </c>
      <c r="Z17" s="643"/>
      <c r="AA17" s="643"/>
    </row>
    <row r="18" spans="1:27" ht="38.25" x14ac:dyDescent="0.2">
      <c r="A18" s="644" t="s">
        <v>3</v>
      </c>
      <c r="B18" s="645" t="s">
        <v>807</v>
      </c>
      <c r="C18" s="648" t="s">
        <v>598</v>
      </c>
      <c r="D18" s="649">
        <v>509000</v>
      </c>
      <c r="E18" s="646"/>
      <c r="F18" s="646"/>
      <c r="G18" s="642">
        <f t="shared" si="0"/>
        <v>0</v>
      </c>
      <c r="H18" s="646"/>
      <c r="I18" s="646"/>
      <c r="J18" s="642">
        <f t="shared" si="1"/>
        <v>0</v>
      </c>
      <c r="K18" s="646"/>
      <c r="L18" s="646">
        <v>509000</v>
      </c>
      <c r="M18" s="642">
        <f t="shared" si="2"/>
        <v>509000</v>
      </c>
      <c r="N18" s="646"/>
      <c r="O18" s="646"/>
      <c r="P18" s="642">
        <f t="shared" si="3"/>
        <v>0</v>
      </c>
      <c r="Q18" s="646"/>
      <c r="R18" s="646"/>
      <c r="S18" s="642">
        <f t="shared" si="4"/>
        <v>0</v>
      </c>
      <c r="T18" s="646"/>
      <c r="U18" s="646"/>
      <c r="V18" s="642">
        <f t="shared" si="5"/>
        <v>0</v>
      </c>
      <c r="W18" s="646"/>
      <c r="X18" s="646"/>
      <c r="Y18" s="642">
        <f t="shared" si="6"/>
        <v>0</v>
      </c>
      <c r="Z18" s="643"/>
      <c r="AA18" s="643"/>
    </row>
    <row r="19" spans="1:27" ht="76.5" x14ac:dyDescent="0.2">
      <c r="A19" s="637" t="s">
        <v>4</v>
      </c>
      <c r="B19" s="645" t="s">
        <v>608</v>
      </c>
      <c r="C19" s="648" t="s">
        <v>598</v>
      </c>
      <c r="D19" s="649">
        <v>14238183</v>
      </c>
      <c r="E19" s="646"/>
      <c r="F19" s="646">
        <v>417000</v>
      </c>
      <c r="G19" s="642">
        <f t="shared" si="0"/>
        <v>417000</v>
      </c>
      <c r="H19" s="646"/>
      <c r="I19" s="646">
        <v>753631</v>
      </c>
      <c r="J19" s="642">
        <f t="shared" si="1"/>
        <v>753631</v>
      </c>
      <c r="K19" s="646"/>
      <c r="L19" s="649">
        <v>6725417</v>
      </c>
      <c r="M19" s="642">
        <f t="shared" si="2"/>
        <v>6725417</v>
      </c>
      <c r="N19" s="646"/>
      <c r="O19" s="649">
        <v>6342135</v>
      </c>
      <c r="P19" s="642">
        <f t="shared" si="3"/>
        <v>6342135</v>
      </c>
      <c r="Q19" s="646"/>
      <c r="R19" s="646"/>
      <c r="S19" s="642">
        <f t="shared" si="4"/>
        <v>0</v>
      </c>
      <c r="T19" s="646"/>
      <c r="U19" s="646"/>
      <c r="V19" s="642">
        <f t="shared" si="5"/>
        <v>0</v>
      </c>
      <c r="W19" s="646"/>
      <c r="X19" s="646"/>
      <c r="Y19" s="642">
        <f t="shared" si="6"/>
        <v>0</v>
      </c>
      <c r="Z19" s="643"/>
      <c r="AA19" s="643"/>
    </row>
    <row r="20" spans="1:27" ht="91.5" customHeight="1" x14ac:dyDescent="0.2">
      <c r="A20" s="644" t="s">
        <v>5</v>
      </c>
      <c r="B20" s="638" t="s">
        <v>609</v>
      </c>
      <c r="C20" s="639" t="s">
        <v>598</v>
      </c>
      <c r="D20" s="650">
        <v>3779217</v>
      </c>
      <c r="E20" s="640"/>
      <c r="F20" s="640"/>
      <c r="G20" s="642">
        <f t="shared" si="0"/>
        <v>0</v>
      </c>
      <c r="H20" s="640"/>
      <c r="I20" s="640"/>
      <c r="J20" s="642">
        <f t="shared" si="1"/>
        <v>0</v>
      </c>
      <c r="K20" s="640"/>
      <c r="L20" s="640">
        <v>2481047</v>
      </c>
      <c r="M20" s="642">
        <f t="shared" si="2"/>
        <v>2481047</v>
      </c>
      <c r="N20" s="640"/>
      <c r="O20" s="640">
        <v>1298170</v>
      </c>
      <c r="P20" s="642">
        <f t="shared" si="3"/>
        <v>1298170</v>
      </c>
      <c r="Q20" s="640"/>
      <c r="R20" s="640"/>
      <c r="S20" s="642">
        <f t="shared" si="4"/>
        <v>0</v>
      </c>
      <c r="T20" s="640"/>
      <c r="U20" s="640"/>
      <c r="V20" s="642">
        <f t="shared" si="5"/>
        <v>0</v>
      </c>
      <c r="W20" s="640"/>
      <c r="X20" s="640"/>
      <c r="Y20" s="642">
        <f t="shared" si="6"/>
        <v>0</v>
      </c>
      <c r="Z20" s="643"/>
      <c r="AA20" s="643"/>
    </row>
    <row r="21" spans="1:27" x14ac:dyDescent="0.2">
      <c r="A21" s="644" t="s">
        <v>6</v>
      </c>
      <c r="B21" s="638" t="s">
        <v>563</v>
      </c>
      <c r="C21" s="639" t="s">
        <v>598</v>
      </c>
      <c r="D21" s="650">
        <v>15875000</v>
      </c>
      <c r="E21" s="640"/>
      <c r="F21" s="640"/>
      <c r="G21" s="642">
        <f t="shared" si="0"/>
        <v>0</v>
      </c>
      <c r="H21" s="640"/>
      <c r="I21" s="640">
        <v>7500000</v>
      </c>
      <c r="J21" s="642">
        <f t="shared" si="1"/>
        <v>7500000</v>
      </c>
      <c r="K21" s="640"/>
      <c r="L21" s="640"/>
      <c r="M21" s="642">
        <f t="shared" si="2"/>
        <v>0</v>
      </c>
      <c r="N21" s="640"/>
      <c r="O21" s="640"/>
      <c r="P21" s="642">
        <f t="shared" si="3"/>
        <v>0</v>
      </c>
      <c r="Q21" s="640"/>
      <c r="R21" s="640">
        <v>7740000</v>
      </c>
      <c r="S21" s="642">
        <f t="shared" si="4"/>
        <v>7740000</v>
      </c>
      <c r="T21" s="640"/>
      <c r="U21" s="640">
        <v>635000</v>
      </c>
      <c r="V21" s="642">
        <f t="shared" si="5"/>
        <v>635000</v>
      </c>
      <c r="W21" s="640"/>
      <c r="X21" s="640"/>
      <c r="Y21" s="642">
        <f t="shared" si="6"/>
        <v>0</v>
      </c>
      <c r="Z21" s="643"/>
      <c r="AA21" s="643"/>
    </row>
    <row r="22" spans="1:27" x14ac:dyDescent="0.2">
      <c r="A22" s="637" t="s">
        <v>7</v>
      </c>
      <c r="B22" s="645" t="s">
        <v>610</v>
      </c>
      <c r="C22" s="648" t="s">
        <v>598</v>
      </c>
      <c r="D22" s="649">
        <v>199956</v>
      </c>
      <c r="E22" s="646"/>
      <c r="F22" s="646"/>
      <c r="G22" s="642">
        <f t="shared" si="0"/>
        <v>0</v>
      </c>
      <c r="H22" s="646">
        <v>129649</v>
      </c>
      <c r="I22" s="646"/>
      <c r="J22" s="642">
        <f t="shared" si="1"/>
        <v>129649</v>
      </c>
      <c r="K22" s="646"/>
      <c r="L22" s="646"/>
      <c r="M22" s="642">
        <f t="shared" si="2"/>
        <v>0</v>
      </c>
      <c r="N22" s="646">
        <v>67976</v>
      </c>
      <c r="O22" s="646"/>
      <c r="P22" s="642">
        <f t="shared" si="3"/>
        <v>67976</v>
      </c>
      <c r="Q22" s="646"/>
      <c r="R22" s="646"/>
      <c r="S22" s="642">
        <f t="shared" si="4"/>
        <v>0</v>
      </c>
      <c r="T22" s="646"/>
      <c r="U22" s="646"/>
      <c r="V22" s="642">
        <f t="shared" si="5"/>
        <v>0</v>
      </c>
      <c r="W22" s="646"/>
      <c r="X22" s="646"/>
      <c r="Y22" s="642">
        <f t="shared" si="6"/>
        <v>0</v>
      </c>
      <c r="Z22" s="643"/>
      <c r="AA22" s="643"/>
    </row>
    <row r="23" spans="1:27" ht="38.25" x14ac:dyDescent="0.2">
      <c r="A23" s="644" t="s">
        <v>8</v>
      </c>
      <c r="B23" s="645" t="s">
        <v>570</v>
      </c>
      <c r="C23" s="648" t="s">
        <v>598</v>
      </c>
      <c r="D23" s="649">
        <f>364706+3731</f>
        <v>368437</v>
      </c>
      <c r="E23" s="646"/>
      <c r="F23" s="646"/>
      <c r="G23" s="642">
        <f t="shared" si="0"/>
        <v>0</v>
      </c>
      <c r="H23" s="646">
        <v>21501</v>
      </c>
      <c r="I23" s="646"/>
      <c r="J23" s="642">
        <f t="shared" si="1"/>
        <v>21501</v>
      </c>
      <c r="K23" s="646"/>
      <c r="L23" s="646"/>
      <c r="M23" s="642">
        <f t="shared" si="2"/>
        <v>0</v>
      </c>
      <c r="N23" s="646">
        <v>205923</v>
      </c>
      <c r="O23" s="646"/>
      <c r="P23" s="642">
        <f t="shared" si="3"/>
        <v>205923</v>
      </c>
      <c r="Q23" s="646">
        <v>137282</v>
      </c>
      <c r="R23" s="646"/>
      <c r="S23" s="642">
        <f t="shared" si="4"/>
        <v>137282</v>
      </c>
      <c r="T23" s="646"/>
      <c r="U23" s="646"/>
      <c r="V23" s="642">
        <f t="shared" si="5"/>
        <v>0</v>
      </c>
      <c r="W23" s="646"/>
      <c r="X23" s="646"/>
      <c r="Y23" s="642">
        <f t="shared" si="6"/>
        <v>0</v>
      </c>
      <c r="Z23" s="643"/>
      <c r="AA23" s="643"/>
    </row>
    <row r="24" spans="1:27" ht="25.5" x14ac:dyDescent="0.2">
      <c r="A24" s="644" t="s">
        <v>9</v>
      </c>
      <c r="B24" s="645" t="s">
        <v>611</v>
      </c>
      <c r="C24" s="648" t="s">
        <v>598</v>
      </c>
      <c r="D24" s="649">
        <v>1102023</v>
      </c>
      <c r="E24" s="646"/>
      <c r="F24" s="646"/>
      <c r="G24" s="642">
        <f t="shared" si="0"/>
        <v>0</v>
      </c>
      <c r="H24" s="646"/>
      <c r="I24" s="646"/>
      <c r="J24" s="642">
        <f t="shared" si="1"/>
        <v>0</v>
      </c>
      <c r="K24" s="646">
        <v>50314</v>
      </c>
      <c r="L24" s="646"/>
      <c r="M24" s="642">
        <f t="shared" si="2"/>
        <v>50314</v>
      </c>
      <c r="N24" s="646">
        <v>19744</v>
      </c>
      <c r="O24" s="646"/>
      <c r="P24" s="642">
        <f t="shared" si="3"/>
        <v>19744</v>
      </c>
      <c r="Q24" s="646">
        <v>515982</v>
      </c>
      <c r="R24" s="646"/>
      <c r="S24" s="642">
        <f t="shared" si="4"/>
        <v>515982</v>
      </c>
      <c r="T24" s="646">
        <v>515983</v>
      </c>
      <c r="U24" s="646"/>
      <c r="V24" s="642">
        <f t="shared" si="5"/>
        <v>515983</v>
      </c>
      <c r="W24" s="646"/>
      <c r="X24" s="646"/>
      <c r="Y24" s="642">
        <f t="shared" si="6"/>
        <v>0</v>
      </c>
      <c r="Z24" s="643"/>
      <c r="AA24" s="643"/>
    </row>
    <row r="25" spans="1:27" ht="25.5" x14ac:dyDescent="0.2">
      <c r="A25" s="637" t="s">
        <v>10</v>
      </c>
      <c r="B25" s="638" t="s">
        <v>572</v>
      </c>
      <c r="C25" s="639" t="s">
        <v>598</v>
      </c>
      <c r="D25" s="650">
        <v>748411</v>
      </c>
      <c r="E25" s="640"/>
      <c r="F25" s="640"/>
      <c r="G25" s="642">
        <f t="shared" si="0"/>
        <v>0</v>
      </c>
      <c r="H25" s="640">
        <v>37421</v>
      </c>
      <c r="I25" s="640"/>
      <c r="J25" s="642">
        <f t="shared" si="1"/>
        <v>37421</v>
      </c>
      <c r="K25" s="640"/>
      <c r="L25" s="640"/>
      <c r="M25" s="642">
        <f t="shared" si="2"/>
        <v>0</v>
      </c>
      <c r="N25" s="640"/>
      <c r="O25" s="640"/>
      <c r="P25" s="642">
        <f t="shared" si="3"/>
        <v>0</v>
      </c>
      <c r="Q25" s="640">
        <v>710990</v>
      </c>
      <c r="R25" s="640"/>
      <c r="S25" s="642">
        <f t="shared" si="4"/>
        <v>710990</v>
      </c>
      <c r="T25" s="640"/>
      <c r="U25" s="640"/>
      <c r="V25" s="642">
        <f t="shared" si="5"/>
        <v>0</v>
      </c>
      <c r="W25" s="640"/>
      <c r="X25" s="640"/>
      <c r="Y25" s="642">
        <f t="shared" si="6"/>
        <v>0</v>
      </c>
      <c r="Z25" s="643"/>
      <c r="AA25" s="643"/>
    </row>
    <row r="26" spans="1:27" ht="38.25" x14ac:dyDescent="0.2">
      <c r="A26" s="637" t="s">
        <v>11</v>
      </c>
      <c r="B26" s="638" t="s">
        <v>882</v>
      </c>
      <c r="C26" s="639" t="s">
        <v>598</v>
      </c>
      <c r="D26" s="650">
        <f>114411+2264</f>
        <v>116675</v>
      </c>
      <c r="E26" s="640"/>
      <c r="F26" s="640"/>
      <c r="G26" s="642">
        <f t="shared" si="0"/>
        <v>0</v>
      </c>
      <c r="H26" s="640"/>
      <c r="I26" s="640"/>
      <c r="J26" s="642">
        <f t="shared" si="1"/>
        <v>0</v>
      </c>
      <c r="K26" s="640"/>
      <c r="L26" s="640"/>
      <c r="M26" s="642">
        <f t="shared" si="2"/>
        <v>0</v>
      </c>
      <c r="N26" s="640">
        <v>114411</v>
      </c>
      <c r="O26" s="640"/>
      <c r="P26" s="642">
        <f t="shared" si="3"/>
        <v>114411</v>
      </c>
      <c r="Q26" s="640"/>
      <c r="R26" s="640"/>
      <c r="S26" s="642">
        <f t="shared" si="4"/>
        <v>0</v>
      </c>
      <c r="T26" s="640"/>
      <c r="U26" s="640"/>
      <c r="V26" s="642">
        <f t="shared" si="5"/>
        <v>0</v>
      </c>
      <c r="W26" s="640"/>
      <c r="X26" s="640"/>
      <c r="Y26" s="642">
        <f t="shared" si="6"/>
        <v>0</v>
      </c>
      <c r="Z26" s="643"/>
      <c r="AA26" s="643"/>
    </row>
    <row r="27" spans="1:27" ht="25.5" x14ac:dyDescent="0.2">
      <c r="A27" s="637" t="s">
        <v>12</v>
      </c>
      <c r="B27" s="638" t="s">
        <v>569</v>
      </c>
      <c r="C27" s="639" t="s">
        <v>598</v>
      </c>
      <c r="D27" s="650">
        <v>167986</v>
      </c>
      <c r="E27" s="640"/>
      <c r="F27" s="640"/>
      <c r="G27" s="642">
        <f t="shared" si="0"/>
        <v>0</v>
      </c>
      <c r="H27" s="640"/>
      <c r="I27" s="640"/>
      <c r="J27" s="642">
        <f t="shared" si="1"/>
        <v>0</v>
      </c>
      <c r="K27" s="640">
        <v>48701</v>
      </c>
      <c r="L27" s="640"/>
      <c r="M27" s="642">
        <f t="shared" si="2"/>
        <v>48701</v>
      </c>
      <c r="N27" s="640">
        <v>119285</v>
      </c>
      <c r="O27" s="640"/>
      <c r="P27" s="642">
        <f t="shared" si="3"/>
        <v>119285</v>
      </c>
      <c r="Q27" s="640"/>
      <c r="R27" s="640"/>
      <c r="S27" s="642">
        <f t="shared" si="4"/>
        <v>0</v>
      </c>
      <c r="T27" s="640"/>
      <c r="U27" s="640"/>
      <c r="V27" s="642">
        <f t="shared" si="5"/>
        <v>0</v>
      </c>
      <c r="W27" s="640"/>
      <c r="X27" s="640"/>
      <c r="Y27" s="642">
        <f t="shared" si="6"/>
        <v>0</v>
      </c>
      <c r="Z27" s="643"/>
      <c r="AA27" s="643"/>
    </row>
    <row r="28" spans="1:27" ht="38.25" x14ac:dyDescent="0.2">
      <c r="A28" s="637" t="s">
        <v>13</v>
      </c>
      <c r="B28" s="638" t="s">
        <v>822</v>
      </c>
      <c r="C28" s="639" t="s">
        <v>598</v>
      </c>
      <c r="D28" s="650">
        <v>233659</v>
      </c>
      <c r="E28" s="640"/>
      <c r="F28" s="640"/>
      <c r="G28" s="642">
        <f t="shared" si="0"/>
        <v>0</v>
      </c>
      <c r="H28" s="640"/>
      <c r="I28" s="640"/>
      <c r="J28" s="642">
        <f t="shared" si="1"/>
        <v>0</v>
      </c>
      <c r="K28" s="640"/>
      <c r="L28" s="640">
        <v>24211</v>
      </c>
      <c r="M28" s="642">
        <f t="shared" si="2"/>
        <v>24211</v>
      </c>
      <c r="N28" s="640"/>
      <c r="O28" s="640">
        <v>209448</v>
      </c>
      <c r="P28" s="642">
        <f t="shared" si="3"/>
        <v>209448</v>
      </c>
      <c r="Q28" s="640"/>
      <c r="R28" s="640"/>
      <c r="S28" s="642">
        <f t="shared" si="4"/>
        <v>0</v>
      </c>
      <c r="T28" s="640"/>
      <c r="U28" s="640"/>
      <c r="V28" s="642">
        <f t="shared" si="5"/>
        <v>0</v>
      </c>
      <c r="W28" s="640"/>
      <c r="X28" s="640"/>
      <c r="Y28" s="642">
        <f t="shared" si="6"/>
        <v>0</v>
      </c>
      <c r="Z28" s="643"/>
      <c r="AA28" s="643"/>
    </row>
    <row r="29" spans="1:27" ht="25.5" x14ac:dyDescent="0.2">
      <c r="A29" s="637" t="s">
        <v>14</v>
      </c>
      <c r="B29" s="638" t="s">
        <v>823</v>
      </c>
      <c r="C29" s="639" t="s">
        <v>598</v>
      </c>
      <c r="D29" s="650">
        <v>800000</v>
      </c>
      <c r="E29" s="640"/>
      <c r="F29" s="640"/>
      <c r="G29" s="642">
        <f t="shared" si="0"/>
        <v>0</v>
      </c>
      <c r="H29" s="640"/>
      <c r="I29" s="640"/>
      <c r="J29" s="642">
        <f t="shared" si="1"/>
        <v>0</v>
      </c>
      <c r="K29" s="640"/>
      <c r="L29" s="640">
        <v>33000</v>
      </c>
      <c r="M29" s="642">
        <f t="shared" si="2"/>
        <v>33000</v>
      </c>
      <c r="N29" s="640"/>
      <c r="O29" s="640">
        <v>267000</v>
      </c>
      <c r="P29" s="642">
        <f t="shared" si="3"/>
        <v>267000</v>
      </c>
      <c r="Q29" s="640"/>
      <c r="R29" s="640">
        <v>500000</v>
      </c>
      <c r="S29" s="642">
        <f t="shared" si="4"/>
        <v>500000</v>
      </c>
      <c r="T29" s="640"/>
      <c r="U29" s="640"/>
      <c r="V29" s="642">
        <f t="shared" si="5"/>
        <v>0</v>
      </c>
      <c r="W29" s="640"/>
      <c r="X29" s="640"/>
      <c r="Y29" s="642">
        <f t="shared" si="6"/>
        <v>0</v>
      </c>
      <c r="Z29" s="643"/>
      <c r="AA29" s="643"/>
    </row>
    <row r="30" spans="1:27" ht="38.25" x14ac:dyDescent="0.2">
      <c r="A30" s="644" t="s">
        <v>15</v>
      </c>
      <c r="B30" s="638" t="s">
        <v>836</v>
      </c>
      <c r="C30" s="639" t="s">
        <v>598</v>
      </c>
      <c r="D30" s="650">
        <v>730250</v>
      </c>
      <c r="E30" s="640"/>
      <c r="F30" s="640"/>
      <c r="G30" s="642">
        <f>SUM(E30:F30)</f>
        <v>0</v>
      </c>
      <c r="H30" s="640"/>
      <c r="I30" s="640"/>
      <c r="J30" s="642">
        <f>SUM(H30:I30)</f>
        <v>0</v>
      </c>
      <c r="K30" s="640"/>
      <c r="L30" s="640"/>
      <c r="M30" s="642">
        <f>SUM(K30:L30)</f>
        <v>0</v>
      </c>
      <c r="N30" s="640">
        <v>244130</v>
      </c>
      <c r="O30" s="640"/>
      <c r="P30" s="642">
        <f>SUM(N30:O30)</f>
        <v>244130</v>
      </c>
      <c r="Q30" s="640">
        <v>336120</v>
      </c>
      <c r="R30" s="640"/>
      <c r="S30" s="642">
        <f>SUM(Q30:R30)</f>
        <v>336120</v>
      </c>
      <c r="T30" s="640"/>
      <c r="U30" s="640"/>
      <c r="V30" s="642">
        <f>SUM(T30:U30)</f>
        <v>0</v>
      </c>
      <c r="W30" s="640"/>
      <c r="X30" s="640"/>
      <c r="Y30" s="642">
        <f>SUM(W30:X30)</f>
        <v>0</v>
      </c>
      <c r="Z30" s="643"/>
      <c r="AA30" s="643"/>
    </row>
    <row r="31" spans="1:27" ht="25.5" x14ac:dyDescent="0.2">
      <c r="A31" s="637" t="s">
        <v>16</v>
      </c>
      <c r="B31" s="638" t="s">
        <v>832</v>
      </c>
      <c r="C31" s="648" t="s">
        <v>598</v>
      </c>
      <c r="D31" s="650">
        <v>10657</v>
      </c>
      <c r="E31" s="640"/>
      <c r="F31" s="640"/>
      <c r="G31" s="642">
        <f t="shared" si="0"/>
        <v>0</v>
      </c>
      <c r="H31" s="640"/>
      <c r="I31" s="640"/>
      <c r="J31" s="642">
        <f t="shared" si="1"/>
        <v>0</v>
      </c>
      <c r="K31" s="640"/>
      <c r="L31" s="640"/>
      <c r="M31" s="642">
        <f t="shared" si="2"/>
        <v>0</v>
      </c>
      <c r="N31" s="640">
        <v>10657</v>
      </c>
      <c r="O31" s="640"/>
      <c r="P31" s="642">
        <f t="shared" si="3"/>
        <v>10657</v>
      </c>
      <c r="Q31" s="640"/>
      <c r="R31" s="640"/>
      <c r="S31" s="642">
        <f t="shared" si="4"/>
        <v>0</v>
      </c>
      <c r="T31" s="640"/>
      <c r="U31" s="640"/>
      <c r="V31" s="642">
        <f t="shared" si="5"/>
        <v>0</v>
      </c>
      <c r="W31" s="640"/>
      <c r="X31" s="640"/>
      <c r="Y31" s="642">
        <f t="shared" si="6"/>
        <v>0</v>
      </c>
      <c r="Z31" s="643"/>
      <c r="AA31" s="643"/>
    </row>
    <row r="32" spans="1:27" x14ac:dyDescent="0.2">
      <c r="A32" s="644" t="s">
        <v>17</v>
      </c>
      <c r="B32" s="638" t="s">
        <v>883</v>
      </c>
      <c r="C32" s="648" t="s">
        <v>598</v>
      </c>
      <c r="D32" s="650">
        <f>159984+2725+188</f>
        <v>162897</v>
      </c>
      <c r="E32" s="640"/>
      <c r="F32" s="640"/>
      <c r="G32" s="642">
        <f t="shared" si="0"/>
        <v>0</v>
      </c>
      <c r="H32" s="640"/>
      <c r="I32" s="640"/>
      <c r="J32" s="642">
        <f t="shared" si="1"/>
        <v>0</v>
      </c>
      <c r="K32" s="640"/>
      <c r="L32" s="640"/>
      <c r="M32" s="642">
        <f t="shared" si="2"/>
        <v>0</v>
      </c>
      <c r="N32" s="640">
        <v>159984</v>
      </c>
      <c r="O32" s="640"/>
      <c r="P32" s="642">
        <f t="shared" si="3"/>
        <v>159984</v>
      </c>
      <c r="Q32" s="640"/>
      <c r="R32" s="640"/>
      <c r="S32" s="642">
        <f t="shared" si="4"/>
        <v>0</v>
      </c>
      <c r="T32" s="640"/>
      <c r="U32" s="640"/>
      <c r="V32" s="642">
        <f t="shared" si="5"/>
        <v>0</v>
      </c>
      <c r="W32" s="640"/>
      <c r="X32" s="640"/>
      <c r="Y32" s="642">
        <f t="shared" si="6"/>
        <v>0</v>
      </c>
      <c r="Z32" s="643"/>
      <c r="AA32" s="643"/>
    </row>
    <row r="33" spans="1:27" s="734" customFormat="1" x14ac:dyDescent="0.2">
      <c r="A33" s="732" t="s">
        <v>18</v>
      </c>
      <c r="B33" s="638" t="s">
        <v>884</v>
      </c>
      <c r="C33" s="648" t="s">
        <v>598</v>
      </c>
      <c r="D33" s="650">
        <v>142000</v>
      </c>
      <c r="E33" s="650"/>
      <c r="F33" s="650"/>
      <c r="G33" s="733">
        <f t="shared" si="0"/>
        <v>0</v>
      </c>
      <c r="H33" s="650"/>
      <c r="I33" s="650"/>
      <c r="J33" s="733">
        <f t="shared" si="1"/>
        <v>0</v>
      </c>
      <c r="K33" s="650"/>
      <c r="L33" s="650"/>
      <c r="M33" s="733">
        <f t="shared" si="2"/>
        <v>0</v>
      </c>
      <c r="N33" s="650"/>
      <c r="O33" s="650">
        <v>40000</v>
      </c>
      <c r="P33" s="733">
        <f t="shared" si="3"/>
        <v>40000</v>
      </c>
      <c r="Q33" s="650"/>
      <c r="R33" s="650"/>
      <c r="S33" s="733">
        <f t="shared" si="4"/>
        <v>0</v>
      </c>
      <c r="T33" s="650"/>
      <c r="U33" s="650"/>
      <c r="V33" s="733">
        <f t="shared" si="5"/>
        <v>0</v>
      </c>
      <c r="W33" s="650"/>
      <c r="X33" s="650"/>
      <c r="Y33" s="733">
        <f t="shared" si="6"/>
        <v>0</v>
      </c>
      <c r="Z33" s="647"/>
      <c r="AA33" s="647"/>
    </row>
    <row r="34" spans="1:27" ht="51" x14ac:dyDescent="0.2">
      <c r="A34" s="637" t="s">
        <v>19</v>
      </c>
      <c r="B34" s="638" t="s">
        <v>562</v>
      </c>
      <c r="C34" s="648" t="s">
        <v>598</v>
      </c>
      <c r="D34" s="650">
        <v>200000</v>
      </c>
      <c r="E34" s="640"/>
      <c r="F34" s="640"/>
      <c r="G34" s="642">
        <f t="shared" si="0"/>
        <v>0</v>
      </c>
      <c r="H34" s="640"/>
      <c r="I34" s="640"/>
      <c r="J34" s="642">
        <f t="shared" si="1"/>
        <v>0</v>
      </c>
      <c r="K34" s="640"/>
      <c r="L34" s="640">
        <v>200000</v>
      </c>
      <c r="M34" s="642">
        <f t="shared" si="2"/>
        <v>200000</v>
      </c>
      <c r="N34" s="640"/>
      <c r="O34" s="640"/>
      <c r="P34" s="642">
        <f t="shared" si="3"/>
        <v>0</v>
      </c>
      <c r="Q34" s="640"/>
      <c r="R34" s="640"/>
      <c r="S34" s="642">
        <f t="shared" si="4"/>
        <v>0</v>
      </c>
      <c r="T34" s="640"/>
      <c r="U34" s="640"/>
      <c r="V34" s="642">
        <f t="shared" si="5"/>
        <v>0</v>
      </c>
      <c r="W34" s="640"/>
      <c r="X34" s="640"/>
      <c r="Y34" s="642">
        <f t="shared" si="6"/>
        <v>0</v>
      </c>
      <c r="Z34" s="643"/>
      <c r="AA34" s="643"/>
    </row>
    <row r="35" spans="1:27" ht="38.25" x14ac:dyDescent="0.2">
      <c r="A35" s="637" t="s">
        <v>20</v>
      </c>
      <c r="B35" s="638" t="s">
        <v>824</v>
      </c>
      <c r="C35" s="639" t="s">
        <v>598</v>
      </c>
      <c r="D35" s="650">
        <v>400000</v>
      </c>
      <c r="E35" s="640"/>
      <c r="F35" s="640"/>
      <c r="G35" s="642">
        <f>SUM(E35:F35)</f>
        <v>0</v>
      </c>
      <c r="H35" s="640"/>
      <c r="I35" s="640"/>
      <c r="J35" s="642">
        <f>SUM(H35:I35)</f>
        <v>0</v>
      </c>
      <c r="K35" s="640"/>
      <c r="L35" s="640"/>
      <c r="M35" s="642">
        <f>SUM(K35:L35)</f>
        <v>0</v>
      </c>
      <c r="N35" s="640"/>
      <c r="O35" s="640">
        <v>400000</v>
      </c>
      <c r="P35" s="642">
        <f>SUM(N35:O35)</f>
        <v>400000</v>
      </c>
      <c r="Q35" s="640"/>
      <c r="R35" s="640"/>
      <c r="S35" s="642">
        <f>SUM(Q35:R35)</f>
        <v>0</v>
      </c>
      <c r="T35" s="640"/>
      <c r="U35" s="640"/>
      <c r="V35" s="642">
        <f>SUM(T35:U35)</f>
        <v>0</v>
      </c>
      <c r="W35" s="640"/>
      <c r="X35" s="640"/>
      <c r="Y35" s="642">
        <f>SUM(W35:X35)</f>
        <v>0</v>
      </c>
      <c r="Z35" s="643"/>
      <c r="AA35" s="643"/>
    </row>
    <row r="36" spans="1:27" x14ac:dyDescent="0.2">
      <c r="A36" s="637" t="s">
        <v>21</v>
      </c>
      <c r="B36" s="638" t="s">
        <v>821</v>
      </c>
      <c r="C36" s="639" t="s">
        <v>612</v>
      </c>
      <c r="D36" s="650">
        <v>1000000</v>
      </c>
      <c r="E36" s="640"/>
      <c r="F36" s="640"/>
      <c r="G36" s="642">
        <f t="shared" si="0"/>
        <v>0</v>
      </c>
      <c r="H36" s="640"/>
      <c r="I36" s="640"/>
      <c r="J36" s="642">
        <f t="shared" si="1"/>
        <v>0</v>
      </c>
      <c r="K36" s="640"/>
      <c r="L36" s="640"/>
      <c r="M36" s="642">
        <f t="shared" si="2"/>
        <v>0</v>
      </c>
      <c r="N36" s="640">
        <v>27000</v>
      </c>
      <c r="O36" s="640"/>
      <c r="P36" s="642">
        <f t="shared" si="3"/>
        <v>27000</v>
      </c>
      <c r="Q36" s="640">
        <v>241250</v>
      </c>
      <c r="R36" s="640"/>
      <c r="S36" s="642">
        <f t="shared" si="4"/>
        <v>241250</v>
      </c>
      <c r="T36" s="640">
        <v>723750</v>
      </c>
      <c r="U36" s="640"/>
      <c r="V36" s="642">
        <f t="shared" si="5"/>
        <v>723750</v>
      </c>
      <c r="W36" s="640">
        <v>8000</v>
      </c>
      <c r="X36" s="640"/>
      <c r="Y36" s="642">
        <f t="shared" si="6"/>
        <v>8000</v>
      </c>
      <c r="Z36" s="643"/>
      <c r="AA36" s="643"/>
    </row>
    <row r="37" spans="1:27" ht="63.75" x14ac:dyDescent="0.2">
      <c r="A37" s="637" t="s">
        <v>885</v>
      </c>
      <c r="B37" s="638" t="s">
        <v>886</v>
      </c>
      <c r="C37" s="639" t="s">
        <v>612</v>
      </c>
      <c r="D37" s="650">
        <f>69000+5756</f>
        <v>74756</v>
      </c>
      <c r="E37" s="640"/>
      <c r="F37" s="640"/>
      <c r="G37" s="642">
        <f t="shared" si="0"/>
        <v>0</v>
      </c>
      <c r="H37" s="640"/>
      <c r="I37" s="640"/>
      <c r="J37" s="642">
        <f t="shared" si="1"/>
        <v>0</v>
      </c>
      <c r="K37" s="640"/>
      <c r="L37" s="640"/>
      <c r="M37" s="642">
        <f t="shared" si="2"/>
        <v>0</v>
      </c>
      <c r="N37" s="640">
        <v>69000</v>
      </c>
      <c r="O37" s="640"/>
      <c r="P37" s="642">
        <f t="shared" si="3"/>
        <v>69000</v>
      </c>
      <c r="Q37" s="640"/>
      <c r="R37" s="640"/>
      <c r="S37" s="642">
        <f t="shared" si="4"/>
        <v>0</v>
      </c>
      <c r="T37" s="640"/>
      <c r="U37" s="640"/>
      <c r="V37" s="642">
        <f t="shared" si="5"/>
        <v>0</v>
      </c>
      <c r="W37" s="640"/>
      <c r="X37" s="640"/>
      <c r="Y37" s="642">
        <f t="shared" si="6"/>
        <v>0</v>
      </c>
      <c r="Z37" s="643"/>
      <c r="AA37" s="643"/>
    </row>
    <row r="38" spans="1:27" ht="25.5" x14ac:dyDescent="0.2">
      <c r="A38" s="637" t="s">
        <v>887</v>
      </c>
      <c r="B38" s="638" t="s">
        <v>888</v>
      </c>
      <c r="C38" s="639" t="s">
        <v>612</v>
      </c>
      <c r="D38" s="650">
        <v>90238</v>
      </c>
      <c r="E38" s="640"/>
      <c r="F38" s="640"/>
      <c r="G38" s="642">
        <f t="shared" si="0"/>
        <v>0</v>
      </c>
      <c r="H38" s="640"/>
      <c r="I38" s="640"/>
      <c r="J38" s="642">
        <f t="shared" si="1"/>
        <v>0</v>
      </c>
      <c r="K38" s="640"/>
      <c r="L38" s="640"/>
      <c r="M38" s="642">
        <f t="shared" si="2"/>
        <v>0</v>
      </c>
      <c r="N38" s="640">
        <v>90238</v>
      </c>
      <c r="O38" s="640"/>
      <c r="P38" s="642">
        <f t="shared" si="3"/>
        <v>90238</v>
      </c>
      <c r="Q38" s="640"/>
      <c r="R38" s="640"/>
      <c r="S38" s="642">
        <f t="shared" si="4"/>
        <v>0</v>
      </c>
      <c r="T38" s="640"/>
      <c r="U38" s="640"/>
      <c r="V38" s="642">
        <f t="shared" si="5"/>
        <v>0</v>
      </c>
      <c r="W38" s="640"/>
      <c r="X38" s="640"/>
      <c r="Y38" s="642">
        <f t="shared" si="6"/>
        <v>0</v>
      </c>
      <c r="Z38" s="643"/>
      <c r="AA38" s="643"/>
    </row>
    <row r="39" spans="1:27" ht="51" x14ac:dyDescent="0.2">
      <c r="A39" s="637" t="s">
        <v>889</v>
      </c>
      <c r="B39" s="638" t="s">
        <v>890</v>
      </c>
      <c r="C39" s="639" t="s">
        <v>612</v>
      </c>
      <c r="D39" s="650">
        <v>375512</v>
      </c>
      <c r="E39" s="640"/>
      <c r="F39" s="640"/>
      <c r="G39" s="642">
        <f t="shared" si="0"/>
        <v>0</v>
      </c>
      <c r="H39" s="640"/>
      <c r="I39" s="640"/>
      <c r="J39" s="642">
        <f t="shared" si="1"/>
        <v>0</v>
      </c>
      <c r="K39" s="640"/>
      <c r="L39" s="640"/>
      <c r="M39" s="642">
        <f t="shared" si="2"/>
        <v>0</v>
      </c>
      <c r="N39" s="640">
        <v>357687</v>
      </c>
      <c r="O39" s="640"/>
      <c r="P39" s="642">
        <f t="shared" si="3"/>
        <v>357687</v>
      </c>
      <c r="Q39" s="640">
        <v>17825</v>
      </c>
      <c r="R39" s="640"/>
      <c r="S39" s="642">
        <f t="shared" si="4"/>
        <v>17825</v>
      </c>
      <c r="T39" s="640"/>
      <c r="U39" s="640"/>
      <c r="V39" s="642">
        <f t="shared" si="5"/>
        <v>0</v>
      </c>
      <c r="W39" s="640"/>
      <c r="X39" s="640"/>
      <c r="Y39" s="642">
        <f t="shared" si="6"/>
        <v>0</v>
      </c>
      <c r="Z39" s="643"/>
      <c r="AA39" s="643"/>
    </row>
    <row r="40" spans="1:27" ht="51" x14ac:dyDescent="0.2">
      <c r="A40" s="637" t="s">
        <v>891</v>
      </c>
      <c r="B40" s="638" t="s">
        <v>892</v>
      </c>
      <c r="C40" s="639" t="s">
        <v>612</v>
      </c>
      <c r="D40" s="650">
        <v>229000</v>
      </c>
      <c r="E40" s="640"/>
      <c r="F40" s="640"/>
      <c r="G40" s="642">
        <f t="shared" si="0"/>
        <v>0</v>
      </c>
      <c r="H40" s="640"/>
      <c r="I40" s="640"/>
      <c r="J40" s="642">
        <f t="shared" si="1"/>
        <v>0</v>
      </c>
      <c r="K40" s="640"/>
      <c r="L40" s="640"/>
      <c r="M40" s="642">
        <f t="shared" si="2"/>
        <v>0</v>
      </c>
      <c r="N40" s="640">
        <v>229000</v>
      </c>
      <c r="O40" s="640"/>
      <c r="P40" s="642">
        <f t="shared" si="3"/>
        <v>229000</v>
      </c>
      <c r="Q40" s="640"/>
      <c r="R40" s="640"/>
      <c r="S40" s="642">
        <f t="shared" si="4"/>
        <v>0</v>
      </c>
      <c r="T40" s="640"/>
      <c r="U40" s="640"/>
      <c r="V40" s="642">
        <f t="shared" si="5"/>
        <v>0</v>
      </c>
      <c r="W40" s="640"/>
      <c r="X40" s="640"/>
      <c r="Y40" s="642">
        <f t="shared" si="6"/>
        <v>0</v>
      </c>
      <c r="Z40" s="643"/>
      <c r="AA40" s="643"/>
    </row>
    <row r="41" spans="1:27" x14ac:dyDescent="0.2">
      <c r="A41" s="637" t="s">
        <v>893</v>
      </c>
      <c r="B41" s="638" t="s">
        <v>830</v>
      </c>
      <c r="C41" s="639" t="s">
        <v>612</v>
      </c>
      <c r="D41" s="650">
        <f>286603+2032</f>
        <v>288635</v>
      </c>
      <c r="E41" s="640"/>
      <c r="F41" s="640"/>
      <c r="G41" s="642">
        <f t="shared" si="0"/>
        <v>0</v>
      </c>
      <c r="H41" s="640"/>
      <c r="I41" s="640"/>
      <c r="J41" s="642">
        <f t="shared" si="1"/>
        <v>0</v>
      </c>
      <c r="K41" s="640"/>
      <c r="L41" s="640"/>
      <c r="M41" s="642">
        <f t="shared" si="2"/>
        <v>0</v>
      </c>
      <c r="N41" s="640">
        <v>143302</v>
      </c>
      <c r="O41" s="640"/>
      <c r="P41" s="642">
        <f t="shared" si="3"/>
        <v>143302</v>
      </c>
      <c r="Q41" s="640">
        <v>143301</v>
      </c>
      <c r="R41" s="640"/>
      <c r="S41" s="642">
        <f t="shared" si="4"/>
        <v>143301</v>
      </c>
      <c r="T41" s="640"/>
      <c r="U41" s="640"/>
      <c r="V41" s="642">
        <f t="shared" si="5"/>
        <v>0</v>
      </c>
      <c r="W41" s="640"/>
      <c r="X41" s="640"/>
      <c r="Y41" s="642">
        <f t="shared" si="6"/>
        <v>0</v>
      </c>
      <c r="Z41" s="643"/>
      <c r="AA41" s="643"/>
    </row>
    <row r="42" spans="1:27" ht="38.25" x14ac:dyDescent="0.2">
      <c r="A42" s="637" t="s">
        <v>894</v>
      </c>
      <c r="B42" s="638" t="s">
        <v>895</v>
      </c>
      <c r="C42" s="639" t="s">
        <v>598</v>
      </c>
      <c r="D42" s="650">
        <f>31750+393730</f>
        <v>425480</v>
      </c>
      <c r="E42" s="640"/>
      <c r="F42" s="640"/>
      <c r="G42" s="642">
        <f t="shared" si="0"/>
        <v>0</v>
      </c>
      <c r="H42" s="640"/>
      <c r="I42" s="640"/>
      <c r="J42" s="642">
        <f t="shared" si="1"/>
        <v>0</v>
      </c>
      <c r="K42" s="640"/>
      <c r="L42" s="640"/>
      <c r="M42" s="642">
        <f t="shared" si="2"/>
        <v>0</v>
      </c>
      <c r="N42" s="640"/>
      <c r="O42" s="640">
        <f>31750+393730</f>
        <v>425480</v>
      </c>
      <c r="P42" s="642">
        <f t="shared" si="3"/>
        <v>425480</v>
      </c>
      <c r="Q42" s="640"/>
      <c r="R42" s="640"/>
      <c r="S42" s="642">
        <f t="shared" si="4"/>
        <v>0</v>
      </c>
      <c r="T42" s="640"/>
      <c r="U42" s="640"/>
      <c r="V42" s="642">
        <f t="shared" si="5"/>
        <v>0</v>
      </c>
      <c r="W42" s="640"/>
      <c r="X42" s="640"/>
      <c r="Y42" s="642">
        <f t="shared" si="6"/>
        <v>0</v>
      </c>
      <c r="Z42" s="643"/>
      <c r="AA42" s="643"/>
    </row>
    <row r="43" spans="1:27" ht="25.5" x14ac:dyDescent="0.2">
      <c r="A43" s="637" t="s">
        <v>896</v>
      </c>
      <c r="B43" s="638" t="s">
        <v>837</v>
      </c>
      <c r="C43" s="639" t="s">
        <v>612</v>
      </c>
      <c r="D43" s="650">
        <v>46900</v>
      </c>
      <c r="E43" s="640"/>
      <c r="F43" s="640"/>
      <c r="G43" s="642">
        <f t="shared" si="0"/>
        <v>0</v>
      </c>
      <c r="H43" s="640"/>
      <c r="I43" s="640"/>
      <c r="J43" s="642">
        <f t="shared" si="1"/>
        <v>0</v>
      </c>
      <c r="K43" s="640"/>
      <c r="L43" s="640"/>
      <c r="M43" s="642">
        <f t="shared" si="2"/>
        <v>0</v>
      </c>
      <c r="N43" s="640">
        <v>23500</v>
      </c>
      <c r="O43" s="640"/>
      <c r="P43" s="642">
        <f t="shared" si="3"/>
        <v>23500</v>
      </c>
      <c r="Q43" s="640">
        <v>7800</v>
      </c>
      <c r="R43" s="640"/>
      <c r="S43" s="642">
        <f t="shared" si="4"/>
        <v>7800</v>
      </c>
      <c r="T43" s="640">
        <v>7800</v>
      </c>
      <c r="U43" s="640"/>
      <c r="V43" s="642">
        <f t="shared" si="5"/>
        <v>7800</v>
      </c>
      <c r="W43" s="640">
        <v>7800</v>
      </c>
      <c r="X43" s="640"/>
      <c r="Y43" s="642">
        <f t="shared" si="6"/>
        <v>7800</v>
      </c>
      <c r="Z43" s="643"/>
      <c r="AA43" s="643"/>
    </row>
    <row r="44" spans="1:27" ht="25.5" x14ac:dyDescent="0.2">
      <c r="A44" s="637" t="s">
        <v>897</v>
      </c>
      <c r="B44" s="638" t="s">
        <v>820</v>
      </c>
      <c r="C44" s="639" t="s">
        <v>612</v>
      </c>
      <c r="D44" s="650">
        <v>297149</v>
      </c>
      <c r="E44" s="640"/>
      <c r="F44" s="640"/>
      <c r="G44" s="642">
        <f t="shared" si="0"/>
        <v>0</v>
      </c>
      <c r="H44" s="640"/>
      <c r="I44" s="640"/>
      <c r="J44" s="642">
        <f t="shared" si="1"/>
        <v>0</v>
      </c>
      <c r="K44" s="640"/>
      <c r="L44" s="640"/>
      <c r="M44" s="642">
        <f t="shared" si="2"/>
        <v>0</v>
      </c>
      <c r="N44" s="640">
        <v>164000</v>
      </c>
      <c r="O44" s="640"/>
      <c r="P44" s="642">
        <f t="shared" si="3"/>
        <v>164000</v>
      </c>
      <c r="Q44" s="640">
        <v>97649</v>
      </c>
      <c r="R44" s="640"/>
      <c r="S44" s="642">
        <f t="shared" si="4"/>
        <v>97649</v>
      </c>
      <c r="T44" s="640"/>
      <c r="U44" s="640"/>
      <c r="V44" s="642">
        <f t="shared" si="5"/>
        <v>0</v>
      </c>
      <c r="W44" s="640"/>
      <c r="X44" s="640"/>
      <c r="Y44" s="642">
        <f t="shared" si="6"/>
        <v>0</v>
      </c>
      <c r="Z44" s="643"/>
      <c r="AA44" s="643"/>
    </row>
    <row r="45" spans="1:27" ht="25.5" x14ac:dyDescent="0.2">
      <c r="A45" s="637" t="s">
        <v>898</v>
      </c>
      <c r="B45" s="638" t="s">
        <v>834</v>
      </c>
      <c r="C45" s="639" t="s">
        <v>612</v>
      </c>
      <c r="D45" s="650">
        <v>151721</v>
      </c>
      <c r="E45" s="640"/>
      <c r="F45" s="640"/>
      <c r="G45" s="642">
        <f t="shared" si="0"/>
        <v>0</v>
      </c>
      <c r="H45" s="640"/>
      <c r="I45" s="640"/>
      <c r="J45" s="642">
        <f t="shared" si="1"/>
        <v>0</v>
      </c>
      <c r="K45" s="640"/>
      <c r="L45" s="640"/>
      <c r="M45" s="642">
        <f t="shared" si="2"/>
        <v>0</v>
      </c>
      <c r="N45" s="640">
        <v>151721</v>
      </c>
      <c r="O45" s="640"/>
      <c r="P45" s="642">
        <f t="shared" si="3"/>
        <v>151721</v>
      </c>
      <c r="Q45" s="640"/>
      <c r="R45" s="640"/>
      <c r="S45" s="642">
        <f t="shared" si="4"/>
        <v>0</v>
      </c>
      <c r="T45" s="640"/>
      <c r="U45" s="640"/>
      <c r="V45" s="642">
        <f t="shared" si="5"/>
        <v>0</v>
      </c>
      <c r="W45" s="640"/>
      <c r="X45" s="640"/>
      <c r="Y45" s="642">
        <f t="shared" si="6"/>
        <v>0</v>
      </c>
      <c r="Z45" s="643"/>
      <c r="AA45" s="643"/>
    </row>
    <row r="46" spans="1:27" ht="25.5" x14ac:dyDescent="0.2">
      <c r="A46" s="637" t="s">
        <v>899</v>
      </c>
      <c r="B46" s="638" t="s">
        <v>835</v>
      </c>
      <c r="C46" s="639" t="s">
        <v>612</v>
      </c>
      <c r="D46" s="650">
        <v>905772</v>
      </c>
      <c r="E46" s="640"/>
      <c r="F46" s="640"/>
      <c r="G46" s="642">
        <f t="shared" si="0"/>
        <v>0</v>
      </c>
      <c r="H46" s="640"/>
      <c r="I46" s="640"/>
      <c r="J46" s="642">
        <f t="shared" si="1"/>
        <v>0</v>
      </c>
      <c r="K46" s="640"/>
      <c r="L46" s="640"/>
      <c r="M46" s="642">
        <f t="shared" si="2"/>
        <v>0</v>
      </c>
      <c r="N46" s="640">
        <v>19685</v>
      </c>
      <c r="O46" s="640"/>
      <c r="P46" s="642">
        <f t="shared" si="3"/>
        <v>19685</v>
      </c>
      <c r="Q46" s="640">
        <v>216494</v>
      </c>
      <c r="R46" s="640"/>
      <c r="S46" s="642">
        <f t="shared" si="4"/>
        <v>216494</v>
      </c>
      <c r="T46" s="640">
        <v>669593</v>
      </c>
      <c r="U46" s="640"/>
      <c r="V46" s="642">
        <f t="shared" si="5"/>
        <v>669593</v>
      </c>
      <c r="W46" s="640"/>
      <c r="X46" s="640"/>
      <c r="Y46" s="642">
        <f t="shared" si="6"/>
        <v>0</v>
      </c>
      <c r="Z46" s="643"/>
      <c r="AA46" s="643"/>
    </row>
    <row r="47" spans="1:27" x14ac:dyDescent="0.2">
      <c r="A47" s="637" t="s">
        <v>900</v>
      </c>
      <c r="B47" s="638" t="s">
        <v>833</v>
      </c>
      <c r="C47" s="639" t="s">
        <v>612</v>
      </c>
      <c r="D47" s="650">
        <v>185649</v>
      </c>
      <c r="E47" s="640"/>
      <c r="F47" s="640"/>
      <c r="G47" s="642">
        <f t="shared" si="0"/>
        <v>0</v>
      </c>
      <c r="H47" s="640"/>
      <c r="I47" s="640"/>
      <c r="J47" s="642">
        <f t="shared" si="1"/>
        <v>0</v>
      </c>
      <c r="K47" s="640"/>
      <c r="L47" s="640"/>
      <c r="M47" s="642">
        <f t="shared" si="2"/>
        <v>0</v>
      </c>
      <c r="N47" s="640">
        <v>147197</v>
      </c>
      <c r="O47" s="640"/>
      <c r="P47" s="642">
        <f t="shared" si="3"/>
        <v>147197</v>
      </c>
      <c r="Q47" s="640">
        <v>38452</v>
      </c>
      <c r="R47" s="640"/>
      <c r="S47" s="642">
        <f t="shared" si="4"/>
        <v>38452</v>
      </c>
      <c r="T47" s="640"/>
      <c r="U47" s="640"/>
      <c r="V47" s="642">
        <f t="shared" si="5"/>
        <v>0</v>
      </c>
      <c r="W47" s="640"/>
      <c r="X47" s="640"/>
      <c r="Y47" s="642">
        <f t="shared" si="6"/>
        <v>0</v>
      </c>
      <c r="Z47" s="643"/>
      <c r="AA47" s="643"/>
    </row>
    <row r="48" spans="1:27" ht="63.75" x14ac:dyDescent="0.2">
      <c r="A48" s="637" t="s">
        <v>901</v>
      </c>
      <c r="B48" s="638" t="s">
        <v>819</v>
      </c>
      <c r="C48" s="639" t="s">
        <v>612</v>
      </c>
      <c r="D48" s="650">
        <v>88509</v>
      </c>
      <c r="E48" s="640"/>
      <c r="F48" s="640"/>
      <c r="G48" s="642">
        <f t="shared" si="0"/>
        <v>0</v>
      </c>
      <c r="H48" s="640"/>
      <c r="I48" s="640"/>
      <c r="J48" s="642">
        <f t="shared" si="1"/>
        <v>0</v>
      </c>
      <c r="K48" s="640"/>
      <c r="L48" s="640"/>
      <c r="M48" s="642">
        <f t="shared" si="2"/>
        <v>0</v>
      </c>
      <c r="N48" s="640"/>
      <c r="O48" s="640">
        <v>88509</v>
      </c>
      <c r="P48" s="642">
        <f t="shared" si="3"/>
        <v>88509</v>
      </c>
      <c r="Q48" s="640"/>
      <c r="R48" s="640"/>
      <c r="S48" s="642">
        <f t="shared" si="4"/>
        <v>0</v>
      </c>
      <c r="T48" s="640"/>
      <c r="U48" s="640"/>
      <c r="V48" s="642">
        <f t="shared" si="5"/>
        <v>0</v>
      </c>
      <c r="W48" s="640"/>
      <c r="X48" s="640"/>
      <c r="Y48" s="642">
        <f t="shared" si="6"/>
        <v>0</v>
      </c>
      <c r="Z48" s="643"/>
      <c r="AA48" s="643"/>
    </row>
    <row r="49" spans="1:27" x14ac:dyDescent="0.2">
      <c r="A49" s="637" t="s">
        <v>902</v>
      </c>
      <c r="B49" s="638" t="s">
        <v>903</v>
      </c>
      <c r="C49" s="639" t="s">
        <v>612</v>
      </c>
      <c r="D49" s="650">
        <v>62164</v>
      </c>
      <c r="E49" s="640"/>
      <c r="F49" s="640"/>
      <c r="G49" s="642">
        <f t="shared" si="0"/>
        <v>0</v>
      </c>
      <c r="H49" s="640"/>
      <c r="I49" s="640"/>
      <c r="J49" s="642">
        <f t="shared" si="1"/>
        <v>0</v>
      </c>
      <c r="K49" s="640"/>
      <c r="L49" s="640"/>
      <c r="M49" s="642">
        <f t="shared" si="2"/>
        <v>0</v>
      </c>
      <c r="N49" s="640"/>
      <c r="O49" s="640">
        <v>50000</v>
      </c>
      <c r="P49" s="642">
        <f t="shared" si="3"/>
        <v>50000</v>
      </c>
      <c r="Q49" s="640"/>
      <c r="R49" s="640"/>
      <c r="S49" s="642">
        <f t="shared" si="4"/>
        <v>0</v>
      </c>
      <c r="T49" s="640"/>
      <c r="U49" s="640"/>
      <c r="V49" s="642">
        <f t="shared" si="5"/>
        <v>0</v>
      </c>
      <c r="W49" s="640"/>
      <c r="X49" s="640"/>
      <c r="Y49" s="642">
        <f t="shared" si="6"/>
        <v>0</v>
      </c>
      <c r="Z49" s="643"/>
      <c r="AA49" s="643"/>
    </row>
    <row r="50" spans="1:27" ht="93.75" customHeight="1" x14ac:dyDescent="0.2">
      <c r="A50" s="637" t="s">
        <v>904</v>
      </c>
      <c r="B50" s="638" t="s">
        <v>809</v>
      </c>
      <c r="C50" s="639" t="s">
        <v>612</v>
      </c>
      <c r="D50" s="650">
        <v>2468200</v>
      </c>
      <c r="E50" s="640"/>
      <c r="F50" s="640"/>
      <c r="G50" s="642">
        <f t="shared" si="0"/>
        <v>0</v>
      </c>
      <c r="H50" s="640"/>
      <c r="I50" s="640"/>
      <c r="J50" s="642">
        <f t="shared" si="1"/>
        <v>0</v>
      </c>
      <c r="K50" s="640"/>
      <c r="L50" s="640"/>
      <c r="M50" s="642">
        <f t="shared" si="2"/>
        <v>0</v>
      </c>
      <c r="N50" s="640"/>
      <c r="O50" s="640">
        <v>2468200</v>
      </c>
      <c r="P50" s="642">
        <f t="shared" si="3"/>
        <v>2468200</v>
      </c>
      <c r="Q50" s="640"/>
      <c r="R50" s="640"/>
      <c r="S50" s="642">
        <f t="shared" si="4"/>
        <v>0</v>
      </c>
      <c r="T50" s="640"/>
      <c r="U50" s="640"/>
      <c r="V50" s="642">
        <f t="shared" si="5"/>
        <v>0</v>
      </c>
      <c r="W50" s="640"/>
      <c r="X50" s="640"/>
      <c r="Y50" s="642">
        <f t="shared" si="6"/>
        <v>0</v>
      </c>
      <c r="Z50" s="643"/>
      <c r="AA50" s="643"/>
    </row>
    <row r="51" spans="1:27" ht="79.5" customHeight="1" thickBot="1" x14ac:dyDescent="0.25">
      <c r="A51" s="637" t="s">
        <v>905</v>
      </c>
      <c r="B51" s="735" t="s">
        <v>810</v>
      </c>
      <c r="C51" s="736" t="s">
        <v>612</v>
      </c>
      <c r="D51" s="916">
        <v>65000</v>
      </c>
      <c r="E51" s="737"/>
      <c r="F51" s="737"/>
      <c r="G51" s="738">
        <f t="shared" si="0"/>
        <v>0</v>
      </c>
      <c r="H51" s="737"/>
      <c r="I51" s="737"/>
      <c r="J51" s="738">
        <f t="shared" si="1"/>
        <v>0</v>
      </c>
      <c r="K51" s="737"/>
      <c r="L51" s="737"/>
      <c r="M51" s="738">
        <f t="shared" si="2"/>
        <v>0</v>
      </c>
      <c r="N51" s="737"/>
      <c r="O51" s="737">
        <v>65000</v>
      </c>
      <c r="P51" s="738">
        <f t="shared" si="3"/>
        <v>65000</v>
      </c>
      <c r="Q51" s="737"/>
      <c r="R51" s="737"/>
      <c r="S51" s="738">
        <f t="shared" si="4"/>
        <v>0</v>
      </c>
      <c r="T51" s="737"/>
      <c r="U51" s="737"/>
      <c r="V51" s="738">
        <f t="shared" si="5"/>
        <v>0</v>
      </c>
      <c r="W51" s="737"/>
      <c r="X51" s="737"/>
      <c r="Y51" s="738">
        <f t="shared" si="6"/>
        <v>0</v>
      </c>
      <c r="Z51" s="643"/>
      <c r="AA51" s="643"/>
    </row>
    <row r="52" spans="1:27" s="633" customFormat="1" ht="13.5" thickBot="1" x14ac:dyDescent="0.25">
      <c r="A52" s="651"/>
      <c r="B52" s="652" t="s">
        <v>613</v>
      </c>
      <c r="C52" s="653"/>
      <c r="D52" s="917">
        <f t="shared" ref="D52:Y52" si="7">SUM(D6:D51)</f>
        <v>52539448</v>
      </c>
      <c r="E52" s="654">
        <f t="shared" si="7"/>
        <v>0</v>
      </c>
      <c r="F52" s="654">
        <f t="shared" si="7"/>
        <v>417000</v>
      </c>
      <c r="G52" s="654">
        <f t="shared" si="7"/>
        <v>417000</v>
      </c>
      <c r="H52" s="654">
        <f t="shared" si="7"/>
        <v>1097698</v>
      </c>
      <c r="I52" s="654">
        <f t="shared" si="7"/>
        <v>8253631</v>
      </c>
      <c r="J52" s="654">
        <f t="shared" si="7"/>
        <v>9351329</v>
      </c>
      <c r="K52" s="654">
        <f t="shared" si="7"/>
        <v>1036586</v>
      </c>
      <c r="L52" s="654">
        <f t="shared" si="7"/>
        <v>9972675</v>
      </c>
      <c r="M52" s="654">
        <f t="shared" si="7"/>
        <v>11009261</v>
      </c>
      <c r="N52" s="654">
        <f t="shared" si="7"/>
        <v>3563465</v>
      </c>
      <c r="O52" s="654">
        <f t="shared" si="7"/>
        <v>11653942</v>
      </c>
      <c r="P52" s="654">
        <f t="shared" si="7"/>
        <v>15217407</v>
      </c>
      <c r="Q52" s="654">
        <f t="shared" si="7"/>
        <v>3879583</v>
      </c>
      <c r="R52" s="654">
        <f t="shared" si="7"/>
        <v>8240000</v>
      </c>
      <c r="S52" s="654">
        <f t="shared" si="7"/>
        <v>12119583</v>
      </c>
      <c r="T52" s="654">
        <f t="shared" si="7"/>
        <v>3333564</v>
      </c>
      <c r="U52" s="654">
        <f t="shared" si="7"/>
        <v>635000</v>
      </c>
      <c r="V52" s="654">
        <f t="shared" si="7"/>
        <v>3968564</v>
      </c>
      <c r="W52" s="654">
        <f t="shared" si="7"/>
        <v>15800</v>
      </c>
      <c r="X52" s="654">
        <f t="shared" si="7"/>
        <v>0</v>
      </c>
      <c r="Y52" s="654">
        <f t="shared" si="7"/>
        <v>15800</v>
      </c>
      <c r="Z52" s="643"/>
      <c r="AA52" s="643"/>
    </row>
    <row r="53" spans="1:27" x14ac:dyDescent="0.2">
      <c r="Z53" s="643"/>
    </row>
    <row r="54" spans="1:27" x14ac:dyDescent="0.2">
      <c r="A54" s="630" t="s">
        <v>614</v>
      </c>
      <c r="B54" s="655"/>
      <c r="C54" s="656"/>
      <c r="D54" s="632"/>
      <c r="E54" s="631"/>
      <c r="F54" s="631"/>
      <c r="G54" s="631"/>
      <c r="H54" s="631"/>
      <c r="I54" s="631"/>
      <c r="J54" s="631"/>
      <c r="K54" s="631"/>
      <c r="L54" s="631"/>
      <c r="M54" s="631"/>
      <c r="N54" s="631"/>
      <c r="O54" s="631"/>
      <c r="P54" s="631"/>
      <c r="Q54" s="631"/>
      <c r="R54" s="631"/>
      <c r="S54" s="631"/>
      <c r="T54" s="631"/>
      <c r="U54" s="631"/>
      <c r="V54" s="631"/>
      <c r="W54" s="631"/>
      <c r="X54" s="631"/>
      <c r="Y54" s="631"/>
    </row>
    <row r="55" spans="1:27" ht="13.15" customHeight="1" x14ac:dyDescent="0.2">
      <c r="B55" s="657"/>
      <c r="D55" s="632"/>
      <c r="E55" s="631"/>
      <c r="F55" s="631"/>
      <c r="G55" s="631"/>
      <c r="H55" s="631"/>
      <c r="I55" s="631"/>
      <c r="J55" s="631"/>
      <c r="K55" s="631"/>
      <c r="L55" s="631"/>
      <c r="M55" s="631"/>
      <c r="N55" s="631"/>
      <c r="O55" s="631"/>
      <c r="P55" s="631"/>
      <c r="Q55" s="631"/>
      <c r="R55" s="631"/>
      <c r="S55" s="631"/>
      <c r="T55" s="631"/>
      <c r="U55" s="631"/>
      <c r="V55" s="631"/>
      <c r="W55" s="631"/>
      <c r="X55" s="631"/>
      <c r="Y55" s="631"/>
    </row>
  </sheetData>
  <mergeCells count="13">
    <mergeCell ref="Q4:S4"/>
    <mergeCell ref="T4:V4"/>
    <mergeCell ref="W4:Y4"/>
    <mergeCell ref="A1:Y1"/>
    <mergeCell ref="A2:Y2"/>
    <mergeCell ref="A4:A5"/>
    <mergeCell ref="B4:B5"/>
    <mergeCell ref="C4:C5"/>
    <mergeCell ref="D4:D5"/>
    <mergeCell ref="E4:G4"/>
    <mergeCell ref="H4:J4"/>
    <mergeCell ref="K4:M4"/>
    <mergeCell ref="N4:P4"/>
  </mergeCells>
  <printOptions horizontalCentered="1"/>
  <pageMargins left="0.19685039370078741" right="0.15748031496062992" top="0.6692913385826772" bottom="0.43307086614173229" header="0.35433070866141736" footer="0.15748031496062992"/>
  <pageSetup paperSize="9" scale="52" orientation="landscape" r:id="rId1"/>
  <headerFooter alignWithMargins="0">
    <oddHeader>&amp;R&amp;"Times New Roman CE,Félkövér"15. melléklet a 23/2018.(X.15.) önkormányzati rendelethez
&amp;"Times New Roman CE,Dőlt"&amp;11 19. melléklet
a 3/2018.(II.8.) önkormányzati rendelethez</oddHeader>
  </headerFooter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16</vt:i4>
      </vt:variant>
    </vt:vector>
  </HeadingPairs>
  <TitlesOfParts>
    <vt:vector size="31" baseType="lpstr">
      <vt:lpstr>1 bevétel (kötelező,önként)</vt:lpstr>
      <vt:lpstr>2 kiadás (kötelező, önként)</vt:lpstr>
      <vt:lpstr>3 bevétel(szűkített)</vt:lpstr>
      <vt:lpstr>4 kiadás(szűkített)</vt:lpstr>
      <vt:lpstr>5 egyenleg</vt:lpstr>
      <vt:lpstr>7int.bevétel</vt:lpstr>
      <vt:lpstr>8int.kiadás </vt:lpstr>
      <vt:lpstr>9 álláshely</vt:lpstr>
      <vt:lpstr>10 ök kiadás</vt:lpstr>
      <vt:lpstr>11melléklet</vt:lpstr>
      <vt:lpstr>12 Fejlesztés </vt:lpstr>
      <vt:lpstr> 14 Int.felúj</vt:lpstr>
      <vt:lpstr>16működési és felhalm </vt:lpstr>
      <vt:lpstr>17előirányzat felhasz. </vt:lpstr>
      <vt:lpstr>19projektek</vt:lpstr>
      <vt:lpstr>' 14 Int.felúj'!Nyomtatási_cím</vt:lpstr>
      <vt:lpstr>'1 bevétel (kötelező,önként)'!Nyomtatási_cím</vt:lpstr>
      <vt:lpstr>'10 ök kiadás'!Nyomtatási_cím</vt:lpstr>
      <vt:lpstr>'11melléklet'!Nyomtatási_cím</vt:lpstr>
      <vt:lpstr>'12 Fejlesztés '!Nyomtatási_cím</vt:lpstr>
      <vt:lpstr>'19projektek'!Nyomtatási_cím</vt:lpstr>
      <vt:lpstr>'2 kiadás (kötelező, önként)'!Nyomtatási_cím</vt:lpstr>
      <vt:lpstr>'3 bevétel(szűkített)'!Nyomtatási_cím</vt:lpstr>
      <vt:lpstr>'7int.bevétel'!Nyomtatási_cím</vt:lpstr>
      <vt:lpstr>'8int.kiadás '!Nyomtatási_cím</vt:lpstr>
      <vt:lpstr>'1 bevétel (kötelező,önként)'!Nyomtatási_terület</vt:lpstr>
      <vt:lpstr>'10 ök kiadás'!Nyomtatási_terület</vt:lpstr>
      <vt:lpstr>'11melléklet'!Nyomtatási_terület</vt:lpstr>
      <vt:lpstr>'4 kiadás(szűkített)'!Nyomtatási_terület</vt:lpstr>
      <vt:lpstr>'7int.bevétel'!Nyomtatási_terület</vt:lpstr>
      <vt:lpstr>'8int.kiadás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</dc:creator>
  <cp:lastModifiedBy>Törökné Szabó Tünde</cp:lastModifiedBy>
  <cp:lastPrinted>2018-10-15T08:26:56Z</cp:lastPrinted>
  <dcterms:created xsi:type="dcterms:W3CDTF">2003-05-23T09:53:33Z</dcterms:created>
  <dcterms:modified xsi:type="dcterms:W3CDTF">2018-10-15T08:27:46Z</dcterms:modified>
</cp:coreProperties>
</file>