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6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7" i="1" l="1"/>
  <c r="M47" i="1"/>
  <c r="L47" i="1"/>
  <c r="K47" i="1"/>
  <c r="H47" i="1"/>
  <c r="G47" i="1"/>
  <c r="E47" i="1"/>
  <c r="D47" i="1"/>
  <c r="C47" i="1"/>
  <c r="C48" i="1" s="1"/>
  <c r="D7" i="1" s="1"/>
  <c r="D48" i="1" s="1"/>
  <c r="E7" i="1" s="1"/>
  <c r="E48" i="1" s="1"/>
  <c r="F7" i="1" s="1"/>
  <c r="B46" i="1"/>
  <c r="B45" i="1"/>
  <c r="B44" i="1"/>
  <c r="B43" i="1"/>
  <c r="I42" i="1"/>
  <c r="I47" i="1" s="1"/>
  <c r="B42" i="1"/>
  <c r="B41" i="1"/>
  <c r="B40" i="1"/>
  <c r="J39" i="1"/>
  <c r="B39" i="1"/>
  <c r="J38" i="1"/>
  <c r="B38" i="1" s="1"/>
  <c r="J37" i="1"/>
  <c r="B37" i="1"/>
  <c r="B36" i="1"/>
  <c r="J35" i="1"/>
  <c r="B35" i="1"/>
  <c r="B34" i="1"/>
  <c r="J33" i="1"/>
  <c r="B33" i="1" s="1"/>
  <c r="J32" i="1"/>
  <c r="F32" i="1"/>
  <c r="B32" i="1"/>
  <c r="J31" i="1"/>
  <c r="F31" i="1"/>
  <c r="F47" i="1" s="1"/>
  <c r="B31" i="1"/>
  <c r="J30" i="1"/>
  <c r="B30" i="1" s="1"/>
  <c r="J29" i="1"/>
  <c r="J47" i="1" s="1"/>
  <c r="B29" i="1"/>
  <c r="B47" i="1" s="1"/>
  <c r="N26" i="1"/>
  <c r="G26" i="1"/>
  <c r="F26" i="1"/>
  <c r="E26" i="1"/>
  <c r="D26" i="1"/>
  <c r="C26" i="1"/>
  <c r="B25" i="1"/>
  <c r="B24" i="1"/>
  <c r="B23" i="1"/>
  <c r="H22" i="1"/>
  <c r="B22" i="1" s="1"/>
  <c r="H21" i="1"/>
  <c r="B21" i="1"/>
  <c r="H20" i="1"/>
  <c r="B20" i="1" s="1"/>
  <c r="B19" i="1"/>
  <c r="B18" i="1"/>
  <c r="B17" i="1"/>
  <c r="N16" i="1"/>
  <c r="B16" i="1"/>
  <c r="B15" i="1"/>
  <c r="B14" i="1"/>
  <c r="B13" i="1"/>
  <c r="F12" i="1"/>
  <c r="B12" i="1"/>
  <c r="B11" i="1"/>
  <c r="N10" i="1"/>
  <c r="J10" i="1"/>
  <c r="B10" i="1"/>
  <c r="B9" i="1"/>
  <c r="M8" i="1"/>
  <c r="M26" i="1" s="1"/>
  <c r="L8" i="1"/>
  <c r="L26" i="1" s="1"/>
  <c r="K8" i="1"/>
  <c r="K26" i="1" s="1"/>
  <c r="J8" i="1"/>
  <c r="J26" i="1" s="1"/>
  <c r="I8" i="1"/>
  <c r="I26" i="1" s="1"/>
  <c r="H8" i="1"/>
  <c r="H26" i="1" s="1"/>
  <c r="F8" i="1"/>
  <c r="F48" i="1" l="1"/>
  <c r="G7" i="1" s="1"/>
  <c r="G48" i="1" s="1"/>
  <c r="H7" i="1" s="1"/>
  <c r="H48" i="1" s="1"/>
  <c r="I7" i="1" s="1"/>
  <c r="I48" i="1" s="1"/>
  <c r="J7" i="1" s="1"/>
  <c r="J48" i="1" s="1"/>
  <c r="K7" i="1" s="1"/>
  <c r="K48" i="1" s="1"/>
  <c r="L7" i="1" s="1"/>
  <c r="L48" i="1" s="1"/>
  <c r="M7" i="1" s="1"/>
  <c r="M48" i="1" s="1"/>
  <c r="N7" i="1" s="1"/>
  <c r="N48" i="1" s="1"/>
  <c r="B8" i="1"/>
  <c r="B26" i="1" s="1"/>
</calcChain>
</file>

<file path=xl/sharedStrings.xml><?xml version="1.0" encoding="utf-8"?>
<sst xmlns="http://schemas.openxmlformats.org/spreadsheetml/2006/main" count="72" uniqueCount="57">
  <si>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</si>
  <si>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</si>
  <si>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</si>
  <si>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</si>
  <si>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</si>
  <si>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</si>
  <si>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</si>
  <si>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</si>
  <si>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</si>
  <si>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</si>
  <si>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</si>
  <si>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</si>
  <si>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</si>
  <si>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Egyéb műk.c.támog.áh.n kívülre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</si>
  <si>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</si>
  <si>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</si>
  <si>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</si>
  <si>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</si>
  <si>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</si>
  <si>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</si>
  <si>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</si>
  <si>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</si>
  <si>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</si>
  <si>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</si>
  <si>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Hosszú lej.hitelek, kölcsönök törlesztése</t>
  </si>
  <si>
    <t>Belföldi értékpapírok kiadásai</t>
  </si>
  <si>
    <t>Belföldi értékpapírok bevételei</t>
  </si>
  <si>
    <t>Elvonások, befizetések</t>
  </si>
  <si>
    <t>Felsőörs község Önkormányzata</t>
  </si>
  <si>
    <t>Államháztartáson belüli megelőlegezés</t>
  </si>
  <si>
    <t>Egyéb finanszírozási bevételek</t>
  </si>
  <si>
    <t>Záró pénzeszköz</t>
  </si>
  <si>
    <t>"16. melléklet a 4/2018.(II.28.)önkormányzati rendelethez"</t>
  </si>
  <si>
    <t>2018. évi előirányzat felhasználási ütemterve (Ft-ban)</t>
  </si>
  <si>
    <t>Bevétel megnevezése</t>
  </si>
  <si>
    <t>Előirányzat</t>
  </si>
  <si>
    <t>Január</t>
  </si>
  <si>
    <t>Február</t>
  </si>
  <si>
    <t>Március</t>
  </si>
  <si>
    <t>Április</t>
  </si>
  <si>
    <t xml:space="preserve">Május </t>
  </si>
  <si>
    <t>Június</t>
  </si>
  <si>
    <t>Július</t>
  </si>
  <si>
    <t>Augusztus</t>
  </si>
  <si>
    <t>Szeptember</t>
  </si>
  <si>
    <t>Október</t>
  </si>
  <si>
    <t>November</t>
  </si>
  <si>
    <t xml:space="preserve">December </t>
  </si>
  <si>
    <t>Induló pénzkészlet</t>
  </si>
  <si>
    <t>Maradvány igénybevétele felj.célra (pénzforgalom nélküli)</t>
  </si>
  <si>
    <t>Maradvány igénybevétele műk.célra (pénzforgalom nélküli)</t>
  </si>
  <si>
    <t>Maradvány igénybevétel finanszírozási célra (pénzforgalom nélküli)</t>
  </si>
  <si>
    <t xml:space="preserve">Önkormányzat összesen: </t>
  </si>
  <si>
    <t xml:space="preserve">Kiadás megnevezése </t>
  </si>
  <si>
    <t>Műk.célú tartalék</t>
  </si>
  <si>
    <t>Felh.célú tartalék</t>
  </si>
  <si>
    <t>16.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</si>
</sst>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F_t_-;\-* #,##0.00\ _F_t_-;_-* &quot;-&quot;??\ _F_t_-;_-@_-"/>
    <numFmt numFmtId="164" formatCode="#\ ##0"/>
    <numFmt numFmtId="165" formatCode="#\ ##0\ ##0"/>
    <numFmt numFmtId="166" formatCode="#.00\ ##0"/>
  </numFmts>
  <fonts count="1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8"/>
      <name val="Times New Roman CE"/>
      <charset val="238"/>
    </font>
    <font>
      <b/>
      <sz val="8"/>
      <name val="Arial Cyr"/>
      <family val="2"/>
      <charset val="204"/>
    </font>
    <font>
      <b/>
      <sz val="10"/>
      <name val="Times New Roman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80">
    <xf numFmtId="0" fontId="0" fillId="0" borderId="0" xfId="0"/>
    <xf numFmtId="0" fontId="3" fillId="0" borderId="10" xfId="0" applyFont="1" applyFill="1" applyBorder="1"/>
    <xf numFmtId="0" fontId="3" fillId="0" borderId="9" xfId="0" applyFont="1" applyFill="1" applyBorder="1"/>
    <xf numFmtId="0" fontId="3" fillId="0" borderId="15" xfId="0" applyFont="1" applyFill="1" applyBorder="1"/>
    <xf numFmtId="0" fontId="0" fillId="0" borderId="0" xfId="0" applyBorder="1"/>
    <xf numFmtId="0" fontId="3" fillId="0" borderId="15" xfId="0" applyFont="1" applyBorder="1" applyAlignment="1">
      <alignment horizontal="left"/>
    </xf>
    <xf numFmtId="3" fontId="4" fillId="0" borderId="20" xfId="0" applyNumberFormat="1" applyFont="1" applyBorder="1"/>
    <xf numFmtId="3" fontId="0" fillId="0" borderId="0" xfId="0" applyNumberFormat="1"/>
    <xf numFmtId="3" fontId="0" fillId="0" borderId="0" xfId="0" applyNumberFormat="1" applyFill="1" applyBorder="1"/>
    <xf numFmtId="3" fontId="0" fillId="0" borderId="0" xfId="0" applyNumberFormat="1" applyBorder="1"/>
    <xf numFmtId="3" fontId="2" fillId="0" borderId="0" xfId="0" applyNumberFormat="1" applyFont="1" applyBorder="1"/>
    <xf numFmtId="3" fontId="4" fillId="0" borderId="0" xfId="0" applyNumberFormat="1" applyFont="1" applyBorder="1"/>
    <xf numFmtId="0" fontId="8" fillId="0" borderId="0" xfId="0" applyFont="1" applyBorder="1" applyAlignment="1"/>
    <xf numFmtId="0" fontId="10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/>
    <xf numFmtId="3" fontId="11" fillId="0" borderId="2" xfId="0" applyNumberFormat="1" applyFont="1" applyFill="1" applyBorder="1" applyAlignment="1">
      <alignment horizontal="center"/>
    </xf>
    <xf numFmtId="3" fontId="12" fillId="0" borderId="7" xfId="0" applyNumberFormat="1" applyFont="1" applyFill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0" fontId="3" fillId="0" borderId="8" xfId="0" applyFont="1" applyBorder="1"/>
    <xf numFmtId="3" fontId="13" fillId="0" borderId="17" xfId="0" applyNumberFormat="1" applyFont="1" applyFill="1" applyBorder="1"/>
    <xf numFmtId="3" fontId="6" fillId="0" borderId="28" xfId="0" applyNumberFormat="1" applyFont="1" applyFill="1" applyBorder="1"/>
    <xf numFmtId="3" fontId="6" fillId="0" borderId="29" xfId="0" applyNumberFormat="1" applyFont="1" applyFill="1" applyBorder="1"/>
    <xf numFmtId="164" fontId="5" fillId="0" borderId="0" xfId="0" applyNumberFormat="1" applyFont="1" applyFill="1" applyBorder="1"/>
    <xf numFmtId="0" fontId="3" fillId="0" borderId="10" xfId="0" applyFont="1" applyBorder="1"/>
    <xf numFmtId="3" fontId="13" fillId="0" borderId="15" xfId="0" applyNumberFormat="1" applyFont="1" applyFill="1" applyBorder="1"/>
    <xf numFmtId="3" fontId="14" fillId="0" borderId="23" xfId="0" applyNumberFormat="1" applyFont="1" applyFill="1" applyBorder="1"/>
    <xf numFmtId="3" fontId="14" fillId="0" borderId="20" xfId="0" applyNumberFormat="1" applyFont="1" applyFill="1" applyBorder="1"/>
    <xf numFmtId="3" fontId="14" fillId="0" borderId="19" xfId="0" applyNumberFormat="1" applyFont="1" applyFill="1" applyBorder="1"/>
    <xf numFmtId="0" fontId="3" fillId="0" borderId="11" xfId="0" applyFont="1" applyBorder="1"/>
    <xf numFmtId="3" fontId="14" fillId="0" borderId="15" xfId="0" applyNumberFormat="1" applyFont="1" applyFill="1" applyBorder="1"/>
    <xf numFmtId="3" fontId="14" fillId="0" borderId="12" xfId="0" applyNumberFormat="1" applyFont="1" applyFill="1" applyBorder="1"/>
    <xf numFmtId="3" fontId="14" fillId="0" borderId="0" xfId="0" applyNumberFormat="1" applyFont="1" applyFill="1" applyBorder="1"/>
    <xf numFmtId="3" fontId="6" fillId="0" borderId="15" xfId="0" applyNumberFormat="1" applyFont="1" applyFill="1" applyBorder="1"/>
    <xf numFmtId="3" fontId="6" fillId="0" borderId="20" xfId="0" applyNumberFormat="1" applyFont="1" applyFill="1" applyBorder="1"/>
    <xf numFmtId="3" fontId="6" fillId="0" borderId="12" xfId="0" applyNumberFormat="1" applyFont="1" applyFill="1" applyBorder="1"/>
    <xf numFmtId="0" fontId="3" fillId="0" borderId="23" xfId="0" applyFont="1" applyFill="1" applyBorder="1" applyAlignment="1">
      <alignment horizontal="left"/>
    </xf>
    <xf numFmtId="3" fontId="14" fillId="0" borderId="25" xfId="0" applyNumberFormat="1" applyFont="1" applyFill="1" applyBorder="1"/>
    <xf numFmtId="3" fontId="14" fillId="0" borderId="24" xfId="0" applyNumberFormat="1" applyFont="1" applyFill="1" applyBorder="1"/>
    <xf numFmtId="3" fontId="14" fillId="0" borderId="16" xfId="0" applyNumberFormat="1" applyFont="1" applyFill="1" applyBorder="1"/>
    <xf numFmtId="0" fontId="3" fillId="0" borderId="15" xfId="0" applyFont="1" applyFill="1" applyBorder="1" applyAlignment="1">
      <alignment horizontal="left"/>
    </xf>
    <xf numFmtId="3" fontId="14" fillId="0" borderId="27" xfId="0" applyNumberFormat="1" applyFont="1" applyFill="1" applyBorder="1"/>
    <xf numFmtId="3" fontId="14" fillId="0" borderId="21" xfId="0" applyNumberFormat="1" applyFont="1" applyFill="1" applyBorder="1"/>
    <xf numFmtId="3" fontId="14" fillId="0" borderId="22" xfId="0" applyNumberFormat="1" applyFont="1" applyFill="1" applyBorder="1"/>
    <xf numFmtId="0" fontId="11" fillId="0" borderId="4" xfId="0" applyFont="1" applyBorder="1"/>
    <xf numFmtId="3" fontId="13" fillId="0" borderId="6" xfId="0" applyNumberFormat="1" applyFont="1" applyBorder="1"/>
    <xf numFmtId="3" fontId="13" fillId="0" borderId="3" xfId="0" applyNumberFormat="1" applyFont="1" applyBorder="1"/>
    <xf numFmtId="3" fontId="13" fillId="0" borderId="14" xfId="0" applyNumberFormat="1" applyFont="1" applyBorder="1"/>
    <xf numFmtId="0" fontId="15" fillId="2" borderId="0" xfId="0" applyFont="1" applyFill="1"/>
    <xf numFmtId="0" fontId="0" fillId="2" borderId="0" xfId="0" applyFill="1"/>
    <xf numFmtId="0" fontId="11" fillId="0" borderId="2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3" fontId="5" fillId="0" borderId="8" xfId="0" applyNumberFormat="1" applyFont="1" applyFill="1" applyBorder="1"/>
    <xf numFmtId="3" fontId="6" fillId="0" borderId="26" xfId="0" applyNumberFormat="1" applyFont="1" applyFill="1" applyBorder="1"/>
    <xf numFmtId="3" fontId="6" fillId="0" borderId="10" xfId="0" applyNumberFormat="1" applyFont="1" applyFill="1" applyBorder="1"/>
    <xf numFmtId="3" fontId="1" fillId="0" borderId="18" xfId="0" applyNumberFormat="1" applyFont="1" applyFill="1" applyBorder="1"/>
    <xf numFmtId="3" fontId="5" fillId="0" borderId="11" xfId="0" applyNumberFormat="1" applyFont="1" applyFill="1" applyBorder="1"/>
    <xf numFmtId="3" fontId="6" fillId="0" borderId="23" xfId="0" applyNumberFormat="1" applyFont="1" applyFill="1" applyBorder="1"/>
    <xf numFmtId="3" fontId="6" fillId="0" borderId="11" xfId="0" applyNumberFormat="1" applyFont="1" applyFill="1" applyBorder="1"/>
    <xf numFmtId="166" fontId="5" fillId="0" borderId="0" xfId="0" applyNumberFormat="1" applyFont="1" applyFill="1" applyBorder="1"/>
    <xf numFmtId="3" fontId="1" fillId="0" borderId="18" xfId="0" applyNumberFormat="1" applyFont="1" applyBorder="1"/>
    <xf numFmtId="3" fontId="0" fillId="0" borderId="18" xfId="0" applyNumberFormat="1" applyBorder="1"/>
    <xf numFmtId="0" fontId="3" fillId="0" borderId="15" xfId="0" applyFont="1" applyBorder="1"/>
    <xf numFmtId="0" fontId="15" fillId="0" borderId="15" xfId="0" applyFont="1" applyFill="1" applyBorder="1"/>
    <xf numFmtId="3" fontId="5" fillId="0" borderId="13" xfId="0" applyNumberFormat="1" applyFont="1" applyFill="1" applyBorder="1"/>
    <xf numFmtId="0" fontId="16" fillId="0" borderId="6" xfId="0" applyFont="1" applyBorder="1"/>
    <xf numFmtId="3" fontId="13" fillId="0" borderId="6" xfId="0" applyNumberFormat="1" applyFont="1" applyFill="1" applyBorder="1"/>
    <xf numFmtId="165" fontId="5" fillId="0" borderId="4" xfId="0" applyNumberFormat="1" applyFont="1" applyFill="1" applyBorder="1"/>
    <xf numFmtId="165" fontId="5" fillId="0" borderId="4" xfId="0" applyNumberFormat="1" applyFont="1" applyBorder="1"/>
    <xf numFmtId="165" fontId="5" fillId="0" borderId="6" xfId="0" applyNumberFormat="1" applyFont="1" applyBorder="1"/>
    <xf numFmtId="0" fontId="16" fillId="0" borderId="4" xfId="0" applyFont="1" applyBorder="1"/>
    <xf numFmtId="165" fontId="13" fillId="0" borderId="3" xfId="0" applyNumberFormat="1" applyFont="1" applyFill="1" applyBorder="1"/>
    <xf numFmtId="165" fontId="13" fillId="0" borderId="3" xfId="0" applyNumberFormat="1" applyFont="1" applyBorder="1"/>
    <xf numFmtId="0" fontId="15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9" fillId="0" borderId="1" xfId="0" applyFont="1" applyBorder="1" applyAlignment="1">
      <alignment horizontal="right"/>
    </xf>
  </cellXfs>
  <cellStyles count="11">
    <cellStyle name="Ezres 2" xfId="10"/>
    <cellStyle name="Ezres 3" xfId="9"/>
    <cellStyle name="Normál" xfId="0" builtinId="0"/>
    <cellStyle name="Normál 2 2" xfId="1"/>
    <cellStyle name="Normál 3" xfId="3"/>
    <cellStyle name="Normál 3 2" xfId="4"/>
    <cellStyle name="Normál 4" xfId="5"/>
    <cellStyle name="Normál 5" xfId="2"/>
    <cellStyle name="Normál 6" xfId="6"/>
    <cellStyle name="Normál 7" xfId="8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30">
          <cell r="E30">
            <v>245459190</v>
          </cell>
        </row>
        <row r="31">
          <cell r="E31">
            <v>8206604</v>
          </cell>
        </row>
        <row r="32">
          <cell r="E32">
            <v>3817813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zoomScale="84" zoomScaleNormal="84" workbookViewId="0">
      <selection activeCell="A5" sqref="A5:N5"/>
    </sheetView>
  </sheetViews>
  <sheetFormatPr defaultRowHeight="15" x14ac:dyDescent="0.25"/>
  <cols>
    <col min="1" max="1" width="52.140625" bestFit="1" customWidth="1"/>
    <col min="2" max="14" width="12" customWidth="1"/>
    <col min="15" max="15" width="11.85546875" bestFit="1" customWidth="1"/>
    <col min="16" max="16" width="13.42578125" customWidth="1"/>
    <col min="17" max="17" width="12" bestFit="1" customWidth="1"/>
    <col min="18" max="18" width="9.7109375" bestFit="1" customWidth="1"/>
  </cols>
  <sheetData>
    <row r="1" spans="1:19" x14ac:dyDescent="0.25">
      <c r="A1" s="76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9" x14ac:dyDescent="0.25">
      <c r="A2" s="77" t="s">
        <v>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2"/>
      <c r="P2" s="12"/>
    </row>
    <row r="3" spans="1:19" x14ac:dyDescent="0.25">
      <c r="A3" s="77" t="s">
        <v>33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4"/>
      <c r="P3" s="4"/>
    </row>
    <row r="4" spans="1:19" x14ac:dyDescent="0.25">
      <c r="K4" s="78"/>
      <c r="L4" s="78"/>
      <c r="M4" s="78"/>
      <c r="N4" s="78"/>
      <c r="O4" s="4"/>
      <c r="P4" s="4"/>
    </row>
    <row r="5" spans="1:19" ht="15.75" thickBot="1" x14ac:dyDescent="0.3">
      <c r="A5" s="79" t="s">
        <v>56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9" ht="15.75" thickBot="1" x14ac:dyDescent="0.3">
      <c r="A6" s="13" t="s">
        <v>34</v>
      </c>
      <c r="B6" s="14" t="s">
        <v>35</v>
      </c>
      <c r="C6" s="15" t="s">
        <v>36</v>
      </c>
      <c r="D6" s="14" t="s">
        <v>37</v>
      </c>
      <c r="E6" s="14" t="s">
        <v>38</v>
      </c>
      <c r="F6" s="14" t="s">
        <v>39</v>
      </c>
      <c r="G6" s="14" t="s">
        <v>40</v>
      </c>
      <c r="H6" s="14" t="s">
        <v>41</v>
      </c>
      <c r="I6" s="14" t="s">
        <v>42</v>
      </c>
      <c r="J6" s="14" t="s">
        <v>43</v>
      </c>
      <c r="K6" s="14" t="s">
        <v>44</v>
      </c>
      <c r="L6" s="14" t="s">
        <v>45</v>
      </c>
      <c r="M6" s="16" t="s">
        <v>46</v>
      </c>
      <c r="N6" s="16" t="s">
        <v>47</v>
      </c>
    </row>
    <row r="7" spans="1:19" ht="15.75" thickBot="1" x14ac:dyDescent="0.3">
      <c r="A7" s="17" t="s">
        <v>48</v>
      </c>
      <c r="B7" s="18"/>
      <c r="C7" s="19">
        <v>259599915</v>
      </c>
      <c r="D7" s="20">
        <f>C48</f>
        <v>97670836</v>
      </c>
      <c r="E7" s="20">
        <f t="shared" ref="E7:M7" si="0">D48</f>
        <v>95975688</v>
      </c>
      <c r="F7" s="20">
        <f t="shared" si="0"/>
        <v>115443851</v>
      </c>
      <c r="G7" s="20">
        <f t="shared" si="0"/>
        <v>115362050</v>
      </c>
      <c r="H7" s="20">
        <f t="shared" si="0"/>
        <v>427458980</v>
      </c>
      <c r="I7" s="20">
        <f t="shared" si="0"/>
        <v>491108054</v>
      </c>
      <c r="J7" s="20">
        <f t="shared" si="0"/>
        <v>483739894</v>
      </c>
      <c r="K7" s="20">
        <f t="shared" si="0"/>
        <v>433799218</v>
      </c>
      <c r="L7" s="20">
        <f t="shared" si="0"/>
        <v>386979680</v>
      </c>
      <c r="M7" s="20">
        <f t="shared" si="0"/>
        <v>318151954</v>
      </c>
      <c r="N7" s="20">
        <f>M48</f>
        <v>250438064</v>
      </c>
    </row>
    <row r="8" spans="1:19" x14ac:dyDescent="0.25">
      <c r="A8" s="21" t="s">
        <v>0</v>
      </c>
      <c r="B8" s="22">
        <f>SUM(C8:N8)</f>
        <v>130482177</v>
      </c>
      <c r="C8" s="23">
        <v>12844788</v>
      </c>
      <c r="D8" s="24">
        <v>10042164</v>
      </c>
      <c r="E8" s="24">
        <v>9030696</v>
      </c>
      <c r="F8" s="24">
        <f>9030696+195580</f>
        <v>9226276</v>
      </c>
      <c r="G8" s="24">
        <v>9181218</v>
      </c>
      <c r="H8" s="24">
        <f>9181218+19179+15763</f>
        <v>9216160</v>
      </c>
      <c r="I8" s="24">
        <f>9181218+19179+15763</f>
        <v>9216160</v>
      </c>
      <c r="J8" s="24">
        <f>9181218+19179+15763+14926100+214395</f>
        <v>24356655</v>
      </c>
      <c r="K8" s="24">
        <f>9181218+214395</f>
        <v>9395613</v>
      </c>
      <c r="L8" s="24">
        <f>9181218+214395</f>
        <v>9395613</v>
      </c>
      <c r="M8" s="24">
        <f>9181218+214395</f>
        <v>9395613</v>
      </c>
      <c r="N8" s="24">
        <v>9181221</v>
      </c>
      <c r="P8" s="9"/>
      <c r="Q8" s="25"/>
      <c r="R8" s="9"/>
    </row>
    <row r="9" spans="1:19" x14ac:dyDescent="0.25">
      <c r="A9" s="26" t="s">
        <v>2</v>
      </c>
      <c r="B9" s="27">
        <f t="shared" ref="B9:B25" si="1">SUM(C9:N9)</f>
        <v>0</v>
      </c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  <c r="P9" s="9"/>
      <c r="Q9" s="25"/>
      <c r="R9" s="9"/>
    </row>
    <row r="10" spans="1:19" x14ac:dyDescent="0.25">
      <c r="A10" s="31" t="s">
        <v>4</v>
      </c>
      <c r="B10" s="27">
        <f t="shared" si="1"/>
        <v>26887861</v>
      </c>
      <c r="C10" s="32">
        <v>137317</v>
      </c>
      <c r="D10" s="29">
        <v>142735</v>
      </c>
      <c r="E10" s="29">
        <v>314028</v>
      </c>
      <c r="F10" s="29">
        <v>194358</v>
      </c>
      <c r="G10" s="29">
        <v>397420</v>
      </c>
      <c r="H10" s="29">
        <v>397420</v>
      </c>
      <c r="I10" s="29">
        <v>397420</v>
      </c>
      <c r="J10" s="29">
        <f>397420+5030230</f>
        <v>5427650</v>
      </c>
      <c r="K10" s="29">
        <v>397420</v>
      </c>
      <c r="L10" s="29">
        <v>3297010</v>
      </c>
      <c r="M10" s="29">
        <v>422658</v>
      </c>
      <c r="N10" s="33">
        <f>50053059+14965000+330655-50053059+66770</f>
        <v>15362425</v>
      </c>
      <c r="O10" s="34"/>
      <c r="P10" s="9"/>
      <c r="Q10" s="25"/>
      <c r="R10" s="9"/>
    </row>
    <row r="11" spans="1:19" x14ac:dyDescent="0.25">
      <c r="A11" s="1" t="s">
        <v>6</v>
      </c>
      <c r="B11" s="27">
        <f t="shared" si="1"/>
        <v>54850000</v>
      </c>
      <c r="C11" s="32">
        <v>810000</v>
      </c>
      <c r="D11" s="29">
        <v>720000</v>
      </c>
      <c r="E11" s="29">
        <v>24700000</v>
      </c>
      <c r="F11" s="29">
        <v>613000</v>
      </c>
      <c r="G11" s="29">
        <v>340000</v>
      </c>
      <c r="H11" s="29">
        <v>670000</v>
      </c>
      <c r="I11" s="29">
        <v>710000</v>
      </c>
      <c r="J11" s="29">
        <v>690000</v>
      </c>
      <c r="K11" s="29">
        <v>23237000</v>
      </c>
      <c r="L11" s="29">
        <v>540000</v>
      </c>
      <c r="M11" s="29">
        <v>670000</v>
      </c>
      <c r="N11" s="33">
        <v>1150000</v>
      </c>
      <c r="O11" s="34"/>
      <c r="P11" s="9"/>
      <c r="Q11" s="25"/>
      <c r="R11" s="9"/>
    </row>
    <row r="12" spans="1:19" x14ac:dyDescent="0.25">
      <c r="A12" s="1" t="s">
        <v>8</v>
      </c>
      <c r="B12" s="27">
        <f t="shared" si="1"/>
        <v>23140036</v>
      </c>
      <c r="C12" s="28">
        <v>2770108</v>
      </c>
      <c r="D12" s="29">
        <v>840685</v>
      </c>
      <c r="E12" s="29">
        <v>3657243</v>
      </c>
      <c r="F12" s="29">
        <f>5728419+58560</f>
        <v>5786979</v>
      </c>
      <c r="G12" s="29">
        <v>1100000</v>
      </c>
      <c r="H12" s="29">
        <v>1250000</v>
      </c>
      <c r="I12" s="29">
        <v>1100000</v>
      </c>
      <c r="J12" s="29">
        <v>1150000</v>
      </c>
      <c r="K12" s="29">
        <v>1261021</v>
      </c>
      <c r="L12" s="29">
        <v>1100000</v>
      </c>
      <c r="M12" s="29">
        <v>1100000</v>
      </c>
      <c r="N12" s="29">
        <v>2024000</v>
      </c>
      <c r="O12" s="34"/>
      <c r="P12" s="11"/>
      <c r="Q12" s="25"/>
      <c r="R12" s="9"/>
    </row>
    <row r="13" spans="1:19" x14ac:dyDescent="0.25">
      <c r="A13" s="1" t="s">
        <v>9</v>
      </c>
      <c r="B13" s="27">
        <f t="shared" si="1"/>
        <v>0</v>
      </c>
      <c r="C13" s="28"/>
      <c r="D13" s="29"/>
      <c r="E13" s="29"/>
      <c r="F13" s="6"/>
      <c r="G13" s="29"/>
      <c r="H13" s="29"/>
      <c r="I13" s="29"/>
      <c r="J13" s="29"/>
      <c r="K13" s="29"/>
      <c r="L13" s="29"/>
      <c r="M13" s="29"/>
      <c r="N13" s="30"/>
      <c r="P13" s="9"/>
      <c r="Q13" s="25"/>
      <c r="R13" s="9"/>
    </row>
    <row r="14" spans="1:19" x14ac:dyDescent="0.25">
      <c r="A14" s="1" t="s">
        <v>11</v>
      </c>
      <c r="B14" s="27">
        <f t="shared" si="1"/>
        <v>0</v>
      </c>
      <c r="C14" s="28"/>
      <c r="D14" s="29"/>
      <c r="E14" s="29"/>
      <c r="F14" s="6"/>
      <c r="G14" s="29"/>
      <c r="H14" s="29"/>
      <c r="I14" s="29"/>
      <c r="J14" s="29"/>
      <c r="K14" s="29"/>
      <c r="L14" s="29"/>
      <c r="M14" s="29"/>
      <c r="N14" s="33"/>
      <c r="P14" s="9"/>
      <c r="Q14" s="25"/>
      <c r="R14" s="9"/>
    </row>
    <row r="15" spans="1:19" x14ac:dyDescent="0.25">
      <c r="A15" s="26" t="s">
        <v>14</v>
      </c>
      <c r="B15" s="27">
        <f t="shared" si="1"/>
        <v>110000000</v>
      </c>
      <c r="C15" s="28"/>
      <c r="D15" s="29">
        <v>15000000</v>
      </c>
      <c r="E15" s="29"/>
      <c r="F15" s="6"/>
      <c r="G15" s="29"/>
      <c r="H15" s="29">
        <v>95000000</v>
      </c>
      <c r="I15" s="29"/>
      <c r="J15" s="29"/>
      <c r="K15" s="29"/>
      <c r="L15" s="29"/>
      <c r="M15" s="29"/>
      <c r="N15" s="30"/>
      <c r="O15" s="7"/>
      <c r="P15" s="9"/>
      <c r="Q15" s="25"/>
      <c r="R15" s="9"/>
      <c r="S15" s="8"/>
    </row>
    <row r="16" spans="1:19" x14ac:dyDescent="0.25">
      <c r="A16" s="31" t="s">
        <v>16</v>
      </c>
      <c r="B16" s="27">
        <f t="shared" si="1"/>
        <v>453854302</v>
      </c>
      <c r="C16" s="28"/>
      <c r="D16" s="29"/>
      <c r="E16" s="29"/>
      <c r="F16" s="6"/>
      <c r="G16" s="29">
        <v>334084759</v>
      </c>
      <c r="H16" s="29"/>
      <c r="I16" s="29">
        <v>20576574</v>
      </c>
      <c r="J16" s="29">
        <v>69923678</v>
      </c>
      <c r="K16" s="29"/>
      <c r="L16" s="29"/>
      <c r="M16" s="29">
        <v>20576574</v>
      </c>
      <c r="N16" s="33">
        <f>4792717+3900000</f>
        <v>8692717</v>
      </c>
      <c r="O16" s="7"/>
      <c r="P16" s="9"/>
      <c r="Q16" s="25"/>
      <c r="R16" s="9"/>
    </row>
    <row r="17" spans="1:27" x14ac:dyDescent="0.25">
      <c r="A17" s="26" t="s">
        <v>18</v>
      </c>
      <c r="B17" s="27">
        <f t="shared" si="1"/>
        <v>0</v>
      </c>
      <c r="C17" s="35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7"/>
      <c r="O17" s="7"/>
      <c r="P17" s="9"/>
      <c r="Q17" s="25"/>
      <c r="R17" s="9"/>
    </row>
    <row r="18" spans="1:27" x14ac:dyDescent="0.25">
      <c r="A18" s="1" t="s">
        <v>20</v>
      </c>
      <c r="B18" s="27">
        <f t="shared" si="1"/>
        <v>0</v>
      </c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3"/>
      <c r="O18" s="7"/>
      <c r="P18" s="9"/>
      <c r="Q18" s="25"/>
      <c r="R18" s="9"/>
    </row>
    <row r="19" spans="1:27" x14ac:dyDescent="0.25">
      <c r="A19" s="1" t="s">
        <v>22</v>
      </c>
      <c r="B19" s="27">
        <f t="shared" si="1"/>
        <v>6141000</v>
      </c>
      <c r="C19" s="28"/>
      <c r="D19" s="29"/>
      <c r="E19" s="29"/>
      <c r="F19" s="29"/>
      <c r="G19" s="29"/>
      <c r="H19" s="29"/>
      <c r="I19" s="29"/>
      <c r="J19" s="29">
        <v>2458000</v>
      </c>
      <c r="K19" s="29">
        <v>3683000</v>
      </c>
      <c r="L19" s="29"/>
      <c r="M19" s="29"/>
      <c r="N19" s="33"/>
      <c r="O19" s="7"/>
      <c r="P19" s="9"/>
      <c r="Q19" s="25"/>
      <c r="R19" s="9"/>
    </row>
    <row r="20" spans="1:27" x14ac:dyDescent="0.25">
      <c r="A20" s="2" t="s">
        <v>49</v>
      </c>
      <c r="B20" s="27">
        <f t="shared" si="1"/>
        <v>245459190</v>
      </c>
      <c r="C20" s="28"/>
      <c r="D20" s="29"/>
      <c r="E20" s="29"/>
      <c r="F20" s="29"/>
      <c r="G20" s="29"/>
      <c r="H20" s="29">
        <f>'[1]1.mell'!E30</f>
        <v>245459190</v>
      </c>
      <c r="I20" s="29"/>
      <c r="J20" s="29"/>
      <c r="K20" s="29"/>
      <c r="L20" s="29"/>
      <c r="M20" s="29"/>
      <c r="N20" s="33"/>
      <c r="O20" s="7"/>
      <c r="P20" s="9"/>
      <c r="Q20" s="25"/>
      <c r="R20" s="9"/>
    </row>
    <row r="21" spans="1:27" x14ac:dyDescent="0.25">
      <c r="A21" s="3" t="s">
        <v>50</v>
      </c>
      <c r="B21" s="27">
        <f t="shared" si="1"/>
        <v>8206604</v>
      </c>
      <c r="C21" s="28"/>
      <c r="D21" s="29"/>
      <c r="E21" s="29"/>
      <c r="F21" s="29"/>
      <c r="G21" s="29"/>
      <c r="H21" s="29">
        <f>'[1]1.mell'!E31</f>
        <v>8206604</v>
      </c>
      <c r="I21" s="29"/>
      <c r="J21" s="29"/>
      <c r="K21" s="29"/>
      <c r="L21" s="29"/>
      <c r="M21" s="29"/>
      <c r="N21" s="33"/>
      <c r="O21" s="7"/>
      <c r="P21" s="9"/>
      <c r="Q21" s="25"/>
      <c r="R21" s="9"/>
    </row>
    <row r="22" spans="1:27" x14ac:dyDescent="0.25">
      <c r="A22" s="38" t="s">
        <v>51</v>
      </c>
      <c r="B22" s="27">
        <f t="shared" si="1"/>
        <v>3817813</v>
      </c>
      <c r="C22" s="39"/>
      <c r="D22" s="40"/>
      <c r="E22" s="40"/>
      <c r="F22" s="40"/>
      <c r="G22" s="29"/>
      <c r="H22" s="29">
        <f>'[1]1.mell'!E32</f>
        <v>3817813</v>
      </c>
      <c r="I22" s="40"/>
      <c r="J22" s="40"/>
      <c r="K22" s="40"/>
      <c r="L22" s="40"/>
      <c r="M22" s="40"/>
      <c r="N22" s="41"/>
      <c r="O22" s="7"/>
      <c r="P22" s="9"/>
      <c r="Q22" s="25"/>
      <c r="R22" s="9"/>
    </row>
    <row r="23" spans="1:27" x14ac:dyDescent="0.25">
      <c r="A23" s="42" t="s">
        <v>26</v>
      </c>
      <c r="B23" s="27">
        <f t="shared" si="1"/>
        <v>320000000</v>
      </c>
      <c r="C23" s="39">
        <v>160000000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1">
        <v>160000000</v>
      </c>
      <c r="O23" s="7"/>
      <c r="P23" s="9"/>
      <c r="Q23" s="25"/>
      <c r="R23" s="9"/>
    </row>
    <row r="24" spans="1:27" x14ac:dyDescent="0.25">
      <c r="A24" s="5" t="s">
        <v>29</v>
      </c>
      <c r="B24" s="27">
        <f t="shared" si="1"/>
        <v>1003286</v>
      </c>
      <c r="C24" s="39">
        <v>176760</v>
      </c>
      <c r="D24" s="40">
        <v>178084</v>
      </c>
      <c r="E24" s="40">
        <v>151871</v>
      </c>
      <c r="F24" s="40">
        <v>61611</v>
      </c>
      <c r="G24" s="40">
        <v>132498</v>
      </c>
      <c r="H24" s="40">
        <v>101010</v>
      </c>
      <c r="I24" s="40">
        <v>130928</v>
      </c>
      <c r="J24" s="40">
        <v>70524</v>
      </c>
      <c r="K24" s="40"/>
      <c r="L24" s="40"/>
      <c r="M24" s="40"/>
      <c r="N24" s="41"/>
      <c r="O24" s="7"/>
      <c r="P24" s="9"/>
      <c r="Q24" s="25"/>
      <c r="R24" s="9"/>
    </row>
    <row r="25" spans="1:27" ht="15.75" thickBot="1" x14ac:dyDescent="0.3">
      <c r="A25" s="42" t="s">
        <v>30</v>
      </c>
      <c r="B25" s="27">
        <f t="shared" si="1"/>
        <v>0</v>
      </c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7"/>
      <c r="P25" s="9"/>
      <c r="Q25" s="25"/>
      <c r="R25" s="9"/>
    </row>
    <row r="26" spans="1:27" ht="15.75" thickBot="1" x14ac:dyDescent="0.3">
      <c r="A26" s="46" t="s">
        <v>52</v>
      </c>
      <c r="B26" s="47">
        <f>SUM(B8:B25)</f>
        <v>1383842269</v>
      </c>
      <c r="C26" s="48">
        <f>SUM(C8:C25)</f>
        <v>176738973</v>
      </c>
      <c r="D26" s="49">
        <f t="shared" ref="D26:N26" si="2">SUM(D8:D25)</f>
        <v>26923668</v>
      </c>
      <c r="E26" s="49">
        <f t="shared" si="2"/>
        <v>37853838</v>
      </c>
      <c r="F26" s="49">
        <f t="shared" si="2"/>
        <v>15882224</v>
      </c>
      <c r="G26" s="49">
        <f t="shared" si="2"/>
        <v>345235895</v>
      </c>
      <c r="H26" s="49">
        <f>SUM(H8:H25)</f>
        <v>364118197</v>
      </c>
      <c r="I26" s="49">
        <f>SUM(I8:I25)</f>
        <v>32131082</v>
      </c>
      <c r="J26" s="49">
        <f t="shared" si="2"/>
        <v>104076507</v>
      </c>
      <c r="K26" s="49">
        <f t="shared" si="2"/>
        <v>37974054</v>
      </c>
      <c r="L26" s="49">
        <f t="shared" si="2"/>
        <v>14332623</v>
      </c>
      <c r="M26" s="49">
        <f t="shared" si="2"/>
        <v>32164845</v>
      </c>
      <c r="N26" s="49">
        <f t="shared" si="2"/>
        <v>196410363</v>
      </c>
      <c r="O26" s="7"/>
      <c r="P26" s="7"/>
    </row>
    <row r="27" spans="1:27" ht="21.75" customHeight="1" thickBot="1" x14ac:dyDescent="0.3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7"/>
    </row>
    <row r="28" spans="1:27" ht="17.25" customHeight="1" thickBot="1" x14ac:dyDescent="0.3">
      <c r="A28" s="13" t="s">
        <v>53</v>
      </c>
      <c r="B28" s="52" t="s">
        <v>35</v>
      </c>
      <c r="C28" s="14" t="s">
        <v>36</v>
      </c>
      <c r="D28" s="14" t="s">
        <v>37</v>
      </c>
      <c r="E28" s="14" t="s">
        <v>38</v>
      </c>
      <c r="F28" s="14" t="s">
        <v>39</v>
      </c>
      <c r="G28" s="14" t="s">
        <v>40</v>
      </c>
      <c r="H28" s="14" t="s">
        <v>41</v>
      </c>
      <c r="I28" s="14" t="s">
        <v>42</v>
      </c>
      <c r="J28" s="14" t="s">
        <v>43</v>
      </c>
      <c r="K28" s="14" t="s">
        <v>44</v>
      </c>
      <c r="L28" s="14" t="s">
        <v>45</v>
      </c>
      <c r="M28" s="14" t="s">
        <v>46</v>
      </c>
      <c r="N28" s="14" t="s">
        <v>47</v>
      </c>
      <c r="O28" s="7"/>
    </row>
    <row r="29" spans="1:27" x14ac:dyDescent="0.25">
      <c r="A29" s="53" t="s">
        <v>1</v>
      </c>
      <c r="B29" s="54">
        <f>SUM(C29:N29)</f>
        <v>75566710</v>
      </c>
      <c r="C29" s="55">
        <v>4958995</v>
      </c>
      <c r="D29" s="55">
        <v>5061074</v>
      </c>
      <c r="E29" s="55">
        <v>5108004</v>
      </c>
      <c r="F29" s="55">
        <v>6052060</v>
      </c>
      <c r="G29" s="55">
        <v>6052060</v>
      </c>
      <c r="H29" s="55">
        <v>6652060</v>
      </c>
      <c r="I29" s="55">
        <v>6502000</v>
      </c>
      <c r="J29" s="55">
        <f>6502000+1378604</f>
        <v>7880604</v>
      </c>
      <c r="K29" s="55">
        <v>6502000</v>
      </c>
      <c r="L29" s="55">
        <v>6502000</v>
      </c>
      <c r="M29" s="55">
        <v>6036191</v>
      </c>
      <c r="N29" s="56">
        <v>8259662</v>
      </c>
      <c r="O29" s="57"/>
      <c r="P29" s="9"/>
      <c r="Q29" s="25"/>
      <c r="R29" s="9"/>
      <c r="S29" s="9"/>
      <c r="T29" s="7"/>
      <c r="U29" s="7"/>
      <c r="V29" s="7"/>
      <c r="W29" s="7"/>
      <c r="X29" s="7"/>
      <c r="Y29" s="7"/>
      <c r="Z29" s="7"/>
      <c r="AA29" s="7"/>
    </row>
    <row r="30" spans="1:27" x14ac:dyDescent="0.25">
      <c r="A30" s="5" t="s">
        <v>3</v>
      </c>
      <c r="B30" s="58">
        <f t="shared" ref="B30:B46" si="3">SUM(C30:N30)</f>
        <v>14702626</v>
      </c>
      <c r="C30" s="59">
        <v>967004</v>
      </c>
      <c r="D30" s="59">
        <v>986909</v>
      </c>
      <c r="E30" s="59">
        <v>996061</v>
      </c>
      <c r="F30" s="59">
        <v>1180152</v>
      </c>
      <c r="G30" s="59">
        <v>1180152</v>
      </c>
      <c r="H30" s="59">
        <v>1297152</v>
      </c>
      <c r="I30" s="59">
        <v>1300400</v>
      </c>
      <c r="J30" s="59">
        <f>1300400+91952</f>
        <v>1392352</v>
      </c>
      <c r="K30" s="59">
        <v>1300400</v>
      </c>
      <c r="L30" s="59">
        <v>1200000</v>
      </c>
      <c r="M30" s="59">
        <v>1200000</v>
      </c>
      <c r="N30" s="60">
        <v>1702044</v>
      </c>
      <c r="O30" s="57"/>
      <c r="P30" s="9"/>
      <c r="Q30" s="61"/>
      <c r="R30" s="9"/>
      <c r="S30" s="4"/>
    </row>
    <row r="31" spans="1:27" x14ac:dyDescent="0.25">
      <c r="A31" s="5" t="s">
        <v>5</v>
      </c>
      <c r="B31" s="58">
        <f t="shared" si="3"/>
        <v>98201275</v>
      </c>
      <c r="C31" s="59">
        <v>7835000</v>
      </c>
      <c r="D31" s="59">
        <v>7429067</v>
      </c>
      <c r="E31" s="59">
        <v>6500000</v>
      </c>
      <c r="F31" s="59">
        <f>6500000+58560+19700</f>
        <v>6578260</v>
      </c>
      <c r="G31" s="59">
        <v>6500000</v>
      </c>
      <c r="H31" s="59">
        <v>6500000</v>
      </c>
      <c r="I31" s="59">
        <v>6643000</v>
      </c>
      <c r="J31" s="59">
        <f>7922863+8320878</f>
        <v>16243741</v>
      </c>
      <c r="K31" s="59">
        <v>8000000</v>
      </c>
      <c r="L31" s="59">
        <v>8500000</v>
      </c>
      <c r="M31" s="59">
        <v>8500000</v>
      </c>
      <c r="N31" s="60">
        <v>8972207</v>
      </c>
      <c r="O31" s="62"/>
      <c r="P31" s="9"/>
      <c r="Q31" s="25"/>
      <c r="R31" s="9"/>
      <c r="S31" s="4"/>
    </row>
    <row r="32" spans="1:27" x14ac:dyDescent="0.25">
      <c r="A32" s="42" t="s">
        <v>7</v>
      </c>
      <c r="B32" s="58">
        <f t="shared" si="3"/>
        <v>3528700</v>
      </c>
      <c r="C32" s="59">
        <v>82920</v>
      </c>
      <c r="D32" s="59">
        <v>98990</v>
      </c>
      <c r="E32" s="59">
        <v>157110</v>
      </c>
      <c r="F32" s="59">
        <f>71810-19700</f>
        <v>52110</v>
      </c>
      <c r="G32" s="59">
        <v>293000</v>
      </c>
      <c r="H32" s="59">
        <v>298000</v>
      </c>
      <c r="I32" s="59">
        <v>348000</v>
      </c>
      <c r="J32" s="59">
        <f>336000-101600</f>
        <v>234400</v>
      </c>
      <c r="K32" s="59">
        <v>775170</v>
      </c>
      <c r="L32" s="59">
        <v>359000</v>
      </c>
      <c r="M32" s="59">
        <v>369000</v>
      </c>
      <c r="N32" s="60">
        <v>461000</v>
      </c>
      <c r="O32" s="63"/>
      <c r="P32" s="9"/>
      <c r="Q32" s="25"/>
      <c r="R32" s="9"/>
      <c r="S32" s="4"/>
    </row>
    <row r="33" spans="1:19" x14ac:dyDescent="0.25">
      <c r="A33" s="42" t="s">
        <v>10</v>
      </c>
      <c r="B33" s="58">
        <f t="shared" si="3"/>
        <v>16746431</v>
      </c>
      <c r="C33" s="59">
        <v>265000</v>
      </c>
      <c r="D33" s="59">
        <v>0</v>
      </c>
      <c r="E33" s="59">
        <v>4285574</v>
      </c>
      <c r="F33" s="59">
        <v>1223982</v>
      </c>
      <c r="G33" s="59">
        <v>1223982</v>
      </c>
      <c r="H33" s="59">
        <v>1223982</v>
      </c>
      <c r="I33" s="59">
        <v>1541202</v>
      </c>
      <c r="J33" s="59">
        <f>1223982+527800</f>
        <v>1751782</v>
      </c>
      <c r="K33" s="59">
        <v>1558982</v>
      </c>
      <c r="L33" s="59">
        <v>1223982</v>
      </c>
      <c r="M33" s="59">
        <v>1223982</v>
      </c>
      <c r="N33" s="60">
        <v>1223981</v>
      </c>
      <c r="O33" s="57"/>
      <c r="P33" s="9"/>
      <c r="Q33" s="25"/>
      <c r="R33" s="9"/>
      <c r="S33" s="4"/>
    </row>
    <row r="34" spans="1:19" x14ac:dyDescent="0.25">
      <c r="A34" s="64" t="s">
        <v>12</v>
      </c>
      <c r="B34" s="58">
        <f t="shared" si="3"/>
        <v>0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  <c r="O34" s="62"/>
      <c r="P34" s="9"/>
      <c r="Q34" s="25"/>
      <c r="R34" s="9"/>
      <c r="S34" s="4"/>
    </row>
    <row r="35" spans="1:19" x14ac:dyDescent="0.25">
      <c r="A35" s="42" t="s">
        <v>13</v>
      </c>
      <c r="B35" s="58">
        <f t="shared" si="3"/>
        <v>18476397</v>
      </c>
      <c r="C35" s="59"/>
      <c r="D35" s="59"/>
      <c r="E35" s="59"/>
      <c r="F35" s="59"/>
      <c r="G35" s="59">
        <v>906273</v>
      </c>
      <c r="H35" s="59">
        <v>1458000</v>
      </c>
      <c r="I35" s="59">
        <v>1186024</v>
      </c>
      <c r="J35" s="59">
        <f>14926100</f>
        <v>14926100</v>
      </c>
      <c r="K35" s="59"/>
      <c r="L35" s="59"/>
      <c r="M35" s="59"/>
      <c r="N35" s="60"/>
      <c r="O35" s="62"/>
      <c r="P35" s="9"/>
      <c r="Q35" s="25"/>
      <c r="R35" s="9"/>
      <c r="S35" s="4"/>
    </row>
    <row r="36" spans="1:19" x14ac:dyDescent="0.25">
      <c r="A36" s="42" t="s">
        <v>27</v>
      </c>
      <c r="B36" s="58">
        <f t="shared" si="3"/>
        <v>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60"/>
      <c r="O36" s="62"/>
      <c r="P36" s="9"/>
      <c r="Q36" s="25"/>
      <c r="R36" s="9"/>
      <c r="S36" s="4"/>
    </row>
    <row r="37" spans="1:19" x14ac:dyDescent="0.25">
      <c r="A37" s="65" t="s">
        <v>54</v>
      </c>
      <c r="B37" s="58">
        <f t="shared" si="3"/>
        <v>5537932</v>
      </c>
      <c r="C37" s="59"/>
      <c r="D37" s="59"/>
      <c r="E37" s="59">
        <v>150000</v>
      </c>
      <c r="F37" s="59">
        <v>150000</v>
      </c>
      <c r="G37" s="59"/>
      <c r="H37" s="59"/>
      <c r="I37" s="59">
        <v>400000</v>
      </c>
      <c r="J37" s="59">
        <f>600000-31980+857580</f>
        <v>1425600</v>
      </c>
      <c r="K37" s="59"/>
      <c r="L37" s="59">
        <v>687696</v>
      </c>
      <c r="M37" s="59">
        <v>420000</v>
      </c>
      <c r="N37" s="60">
        <v>2304636</v>
      </c>
      <c r="O37" s="63"/>
      <c r="P37" s="9"/>
      <c r="Q37" s="25"/>
      <c r="R37" s="9"/>
      <c r="S37" s="4"/>
    </row>
    <row r="38" spans="1:19" x14ac:dyDescent="0.25">
      <c r="A38" s="42" t="s">
        <v>15</v>
      </c>
      <c r="B38" s="58">
        <f t="shared" si="3"/>
        <v>591697755</v>
      </c>
      <c r="C38" s="59">
        <v>610703</v>
      </c>
      <c r="D38" s="59">
        <v>14860598</v>
      </c>
      <c r="E38" s="59">
        <v>995006</v>
      </c>
      <c r="F38" s="59">
        <v>665850</v>
      </c>
      <c r="G38" s="59">
        <v>978800</v>
      </c>
      <c r="H38" s="59">
        <v>1270000</v>
      </c>
      <c r="I38" s="59">
        <v>9600000</v>
      </c>
      <c r="J38" s="59">
        <f>8000000+19376209</f>
        <v>27376209</v>
      </c>
      <c r="K38" s="59">
        <v>45000000</v>
      </c>
      <c r="L38" s="59">
        <v>45000000</v>
      </c>
      <c r="M38" s="59">
        <v>65500000</v>
      </c>
      <c r="N38" s="60">
        <v>379840589</v>
      </c>
      <c r="O38" s="57"/>
      <c r="P38" s="9"/>
      <c r="Q38" s="25"/>
      <c r="R38" s="9"/>
      <c r="S38" s="4"/>
    </row>
    <row r="39" spans="1:19" x14ac:dyDescent="0.25">
      <c r="A39" s="3" t="s">
        <v>17</v>
      </c>
      <c r="B39" s="58">
        <f t="shared" si="3"/>
        <v>234038344</v>
      </c>
      <c r="C39" s="59"/>
      <c r="D39" s="59"/>
      <c r="E39" s="59"/>
      <c r="F39" s="59"/>
      <c r="G39" s="59">
        <v>15872200</v>
      </c>
      <c r="H39" s="59">
        <v>23854000</v>
      </c>
      <c r="I39" s="59">
        <v>11654000</v>
      </c>
      <c r="J39" s="59">
        <f>37219000+45496871</f>
        <v>82715871</v>
      </c>
      <c r="K39" s="59">
        <v>21657040</v>
      </c>
      <c r="L39" s="59">
        <v>19687671</v>
      </c>
      <c r="M39" s="59">
        <v>16629562</v>
      </c>
      <c r="N39" s="60">
        <v>41968000</v>
      </c>
      <c r="O39" s="57"/>
      <c r="P39" s="9"/>
      <c r="Q39" s="25"/>
      <c r="R39" s="9"/>
      <c r="S39" s="4"/>
    </row>
    <row r="40" spans="1:19" x14ac:dyDescent="0.25">
      <c r="A40" s="42" t="s">
        <v>19</v>
      </c>
      <c r="B40" s="58">
        <f t="shared" si="3"/>
        <v>0</v>
      </c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63"/>
      <c r="P40" s="9"/>
      <c r="Q40" s="25"/>
      <c r="R40" s="9"/>
      <c r="S40" s="4"/>
    </row>
    <row r="41" spans="1:19" x14ac:dyDescent="0.25">
      <c r="A41" s="42" t="s">
        <v>21</v>
      </c>
      <c r="B41" s="58">
        <f t="shared" si="3"/>
        <v>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  <c r="O41" s="57"/>
      <c r="P41" s="9"/>
      <c r="Q41" s="25"/>
      <c r="R41" s="9"/>
      <c r="S41" s="4"/>
    </row>
    <row r="42" spans="1:19" x14ac:dyDescent="0.25">
      <c r="A42" s="42" t="s">
        <v>23</v>
      </c>
      <c r="B42" s="58">
        <f t="shared" si="3"/>
        <v>525000</v>
      </c>
      <c r="C42" s="59"/>
      <c r="D42" s="59"/>
      <c r="E42" s="59"/>
      <c r="F42" s="59"/>
      <c r="G42" s="59"/>
      <c r="H42" s="59">
        <v>331312</v>
      </c>
      <c r="I42" s="59">
        <f>125000+68688</f>
        <v>193688</v>
      </c>
      <c r="J42" s="59"/>
      <c r="K42" s="59"/>
      <c r="L42" s="59"/>
      <c r="M42" s="59"/>
      <c r="N42" s="60"/>
      <c r="O42" s="57"/>
      <c r="P42" s="9"/>
      <c r="Q42" s="25"/>
      <c r="R42" s="9"/>
      <c r="S42" s="4"/>
    </row>
    <row r="43" spans="1:19" x14ac:dyDescent="0.25">
      <c r="A43" s="65" t="s">
        <v>55</v>
      </c>
      <c r="B43" s="58">
        <f t="shared" si="3"/>
        <v>0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0"/>
      <c r="O43" s="9"/>
      <c r="P43" s="9"/>
      <c r="Q43" s="25"/>
      <c r="R43" s="9"/>
      <c r="S43" s="4"/>
    </row>
    <row r="44" spans="1:19" x14ac:dyDescent="0.25">
      <c r="A44" s="42" t="s">
        <v>24</v>
      </c>
      <c r="B44" s="58">
        <f t="shared" si="3"/>
        <v>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60"/>
      <c r="O44" s="7"/>
      <c r="P44" s="9"/>
      <c r="Q44" s="25"/>
      <c r="R44" s="9"/>
      <c r="S44" s="4"/>
    </row>
    <row r="45" spans="1:19" x14ac:dyDescent="0.25">
      <c r="A45" s="5" t="s">
        <v>25</v>
      </c>
      <c r="B45" s="58">
        <f t="shared" si="3"/>
        <v>320000000</v>
      </c>
      <c r="C45" s="59">
        <v>320000000</v>
      </c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60"/>
      <c r="O45" s="7"/>
      <c r="P45" s="9"/>
      <c r="Q45" s="25"/>
      <c r="R45" s="9"/>
      <c r="S45" s="4"/>
    </row>
    <row r="46" spans="1:19" ht="15.75" thickBot="1" x14ac:dyDescent="0.3">
      <c r="A46" s="5" t="s">
        <v>29</v>
      </c>
      <c r="B46" s="66">
        <f t="shared" si="3"/>
        <v>4821099</v>
      </c>
      <c r="C46" s="59">
        <v>3948430</v>
      </c>
      <c r="D46" s="59">
        <v>182178</v>
      </c>
      <c r="E46" s="59">
        <v>193920</v>
      </c>
      <c r="F46" s="59">
        <v>61611</v>
      </c>
      <c r="G46" s="59">
        <v>132498</v>
      </c>
      <c r="H46" s="59">
        <v>101010</v>
      </c>
      <c r="I46" s="59">
        <v>130928</v>
      </c>
      <c r="J46" s="59">
        <v>70524</v>
      </c>
      <c r="K46" s="59"/>
      <c r="L46" s="59"/>
      <c r="M46" s="59"/>
      <c r="N46" s="60"/>
      <c r="O46" s="7"/>
      <c r="P46" s="9"/>
      <c r="Q46" s="25"/>
      <c r="R46" s="9"/>
      <c r="S46" s="4"/>
    </row>
    <row r="47" spans="1:19" ht="15.75" thickBot="1" x14ac:dyDescent="0.3">
      <c r="A47" s="67" t="s">
        <v>52</v>
      </c>
      <c r="B47" s="68">
        <f>SUM(B29:B46)</f>
        <v>1383842269</v>
      </c>
      <c r="C47" s="69">
        <f t="shared" ref="C47:N47" si="4">SUM(C29:C46)</f>
        <v>338668052</v>
      </c>
      <c r="D47" s="69">
        <f t="shared" si="4"/>
        <v>28618816</v>
      </c>
      <c r="E47" s="69">
        <f t="shared" si="4"/>
        <v>18385675</v>
      </c>
      <c r="F47" s="69">
        <f t="shared" si="4"/>
        <v>15964025</v>
      </c>
      <c r="G47" s="69">
        <f t="shared" si="4"/>
        <v>33138965</v>
      </c>
      <c r="H47" s="69">
        <f t="shared" si="4"/>
        <v>42985516</v>
      </c>
      <c r="I47" s="70">
        <f t="shared" si="4"/>
        <v>39499242</v>
      </c>
      <c r="J47" s="70">
        <f t="shared" si="4"/>
        <v>154017183</v>
      </c>
      <c r="K47" s="70">
        <f t="shared" si="4"/>
        <v>84793592</v>
      </c>
      <c r="L47" s="70">
        <f t="shared" si="4"/>
        <v>83160349</v>
      </c>
      <c r="M47" s="70">
        <f t="shared" si="4"/>
        <v>99878735</v>
      </c>
      <c r="N47" s="71">
        <f t="shared" si="4"/>
        <v>444732119</v>
      </c>
      <c r="P47" s="10"/>
    </row>
    <row r="48" spans="1:19" ht="15.75" thickBot="1" x14ac:dyDescent="0.3">
      <c r="A48" s="72" t="s">
        <v>31</v>
      </c>
      <c r="B48" s="73"/>
      <c r="C48" s="73">
        <f>C7+C26-C47-C20-C21-C22</f>
        <v>97670836</v>
      </c>
      <c r="D48" s="73">
        <f t="shared" ref="D48:N48" si="5">D7+D26-D47</f>
        <v>95975688</v>
      </c>
      <c r="E48" s="73">
        <f t="shared" si="5"/>
        <v>115443851</v>
      </c>
      <c r="F48" s="73">
        <f t="shared" si="5"/>
        <v>115362050</v>
      </c>
      <c r="G48" s="73">
        <f t="shared" si="5"/>
        <v>427458980</v>
      </c>
      <c r="H48" s="73">
        <f>H7+H26-H47-H20-H21-H22</f>
        <v>491108054</v>
      </c>
      <c r="I48" s="74">
        <f>I7+I26-I47</f>
        <v>483739894</v>
      </c>
      <c r="J48" s="74">
        <f t="shared" si="5"/>
        <v>433799218</v>
      </c>
      <c r="K48" s="74">
        <f t="shared" si="5"/>
        <v>386979680</v>
      </c>
      <c r="L48" s="74">
        <f t="shared" si="5"/>
        <v>318151954</v>
      </c>
      <c r="M48" s="74">
        <f t="shared" si="5"/>
        <v>250438064</v>
      </c>
      <c r="N48" s="74">
        <f t="shared" si="5"/>
        <v>2116308</v>
      </c>
    </row>
    <row r="49" spans="1:1" x14ac:dyDescent="0.25">
      <c r="A49" s="75"/>
    </row>
  </sheetData>
  <mergeCells count="5">
    <mergeCell ref="A1:N1"/>
    <mergeCell ref="A2:N2"/>
    <mergeCell ref="A3:N3"/>
    <mergeCell ref="K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2018-09-25T05:59:15Z</dcterms:modified>
</cp:coreProperties>
</file>