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450" yWindow="450" windowWidth="21615" windowHeight="10065" tabRatio="935" activeTab="10"/>
  </bookViews>
  <sheets>
    <sheet name="Összefoglaló " sheetId="136" r:id="rId1"/>
    <sheet name="1.Onbe" sheetId="113" r:id="rId2"/>
    <sheet name="2.Onki" sheetId="115" r:id="rId3"/>
    <sheet name="3.Inbe" sheetId="102" r:id="rId4"/>
    <sheet name="4.Inbe" sheetId="103" r:id="rId5"/>
    <sheet name="5.Inki" sheetId="104" r:id="rId6"/>
    <sheet name="6.Önk.műk." sheetId="105" r:id="rId7"/>
    <sheet name="6.A Alapítv" sheetId="106" r:id="rId8"/>
    <sheet name="7.Beruh." sheetId="134" r:id="rId9"/>
    <sheet name="8.Felúj." sheetId="122" r:id="rId10"/>
    <sheet name="9.Mérleg" sheetId="109" r:id="rId11"/>
    <sheet name="10.Létszám" sheetId="75" state="hidden" r:id="rId12"/>
    <sheet name="11.Beruh. hitel" sheetId="139" state="hidden" r:id="rId13"/>
    <sheet name="11.Projekt" sheetId="123" state="hidden" r:id="rId14"/>
    <sheet name="12.Képvis." sheetId="135" state="hidden" r:id="rId15"/>
  </sheets>
  <definedNames>
    <definedName name="_4._sz._sor_részletezése" localSheetId="1">#REF!</definedName>
    <definedName name="_4._sz._sor_részletezése" localSheetId="14">#REF!</definedName>
    <definedName name="_4._sz._sor_részletezése" localSheetId="7">#REF!</definedName>
    <definedName name="_4._sz._sor_részletezése" localSheetId="8">#REF!</definedName>
    <definedName name="_4._sz._sor_részletezése">#REF!</definedName>
    <definedName name="_xlnm.Print_Titles" localSheetId="1">'1.Onbe'!$4:$6</definedName>
    <definedName name="_xlnm.Print_Titles" localSheetId="11">'10.Létszám'!$5:$5</definedName>
    <definedName name="_xlnm.Print_Titles" localSheetId="13">'11.Projekt'!$5:$9</definedName>
    <definedName name="_xlnm.Print_Titles" localSheetId="14">'12.Képvis.'!$4:$7</definedName>
    <definedName name="_xlnm.Print_Titles" localSheetId="2">'2.Onki'!$4:$6</definedName>
    <definedName name="_xlnm.Print_Titles" localSheetId="3">'3.Inbe'!$4:$7</definedName>
    <definedName name="_xlnm.Print_Titles" localSheetId="4">'4.Inbe'!$4:$7</definedName>
    <definedName name="_xlnm.Print_Titles" localSheetId="5">'5.Inki'!$4:$7</definedName>
    <definedName name="_xlnm.Print_Titles" localSheetId="7">'6.A Alapítv'!$5:$8</definedName>
    <definedName name="_xlnm.Print_Titles" localSheetId="6">'6.Önk.műk.'!$4:$7</definedName>
    <definedName name="_xlnm.Print_Titles" localSheetId="8">'7.Beruh.'!$4:$6</definedName>
    <definedName name="_xlnm.Print_Titles" localSheetId="9">'8.Felúj.'!$4:$6</definedName>
    <definedName name="_xlnm.Print_Area" localSheetId="1">'1.Onbe'!$A$1:$M$64</definedName>
    <definedName name="_xlnm.Print_Area" localSheetId="11">'10.Létszám'!$A$1:$G$44</definedName>
    <definedName name="_xlnm.Print_Area" localSheetId="12">'11.Beruh. hitel'!$A$1:$F$33</definedName>
    <definedName name="_xlnm.Print_Area" localSheetId="2">'2.Onki'!$A$1:$M$40</definedName>
    <definedName name="_xlnm.Print_Area" localSheetId="3">'3.Inbe'!$A$1:$N$213</definedName>
    <definedName name="_xlnm.Print_Area" localSheetId="4">'4.Inbe'!$A$1:$H$29</definedName>
    <definedName name="_xlnm.Print_Area" localSheetId="5">'5.Inki'!$A$1:$Q$322</definedName>
    <definedName name="_xlnm.Print_Area" localSheetId="7">'6.A Alapítv'!$A$1:$C$323</definedName>
    <definedName name="_xlnm.Print_Area" localSheetId="6">'6.Önk.műk.'!$A$1:$N$1204</definedName>
    <definedName name="_xlnm.Print_Area" localSheetId="8">'7.Beruh.'!$A$1:$M$402</definedName>
    <definedName name="_xlnm.Print_Area" localSheetId="9">'8.Felúj.'!$A$1:$L$106</definedName>
    <definedName name="_xlnm.Print_Area" localSheetId="10">'9.Mérleg'!$A$1:$I$38</definedName>
    <definedName name="_xlnm.Print_Area" localSheetId="0">'Összefoglaló '!$A$1:$E$222</definedName>
  </definedNames>
  <calcPr calcId="145621"/>
</workbook>
</file>

<file path=xl/calcChain.xml><?xml version="1.0" encoding="utf-8"?>
<calcChain xmlns="http://schemas.openxmlformats.org/spreadsheetml/2006/main">
  <c r="C279" i="106" l="1"/>
  <c r="O104" i="104" l="1"/>
  <c r="L175" i="134" l="1"/>
  <c r="K175" i="134"/>
  <c r="L160" i="134"/>
  <c r="K160" i="134"/>
  <c r="I21" i="104"/>
  <c r="I14" i="104"/>
  <c r="J14" i="104"/>
  <c r="M36" i="113" l="1"/>
  <c r="M35" i="113" s="1"/>
  <c r="E40" i="136" l="1"/>
  <c r="K1200" i="105" l="1"/>
  <c r="L1200" i="105"/>
  <c r="M1200" i="105"/>
  <c r="N1200" i="105"/>
  <c r="J1200" i="105"/>
  <c r="K1195" i="105"/>
  <c r="L1195" i="105"/>
  <c r="M1195" i="105"/>
  <c r="N1195" i="105"/>
  <c r="J1195" i="105"/>
  <c r="K1190" i="105"/>
  <c r="L1190" i="105"/>
  <c r="M1190" i="105"/>
  <c r="N1190" i="105"/>
  <c r="J1190" i="105"/>
  <c r="M127" i="102"/>
  <c r="M120" i="102"/>
  <c r="M108" i="102"/>
  <c r="K306" i="104"/>
  <c r="L306" i="104"/>
  <c r="M306" i="104"/>
  <c r="N306" i="104"/>
  <c r="O306" i="104"/>
  <c r="P306" i="104"/>
  <c r="Q306" i="104"/>
  <c r="J306" i="104"/>
  <c r="K189" i="104"/>
  <c r="L189" i="104"/>
  <c r="M189" i="104"/>
  <c r="N189" i="104"/>
  <c r="O189" i="104"/>
  <c r="P189" i="104"/>
  <c r="Q189" i="104"/>
  <c r="J189" i="104"/>
  <c r="K295" i="104"/>
  <c r="L295" i="104"/>
  <c r="M295" i="104"/>
  <c r="N295" i="104"/>
  <c r="O295" i="104"/>
  <c r="P295" i="104"/>
  <c r="Q295" i="104"/>
  <c r="J295" i="104"/>
  <c r="L179" i="104"/>
  <c r="M179" i="104"/>
  <c r="N179" i="104"/>
  <c r="O179" i="104"/>
  <c r="P179" i="104"/>
  <c r="Q179" i="104"/>
  <c r="K94" i="104"/>
  <c r="L94" i="104"/>
  <c r="M94" i="104"/>
  <c r="N94" i="104"/>
  <c r="O94" i="104"/>
  <c r="P94" i="104"/>
  <c r="Q94" i="104"/>
  <c r="J94" i="104"/>
  <c r="K54" i="104"/>
  <c r="L54" i="104"/>
  <c r="M54" i="104"/>
  <c r="N54" i="104"/>
  <c r="O54" i="104"/>
  <c r="P54" i="104"/>
  <c r="Q54" i="104"/>
  <c r="J54" i="104"/>
  <c r="F183" i="102"/>
  <c r="G183" i="102"/>
  <c r="H183" i="102"/>
  <c r="I183" i="102"/>
  <c r="J183" i="102"/>
  <c r="K183" i="102"/>
  <c r="L183" i="102"/>
  <c r="M183" i="102"/>
  <c r="E183" i="102"/>
  <c r="F98" i="102"/>
  <c r="G98" i="102"/>
  <c r="H98" i="102"/>
  <c r="I98" i="102"/>
  <c r="J98" i="102"/>
  <c r="K98" i="102"/>
  <c r="L98" i="102"/>
  <c r="M98" i="102"/>
  <c r="E98" i="102"/>
  <c r="F56" i="102"/>
  <c r="G56" i="102"/>
  <c r="H56" i="102"/>
  <c r="I56" i="102"/>
  <c r="J56" i="102"/>
  <c r="K56" i="102"/>
  <c r="L56" i="102"/>
  <c r="M56" i="102"/>
  <c r="E56" i="102"/>
  <c r="E221" i="136" l="1"/>
  <c r="E34" i="136"/>
  <c r="E107" i="136" l="1"/>
  <c r="K110" i="134"/>
  <c r="F179" i="102"/>
  <c r="K179" i="102"/>
  <c r="L179" i="102"/>
  <c r="M179" i="102"/>
  <c r="E179" i="102"/>
  <c r="N178" i="102"/>
  <c r="L302" i="105" l="1"/>
  <c r="K303" i="105" l="1"/>
  <c r="J303" i="105"/>
  <c r="I673" i="105"/>
  <c r="K738" i="105"/>
  <c r="J738" i="105"/>
  <c r="K238" i="105" l="1"/>
  <c r="J238" i="105"/>
  <c r="L381" i="134" l="1"/>
  <c r="L382" i="134"/>
  <c r="F381" i="134"/>
  <c r="F382" i="134"/>
  <c r="K379" i="134"/>
  <c r="K173" i="104"/>
  <c r="K179" i="104" s="1"/>
  <c r="J173" i="104"/>
  <c r="J179" i="104" s="1"/>
  <c r="L918" i="105" l="1"/>
  <c r="E76" i="136" l="1"/>
  <c r="K919" i="105"/>
  <c r="L1023" i="105" l="1"/>
  <c r="F158" i="134"/>
  <c r="L158" i="134"/>
  <c r="L951" i="105"/>
  <c r="L1097" i="105"/>
  <c r="I1097" i="105" l="1"/>
  <c r="I1096" i="105"/>
  <c r="L1094" i="105"/>
  <c r="I1094" i="105" s="1"/>
  <c r="I1093" i="105"/>
  <c r="L272" i="104" l="1"/>
  <c r="L235" i="104"/>
  <c r="E39" i="136"/>
  <c r="L161" i="102"/>
  <c r="I161" i="102"/>
  <c r="F161" i="102"/>
  <c r="L296" i="134"/>
  <c r="F296" i="134" s="1"/>
  <c r="K102" i="122"/>
  <c r="J102" i="122"/>
  <c r="I102" i="122"/>
  <c r="H102" i="122"/>
  <c r="G102" i="122"/>
  <c r="F102" i="122"/>
  <c r="K101" i="122"/>
  <c r="F101" i="122" s="1"/>
  <c r="P14" i="104"/>
  <c r="L251" i="134"/>
  <c r="F251" i="134" s="1"/>
  <c r="L244" i="134"/>
  <c r="F244" i="134" s="1"/>
  <c r="L245" i="134"/>
  <c r="F245" i="134" s="1"/>
  <c r="K388" i="134"/>
  <c r="K387" i="134"/>
  <c r="K391" i="134"/>
  <c r="M89" i="102"/>
  <c r="L89" i="102"/>
  <c r="K89" i="102"/>
  <c r="E89" i="102"/>
  <c r="N88" i="102"/>
  <c r="N89" i="102" l="1"/>
  <c r="N1030" i="105"/>
  <c r="I1030" i="105" s="1"/>
  <c r="I1029" i="105"/>
  <c r="L156" i="134" l="1"/>
  <c r="L157" i="134"/>
  <c r="F156" i="134"/>
  <c r="F157" i="134"/>
  <c r="N426" i="105"/>
  <c r="I426" i="105" s="1"/>
  <c r="I424" i="105"/>
  <c r="I425" i="105"/>
  <c r="M76" i="102"/>
  <c r="L76" i="102"/>
  <c r="K76" i="102"/>
  <c r="E76" i="102"/>
  <c r="N75" i="102"/>
  <c r="E190" i="102"/>
  <c r="N189" i="102"/>
  <c r="M190" i="102"/>
  <c r="K190" i="102"/>
  <c r="L190" i="102"/>
  <c r="N76" i="102" l="1"/>
  <c r="N190" i="102"/>
  <c r="K196" i="134"/>
  <c r="L963" i="105" l="1"/>
  <c r="K1199" i="105"/>
  <c r="M1199" i="105"/>
  <c r="N1199" i="105"/>
  <c r="J1199" i="105"/>
  <c r="K1189" i="105"/>
  <c r="M1189" i="105"/>
  <c r="N1189" i="105"/>
  <c r="J1189" i="105"/>
  <c r="N1023" i="105"/>
  <c r="I1023" i="105" s="1"/>
  <c r="L1027" i="105"/>
  <c r="I1025" i="105"/>
  <c r="I1021" i="105"/>
  <c r="L1091" i="105"/>
  <c r="I1089" i="105"/>
  <c r="I1085" i="105"/>
  <c r="L1087" i="105"/>
  <c r="L1083" i="105"/>
  <c r="I1081" i="105"/>
  <c r="N875" i="105"/>
  <c r="O284" i="104" l="1"/>
  <c r="J45" i="104"/>
  <c r="L155" i="134" l="1"/>
  <c r="F155" i="134" s="1"/>
  <c r="O175" i="104" l="1"/>
  <c r="L175" i="104"/>
  <c r="J175" i="104"/>
  <c r="G34" i="102" l="1"/>
  <c r="K34" i="102"/>
  <c r="F34" i="102"/>
  <c r="E34" i="102"/>
  <c r="L39" i="104"/>
  <c r="M42" i="113"/>
  <c r="K39" i="104"/>
  <c r="O39" i="104"/>
  <c r="J39" i="104"/>
  <c r="H194" i="102"/>
  <c r="J194" i="102"/>
  <c r="K194" i="102"/>
  <c r="K41" i="102"/>
  <c r="L41" i="102"/>
  <c r="M41" i="102"/>
  <c r="E41" i="102"/>
  <c r="L97" i="134" l="1"/>
  <c r="F97" i="134" s="1"/>
  <c r="F194" i="102" l="1"/>
  <c r="G194" i="102"/>
  <c r="I194" i="102"/>
  <c r="L194" i="102"/>
  <c r="E194" i="102"/>
  <c r="K14" i="104"/>
  <c r="L14" i="104"/>
  <c r="O14" i="104"/>
  <c r="K14" i="102"/>
  <c r="L14" i="102"/>
  <c r="M14" i="102"/>
  <c r="E14" i="102"/>
  <c r="K124" i="104"/>
  <c r="J124" i="104"/>
  <c r="K141" i="104"/>
  <c r="L141" i="104"/>
  <c r="N141" i="104"/>
  <c r="O141" i="104"/>
  <c r="J141" i="104"/>
  <c r="F127" i="102"/>
  <c r="G127" i="102"/>
  <c r="K127" i="102"/>
  <c r="L127" i="102"/>
  <c r="E127" i="102"/>
  <c r="F144" i="102"/>
  <c r="H144" i="102"/>
  <c r="K144" i="102"/>
  <c r="L144" i="102"/>
  <c r="M144" i="102"/>
  <c r="E144" i="102"/>
  <c r="D38" i="135"/>
  <c r="K62" i="104"/>
  <c r="L62" i="104"/>
  <c r="O62" i="104"/>
  <c r="F64" i="102"/>
  <c r="K64" i="102"/>
  <c r="L64" i="102"/>
  <c r="E64" i="102"/>
  <c r="L104" i="134"/>
  <c r="F104" i="134" s="1"/>
  <c r="N194" i="102" l="1"/>
  <c r="L159" i="134"/>
  <c r="F159" i="134" s="1"/>
  <c r="K312" i="104"/>
  <c r="L312" i="104"/>
  <c r="M312" i="104"/>
  <c r="N312" i="104"/>
  <c r="O312" i="104"/>
  <c r="P312" i="104"/>
  <c r="Q312" i="104"/>
  <c r="J312" i="104"/>
  <c r="K294" i="104"/>
  <c r="L294" i="104"/>
  <c r="M294" i="104"/>
  <c r="N294" i="104"/>
  <c r="O294" i="104"/>
  <c r="P294" i="104"/>
  <c r="Q294" i="104"/>
  <c r="J294" i="104"/>
  <c r="M27" i="102"/>
  <c r="N118" i="102"/>
  <c r="N115" i="102"/>
  <c r="M64" i="102" l="1"/>
  <c r="M194" i="102"/>
  <c r="J160" i="134"/>
  <c r="H160" i="134"/>
  <c r="L154" i="134"/>
  <c r="F154" i="134" s="1"/>
  <c r="K208" i="105"/>
  <c r="L208" i="105"/>
  <c r="J208" i="105"/>
  <c r="G108" i="102" l="1"/>
  <c r="E29" i="136"/>
  <c r="E214" i="136"/>
  <c r="L260" i="134"/>
  <c r="F260" i="134" s="1"/>
  <c r="L255" i="134"/>
  <c r="F255" i="134" s="1"/>
  <c r="I1091" i="105" l="1"/>
  <c r="I1087" i="105"/>
  <c r="I1090" i="105"/>
  <c r="I1086" i="105"/>
  <c r="K34" i="122" l="1"/>
  <c r="F34" i="122" s="1"/>
  <c r="I1027" i="105"/>
  <c r="I1026" i="105"/>
  <c r="E16" i="136" l="1"/>
  <c r="L593" i="105" l="1"/>
  <c r="I593" i="105" s="1"/>
  <c r="K84" i="105"/>
  <c r="L84" i="105"/>
  <c r="J84" i="105"/>
  <c r="I83" i="105"/>
  <c r="L173" i="134"/>
  <c r="F173" i="134" s="1"/>
  <c r="P19" i="123"/>
  <c r="I1022" i="105"/>
  <c r="E110" i="136"/>
  <c r="E113" i="136" s="1"/>
  <c r="L380" i="134" l="1"/>
  <c r="F380" i="134" s="1"/>
  <c r="I173" i="104"/>
  <c r="N177" i="102"/>
  <c r="L389" i="134" l="1"/>
  <c r="F389" i="134" s="1"/>
  <c r="O264" i="104"/>
  <c r="K185" i="104"/>
  <c r="L185" i="104"/>
  <c r="O185" i="104"/>
  <c r="J185" i="104"/>
  <c r="L364" i="134"/>
  <c r="F364" i="134" s="1"/>
  <c r="L365" i="134"/>
  <c r="F365" i="134" s="1"/>
  <c r="L366" i="134"/>
  <c r="F366" i="134" s="1"/>
  <c r="L367" i="134"/>
  <c r="F367" i="134" s="1"/>
  <c r="L124" i="104" l="1"/>
  <c r="O124" i="104"/>
  <c r="J117" i="104"/>
  <c r="O117" i="104"/>
  <c r="L117" i="104"/>
  <c r="K117" i="104"/>
  <c r="I116" i="104"/>
  <c r="L120" i="102"/>
  <c r="F120" i="102"/>
  <c r="L370" i="134" l="1"/>
  <c r="F370" i="134" s="1"/>
  <c r="L304" i="134" l="1"/>
  <c r="F304" i="134" s="1"/>
  <c r="K85" i="104"/>
  <c r="L85" i="104"/>
  <c r="O85" i="104"/>
  <c r="P85" i="104"/>
  <c r="J85" i="104"/>
  <c r="I84" i="104"/>
  <c r="N87" i="102"/>
  <c r="E26" i="136"/>
  <c r="L266" i="134"/>
  <c r="F266" i="134" s="1"/>
  <c r="J62" i="104" l="1"/>
  <c r="N40" i="102"/>
  <c r="L250" i="134"/>
  <c r="F250" i="134" s="1"/>
  <c r="N56" i="102" l="1"/>
  <c r="L217" i="134"/>
  <c r="F217" i="134" s="1"/>
  <c r="L218" i="134"/>
  <c r="F218" i="134" s="1"/>
  <c r="L209" i="134"/>
  <c r="F209" i="134" s="1"/>
  <c r="L208" i="134"/>
  <c r="F208" i="134" s="1"/>
  <c r="P25" i="123"/>
  <c r="J25" i="123"/>
  <c r="J21" i="123" l="1"/>
  <c r="P21" i="123"/>
  <c r="I1083" i="105" l="1"/>
  <c r="I1082" i="105"/>
  <c r="P10" i="123" l="1"/>
  <c r="L1079" i="105" l="1"/>
  <c r="I1077" i="105"/>
  <c r="L1075" i="105"/>
  <c r="I1073" i="105"/>
  <c r="I1017" i="105"/>
  <c r="L1019" i="105"/>
  <c r="L803" i="105"/>
  <c r="J803" i="105"/>
  <c r="N674" i="105"/>
  <c r="K284" i="104" l="1"/>
  <c r="L284" i="104"/>
  <c r="J284" i="104"/>
  <c r="I282" i="104"/>
  <c r="L280" i="104"/>
  <c r="I278" i="104"/>
  <c r="K276" i="104"/>
  <c r="J276" i="104"/>
  <c r="I274" i="104"/>
  <c r="K256" i="104"/>
  <c r="J256" i="104"/>
  <c r="I254" i="104"/>
  <c r="N206" i="102"/>
  <c r="F208" i="102"/>
  <c r="K171" i="102"/>
  <c r="E171" i="102"/>
  <c r="J21" i="104" l="1"/>
  <c r="N79" i="102"/>
  <c r="N147" i="102"/>
  <c r="N130" i="102" l="1"/>
  <c r="E22" i="136" l="1"/>
  <c r="L35" i="113"/>
  <c r="M31" i="113"/>
  <c r="M11" i="113"/>
  <c r="L196" i="104" l="1"/>
  <c r="I284" i="104"/>
  <c r="I283" i="104"/>
  <c r="N208" i="102"/>
  <c r="N207" i="102"/>
  <c r="L329" i="134" l="1"/>
  <c r="F329" i="134" s="1"/>
  <c r="P18" i="123" l="1"/>
  <c r="K32" i="122"/>
  <c r="F32" i="122" s="1"/>
  <c r="K31" i="122"/>
  <c r="F31" i="122" s="1"/>
  <c r="I1079" i="105"/>
  <c r="I1078" i="105"/>
  <c r="I1075" i="105"/>
  <c r="I1074" i="105"/>
  <c r="L98" i="134" l="1"/>
  <c r="F98" i="134" s="1"/>
  <c r="L172" i="134"/>
  <c r="F172" i="134" s="1"/>
  <c r="L106" i="134"/>
  <c r="F106" i="134" s="1"/>
  <c r="K33" i="104" l="1"/>
  <c r="O33" i="104"/>
  <c r="J33" i="104"/>
  <c r="L34" i="102"/>
  <c r="M34" i="102"/>
  <c r="L33" i="104" l="1"/>
  <c r="I280" i="104"/>
  <c r="I279" i="104"/>
  <c r="C21" i="106" l="1"/>
  <c r="K196" i="104"/>
  <c r="J196" i="104"/>
  <c r="L200" i="102"/>
  <c r="K803" i="105"/>
  <c r="K867" i="105"/>
  <c r="L867" i="105"/>
  <c r="J867" i="105"/>
  <c r="J300" i="104" l="1"/>
  <c r="L279" i="134"/>
  <c r="F279" i="134" s="1"/>
  <c r="L44" i="134"/>
  <c r="F44" i="134" s="1"/>
  <c r="L47" i="134"/>
  <c r="F47" i="134" s="1"/>
  <c r="L171" i="134"/>
  <c r="F171" i="134" s="1"/>
  <c r="I1019" i="105" l="1"/>
  <c r="I1018" i="105"/>
  <c r="M200" i="102" l="1"/>
  <c r="K200" i="102"/>
  <c r="E200" i="102"/>
  <c r="N200" i="102" l="1"/>
  <c r="K22" i="105"/>
  <c r="L22" i="105"/>
  <c r="J22" i="105"/>
  <c r="K398" i="134" l="1"/>
  <c r="I398" i="134"/>
  <c r="H398" i="134"/>
  <c r="G398" i="134"/>
  <c r="L397" i="134"/>
  <c r="F397" i="134" s="1"/>
  <c r="N1119" i="105"/>
  <c r="K99" i="122"/>
  <c r="F99" i="122" s="1"/>
  <c r="P40" i="123" l="1"/>
  <c r="L363" i="134" l="1"/>
  <c r="F363" i="134" s="1"/>
  <c r="L362" i="134" l="1"/>
  <c r="F362" i="134" s="1"/>
  <c r="L361" i="134"/>
  <c r="F361" i="134" s="1"/>
  <c r="L360" i="134"/>
  <c r="F360" i="134" s="1"/>
  <c r="L359" i="134"/>
  <c r="F359" i="134" s="1"/>
  <c r="L358" i="134"/>
  <c r="F358" i="134" s="1"/>
  <c r="L357" i="134"/>
  <c r="F357" i="134" s="1"/>
  <c r="L356" i="134"/>
  <c r="F356" i="134" s="1"/>
  <c r="L317" i="134"/>
  <c r="F317" i="134" s="1"/>
  <c r="F108" i="102"/>
  <c r="P21" i="104"/>
  <c r="L327" i="134"/>
  <c r="F327" i="134" s="1"/>
  <c r="L328" i="134"/>
  <c r="F328" i="134" s="1"/>
  <c r="L167" i="104" l="1"/>
  <c r="K167" i="104"/>
  <c r="J167" i="104"/>
  <c r="E161" i="102"/>
  <c r="K161" i="102"/>
  <c r="M161" i="102"/>
  <c r="N159" i="102"/>
  <c r="N160" i="102"/>
  <c r="K157" i="104"/>
  <c r="L157" i="104"/>
  <c r="O157" i="104"/>
  <c r="J157" i="104"/>
  <c r="I156" i="104"/>
  <c r="N161" i="102" l="1"/>
  <c r="O167" i="104"/>
  <c r="I196" i="104" l="1"/>
  <c r="E183" i="136" l="1"/>
  <c r="E217" i="136" s="1"/>
  <c r="J94" i="105" l="1"/>
  <c r="K94" i="105"/>
  <c r="J18" i="123" l="1"/>
  <c r="L153" i="134" l="1"/>
  <c r="F153" i="134" s="1"/>
  <c r="L48" i="134"/>
  <c r="F48" i="134" s="1"/>
  <c r="N17" i="105"/>
  <c r="L87" i="105" l="1"/>
  <c r="L1117" i="105"/>
  <c r="L562" i="105"/>
  <c r="I15" i="122"/>
  <c r="I9" i="122"/>
  <c r="L152" i="134"/>
  <c r="F152" i="134" s="1"/>
  <c r="L1199" i="105" l="1"/>
  <c r="L1189" i="105"/>
  <c r="P29" i="123"/>
  <c r="I275" i="104"/>
  <c r="I276" i="104" l="1"/>
  <c r="N34" i="102" l="1"/>
  <c r="N33" i="102"/>
  <c r="J1194" i="105" l="1"/>
  <c r="N1194" i="105"/>
  <c r="N1015" i="105"/>
  <c r="I1013" i="105"/>
  <c r="L1123" i="105"/>
  <c r="I1121" i="105"/>
  <c r="L1119" i="105"/>
  <c r="I1117" i="105"/>
  <c r="L1071" i="105"/>
  <c r="I1069" i="105"/>
  <c r="L979" i="105"/>
  <c r="K863" i="105"/>
  <c r="L855" i="105"/>
  <c r="I853" i="105"/>
  <c r="I854" i="105"/>
  <c r="I857" i="105"/>
  <c r="I858" i="105"/>
  <c r="I861" i="105"/>
  <c r="I862" i="105"/>
  <c r="I865" i="105"/>
  <c r="I866" i="105"/>
  <c r="I869" i="105"/>
  <c r="I870" i="105"/>
  <c r="K674" i="105"/>
  <c r="N1206" i="105" l="1"/>
  <c r="J1206" i="105"/>
  <c r="I1189" i="105"/>
  <c r="L629" i="105"/>
  <c r="L248" i="105"/>
  <c r="K248" i="105"/>
  <c r="N94" i="105"/>
  <c r="L94" i="105"/>
  <c r="K77" i="105"/>
  <c r="L77" i="105"/>
  <c r="J77" i="105"/>
  <c r="K17" i="105"/>
  <c r="L12" i="105"/>
  <c r="K12" i="105"/>
  <c r="K272" i="104" l="1"/>
  <c r="J272" i="104"/>
  <c r="I270" i="104"/>
  <c r="K268" i="104"/>
  <c r="J268" i="104"/>
  <c r="I266" i="104"/>
  <c r="M1201" i="105" l="1"/>
  <c r="F32" i="139" l="1"/>
  <c r="F15" i="139"/>
  <c r="E32" i="139"/>
  <c r="E15" i="139"/>
  <c r="P39" i="123" l="1"/>
  <c r="P35" i="123" l="1"/>
  <c r="P15" i="123"/>
  <c r="H26" i="109" l="1"/>
  <c r="H23" i="109"/>
  <c r="H18" i="109"/>
  <c r="H17" i="109"/>
  <c r="H16" i="109"/>
  <c r="H15" i="109"/>
  <c r="H12" i="109"/>
  <c r="D26" i="109"/>
  <c r="D28" i="109"/>
  <c r="D23" i="109"/>
  <c r="D17" i="109"/>
  <c r="D16" i="109"/>
  <c r="D15" i="109"/>
  <c r="D10" i="109"/>
  <c r="D9" i="109"/>
  <c r="D8" i="109"/>
  <c r="D7" i="109"/>
  <c r="J9" i="115"/>
  <c r="J34" i="115"/>
  <c r="J30" i="115"/>
  <c r="J26" i="115"/>
  <c r="J21" i="115"/>
  <c r="J15" i="115"/>
  <c r="J7" i="115"/>
  <c r="J64" i="113"/>
  <c r="J45" i="113"/>
  <c r="J60" i="113"/>
  <c r="J56" i="113"/>
  <c r="J52" i="113"/>
  <c r="J39" i="113"/>
  <c r="J34" i="113"/>
  <c r="J25" i="113"/>
  <c r="J16" i="113"/>
  <c r="J15" i="113" s="1"/>
  <c r="J9" i="113"/>
  <c r="J8" i="113"/>
  <c r="J14" i="115" l="1"/>
  <c r="J12" i="115" s="1"/>
  <c r="J33" i="115" s="1"/>
  <c r="J40" i="115" s="1"/>
  <c r="J51" i="113"/>
  <c r="J49" i="113" s="1"/>
  <c r="J33" i="113"/>
  <c r="J7" i="113"/>
  <c r="M398" i="134"/>
  <c r="L396" i="134"/>
  <c r="F396" i="134" s="1"/>
  <c r="J47" i="113" l="1"/>
  <c r="J48" i="113" s="1"/>
  <c r="M26" i="134"/>
  <c r="Q34" i="123"/>
  <c r="N169" i="102" l="1"/>
  <c r="N168" i="102"/>
  <c r="O45" i="104" l="1"/>
  <c r="K45" i="104"/>
  <c r="L45" i="104"/>
  <c r="E212" i="102"/>
  <c r="L47" i="102"/>
  <c r="M47" i="102"/>
  <c r="K47" i="102"/>
  <c r="E47" i="102"/>
  <c r="I62" i="104" l="1"/>
  <c r="M11" i="115"/>
  <c r="K25" i="113"/>
  <c r="L25" i="113"/>
  <c r="Q32" i="123" l="1"/>
  <c r="M22" i="134"/>
  <c r="P20" i="123"/>
  <c r="E116" i="136"/>
  <c r="P32" i="123"/>
  <c r="L108" i="102"/>
  <c r="L151" i="134"/>
  <c r="F151" i="134" s="1"/>
  <c r="I1123" i="105"/>
  <c r="I1122" i="105"/>
  <c r="I1071" i="105"/>
  <c r="I1070" i="105"/>
  <c r="I271" i="104" l="1"/>
  <c r="L103" i="134"/>
  <c r="F103" i="134" s="1"/>
  <c r="L102" i="134"/>
  <c r="F102" i="134" s="1"/>
  <c r="L170" i="134"/>
  <c r="F170" i="134" s="1"/>
  <c r="L169" i="134"/>
  <c r="F169" i="134" s="1"/>
  <c r="L316" i="134"/>
  <c r="F316" i="134" s="1"/>
  <c r="I102" i="104"/>
  <c r="N106" i="102"/>
  <c r="I272" i="104" l="1"/>
  <c r="C243" i="106"/>
  <c r="C244" i="106"/>
  <c r="C245" i="106"/>
  <c r="C247" i="106"/>
  <c r="C248" i="106"/>
  <c r="C249" i="106"/>
  <c r="C250" i="106"/>
  <c r="C251" i="106"/>
  <c r="C252" i="106"/>
  <c r="C253" i="106"/>
  <c r="C256" i="106"/>
  <c r="C257" i="106"/>
  <c r="C258" i="106"/>
  <c r="C259" i="106"/>
  <c r="C261" i="106"/>
  <c r="C262" i="106"/>
  <c r="C263" i="106"/>
  <c r="C264" i="106"/>
  <c r="I267" i="104" l="1"/>
  <c r="L16" i="134"/>
  <c r="F16" i="134" s="1"/>
  <c r="P38" i="123"/>
  <c r="Q38" i="123"/>
  <c r="O38" i="123"/>
  <c r="I268" i="104" l="1"/>
  <c r="R38" i="123"/>
  <c r="L38" i="123"/>
  <c r="F38" i="123" l="1"/>
  <c r="L150" i="134"/>
  <c r="F150" i="134" s="1"/>
  <c r="L149" i="134"/>
  <c r="F149" i="134" s="1"/>
  <c r="K1207" i="105"/>
  <c r="M1207" i="105"/>
  <c r="N1207" i="105"/>
  <c r="J98" i="105"/>
  <c r="J1196" i="105" l="1"/>
  <c r="J1207" i="105"/>
  <c r="L212" i="102"/>
  <c r="J212" i="102"/>
  <c r="H212" i="102"/>
  <c r="F212" i="102"/>
  <c r="M212" i="102"/>
  <c r="K212" i="102"/>
  <c r="I212" i="102"/>
  <c r="G212" i="102"/>
  <c r="K1201" i="105" l="1"/>
  <c r="L1201" i="105"/>
  <c r="N1201" i="105"/>
  <c r="J1201" i="105"/>
  <c r="J258" i="105"/>
  <c r="K258" i="105"/>
  <c r="L258" i="105"/>
  <c r="K1194" i="105"/>
  <c r="L1194" i="105"/>
  <c r="L1206" i="105" s="1"/>
  <c r="M1194" i="105"/>
  <c r="N1196" i="105"/>
  <c r="P24" i="123"/>
  <c r="P37" i="123"/>
  <c r="M1196" i="105" l="1"/>
  <c r="M1206" i="105"/>
  <c r="K1196" i="105"/>
  <c r="K1206" i="105"/>
  <c r="R37" i="123"/>
  <c r="L37" i="123"/>
  <c r="I855" i="105"/>
  <c r="L18" i="134"/>
  <c r="F18" i="134" s="1"/>
  <c r="I1119" i="105"/>
  <c r="I1118" i="105"/>
  <c r="L79" i="134"/>
  <c r="L80" i="134"/>
  <c r="F80" i="134" s="1"/>
  <c r="F79" i="134"/>
  <c r="F37" i="123" l="1"/>
  <c r="P36" i="123"/>
  <c r="L1196" i="105" l="1"/>
  <c r="I1196" i="105" s="1"/>
  <c r="L1207" i="105"/>
  <c r="R36" i="123"/>
  <c r="L36" i="123"/>
  <c r="F36" i="123" l="1"/>
  <c r="L326" i="134"/>
  <c r="F326" i="134" s="1"/>
  <c r="L325" i="134"/>
  <c r="F325" i="134" s="1"/>
  <c r="L337" i="134"/>
  <c r="F337" i="134" s="1"/>
  <c r="L315" i="134" l="1"/>
  <c r="F315" i="134" s="1"/>
  <c r="L314" i="134"/>
  <c r="F314" i="134" s="1"/>
  <c r="L355" i="134"/>
  <c r="F355" i="134" s="1"/>
  <c r="C292" i="106"/>
  <c r="C291" i="106"/>
  <c r="C289" i="106"/>
  <c r="C288" i="106"/>
  <c r="C287" i="106"/>
  <c r="C286" i="106"/>
  <c r="C285" i="106"/>
  <c r="C284" i="106"/>
  <c r="C283" i="106"/>
  <c r="C282" i="106"/>
  <c r="C281" i="106"/>
  <c r="C280" i="106"/>
  <c r="C278" i="106"/>
  <c r="C276" i="106"/>
  <c r="C275" i="106"/>
  <c r="C274" i="106"/>
  <c r="C272" i="106"/>
  <c r="C271" i="106"/>
  <c r="C269" i="106"/>
  <c r="C268" i="106"/>
  <c r="C267" i="106"/>
  <c r="C266" i="106"/>
  <c r="C265" i="106"/>
  <c r="N213" i="105" l="1"/>
  <c r="L213" i="105"/>
  <c r="I84" i="105"/>
  <c r="L674" i="105"/>
  <c r="L148" i="134"/>
  <c r="F148" i="134" s="1"/>
  <c r="H103" i="122" l="1"/>
  <c r="G103" i="122"/>
  <c r="I94" i="122"/>
  <c r="J94" i="122"/>
  <c r="J103" i="122" s="1"/>
  <c r="H94" i="122"/>
  <c r="G94" i="122"/>
  <c r="K97" i="122"/>
  <c r="L216" i="134"/>
  <c r="F216" i="134" s="1"/>
  <c r="L207" i="134"/>
  <c r="F207" i="134" s="1"/>
  <c r="F97" i="122" l="1"/>
  <c r="I103" i="122"/>
  <c r="N183" i="102"/>
  <c r="L147" i="134"/>
  <c r="F147" i="134" s="1"/>
  <c r="I1015" i="105" l="1"/>
  <c r="I1014" i="105"/>
  <c r="N142" i="102" l="1"/>
  <c r="I139" i="104"/>
  <c r="L278" i="134"/>
  <c r="F278" i="134" s="1"/>
  <c r="E94" i="136"/>
  <c r="E95" i="136" s="1"/>
  <c r="L146" i="134"/>
  <c r="F146" i="134" s="1"/>
  <c r="L295" i="134" l="1"/>
  <c r="F295" i="134" s="1"/>
  <c r="L298" i="134"/>
  <c r="F298" i="134" s="1"/>
  <c r="L299" i="134"/>
  <c r="F299" i="134" s="1"/>
  <c r="L300" i="134"/>
  <c r="F300" i="134" s="1"/>
  <c r="L302" i="134"/>
  <c r="F302" i="134" s="1"/>
  <c r="L303" i="134"/>
  <c r="F303" i="134" s="1"/>
  <c r="N506" i="105" l="1"/>
  <c r="M383" i="105" l="1"/>
  <c r="L743" i="105" l="1"/>
  <c r="I741" i="105"/>
  <c r="I1194" i="105"/>
  <c r="I1199" i="105"/>
  <c r="L1115" i="105"/>
  <c r="I1113" i="105"/>
  <c r="L1111" i="105"/>
  <c r="I1109" i="105"/>
  <c r="L1106" i="105"/>
  <c r="I1104" i="105"/>
  <c r="L1102" i="105"/>
  <c r="I1100" i="105"/>
  <c r="L1067" i="105"/>
  <c r="I1065" i="105"/>
  <c r="L1063" i="105"/>
  <c r="I1061" i="105"/>
  <c r="L1059" i="105"/>
  <c r="I1057" i="105"/>
  <c r="L1055" i="105"/>
  <c r="I1053" i="105"/>
  <c r="L1051" i="105"/>
  <c r="I1049" i="105"/>
  <c r="L1047" i="105"/>
  <c r="I1045" i="105"/>
  <c r="L1043" i="105"/>
  <c r="I1041" i="105"/>
  <c r="L1039" i="105"/>
  <c r="I1037" i="105"/>
  <c r="L1035" i="105"/>
  <c r="I1033" i="105"/>
  <c r="L1011" i="105"/>
  <c r="I1009" i="105"/>
  <c r="L1007" i="105"/>
  <c r="I1005" i="105"/>
  <c r="N1003" i="105"/>
  <c r="I1001" i="105"/>
  <c r="L999" i="105"/>
  <c r="I997" i="105"/>
  <c r="L995" i="105"/>
  <c r="I993" i="105"/>
  <c r="L991" i="105"/>
  <c r="I989" i="105"/>
  <c r="L987" i="105"/>
  <c r="I985" i="105"/>
  <c r="L983" i="105"/>
  <c r="I981" i="105"/>
  <c r="I977" i="105"/>
  <c r="L975" i="105"/>
  <c r="I973" i="105"/>
  <c r="L971" i="105"/>
  <c r="I969" i="105"/>
  <c r="L967" i="105"/>
  <c r="I965" i="105"/>
  <c r="I961" i="105"/>
  <c r="L959" i="105"/>
  <c r="I957" i="105"/>
  <c r="L955" i="105"/>
  <c r="I953" i="105"/>
  <c r="I949" i="105"/>
  <c r="L947" i="105"/>
  <c r="I945" i="105"/>
  <c r="N899" i="105"/>
  <c r="L943" i="105"/>
  <c r="I941" i="105"/>
  <c r="L939" i="105"/>
  <c r="I937" i="105"/>
  <c r="L935" i="105"/>
  <c r="I933" i="105"/>
  <c r="L931" i="105"/>
  <c r="I929" i="105"/>
  <c r="L927" i="105"/>
  <c r="I925" i="105"/>
  <c r="L923" i="105"/>
  <c r="I921" i="105"/>
  <c r="L919" i="105"/>
  <c r="I917" i="105"/>
  <c r="L915" i="105"/>
  <c r="I913" i="105"/>
  <c r="L911" i="105"/>
  <c r="I909" i="105"/>
  <c r="L907" i="105"/>
  <c r="I905" i="105"/>
  <c r="L903" i="105"/>
  <c r="I901" i="105"/>
  <c r="L899" i="105"/>
  <c r="I897" i="105"/>
  <c r="L895" i="105"/>
  <c r="I893" i="105"/>
  <c r="L891" i="105"/>
  <c r="I889" i="105"/>
  <c r="L887" i="105"/>
  <c r="I885" i="105"/>
  <c r="L883" i="105"/>
  <c r="I881" i="105"/>
  <c r="L879" i="105"/>
  <c r="I877" i="105"/>
  <c r="L875" i="105"/>
  <c r="I873" i="105"/>
  <c r="K871" i="105"/>
  <c r="L871" i="105"/>
  <c r="J871" i="105"/>
  <c r="N863" i="105"/>
  <c r="I863" i="105" s="1"/>
  <c r="L859" i="105"/>
  <c r="I859" i="105" s="1"/>
  <c r="L851" i="105"/>
  <c r="I849" i="105"/>
  <c r="L847" i="105"/>
  <c r="I845" i="105"/>
  <c r="L843" i="105"/>
  <c r="I841" i="105"/>
  <c r="L838" i="105"/>
  <c r="I836" i="105"/>
  <c r="L833" i="105"/>
  <c r="I831" i="105"/>
  <c r="K828" i="105"/>
  <c r="L828" i="105"/>
  <c r="J828" i="105"/>
  <c r="I826" i="105"/>
  <c r="L823" i="105"/>
  <c r="I821" i="105"/>
  <c r="N818" i="105"/>
  <c r="I816" i="105"/>
  <c r="K813" i="105"/>
  <c r="L813" i="105"/>
  <c r="J813" i="105"/>
  <c r="I811" i="105"/>
  <c r="K808" i="105"/>
  <c r="L808" i="105"/>
  <c r="J808" i="105"/>
  <c r="I806" i="105"/>
  <c r="N803" i="105"/>
  <c r="I801" i="105"/>
  <c r="L798" i="105"/>
  <c r="I796" i="105"/>
  <c r="L793" i="105"/>
  <c r="I791" i="105"/>
  <c r="L788" i="105"/>
  <c r="I786" i="105"/>
  <c r="L783" i="105"/>
  <c r="I781" i="105"/>
  <c r="L778" i="105"/>
  <c r="I776" i="105"/>
  <c r="K746" i="105"/>
  <c r="L746" i="105"/>
  <c r="M746" i="105"/>
  <c r="N746" i="105"/>
  <c r="J746" i="105"/>
  <c r="J747" i="105"/>
  <c r="N773" i="105"/>
  <c r="N768" i="105"/>
  <c r="N763" i="105"/>
  <c r="N758" i="105"/>
  <c r="N753" i="105"/>
  <c r="I771" i="105"/>
  <c r="I766" i="105"/>
  <c r="I761" i="105"/>
  <c r="I756" i="105"/>
  <c r="I751" i="105"/>
  <c r="L738" i="105"/>
  <c r="I736" i="105"/>
  <c r="L734" i="105"/>
  <c r="L729" i="105"/>
  <c r="I732" i="105"/>
  <c r="I727" i="105"/>
  <c r="L724" i="105"/>
  <c r="I722" i="105"/>
  <c r="L719" i="105"/>
  <c r="I717" i="105"/>
  <c r="L714" i="105"/>
  <c r="I712" i="105"/>
  <c r="L704" i="105"/>
  <c r="I702" i="105"/>
  <c r="L699" i="105"/>
  <c r="I697" i="105"/>
  <c r="L694" i="105"/>
  <c r="I692" i="105"/>
  <c r="L689" i="105"/>
  <c r="I687" i="105"/>
  <c r="L684" i="105"/>
  <c r="I682" i="105"/>
  <c r="L679" i="105"/>
  <c r="I677" i="105"/>
  <c r="I671" i="105"/>
  <c r="L668" i="105"/>
  <c r="I666" i="105"/>
  <c r="L663" i="105"/>
  <c r="I661" i="105"/>
  <c r="L658" i="105"/>
  <c r="I656" i="105"/>
  <c r="L653" i="105"/>
  <c r="I651" i="105"/>
  <c r="N649" i="105"/>
  <c r="I647" i="105"/>
  <c r="N645" i="105"/>
  <c r="I643" i="105"/>
  <c r="N640" i="105"/>
  <c r="L640" i="105"/>
  <c r="I638" i="105"/>
  <c r="N634" i="105"/>
  <c r="N629" i="105"/>
  <c r="N624" i="105"/>
  <c r="N619" i="105"/>
  <c r="L619" i="105"/>
  <c r="I617" i="105"/>
  <c r="I632" i="105"/>
  <c r="I627" i="105"/>
  <c r="I622" i="105"/>
  <c r="L613" i="105"/>
  <c r="I611" i="105"/>
  <c r="N608" i="105"/>
  <c r="L608" i="105"/>
  <c r="I606" i="105"/>
  <c r="L603" i="105"/>
  <c r="I601" i="105"/>
  <c r="L598" i="105"/>
  <c r="I596" i="105"/>
  <c r="I591" i="105"/>
  <c r="L588" i="105"/>
  <c r="I586" i="105"/>
  <c r="L584" i="105"/>
  <c r="K584" i="105"/>
  <c r="I582" i="105"/>
  <c r="L579" i="105"/>
  <c r="I577" i="105"/>
  <c r="N574" i="105"/>
  <c r="L569" i="105"/>
  <c r="L564" i="105"/>
  <c r="L559" i="105"/>
  <c r="L554" i="105"/>
  <c r="L549" i="105"/>
  <c r="N544" i="105"/>
  <c r="I572" i="105"/>
  <c r="I567" i="105"/>
  <c r="I562" i="105"/>
  <c r="I557" i="105"/>
  <c r="I552" i="105"/>
  <c r="I547" i="105"/>
  <c r="I542" i="105"/>
  <c r="L540" i="105"/>
  <c r="L535" i="105"/>
  <c r="I538" i="105"/>
  <c r="I533" i="105"/>
  <c r="N530" i="105"/>
  <c r="N526" i="105"/>
  <c r="N521" i="105"/>
  <c r="N516" i="105"/>
  <c r="N511" i="105"/>
  <c r="I528" i="105"/>
  <c r="I524" i="105"/>
  <c r="I519" i="105"/>
  <c r="I514" i="105"/>
  <c r="I509" i="105"/>
  <c r="L501" i="105"/>
  <c r="L496" i="105"/>
  <c r="N491" i="105"/>
  <c r="L491" i="105"/>
  <c r="L486" i="105"/>
  <c r="K481" i="105"/>
  <c r="L481" i="105"/>
  <c r="J481" i="105"/>
  <c r="L476" i="105"/>
  <c r="L471" i="105"/>
  <c r="L466" i="105"/>
  <c r="L461" i="105"/>
  <c r="L456" i="105"/>
  <c r="I504" i="105"/>
  <c r="I499" i="105"/>
  <c r="I494" i="105"/>
  <c r="I489" i="105"/>
  <c r="I484" i="105"/>
  <c r="I479" i="105"/>
  <c r="I474" i="105"/>
  <c r="I469" i="105"/>
  <c r="I464" i="105"/>
  <c r="I459" i="105"/>
  <c r="I454" i="105"/>
  <c r="L451" i="105"/>
  <c r="I449" i="105"/>
  <c r="L446" i="105"/>
  <c r="I444" i="105"/>
  <c r="N441" i="105"/>
  <c r="I439" i="105"/>
  <c r="L436" i="105"/>
  <c r="I434" i="105"/>
  <c r="L431" i="105"/>
  <c r="I429" i="105"/>
  <c r="I420" i="105"/>
  <c r="N417" i="105"/>
  <c r="I415" i="105"/>
  <c r="N412" i="105"/>
  <c r="I410" i="105"/>
  <c r="L407" i="105"/>
  <c r="I405" i="105"/>
  <c r="M402" i="105"/>
  <c r="I400" i="105"/>
  <c r="M398" i="105"/>
  <c r="K393" i="105"/>
  <c r="J393" i="105"/>
  <c r="K388" i="105"/>
  <c r="L388" i="105"/>
  <c r="J388" i="105"/>
  <c r="N388" i="105"/>
  <c r="I396" i="105"/>
  <c r="I391" i="105"/>
  <c r="I386" i="105"/>
  <c r="I381" i="105"/>
  <c r="K331" i="105"/>
  <c r="L331" i="105"/>
  <c r="M331" i="105"/>
  <c r="N331" i="105"/>
  <c r="J331" i="105"/>
  <c r="M378" i="105"/>
  <c r="M373" i="105"/>
  <c r="M368" i="105"/>
  <c r="M363" i="105"/>
  <c r="M358" i="105"/>
  <c r="M353" i="105"/>
  <c r="M348" i="105"/>
  <c r="M343" i="105"/>
  <c r="M338" i="105"/>
  <c r="I376" i="105"/>
  <c r="I371" i="105"/>
  <c r="I366" i="105"/>
  <c r="I361" i="105"/>
  <c r="I356" i="105"/>
  <c r="I351" i="105"/>
  <c r="I346" i="105"/>
  <c r="I341" i="105"/>
  <c r="I336" i="105"/>
  <c r="L328" i="105"/>
  <c r="M323" i="105"/>
  <c r="M318" i="105"/>
  <c r="N313" i="105"/>
  <c r="I326" i="105"/>
  <c r="I321" i="105"/>
  <c r="I316" i="105"/>
  <c r="I311" i="105"/>
  <c r="K286" i="105"/>
  <c r="L286" i="105"/>
  <c r="M286" i="105"/>
  <c r="N286" i="105"/>
  <c r="J286" i="105"/>
  <c r="N308" i="105"/>
  <c r="L303" i="105"/>
  <c r="N298" i="105"/>
  <c r="L293" i="105"/>
  <c r="I306" i="105"/>
  <c r="I301" i="105"/>
  <c r="I296" i="105"/>
  <c r="I291" i="105"/>
  <c r="N283" i="105"/>
  <c r="L278" i="105"/>
  <c r="N273" i="105"/>
  <c r="N268" i="105"/>
  <c r="K261" i="105"/>
  <c r="L261" i="105"/>
  <c r="M261" i="105"/>
  <c r="N261" i="105"/>
  <c r="J261" i="105"/>
  <c r="I281" i="105"/>
  <c r="I276" i="105"/>
  <c r="I271" i="105"/>
  <c r="I266" i="105"/>
  <c r="N228" i="105"/>
  <c r="L228" i="105"/>
  <c r="L233" i="105"/>
  <c r="L238" i="105"/>
  <c r="L243" i="105"/>
  <c r="L253" i="105"/>
  <c r="I256" i="105"/>
  <c r="I251" i="105"/>
  <c r="I246" i="105"/>
  <c r="I241" i="105"/>
  <c r="I236" i="105"/>
  <c r="I231" i="105"/>
  <c r="I226" i="105"/>
  <c r="N223" i="105"/>
  <c r="I221" i="105"/>
  <c r="N218" i="105"/>
  <c r="I216" i="105"/>
  <c r="I211" i="105"/>
  <c r="I206" i="105"/>
  <c r="L203" i="105"/>
  <c r="I201" i="105"/>
  <c r="N198" i="105"/>
  <c r="I196" i="105"/>
  <c r="N193" i="105"/>
  <c r="I191" i="105"/>
  <c r="N188" i="105"/>
  <c r="I186" i="105"/>
  <c r="N183" i="105"/>
  <c r="I181" i="105"/>
  <c r="I1206" i="105" l="1"/>
  <c r="I867" i="105"/>
  <c r="J748" i="105"/>
  <c r="I746" i="105"/>
  <c r="I707" i="105"/>
  <c r="L709" i="105"/>
  <c r="I331" i="105"/>
  <c r="I286" i="105"/>
  <c r="I261" i="105"/>
  <c r="N178" i="105"/>
  <c r="N173" i="105"/>
  <c r="N168" i="105"/>
  <c r="N163" i="105"/>
  <c r="N158" i="105"/>
  <c r="K151" i="105"/>
  <c r="L151" i="105"/>
  <c r="M151" i="105"/>
  <c r="N151" i="105"/>
  <c r="J151" i="105"/>
  <c r="I176" i="105" l="1"/>
  <c r="I171" i="105"/>
  <c r="I166" i="105"/>
  <c r="I161" i="105"/>
  <c r="I156" i="105"/>
  <c r="I151" i="105"/>
  <c r="N148" i="105"/>
  <c r="I146" i="105"/>
  <c r="L143" i="105"/>
  <c r="I141" i="105"/>
  <c r="N138" i="105"/>
  <c r="I136" i="105"/>
  <c r="K97" i="105" l="1"/>
  <c r="L97" i="105"/>
  <c r="M97" i="105"/>
  <c r="N97" i="105"/>
  <c r="J97" i="105"/>
  <c r="N98" i="105"/>
  <c r="K98" i="105"/>
  <c r="L98" i="105"/>
  <c r="M98" i="105"/>
  <c r="N133" i="105"/>
  <c r="N129" i="105"/>
  <c r="I131" i="105"/>
  <c r="I127" i="105"/>
  <c r="N124" i="105"/>
  <c r="I122" i="105"/>
  <c r="N119" i="105"/>
  <c r="I117" i="105"/>
  <c r="N114" i="105"/>
  <c r="I112" i="105"/>
  <c r="N109" i="105"/>
  <c r="I107" i="105"/>
  <c r="N104" i="105"/>
  <c r="I102" i="105"/>
  <c r="N89" i="105"/>
  <c r="I92" i="105"/>
  <c r="L89" i="105"/>
  <c r="I87" i="105"/>
  <c r="I80" i="105"/>
  <c r="I75" i="105"/>
  <c r="K40" i="105"/>
  <c r="L40" i="105"/>
  <c r="M40" i="105"/>
  <c r="N40" i="105"/>
  <c r="J40" i="105"/>
  <c r="N72" i="105"/>
  <c r="N67" i="105"/>
  <c r="N62" i="105"/>
  <c r="N57" i="105"/>
  <c r="L52" i="105"/>
  <c r="N47" i="105"/>
  <c r="I70" i="105"/>
  <c r="I65" i="105"/>
  <c r="I60" i="105"/>
  <c r="I45" i="105"/>
  <c r="I55" i="105"/>
  <c r="I50" i="105"/>
  <c r="L37" i="105"/>
  <c r="I35" i="105"/>
  <c r="N32" i="105"/>
  <c r="K32" i="105"/>
  <c r="L32" i="105"/>
  <c r="J32" i="105"/>
  <c r="I30" i="105"/>
  <c r="L27" i="105"/>
  <c r="I25" i="105"/>
  <c r="I20" i="105"/>
  <c r="L17" i="105"/>
  <c r="I15" i="105"/>
  <c r="I10" i="105"/>
  <c r="K311" i="104"/>
  <c r="L311" i="104"/>
  <c r="M311" i="104"/>
  <c r="N311" i="104"/>
  <c r="O311" i="104"/>
  <c r="P311" i="104"/>
  <c r="Q311" i="104"/>
  <c r="J311" i="104"/>
  <c r="K317" i="104"/>
  <c r="L296" i="104"/>
  <c r="M317" i="104"/>
  <c r="O317" i="104"/>
  <c r="Q317" i="104"/>
  <c r="J296" i="104"/>
  <c r="K264" i="104"/>
  <c r="L264" i="104"/>
  <c r="J264" i="104"/>
  <c r="I262" i="104"/>
  <c r="K260" i="104"/>
  <c r="J260" i="104"/>
  <c r="I258" i="104"/>
  <c r="K252" i="104"/>
  <c r="J252" i="104"/>
  <c r="I250" i="104"/>
  <c r="K248" i="104"/>
  <c r="J248" i="104"/>
  <c r="I246" i="104"/>
  <c r="K244" i="104"/>
  <c r="J244" i="104"/>
  <c r="I242" i="104"/>
  <c r="K239" i="104"/>
  <c r="J239" i="104"/>
  <c r="I237" i="104"/>
  <c r="K235" i="104"/>
  <c r="J235" i="104"/>
  <c r="I233" i="104"/>
  <c r="K231" i="104"/>
  <c r="J231" i="104"/>
  <c r="I229" i="104"/>
  <c r="K227" i="104"/>
  <c r="J227" i="104"/>
  <c r="I225" i="104"/>
  <c r="K222" i="104"/>
  <c r="J222" i="104"/>
  <c r="I220" i="104"/>
  <c r="K217" i="104"/>
  <c r="J217" i="104"/>
  <c r="I215" i="104"/>
  <c r="L211" i="104"/>
  <c r="I209" i="104"/>
  <c r="O206" i="104"/>
  <c r="L206" i="104"/>
  <c r="I204" i="104"/>
  <c r="K201" i="104"/>
  <c r="L201" i="104"/>
  <c r="O201" i="104"/>
  <c r="J201" i="104"/>
  <c r="I199" i="104"/>
  <c r="I194" i="104"/>
  <c r="I183" i="104"/>
  <c r="K178" i="104"/>
  <c r="L178" i="104"/>
  <c r="M178" i="104"/>
  <c r="N178" i="104"/>
  <c r="O178" i="104"/>
  <c r="P178" i="104"/>
  <c r="Q178" i="104"/>
  <c r="J178" i="104"/>
  <c r="K175" i="104"/>
  <c r="I175" i="104" s="1"/>
  <c r="I170" i="104"/>
  <c r="I165" i="104"/>
  <c r="K162" i="104"/>
  <c r="J162" i="104"/>
  <c r="I160" i="104"/>
  <c r="I154" i="104"/>
  <c r="K151" i="104"/>
  <c r="L151" i="104"/>
  <c r="O151" i="104"/>
  <c r="J151" i="104"/>
  <c r="I149" i="104"/>
  <c r="I144" i="104"/>
  <c r="I136" i="104"/>
  <c r="K133" i="104"/>
  <c r="L133" i="104"/>
  <c r="O133" i="104"/>
  <c r="J133" i="104"/>
  <c r="I131" i="104"/>
  <c r="I127" i="104"/>
  <c r="I120" i="104"/>
  <c r="I111" i="104"/>
  <c r="K108" i="104"/>
  <c r="L108" i="104"/>
  <c r="O108" i="104"/>
  <c r="J108" i="104"/>
  <c r="I106" i="104"/>
  <c r="J104" i="104"/>
  <c r="K104" i="104"/>
  <c r="L104" i="104"/>
  <c r="I98" i="104"/>
  <c r="J93" i="104"/>
  <c r="I88" i="104"/>
  <c r="K93" i="104"/>
  <c r="L93" i="104"/>
  <c r="M93" i="104"/>
  <c r="N93" i="104"/>
  <c r="O93" i="104"/>
  <c r="P93" i="104"/>
  <c r="Q93" i="104"/>
  <c r="K90" i="104"/>
  <c r="J90" i="104"/>
  <c r="I81" i="104"/>
  <c r="K73" i="104"/>
  <c r="L73" i="104"/>
  <c r="O73" i="104"/>
  <c r="J73" i="104"/>
  <c r="K67" i="104"/>
  <c r="J67" i="104"/>
  <c r="I58" i="104"/>
  <c r="I65" i="104"/>
  <c r="I70" i="104"/>
  <c r="I76" i="104"/>
  <c r="K53" i="104"/>
  <c r="L53" i="104"/>
  <c r="M53" i="104"/>
  <c r="N53" i="104"/>
  <c r="O53" i="104"/>
  <c r="P53" i="104"/>
  <c r="Q53" i="104"/>
  <c r="J53" i="104"/>
  <c r="K50" i="104"/>
  <c r="L50" i="104"/>
  <c r="N50" i="104"/>
  <c r="J50" i="104"/>
  <c r="I48" i="104"/>
  <c r="I43" i="104"/>
  <c r="I37" i="104"/>
  <c r="I31" i="104"/>
  <c r="K27" i="104"/>
  <c r="L27" i="104"/>
  <c r="O27" i="104"/>
  <c r="J27" i="104"/>
  <c r="I25" i="104"/>
  <c r="K21" i="104"/>
  <c r="L21" i="104"/>
  <c r="O21" i="104"/>
  <c r="I18" i="104"/>
  <c r="I11" i="104"/>
  <c r="I73" i="104" l="1"/>
  <c r="I141" i="104"/>
  <c r="P305" i="104"/>
  <c r="N305" i="104"/>
  <c r="L305" i="104"/>
  <c r="I85" i="104"/>
  <c r="Q305" i="104"/>
  <c r="O305" i="104"/>
  <c r="M305" i="104"/>
  <c r="K305" i="104"/>
  <c r="J305" i="104"/>
  <c r="I294" i="104"/>
  <c r="Q296" i="104"/>
  <c r="O296" i="104"/>
  <c r="M296" i="104"/>
  <c r="K296" i="104"/>
  <c r="I311" i="104"/>
  <c r="J317" i="104"/>
  <c r="P317" i="104"/>
  <c r="N317" i="104"/>
  <c r="L317" i="104"/>
  <c r="P296" i="104"/>
  <c r="N296" i="104"/>
  <c r="N99" i="105"/>
  <c r="I97" i="105"/>
  <c r="I40" i="105"/>
  <c r="L99" i="105"/>
  <c r="J99" i="105"/>
  <c r="M99" i="105"/>
  <c r="K99" i="105"/>
  <c r="Q188" i="104"/>
  <c r="Q299" i="104" s="1"/>
  <c r="O188" i="104"/>
  <c r="O299" i="104" s="1"/>
  <c r="M188" i="104"/>
  <c r="M299" i="104" s="1"/>
  <c r="K188" i="104"/>
  <c r="K299" i="104" s="1"/>
  <c r="J180" i="104"/>
  <c r="P180" i="104"/>
  <c r="N180" i="104"/>
  <c r="L180" i="104"/>
  <c r="Q180" i="104"/>
  <c r="O180" i="104"/>
  <c r="M180" i="104"/>
  <c r="K180" i="104"/>
  <c r="J188" i="104"/>
  <c r="J299" i="104" s="1"/>
  <c r="P188" i="104"/>
  <c r="P299" i="104" s="1"/>
  <c r="N188" i="104"/>
  <c r="N299" i="104" s="1"/>
  <c r="L188" i="104"/>
  <c r="L299" i="104" s="1"/>
  <c r="I178" i="104"/>
  <c r="I133" i="104"/>
  <c r="I124" i="104"/>
  <c r="I90" i="104"/>
  <c r="I53" i="104"/>
  <c r="I93" i="104"/>
  <c r="F59" i="135"/>
  <c r="H59" i="135"/>
  <c r="J59" i="135"/>
  <c r="L59" i="135"/>
  <c r="E57" i="135"/>
  <c r="F57" i="135"/>
  <c r="G57" i="135"/>
  <c r="H57" i="135"/>
  <c r="I57" i="135"/>
  <c r="J57" i="135"/>
  <c r="K57" i="135"/>
  <c r="L57" i="135"/>
  <c r="M57" i="135"/>
  <c r="N57" i="135"/>
  <c r="O57" i="135"/>
  <c r="P57" i="135"/>
  <c r="D57" i="135"/>
  <c r="E55" i="135"/>
  <c r="F55" i="135"/>
  <c r="G55" i="135"/>
  <c r="H55" i="135"/>
  <c r="I55" i="135"/>
  <c r="J55" i="135"/>
  <c r="K55" i="135"/>
  <c r="L55" i="135"/>
  <c r="M55" i="135"/>
  <c r="N55" i="135"/>
  <c r="O55" i="135"/>
  <c r="P55" i="135"/>
  <c r="D55" i="135"/>
  <c r="Q53" i="135"/>
  <c r="E51" i="135"/>
  <c r="F51" i="135"/>
  <c r="G51" i="135"/>
  <c r="H51" i="135"/>
  <c r="I51" i="135"/>
  <c r="J51" i="135"/>
  <c r="K51" i="135"/>
  <c r="L51" i="135"/>
  <c r="M51" i="135"/>
  <c r="N51" i="135"/>
  <c r="O51" i="135"/>
  <c r="P51" i="135"/>
  <c r="D51" i="135"/>
  <c r="Q49" i="135"/>
  <c r="E47" i="135"/>
  <c r="F47" i="135"/>
  <c r="G47" i="135"/>
  <c r="H47" i="135"/>
  <c r="I47" i="135"/>
  <c r="J47" i="135"/>
  <c r="K47" i="135"/>
  <c r="L47" i="135"/>
  <c r="M47" i="135"/>
  <c r="N47" i="135"/>
  <c r="O47" i="135"/>
  <c r="P47" i="135"/>
  <c r="D47" i="135"/>
  <c r="Q45" i="135"/>
  <c r="E43" i="135"/>
  <c r="F43" i="135"/>
  <c r="G43" i="135"/>
  <c r="H43" i="135"/>
  <c r="I43" i="135"/>
  <c r="J43" i="135"/>
  <c r="K43" i="135"/>
  <c r="L43" i="135"/>
  <c r="M43" i="135"/>
  <c r="N43" i="135"/>
  <c r="O43" i="135"/>
  <c r="P43" i="135"/>
  <c r="D43" i="135"/>
  <c r="Q41" i="135"/>
  <c r="E39" i="135"/>
  <c r="F39" i="135"/>
  <c r="G39" i="135"/>
  <c r="H39" i="135"/>
  <c r="I39" i="135"/>
  <c r="J39" i="135"/>
  <c r="K39" i="135"/>
  <c r="L39" i="135"/>
  <c r="M39" i="135"/>
  <c r="N39" i="135"/>
  <c r="O39" i="135"/>
  <c r="P39" i="135"/>
  <c r="D39" i="135"/>
  <c r="Q37" i="135"/>
  <c r="D35" i="135"/>
  <c r="E35" i="135"/>
  <c r="F35" i="135"/>
  <c r="G35" i="135"/>
  <c r="H35" i="135"/>
  <c r="I35" i="135"/>
  <c r="J35" i="135"/>
  <c r="K35" i="135"/>
  <c r="L35" i="135"/>
  <c r="M35" i="135"/>
  <c r="N35" i="135"/>
  <c r="O35" i="135"/>
  <c r="P35" i="135"/>
  <c r="Q33" i="135"/>
  <c r="E31" i="135"/>
  <c r="F31" i="135"/>
  <c r="G31" i="135"/>
  <c r="H31" i="135"/>
  <c r="I31" i="135"/>
  <c r="J31" i="135"/>
  <c r="K31" i="135"/>
  <c r="L31" i="135"/>
  <c r="M31" i="135"/>
  <c r="N31" i="135"/>
  <c r="O31" i="135"/>
  <c r="P31" i="135"/>
  <c r="D31" i="135"/>
  <c r="Q29" i="135"/>
  <c r="E27" i="135"/>
  <c r="F27" i="135"/>
  <c r="G27" i="135"/>
  <c r="H27" i="135"/>
  <c r="I27" i="135"/>
  <c r="J27" i="135"/>
  <c r="K27" i="135"/>
  <c r="L27" i="135"/>
  <c r="M27" i="135"/>
  <c r="N27" i="135"/>
  <c r="O27" i="135"/>
  <c r="P27" i="135"/>
  <c r="D27" i="135"/>
  <c r="Q25" i="135"/>
  <c r="E23" i="135"/>
  <c r="F23" i="135"/>
  <c r="G23" i="135"/>
  <c r="H23" i="135"/>
  <c r="I23" i="135"/>
  <c r="J23" i="135"/>
  <c r="K23" i="135"/>
  <c r="L23" i="135"/>
  <c r="M23" i="135"/>
  <c r="N23" i="135"/>
  <c r="O23" i="135"/>
  <c r="P23" i="135"/>
  <c r="D23" i="135"/>
  <c r="Q21" i="135"/>
  <c r="E19" i="135"/>
  <c r="F19" i="135"/>
  <c r="G19" i="135"/>
  <c r="H19" i="135"/>
  <c r="I19" i="135"/>
  <c r="J19" i="135"/>
  <c r="K19" i="135"/>
  <c r="L19" i="135"/>
  <c r="M19" i="135"/>
  <c r="N19" i="135"/>
  <c r="O19" i="135"/>
  <c r="P19" i="135"/>
  <c r="D19" i="135"/>
  <c r="Q17" i="135"/>
  <c r="E15" i="135"/>
  <c r="F15" i="135"/>
  <c r="G15" i="135"/>
  <c r="H15" i="135"/>
  <c r="I15" i="135"/>
  <c r="J15" i="135"/>
  <c r="K15" i="135"/>
  <c r="L15" i="135"/>
  <c r="M15" i="135"/>
  <c r="N15" i="135"/>
  <c r="O15" i="135"/>
  <c r="P15" i="135"/>
  <c r="D15" i="135"/>
  <c r="Q13" i="135"/>
  <c r="Q9" i="135"/>
  <c r="P11" i="135"/>
  <c r="E11" i="135"/>
  <c r="F11" i="135"/>
  <c r="G11" i="135"/>
  <c r="H11" i="135"/>
  <c r="I11" i="135"/>
  <c r="J11" i="135"/>
  <c r="K11" i="135"/>
  <c r="L11" i="135"/>
  <c r="M11" i="135"/>
  <c r="N11" i="135"/>
  <c r="O11" i="135"/>
  <c r="D11" i="135"/>
  <c r="L184" i="134"/>
  <c r="L185" i="134"/>
  <c r="L187" i="134"/>
  <c r="L188" i="134"/>
  <c r="L189" i="134"/>
  <c r="L190" i="134"/>
  <c r="L191" i="134"/>
  <c r="L192" i="134"/>
  <c r="L193" i="134"/>
  <c r="L194" i="134"/>
  <c r="L196" i="134"/>
  <c r="L197" i="134"/>
  <c r="L198" i="134"/>
  <c r="L199" i="134"/>
  <c r="L201" i="134"/>
  <c r="L202" i="134"/>
  <c r="L203" i="134"/>
  <c r="L204" i="134"/>
  <c r="L205" i="134"/>
  <c r="L206" i="134"/>
  <c r="L211" i="134"/>
  <c r="L212" i="134"/>
  <c r="L213" i="134"/>
  <c r="L214" i="134"/>
  <c r="L215" i="134"/>
  <c r="L220" i="134"/>
  <c r="L221" i="134"/>
  <c r="L223" i="134"/>
  <c r="L225" i="134"/>
  <c r="L227" i="134"/>
  <c r="L228" i="134"/>
  <c r="L229" i="134"/>
  <c r="L230" i="134"/>
  <c r="L233" i="134"/>
  <c r="L234" i="134"/>
  <c r="L235" i="134"/>
  <c r="L236" i="134"/>
  <c r="L237" i="134"/>
  <c r="L239" i="134"/>
  <c r="L240" i="134"/>
  <c r="L241" i="134"/>
  <c r="L242" i="134"/>
  <c r="L243" i="134"/>
  <c r="L247" i="134"/>
  <c r="L248" i="134"/>
  <c r="L249" i="134"/>
  <c r="L254" i="134"/>
  <c r="L257" i="134"/>
  <c r="L259" i="134"/>
  <c r="L262" i="134"/>
  <c r="L264" i="134"/>
  <c r="L268" i="134"/>
  <c r="L269" i="134"/>
  <c r="L271" i="134"/>
  <c r="L272" i="134"/>
  <c r="L273" i="134"/>
  <c r="L274" i="134"/>
  <c r="L275" i="134"/>
  <c r="L276" i="134"/>
  <c r="L277" i="134"/>
  <c r="L281" i="134"/>
  <c r="L282" i="134"/>
  <c r="L283" i="134"/>
  <c r="L284" i="134"/>
  <c r="L286" i="134"/>
  <c r="L287" i="134"/>
  <c r="L288" i="134"/>
  <c r="L289" i="134"/>
  <c r="L290" i="134"/>
  <c r="L291" i="134"/>
  <c r="L292" i="134"/>
  <c r="L293" i="134"/>
  <c r="L306" i="134"/>
  <c r="L307" i="134"/>
  <c r="L308" i="134"/>
  <c r="L309" i="134"/>
  <c r="L310" i="134"/>
  <c r="L311" i="134"/>
  <c r="L312" i="134"/>
  <c r="L313" i="134"/>
  <c r="L319" i="134"/>
  <c r="L320" i="134"/>
  <c r="L321" i="134"/>
  <c r="L323" i="134"/>
  <c r="L331" i="134"/>
  <c r="L332" i="134"/>
  <c r="L333" i="134"/>
  <c r="L334" i="134"/>
  <c r="L336" i="134"/>
  <c r="L339" i="134"/>
  <c r="L340" i="134"/>
  <c r="L341" i="134"/>
  <c r="L342" i="134"/>
  <c r="L343" i="134"/>
  <c r="L344" i="134"/>
  <c r="L345" i="134"/>
  <c r="L346" i="134"/>
  <c r="L347" i="134"/>
  <c r="L348" i="134"/>
  <c r="L349" i="134"/>
  <c r="L350" i="134"/>
  <c r="L351" i="134"/>
  <c r="L352" i="134"/>
  <c r="L353" i="134"/>
  <c r="L354" i="134"/>
  <c r="L369" i="134"/>
  <c r="L371" i="134"/>
  <c r="L372" i="134"/>
  <c r="L373" i="134"/>
  <c r="L375" i="134"/>
  <c r="L376" i="134"/>
  <c r="L377" i="134"/>
  <c r="L384" i="134"/>
  <c r="L385" i="134"/>
  <c r="L386" i="134"/>
  <c r="L387" i="134"/>
  <c r="L391" i="134"/>
  <c r="L393" i="134"/>
  <c r="L394" i="134"/>
  <c r="L395" i="134"/>
  <c r="L183" i="134"/>
  <c r="L379" i="134"/>
  <c r="L378" i="134"/>
  <c r="L335" i="134"/>
  <c r="L324" i="134"/>
  <c r="L322" i="134"/>
  <c r="L231" i="134"/>
  <c r="J224" i="134"/>
  <c r="J398" i="134" s="1"/>
  <c r="L180" i="134"/>
  <c r="L181" i="134"/>
  <c r="L179" i="134"/>
  <c r="L163" i="134"/>
  <c r="L164" i="134"/>
  <c r="L165" i="134"/>
  <c r="L166" i="134"/>
  <c r="L167" i="134"/>
  <c r="L168" i="134"/>
  <c r="L174" i="134"/>
  <c r="L162" i="134"/>
  <c r="J175" i="134"/>
  <c r="J176" i="134" s="1"/>
  <c r="L95" i="134"/>
  <c r="F95" i="134" s="1"/>
  <c r="L9" i="134"/>
  <c r="L10" i="134"/>
  <c r="L11" i="134"/>
  <c r="L12" i="134"/>
  <c r="L13" i="134"/>
  <c r="L14" i="134"/>
  <c r="L15" i="134"/>
  <c r="L17" i="134"/>
  <c r="L19" i="134"/>
  <c r="L20" i="134"/>
  <c r="L21" i="134"/>
  <c r="L22" i="134"/>
  <c r="L23" i="134"/>
  <c r="L24" i="134"/>
  <c r="L25" i="134"/>
  <c r="L26" i="134"/>
  <c r="L27" i="134"/>
  <c r="L28" i="134"/>
  <c r="L29" i="134"/>
  <c r="L30" i="134"/>
  <c r="L31" i="134"/>
  <c r="L32" i="134"/>
  <c r="L33" i="134"/>
  <c r="L34" i="134"/>
  <c r="L35" i="134"/>
  <c r="L36" i="134"/>
  <c r="L37" i="134"/>
  <c r="L38" i="134"/>
  <c r="L39" i="134"/>
  <c r="L40" i="134"/>
  <c r="L41" i="134"/>
  <c r="L42" i="134"/>
  <c r="L43" i="134"/>
  <c r="L45" i="134"/>
  <c r="L46" i="134"/>
  <c r="L49" i="134"/>
  <c r="L50" i="134"/>
  <c r="L51" i="134"/>
  <c r="L52" i="134"/>
  <c r="L53" i="134"/>
  <c r="L54" i="134"/>
  <c r="L55" i="134"/>
  <c r="L56" i="134"/>
  <c r="L57" i="134"/>
  <c r="L58" i="134"/>
  <c r="L59" i="134"/>
  <c r="L60" i="134"/>
  <c r="L61" i="134"/>
  <c r="L62" i="134"/>
  <c r="L63" i="134"/>
  <c r="L64" i="134"/>
  <c r="L65" i="134"/>
  <c r="L66" i="134"/>
  <c r="L67" i="134"/>
  <c r="L68" i="134"/>
  <c r="L69" i="134"/>
  <c r="L70" i="134"/>
  <c r="L71" i="134"/>
  <c r="L72" i="134"/>
  <c r="L73" i="134"/>
  <c r="L74" i="134"/>
  <c r="L75" i="134"/>
  <c r="L76" i="134"/>
  <c r="L77" i="134"/>
  <c r="L78" i="134"/>
  <c r="L81" i="134"/>
  <c r="L82" i="134"/>
  <c r="L83" i="134"/>
  <c r="L84" i="134"/>
  <c r="L85" i="134"/>
  <c r="L86" i="134"/>
  <c r="L87" i="134"/>
  <c r="L88" i="134"/>
  <c r="L89" i="134"/>
  <c r="L90" i="134"/>
  <c r="L91" i="134"/>
  <c r="L92" i="134"/>
  <c r="L93" i="134"/>
  <c r="L96" i="134"/>
  <c r="L99" i="134"/>
  <c r="L100" i="134"/>
  <c r="L101" i="134"/>
  <c r="L105" i="134"/>
  <c r="L107" i="134"/>
  <c r="L108" i="134"/>
  <c r="L109" i="134"/>
  <c r="L110" i="134"/>
  <c r="L111" i="134"/>
  <c r="L112" i="134"/>
  <c r="L113" i="134"/>
  <c r="L114" i="134"/>
  <c r="L115" i="134"/>
  <c r="L116" i="134"/>
  <c r="L117" i="134"/>
  <c r="L118" i="134"/>
  <c r="L119" i="134"/>
  <c r="L120" i="134"/>
  <c r="L121" i="134"/>
  <c r="L122" i="134"/>
  <c r="L123" i="134"/>
  <c r="L124" i="134"/>
  <c r="L125" i="134"/>
  <c r="L126" i="134"/>
  <c r="L127" i="134"/>
  <c r="L128" i="134"/>
  <c r="L129" i="134"/>
  <c r="L130" i="134"/>
  <c r="L131" i="134"/>
  <c r="L132" i="134"/>
  <c r="L133" i="134"/>
  <c r="L134" i="134"/>
  <c r="L135" i="134"/>
  <c r="L136" i="134"/>
  <c r="L137" i="134"/>
  <c r="L138" i="134"/>
  <c r="L139" i="134"/>
  <c r="L140" i="134"/>
  <c r="L141" i="134"/>
  <c r="L142" i="134"/>
  <c r="L143" i="134"/>
  <c r="F143" i="134" s="1"/>
  <c r="L144" i="134"/>
  <c r="L145" i="134"/>
  <c r="L8" i="134"/>
  <c r="F8" i="122"/>
  <c r="K9" i="122"/>
  <c r="K10" i="122"/>
  <c r="K11" i="122"/>
  <c r="K12" i="122"/>
  <c r="K13" i="122"/>
  <c r="K14" i="122"/>
  <c r="K15" i="122"/>
  <c r="K16" i="122"/>
  <c r="K17" i="122"/>
  <c r="K18" i="122"/>
  <c r="K19" i="122"/>
  <c r="K20" i="122"/>
  <c r="K21" i="122"/>
  <c r="K22" i="122"/>
  <c r="K23" i="122"/>
  <c r="K24" i="122"/>
  <c r="K25" i="122"/>
  <c r="K26" i="122"/>
  <c r="K27" i="122"/>
  <c r="K28" i="122"/>
  <c r="K29" i="122"/>
  <c r="K30" i="122"/>
  <c r="K37" i="122"/>
  <c r="K38" i="122"/>
  <c r="K39" i="122"/>
  <c r="K40" i="122"/>
  <c r="K42" i="122"/>
  <c r="K43" i="122"/>
  <c r="K45" i="122"/>
  <c r="K46" i="122"/>
  <c r="K47" i="122"/>
  <c r="K50" i="122"/>
  <c r="K51" i="122"/>
  <c r="K53" i="122"/>
  <c r="K54" i="122"/>
  <c r="K57" i="122"/>
  <c r="K58" i="122"/>
  <c r="K60" i="122"/>
  <c r="K62" i="122"/>
  <c r="K63" i="122"/>
  <c r="K64" i="122"/>
  <c r="K67" i="122"/>
  <c r="K69" i="122"/>
  <c r="K71" i="122"/>
  <c r="K72" i="122"/>
  <c r="K74" i="122"/>
  <c r="K75" i="122"/>
  <c r="K77" i="122"/>
  <c r="K79" i="122"/>
  <c r="K82" i="122"/>
  <c r="K84" i="122"/>
  <c r="K85" i="122"/>
  <c r="K87" i="122"/>
  <c r="K88" i="122"/>
  <c r="K89" i="122"/>
  <c r="K91" i="122"/>
  <c r="K93" i="122"/>
  <c r="K8" i="122"/>
  <c r="F204" i="102"/>
  <c r="N198" i="102"/>
  <c r="N202" i="102"/>
  <c r="N187" i="102"/>
  <c r="N174" i="102"/>
  <c r="F182" i="102"/>
  <c r="G182" i="102"/>
  <c r="H182" i="102"/>
  <c r="I182" i="102"/>
  <c r="J182" i="102"/>
  <c r="K182" i="102"/>
  <c r="L182" i="102"/>
  <c r="M182" i="102"/>
  <c r="M184" i="102" s="1"/>
  <c r="E182" i="102"/>
  <c r="N171" i="102"/>
  <c r="F166" i="102"/>
  <c r="N166" i="102" s="1"/>
  <c r="N164" i="102"/>
  <c r="N157" i="102"/>
  <c r="K154" i="102"/>
  <c r="E154" i="102"/>
  <c r="N152" i="102"/>
  <c r="N139" i="102"/>
  <c r="F136" i="102"/>
  <c r="I136" i="102"/>
  <c r="N134" i="102"/>
  <c r="N123" i="102"/>
  <c r="I120" i="102"/>
  <c r="K120" i="102"/>
  <c r="E120" i="102"/>
  <c r="I112" i="102"/>
  <c r="F112" i="102"/>
  <c r="N110" i="102"/>
  <c r="K108" i="102"/>
  <c r="E108" i="102"/>
  <c r="N102" i="102"/>
  <c r="F97" i="102"/>
  <c r="G97" i="102"/>
  <c r="H97" i="102"/>
  <c r="I97" i="102"/>
  <c r="J97" i="102"/>
  <c r="K97" i="102"/>
  <c r="L97" i="102"/>
  <c r="M97" i="102"/>
  <c r="E97" i="102"/>
  <c r="K94" i="102"/>
  <c r="F94" i="102"/>
  <c r="N92" i="102"/>
  <c r="N84" i="102"/>
  <c r="N72" i="102"/>
  <c r="K69" i="102"/>
  <c r="N67" i="102"/>
  <c r="N60" i="102"/>
  <c r="K55" i="102"/>
  <c r="K52" i="102"/>
  <c r="F52" i="102"/>
  <c r="N50" i="102"/>
  <c r="F55" i="102"/>
  <c r="G55" i="102"/>
  <c r="H55" i="102"/>
  <c r="I55" i="102"/>
  <c r="J55" i="102"/>
  <c r="L55" i="102"/>
  <c r="M55" i="102"/>
  <c r="E55" i="102"/>
  <c r="N45" i="102"/>
  <c r="N38" i="102"/>
  <c r="N31" i="102"/>
  <c r="N25" i="102"/>
  <c r="L27" i="102"/>
  <c r="K27" i="102"/>
  <c r="E27" i="102"/>
  <c r="M21" i="102"/>
  <c r="L21" i="102"/>
  <c r="K21" i="102"/>
  <c r="E21" i="102"/>
  <c r="N18" i="102"/>
  <c r="N11" i="102"/>
  <c r="N120" i="102" l="1"/>
  <c r="N27" i="102"/>
  <c r="L224" i="134"/>
  <c r="Q57" i="135"/>
  <c r="K94" i="122"/>
  <c r="K103" i="122" s="1"/>
  <c r="I305" i="104"/>
  <c r="I299" i="104"/>
  <c r="I317" i="104"/>
  <c r="K193" i="102"/>
  <c r="K211" i="102" s="1"/>
  <c r="I193" i="102"/>
  <c r="I211" i="102" s="1"/>
  <c r="G193" i="102"/>
  <c r="G211" i="102" s="1"/>
  <c r="E193" i="102"/>
  <c r="E211" i="102" s="1"/>
  <c r="L193" i="102"/>
  <c r="L211" i="102" s="1"/>
  <c r="J193" i="102"/>
  <c r="J211" i="102" s="1"/>
  <c r="H193" i="102"/>
  <c r="H211" i="102" s="1"/>
  <c r="F193" i="102"/>
  <c r="F211" i="102" s="1"/>
  <c r="N182" i="102"/>
  <c r="L184" i="102"/>
  <c r="K184" i="102"/>
  <c r="I184" i="102"/>
  <c r="G184" i="102"/>
  <c r="M193" i="102"/>
  <c r="E184" i="102"/>
  <c r="J184" i="102"/>
  <c r="H184" i="102"/>
  <c r="F184" i="102"/>
  <c r="J399" i="134"/>
  <c r="L388" i="134"/>
  <c r="I188" i="104"/>
  <c r="N14" i="102"/>
  <c r="N97" i="102"/>
  <c r="N55" i="102"/>
  <c r="M211" i="102" l="1"/>
  <c r="M195" i="102"/>
  <c r="N211" i="102"/>
  <c r="L398" i="134"/>
  <c r="N193" i="102"/>
  <c r="K15" i="115"/>
  <c r="M13" i="115"/>
  <c r="K9" i="115"/>
  <c r="I619" i="105" l="1"/>
  <c r="M1191" i="105" l="1"/>
  <c r="M1208" i="105" s="1"/>
  <c r="K332" i="105" l="1"/>
  <c r="K333" i="105" s="1"/>
  <c r="L332" i="105"/>
  <c r="L333" i="105" s="1"/>
  <c r="M332" i="105"/>
  <c r="M333" i="105" s="1"/>
  <c r="N332" i="105"/>
  <c r="N333" i="105" s="1"/>
  <c r="J332" i="105"/>
  <c r="J333" i="105" s="1"/>
  <c r="F144" i="134"/>
  <c r="F24" i="134"/>
  <c r="F25" i="134"/>
  <c r="F26" i="134"/>
  <c r="F27" i="134"/>
  <c r="F29" i="134"/>
  <c r="F31" i="134"/>
  <c r="F32" i="134"/>
  <c r="F33" i="134"/>
  <c r="F34" i="134"/>
  <c r="F35" i="134"/>
  <c r="F36" i="134"/>
  <c r="F37" i="134"/>
  <c r="F38" i="134"/>
  <c r="F39" i="134"/>
  <c r="F40" i="134"/>
  <c r="F42" i="134"/>
  <c r="F43" i="134"/>
  <c r="F45" i="134"/>
  <c r="F46" i="134"/>
  <c r="F49" i="134"/>
  <c r="F50" i="134"/>
  <c r="F51" i="134"/>
  <c r="F52" i="134"/>
  <c r="F53" i="134"/>
  <c r="F54" i="134"/>
  <c r="F55" i="134"/>
  <c r="F56" i="134"/>
  <c r="F57" i="134"/>
  <c r="F58" i="134"/>
  <c r="F59" i="134"/>
  <c r="F60" i="134"/>
  <c r="F61" i="134"/>
  <c r="F62" i="134"/>
  <c r="F63" i="134"/>
  <c r="F64" i="134"/>
  <c r="F65" i="134"/>
  <c r="F66" i="134"/>
  <c r="F67" i="134"/>
  <c r="F68" i="134"/>
  <c r="F69" i="134"/>
  <c r="F70" i="134"/>
  <c r="F71" i="134"/>
  <c r="F73" i="134"/>
  <c r="F74" i="134"/>
  <c r="F75" i="134"/>
  <c r="F76" i="134"/>
  <c r="F77" i="134"/>
  <c r="F78" i="134"/>
  <c r="F81" i="134"/>
  <c r="F82" i="134"/>
  <c r="F83" i="134"/>
  <c r="F84" i="134"/>
  <c r="F85" i="134"/>
  <c r="F86" i="134"/>
  <c r="F87" i="134"/>
  <c r="F88" i="134"/>
  <c r="F89" i="134"/>
  <c r="F90" i="134"/>
  <c r="F91" i="134"/>
  <c r="F92" i="134"/>
  <c r="F93" i="134"/>
  <c r="F96" i="134"/>
  <c r="F99" i="134"/>
  <c r="F100" i="134"/>
  <c r="F101" i="134"/>
  <c r="F105" i="134"/>
  <c r="F107" i="134"/>
  <c r="F108" i="134"/>
  <c r="F109" i="134"/>
  <c r="F110" i="134"/>
  <c r="F111" i="134"/>
  <c r="F112" i="134"/>
  <c r="F113" i="134"/>
  <c r="F114" i="134"/>
  <c r="F115" i="134"/>
  <c r="F116" i="134"/>
  <c r="F117" i="134"/>
  <c r="F118" i="134"/>
  <c r="F119" i="134"/>
  <c r="F120" i="134"/>
  <c r="F121" i="134"/>
  <c r="F122" i="134"/>
  <c r="F123" i="134"/>
  <c r="F124" i="134"/>
  <c r="F125" i="134"/>
  <c r="F126" i="134"/>
  <c r="F127" i="134"/>
  <c r="F128" i="134"/>
  <c r="F129" i="134"/>
  <c r="F130" i="134"/>
  <c r="F131" i="134"/>
  <c r="F132" i="134"/>
  <c r="F133" i="134"/>
  <c r="F134" i="134"/>
  <c r="F135" i="134"/>
  <c r="F136" i="134"/>
  <c r="F137" i="134"/>
  <c r="F138" i="134"/>
  <c r="F139" i="134"/>
  <c r="F140" i="134"/>
  <c r="F141" i="134"/>
  <c r="F142" i="134"/>
  <c r="F145" i="134"/>
  <c r="J1191" i="105" l="1"/>
  <c r="J1208" i="105" s="1"/>
  <c r="K1191" i="105"/>
  <c r="K1208" i="105" s="1"/>
  <c r="F95" i="105"/>
  <c r="E95" i="105"/>
  <c r="K262" i="105"/>
  <c r="K263" i="105" s="1"/>
  <c r="L262" i="105"/>
  <c r="L263" i="105" s="1"/>
  <c r="M262" i="105"/>
  <c r="M263" i="105" s="1"/>
  <c r="N262" i="105"/>
  <c r="N263" i="105" s="1"/>
  <c r="J262" i="105"/>
  <c r="J263" i="105" s="1"/>
  <c r="K41" i="105"/>
  <c r="K42" i="105" s="1"/>
  <c r="L41" i="105"/>
  <c r="L42" i="105" s="1"/>
  <c r="M41" i="105"/>
  <c r="M42" i="105" s="1"/>
  <c r="N41" i="105"/>
  <c r="N42" i="105" s="1"/>
  <c r="J41" i="105"/>
  <c r="J42" i="105" s="1"/>
  <c r="L15" i="115"/>
  <c r="L9" i="115"/>
  <c r="L7" i="115" s="1"/>
  <c r="M19" i="115"/>
  <c r="M20" i="115"/>
  <c r="M32" i="113"/>
  <c r="L34" i="113"/>
  <c r="L33" i="113" s="1"/>
  <c r="M29" i="113"/>
  <c r="M14" i="113"/>
  <c r="M13" i="113"/>
  <c r="K747" i="105" l="1"/>
  <c r="K748" i="105" s="1"/>
  <c r="L747" i="105"/>
  <c r="L748" i="105" s="1"/>
  <c r="M747" i="105"/>
  <c r="M748" i="105" s="1"/>
  <c r="N745" i="105"/>
  <c r="K745" i="105"/>
  <c r="L745" i="105"/>
  <c r="M745" i="105"/>
  <c r="J745" i="105"/>
  <c r="N204" i="102"/>
  <c r="N203" i="102"/>
  <c r="I264" i="104"/>
  <c r="I263" i="104"/>
  <c r="M55" i="104" l="1"/>
  <c r="N55" i="104"/>
  <c r="P55" i="104"/>
  <c r="Q55" i="104"/>
  <c r="K313" i="104"/>
  <c r="L313" i="104"/>
  <c r="M313" i="104"/>
  <c r="N313" i="104"/>
  <c r="O313" i="104"/>
  <c r="P313" i="104"/>
  <c r="Q313" i="104"/>
  <c r="J313" i="104"/>
  <c r="K293" i="104"/>
  <c r="L293" i="104"/>
  <c r="M293" i="104"/>
  <c r="N293" i="104"/>
  <c r="O293" i="104"/>
  <c r="P293" i="104"/>
  <c r="Q293" i="104"/>
  <c r="J293" i="104"/>
  <c r="F57" i="102"/>
  <c r="G57" i="102"/>
  <c r="H57" i="102"/>
  <c r="I57" i="102"/>
  <c r="J57" i="102"/>
  <c r="K57" i="102"/>
  <c r="L57" i="102"/>
  <c r="M57" i="102"/>
  <c r="E57" i="102"/>
  <c r="K55" i="104" l="1"/>
  <c r="J55" i="104"/>
  <c r="O55" i="104"/>
  <c r="I133" i="105"/>
  <c r="I132" i="105"/>
  <c r="F336" i="134"/>
  <c r="F313" i="134"/>
  <c r="I132" i="104"/>
  <c r="I107" i="104" l="1"/>
  <c r="N135" i="102"/>
  <c r="N136" i="102" s="1"/>
  <c r="N111" i="102"/>
  <c r="N112" i="102" l="1"/>
  <c r="I108" i="104"/>
  <c r="I26" i="109" l="1"/>
  <c r="I23" i="109"/>
  <c r="I29" i="109" s="1"/>
  <c r="E26" i="109"/>
  <c r="E24" i="109"/>
  <c r="E10" i="109"/>
  <c r="E8" i="109"/>
  <c r="E36" i="109"/>
  <c r="I82" i="105"/>
  <c r="I999" i="105"/>
  <c r="I998" i="105"/>
  <c r="I995" i="105"/>
  <c r="I991" i="105"/>
  <c r="I994" i="105"/>
  <c r="I990" i="105"/>
  <c r="I983" i="105"/>
  <c r="I987" i="105"/>
  <c r="I986" i="105"/>
  <c r="I982" i="105"/>
  <c r="I975" i="105"/>
  <c r="I974" i="105"/>
  <c r="L1191" i="105" l="1"/>
  <c r="L1208" i="105" s="1"/>
  <c r="R35" i="123"/>
  <c r="L35" i="123"/>
  <c r="R34" i="123"/>
  <c r="L34" i="123"/>
  <c r="P28" i="123"/>
  <c r="P26" i="123"/>
  <c r="J19" i="123"/>
  <c r="J16" i="123"/>
  <c r="O15" i="123"/>
  <c r="P12" i="123"/>
  <c r="I175" i="134"/>
  <c r="F164" i="134"/>
  <c r="F166" i="134"/>
  <c r="F167" i="134"/>
  <c r="F168" i="134"/>
  <c r="F165" i="134"/>
  <c r="I1115" i="105"/>
  <c r="I1114" i="105"/>
  <c r="I1067" i="105"/>
  <c r="I1066" i="105"/>
  <c r="I738" i="105"/>
  <c r="I737" i="105"/>
  <c r="I1011" i="105"/>
  <c r="I1010" i="105"/>
  <c r="I1007" i="105"/>
  <c r="I1006" i="105"/>
  <c r="I76" i="105"/>
  <c r="I648" i="105"/>
  <c r="I258" i="105"/>
  <c r="I422" i="105"/>
  <c r="I423" i="105"/>
  <c r="F194" i="134"/>
  <c r="N1191" i="105" l="1"/>
  <c r="N1208" i="105" s="1"/>
  <c r="I649" i="105"/>
  <c r="F35" i="123"/>
  <c r="F34" i="123"/>
  <c r="I871" i="105"/>
  <c r="I481" i="105"/>
  <c r="O56" i="135"/>
  <c r="R33" i="123" l="1"/>
  <c r="L33" i="123"/>
  <c r="F33" i="123" l="1"/>
  <c r="F345" i="134" l="1"/>
  <c r="F346" i="134"/>
  <c r="F347" i="134"/>
  <c r="F349" i="134"/>
  <c r="F351" i="134"/>
  <c r="F353" i="134"/>
  <c r="F348" i="134"/>
  <c r="F350" i="134"/>
  <c r="F352" i="134"/>
  <c r="F28" i="122"/>
  <c r="F29" i="122"/>
  <c r="F30" i="122"/>
  <c r="F77" i="122"/>
  <c r="F75" i="122"/>
  <c r="F91" i="122"/>
  <c r="F89" i="122"/>
  <c r="F88" i="122"/>
  <c r="F85" i="122"/>
  <c r="F39" i="122"/>
  <c r="F40" i="122"/>
  <c r="O300" i="104" l="1"/>
  <c r="E99" i="102"/>
  <c r="F99" i="102"/>
  <c r="G99" i="102"/>
  <c r="H99" i="102"/>
  <c r="I99" i="102"/>
  <c r="J99" i="102"/>
  <c r="K99" i="102"/>
  <c r="L99" i="102"/>
  <c r="M99" i="102"/>
  <c r="P307" i="104" l="1"/>
  <c r="N307" i="104"/>
  <c r="Q307" i="104"/>
  <c r="M307" i="104"/>
  <c r="O307" i="104"/>
  <c r="K307" i="104"/>
  <c r="J307" i="104"/>
  <c r="L95" i="104"/>
  <c r="Q95" i="104"/>
  <c r="M95" i="104"/>
  <c r="K95" i="104"/>
  <c r="J95" i="104"/>
  <c r="P95" i="104"/>
  <c r="N95" i="104"/>
  <c r="O95" i="104"/>
  <c r="N98" i="102"/>
  <c r="I95" i="104" l="1"/>
  <c r="I115" i="104"/>
  <c r="E213" i="102" l="1"/>
  <c r="E195" i="102"/>
  <c r="C9" i="106"/>
  <c r="C323" i="106" s="1"/>
  <c r="I103" i="104"/>
  <c r="N105" i="102"/>
  <c r="N107" i="102"/>
  <c r="F385" i="134" l="1"/>
  <c r="F386" i="134"/>
  <c r="F387" i="134"/>
  <c r="F388" i="134"/>
  <c r="F391" i="134"/>
  <c r="F379" i="134"/>
  <c r="F378" i="134"/>
  <c r="F376" i="134"/>
  <c r="F377" i="134"/>
  <c r="I174" i="104"/>
  <c r="F371" i="134"/>
  <c r="F372" i="134"/>
  <c r="F354" i="134" l="1"/>
  <c r="N170" i="102" l="1"/>
  <c r="F335" i="134"/>
  <c r="F333" i="134"/>
  <c r="F334" i="134"/>
  <c r="F322" i="134" l="1"/>
  <c r="F324" i="134"/>
  <c r="F323" i="134"/>
  <c r="I114" i="104"/>
  <c r="F309" i="134"/>
  <c r="F310" i="134"/>
  <c r="F311" i="134"/>
  <c r="F308" i="134"/>
  <c r="F307" i="134"/>
  <c r="F312" i="134"/>
  <c r="I104" i="104" l="1"/>
  <c r="F283" i="134"/>
  <c r="F284" i="134"/>
  <c r="F281" i="134"/>
  <c r="F282" i="134"/>
  <c r="F277" i="134"/>
  <c r="F276" i="134"/>
  <c r="N64" i="102"/>
  <c r="F243" i="134" l="1"/>
  <c r="F249" i="134"/>
  <c r="F248" i="134"/>
  <c r="F240" i="134"/>
  <c r="F241" i="134"/>
  <c r="F242" i="134"/>
  <c r="N51" i="102"/>
  <c r="F237" i="134" l="1"/>
  <c r="F231" i="134"/>
  <c r="F229" i="134"/>
  <c r="F228" i="134"/>
  <c r="F235" i="134"/>
  <c r="F236" i="134"/>
  <c r="F230" i="134"/>
  <c r="F224" i="134" l="1"/>
  <c r="F225" i="134"/>
  <c r="F221" i="134"/>
  <c r="L307" i="104" l="1"/>
  <c r="L55" i="104"/>
  <c r="F212" i="134"/>
  <c r="F213" i="134"/>
  <c r="F214" i="134"/>
  <c r="F215" i="134"/>
  <c r="F206" i="134"/>
  <c r="F202" i="134"/>
  <c r="F203" i="134"/>
  <c r="F204" i="134"/>
  <c r="F205" i="134"/>
  <c r="F197" i="134"/>
  <c r="F192" i="134"/>
  <c r="F191" i="134"/>
  <c r="F198" i="134"/>
  <c r="F189" i="134"/>
  <c r="F188" i="134"/>
  <c r="F190" i="134"/>
  <c r="F196" i="134"/>
  <c r="F193" i="134"/>
  <c r="F199" i="134"/>
  <c r="F185" i="134"/>
  <c r="F184" i="134"/>
  <c r="F181" i="134"/>
  <c r="F180" i="134"/>
  <c r="E13" i="136" l="1"/>
  <c r="P58" i="135"/>
  <c r="P59" i="135" s="1"/>
  <c r="O58" i="135"/>
  <c r="O59" i="135" s="1"/>
  <c r="M58" i="135"/>
  <c r="M59" i="135" s="1"/>
  <c r="L58" i="135"/>
  <c r="K58" i="135"/>
  <c r="K59" i="135" s="1"/>
  <c r="J58" i="135"/>
  <c r="H58" i="135"/>
  <c r="F58" i="135"/>
  <c r="E58" i="135"/>
  <c r="E59" i="135" s="1"/>
  <c r="D58" i="135"/>
  <c r="D59" i="135" s="1"/>
  <c r="P56" i="135"/>
  <c r="N56" i="135"/>
  <c r="M56" i="135"/>
  <c r="L56" i="135"/>
  <c r="K56" i="135"/>
  <c r="J56" i="135"/>
  <c r="I56" i="135"/>
  <c r="H56" i="135"/>
  <c r="G56" i="135"/>
  <c r="F56" i="135"/>
  <c r="E56" i="135"/>
  <c r="D56" i="135"/>
  <c r="Q54" i="135"/>
  <c r="Q55" i="135" s="1"/>
  <c r="N58" i="135"/>
  <c r="N59" i="135" s="1"/>
  <c r="Q52" i="135"/>
  <c r="Q48" i="135"/>
  <c r="Q46" i="135"/>
  <c r="Q47" i="135" s="1"/>
  <c r="Q44" i="135"/>
  <c r="Q42" i="135"/>
  <c r="Q43" i="135" s="1"/>
  <c r="Q40" i="135"/>
  <c r="Q38" i="135"/>
  <c r="Q39" i="135" s="1"/>
  <c r="Q36" i="135"/>
  <c r="I58" i="135"/>
  <c r="I59" i="135" s="1"/>
  <c r="Q32" i="135"/>
  <c r="G58" i="135"/>
  <c r="G59" i="135" s="1"/>
  <c r="Q28" i="135"/>
  <c r="Q26" i="135"/>
  <c r="Q27" i="135" s="1"/>
  <c r="Q24" i="135"/>
  <c r="Q20" i="135"/>
  <c r="Q18" i="135"/>
  <c r="Q19" i="135" s="1"/>
  <c r="Q16" i="135"/>
  <c r="Q12" i="135"/>
  <c r="Q8" i="135"/>
  <c r="Q56" i="135" l="1"/>
  <c r="E117" i="136"/>
  <c r="E222" i="136" s="1"/>
  <c r="Q10" i="135"/>
  <c r="Q11" i="135" s="1"/>
  <c r="Q14" i="135"/>
  <c r="Q15" i="135" s="1"/>
  <c r="Q22" i="135"/>
  <c r="Q23" i="135" s="1"/>
  <c r="Q30" i="135"/>
  <c r="Q31" i="135" s="1"/>
  <c r="Q34" i="135"/>
  <c r="Q35" i="135" s="1"/>
  <c r="Q50" i="135"/>
  <c r="Q51" i="135" s="1"/>
  <c r="Q58" i="135" l="1"/>
  <c r="Q59" i="135" s="1"/>
  <c r="N96" i="105" l="1"/>
  <c r="K96" i="105"/>
  <c r="L96" i="105"/>
  <c r="M96" i="105"/>
  <c r="J96" i="105"/>
  <c r="I1111" i="105" l="1"/>
  <c r="I1110" i="105"/>
  <c r="I1106" i="105"/>
  <c r="I1105" i="105"/>
  <c r="I1102" i="105"/>
  <c r="I1101" i="105"/>
  <c r="I1063" i="105"/>
  <c r="I1062" i="105"/>
  <c r="I1059" i="105"/>
  <c r="I1058" i="105"/>
  <c r="I1055" i="105"/>
  <c r="I1054" i="105"/>
  <c r="I1051" i="105"/>
  <c r="I1050" i="105"/>
  <c r="I1047" i="105"/>
  <c r="I1046" i="105"/>
  <c r="I1043" i="105"/>
  <c r="I1042" i="105"/>
  <c r="I1039" i="105"/>
  <c r="I1038" i="105"/>
  <c r="I1035" i="105"/>
  <c r="I1034" i="105"/>
  <c r="I846" i="105"/>
  <c r="I847" i="105"/>
  <c r="I1200" i="105"/>
  <c r="I1195" i="105"/>
  <c r="I1190" i="105"/>
  <c r="K1193" i="105"/>
  <c r="M1193" i="105"/>
  <c r="J1193" i="105"/>
  <c r="I1207" i="105" l="1"/>
  <c r="I1003" i="105"/>
  <c r="I1002" i="105"/>
  <c r="I979" i="105"/>
  <c r="I978" i="105"/>
  <c r="I971" i="105"/>
  <c r="I970" i="105"/>
  <c r="I967" i="105"/>
  <c r="I966" i="105"/>
  <c r="I963" i="105"/>
  <c r="I962" i="105"/>
  <c r="I959" i="105"/>
  <c r="I958" i="105"/>
  <c r="I955" i="105"/>
  <c r="I954" i="105"/>
  <c r="I951" i="105"/>
  <c r="I950" i="105"/>
  <c r="I947" i="105"/>
  <c r="I946" i="105"/>
  <c r="I943" i="105"/>
  <c r="I942" i="105"/>
  <c r="I939" i="105"/>
  <c r="I938" i="105"/>
  <c r="I935" i="105"/>
  <c r="I934" i="105"/>
  <c r="I931" i="105"/>
  <c r="I930" i="105"/>
  <c r="I927" i="105"/>
  <c r="I926" i="105"/>
  <c r="I923" i="105"/>
  <c r="I922" i="105"/>
  <c r="I919" i="105"/>
  <c r="I918" i="105"/>
  <c r="I915" i="105"/>
  <c r="I914" i="105"/>
  <c r="I910" i="105"/>
  <c r="I911" i="105"/>
  <c r="I907" i="105"/>
  <c r="I906" i="105"/>
  <c r="I903" i="105"/>
  <c r="I902" i="105"/>
  <c r="I899" i="105"/>
  <c r="I898" i="105"/>
  <c r="I895" i="105"/>
  <c r="I894" i="105"/>
  <c r="I891" i="105"/>
  <c r="I890" i="105"/>
  <c r="I887" i="105"/>
  <c r="I886" i="105"/>
  <c r="I883" i="105"/>
  <c r="I882" i="105"/>
  <c r="I879" i="105"/>
  <c r="I878" i="105"/>
  <c r="I875" i="105"/>
  <c r="I874" i="105"/>
  <c r="I851" i="105"/>
  <c r="I850" i="105"/>
  <c r="I843" i="105"/>
  <c r="I838" i="105"/>
  <c r="I833" i="105"/>
  <c r="I798" i="105"/>
  <c r="I788" i="105"/>
  <c r="I783" i="105"/>
  <c r="I778" i="105"/>
  <c r="I823" i="105"/>
  <c r="I818" i="105"/>
  <c r="I793" i="105"/>
  <c r="I842" i="105"/>
  <c r="I837" i="105"/>
  <c r="I832" i="105"/>
  <c r="I827" i="105"/>
  <c r="I822" i="105"/>
  <c r="I817" i="105"/>
  <c r="I812" i="105"/>
  <c r="I807" i="105"/>
  <c r="I802" i="105"/>
  <c r="I797" i="105"/>
  <c r="I792" i="105"/>
  <c r="I787" i="105"/>
  <c r="I782" i="105"/>
  <c r="I777" i="105"/>
  <c r="N747" i="105"/>
  <c r="N748" i="105" s="1"/>
  <c r="I773" i="105"/>
  <c r="I763" i="105"/>
  <c r="I758" i="105"/>
  <c r="I753" i="105"/>
  <c r="I768" i="105"/>
  <c r="I772" i="105"/>
  <c r="I767" i="105"/>
  <c r="I762" i="105"/>
  <c r="I757" i="105"/>
  <c r="I752" i="105"/>
  <c r="I743" i="105"/>
  <c r="I742" i="105"/>
  <c r="I734" i="105"/>
  <c r="I729" i="105"/>
  <c r="I724" i="105"/>
  <c r="I719" i="105"/>
  <c r="I714" i="105"/>
  <c r="I709" i="105"/>
  <c r="I699" i="105"/>
  <c r="I694" i="105"/>
  <c r="I733" i="105"/>
  <c r="I728" i="105"/>
  <c r="I723" i="105"/>
  <c r="I718" i="105"/>
  <c r="I713" i="105"/>
  <c r="I708" i="105"/>
  <c r="I703" i="105"/>
  <c r="I698" i="105"/>
  <c r="I693" i="105"/>
  <c r="I689" i="105"/>
  <c r="I688" i="105"/>
  <c r="I683" i="105"/>
  <c r="I679" i="105"/>
  <c r="I678" i="105"/>
  <c r="I672" i="105"/>
  <c r="I663" i="105"/>
  <c r="I667" i="105"/>
  <c r="I662" i="105"/>
  <c r="I657" i="105"/>
  <c r="I658" i="105"/>
  <c r="I645" i="105"/>
  <c r="I653" i="105"/>
  <c r="I652" i="105"/>
  <c r="I684" i="105"/>
  <c r="I674" i="105"/>
  <c r="I668" i="105"/>
  <c r="I644" i="105"/>
  <c r="I639" i="105"/>
  <c r="I633" i="105"/>
  <c r="I628" i="105"/>
  <c r="I623" i="105"/>
  <c r="I618" i="105"/>
  <c r="I634" i="105"/>
  <c r="I629" i="105"/>
  <c r="I624" i="105"/>
  <c r="I613" i="105"/>
  <c r="I608" i="105"/>
  <c r="I603" i="105"/>
  <c r="I612" i="105"/>
  <c r="I607" i="105"/>
  <c r="I602" i="105"/>
  <c r="I598" i="105"/>
  <c r="I597" i="105"/>
  <c r="I592" i="105"/>
  <c r="I588" i="105"/>
  <c r="I587" i="105"/>
  <c r="I574" i="105"/>
  <c r="I583" i="105"/>
  <c r="I579" i="105"/>
  <c r="I578" i="105"/>
  <c r="I573" i="105"/>
  <c r="I569" i="105"/>
  <c r="I568" i="105"/>
  <c r="I516" i="105"/>
  <c r="I526" i="105"/>
  <c r="I540" i="105"/>
  <c r="I549" i="105"/>
  <c r="I564" i="105"/>
  <c r="I544" i="105"/>
  <c r="I535" i="105"/>
  <c r="I530" i="105"/>
  <c r="I521" i="105"/>
  <c r="I563" i="105"/>
  <c r="I558" i="105"/>
  <c r="I553" i="105"/>
  <c r="I548" i="105"/>
  <c r="I543" i="105"/>
  <c r="I539" i="105"/>
  <c r="I534" i="105"/>
  <c r="I529" i="105"/>
  <c r="I525" i="105"/>
  <c r="I520" i="105"/>
  <c r="I515" i="105"/>
  <c r="I511" i="105"/>
  <c r="I510" i="105"/>
  <c r="I506" i="105"/>
  <c r="I486" i="105"/>
  <c r="I476" i="105"/>
  <c r="I471" i="105"/>
  <c r="I505" i="105"/>
  <c r="I500" i="105"/>
  <c r="I495" i="105"/>
  <c r="I490" i="105"/>
  <c r="I485" i="105"/>
  <c r="I480" i="105"/>
  <c r="I475" i="105"/>
  <c r="I470" i="105"/>
  <c r="I466" i="105"/>
  <c r="I465" i="105"/>
  <c r="I461" i="105"/>
  <c r="I460" i="105"/>
  <c r="I455" i="105"/>
  <c r="I451" i="105"/>
  <c r="I450" i="105"/>
  <c r="I446" i="105"/>
  <c r="I445" i="105"/>
  <c r="I441" i="105"/>
  <c r="I440" i="105"/>
  <c r="I436" i="105"/>
  <c r="I435" i="105"/>
  <c r="I431" i="105"/>
  <c r="I430" i="105"/>
  <c r="I421" i="105"/>
  <c r="I417" i="105"/>
  <c r="I416" i="105"/>
  <c r="I412" i="105"/>
  <c r="I411" i="105"/>
  <c r="I407" i="105"/>
  <c r="I406" i="105"/>
  <c r="I402" i="105"/>
  <c r="I401" i="105"/>
  <c r="I398" i="105"/>
  <c r="I397" i="105"/>
  <c r="I392" i="105"/>
  <c r="I387" i="105"/>
  <c r="I383" i="105"/>
  <c r="I382" i="105"/>
  <c r="I378" i="105"/>
  <c r="I373" i="105"/>
  <c r="I368" i="105"/>
  <c r="I363" i="105"/>
  <c r="I358" i="105"/>
  <c r="I352" i="105"/>
  <c r="I353" i="105"/>
  <c r="I348" i="105"/>
  <c r="I343" i="105"/>
  <c r="I338" i="105"/>
  <c r="I377" i="105"/>
  <c r="I372" i="105"/>
  <c r="I367" i="105"/>
  <c r="I362" i="105"/>
  <c r="I357" i="105"/>
  <c r="I347" i="105"/>
  <c r="I342" i="105"/>
  <c r="I337" i="105"/>
  <c r="I332" i="105"/>
  <c r="I328" i="105"/>
  <c r="I327" i="105"/>
  <c r="I323" i="105"/>
  <c r="I322" i="105"/>
  <c r="J287" i="105"/>
  <c r="J288" i="105" s="1"/>
  <c r="K287" i="105"/>
  <c r="K288" i="105" s="1"/>
  <c r="L287" i="105"/>
  <c r="L288" i="105" s="1"/>
  <c r="M287" i="105"/>
  <c r="M288" i="105" s="1"/>
  <c r="N287" i="105"/>
  <c r="N288" i="105" s="1"/>
  <c r="I318" i="105"/>
  <c r="I313" i="105"/>
  <c r="I308" i="105"/>
  <c r="I303" i="105"/>
  <c r="I298" i="105"/>
  <c r="I293" i="105"/>
  <c r="I317" i="105"/>
  <c r="I312" i="105"/>
  <c r="I307" i="105"/>
  <c r="I302" i="105"/>
  <c r="I297" i="105"/>
  <c r="I292" i="105"/>
  <c r="I283" i="105"/>
  <c r="I273" i="105"/>
  <c r="I268" i="105"/>
  <c r="I278" i="105"/>
  <c r="I282" i="105"/>
  <c r="I277" i="105"/>
  <c r="I272" i="105"/>
  <c r="I267" i="105"/>
  <c r="I257" i="105"/>
  <c r="I218" i="105"/>
  <c r="I223" i="105"/>
  <c r="I233" i="105"/>
  <c r="I238" i="105"/>
  <c r="I243" i="105"/>
  <c r="I248" i="105"/>
  <c r="I253" i="105"/>
  <c r="I252" i="105"/>
  <c r="I247" i="105"/>
  <c r="I242" i="105"/>
  <c r="I237" i="105"/>
  <c r="I232" i="105"/>
  <c r="I227" i="105"/>
  <c r="I222" i="105"/>
  <c r="I217" i="105"/>
  <c r="I213" i="105"/>
  <c r="I212" i="105"/>
  <c r="I207" i="105"/>
  <c r="I203" i="105"/>
  <c r="I202" i="105"/>
  <c r="I198" i="105"/>
  <c r="I197" i="105"/>
  <c r="I193" i="105"/>
  <c r="I192" i="105"/>
  <c r="I188" i="105"/>
  <c r="I187" i="105"/>
  <c r="I183" i="105"/>
  <c r="I173" i="105"/>
  <c r="I168" i="105"/>
  <c r="I163" i="105"/>
  <c r="I158" i="105"/>
  <c r="I178" i="105"/>
  <c r="I182" i="105"/>
  <c r="I177" i="105"/>
  <c r="I172" i="105"/>
  <c r="I167" i="105"/>
  <c r="I162" i="105"/>
  <c r="I157" i="105"/>
  <c r="K152" i="105"/>
  <c r="K153" i="105" s="1"/>
  <c r="L152" i="105"/>
  <c r="L153" i="105" s="1"/>
  <c r="M152" i="105"/>
  <c r="M153" i="105" s="1"/>
  <c r="N152" i="105"/>
  <c r="N153" i="105" s="1"/>
  <c r="J152" i="105"/>
  <c r="J153" i="105" s="1"/>
  <c r="I148" i="105"/>
  <c r="I143" i="105"/>
  <c r="I138" i="105"/>
  <c r="I147" i="105"/>
  <c r="I142" i="105"/>
  <c r="I137" i="105"/>
  <c r="I124" i="105"/>
  <c r="I119" i="105"/>
  <c r="I114" i="105"/>
  <c r="I109" i="105"/>
  <c r="I104" i="105"/>
  <c r="I129" i="105"/>
  <c r="I128" i="105"/>
  <c r="I123" i="105"/>
  <c r="I118" i="105"/>
  <c r="I113" i="105"/>
  <c r="I108" i="105"/>
  <c r="I103" i="105"/>
  <c r="I94" i="105"/>
  <c r="I93" i="105"/>
  <c r="I88" i="105"/>
  <c r="I81" i="105"/>
  <c r="I77" i="105"/>
  <c r="N39" i="105"/>
  <c r="I47" i="105"/>
  <c r="I52" i="105"/>
  <c r="I57" i="105"/>
  <c r="I62" i="105"/>
  <c r="I72" i="105"/>
  <c r="I67" i="105"/>
  <c r="I71" i="105"/>
  <c r="I66" i="105"/>
  <c r="I61" i="105"/>
  <c r="I56" i="105"/>
  <c r="I51" i="105"/>
  <c r="I46" i="105"/>
  <c r="I37" i="105"/>
  <c r="I36" i="105"/>
  <c r="I31" i="105"/>
  <c r="I27" i="105"/>
  <c r="I26" i="105"/>
  <c r="I21" i="105"/>
  <c r="I17" i="105"/>
  <c r="I16" i="105"/>
  <c r="I12" i="105"/>
  <c r="I11" i="105"/>
  <c r="I172" i="104"/>
  <c r="I747" i="105" l="1"/>
  <c r="I813" i="105"/>
  <c r="I828" i="105"/>
  <c r="I640" i="105"/>
  <c r="I584" i="105"/>
  <c r="I262" i="105"/>
  <c r="I287" i="105"/>
  <c r="I393" i="105"/>
  <c r="I388" i="105"/>
  <c r="I98" i="105"/>
  <c r="I41" i="105"/>
  <c r="I152" i="105"/>
  <c r="I89" i="105"/>
  <c r="I32" i="105"/>
  <c r="I22" i="105"/>
  <c r="P318" i="104"/>
  <c r="P319" i="104" s="1"/>
  <c r="Q318" i="104"/>
  <c r="Q319" i="104" s="1"/>
  <c r="I312" i="104"/>
  <c r="K318" i="104"/>
  <c r="K319" i="104" s="1"/>
  <c r="L318" i="104"/>
  <c r="L319" i="104" s="1"/>
  <c r="M318" i="104"/>
  <c r="M319" i="104" s="1"/>
  <c r="N318" i="104"/>
  <c r="N319" i="104" s="1"/>
  <c r="O318" i="104"/>
  <c r="O319" i="104" s="1"/>
  <c r="J318" i="104"/>
  <c r="J319" i="104" s="1"/>
  <c r="I259" i="104"/>
  <c r="I255" i="104"/>
  <c r="I251" i="104"/>
  <c r="I247" i="104"/>
  <c r="I243" i="104"/>
  <c r="I238" i="104"/>
  <c r="I234" i="104"/>
  <c r="I230" i="104"/>
  <c r="I226" i="104"/>
  <c r="I221" i="104"/>
  <c r="I216" i="104"/>
  <c r="I211" i="104"/>
  <c r="I210" i="104"/>
  <c r="I205" i="104"/>
  <c r="I200" i="104"/>
  <c r="I195" i="104"/>
  <c r="I184" i="104"/>
  <c r="I171" i="104"/>
  <c r="I166" i="104"/>
  <c r="I161" i="104"/>
  <c r="I155" i="104"/>
  <c r="I150" i="104"/>
  <c r="I146" i="104"/>
  <c r="I145" i="104"/>
  <c r="I140" i="104"/>
  <c r="I138" i="104"/>
  <c r="I137" i="104"/>
  <c r="I129" i="104"/>
  <c r="I128" i="104"/>
  <c r="I123" i="104"/>
  <c r="I122" i="104"/>
  <c r="I121" i="104"/>
  <c r="I113" i="104"/>
  <c r="I112" i="104"/>
  <c r="I100" i="104"/>
  <c r="I101" i="104"/>
  <c r="I99" i="104"/>
  <c r="I89" i="104"/>
  <c r="I83" i="104"/>
  <c r="I82" i="104"/>
  <c r="I78" i="104"/>
  <c r="I77" i="104"/>
  <c r="I72" i="104"/>
  <c r="I71" i="104"/>
  <c r="I66" i="104"/>
  <c r="I61" i="104"/>
  <c r="I60" i="104"/>
  <c r="I59" i="104"/>
  <c r="J190" i="104"/>
  <c r="I49" i="104"/>
  <c r="I44" i="104"/>
  <c r="I38" i="104"/>
  <c r="I32" i="104"/>
  <c r="I26" i="104"/>
  <c r="I20" i="104"/>
  <c r="I19" i="104"/>
  <c r="I13" i="104"/>
  <c r="I10" i="104"/>
  <c r="I12" i="104"/>
  <c r="N199" i="102"/>
  <c r="N188" i="102"/>
  <c r="N176" i="102"/>
  <c r="N175" i="102"/>
  <c r="N165" i="102"/>
  <c r="N158" i="102"/>
  <c r="N149" i="102"/>
  <c r="N153" i="102"/>
  <c r="N148" i="102"/>
  <c r="N143" i="102"/>
  <c r="N141" i="102"/>
  <c r="N140" i="102"/>
  <c r="N132" i="102"/>
  <c r="N131" i="102"/>
  <c r="N126" i="102"/>
  <c r="N125" i="102"/>
  <c r="N124" i="102"/>
  <c r="N119" i="102"/>
  <c r="N117" i="102"/>
  <c r="N116" i="102"/>
  <c r="N104" i="102"/>
  <c r="N103" i="102"/>
  <c r="J213" i="102" l="1"/>
  <c r="J195" i="102"/>
  <c r="H213" i="102"/>
  <c r="H195" i="102"/>
  <c r="F213" i="102"/>
  <c r="F195" i="102"/>
  <c r="I213" i="102"/>
  <c r="I195" i="102"/>
  <c r="G213" i="102"/>
  <c r="G195" i="102"/>
  <c r="P300" i="104"/>
  <c r="P301" i="104" s="1"/>
  <c r="P190" i="104"/>
  <c r="M300" i="104"/>
  <c r="M301" i="104" s="1"/>
  <c r="M190" i="104"/>
  <c r="Q300" i="104"/>
  <c r="Q301" i="104" s="1"/>
  <c r="Q190" i="104"/>
  <c r="N300" i="104"/>
  <c r="N301" i="104" s="1"/>
  <c r="N190" i="104"/>
  <c r="I162" i="104"/>
  <c r="I217" i="104"/>
  <c r="I117" i="104"/>
  <c r="I50" i="104"/>
  <c r="I244" i="104"/>
  <c r="I260" i="104"/>
  <c r="I239" i="104"/>
  <c r="J301" i="104"/>
  <c r="I201" i="104"/>
  <c r="I295" i="104"/>
  <c r="I318" i="104"/>
  <c r="I94" i="104"/>
  <c r="I54" i="104"/>
  <c r="I256" i="104"/>
  <c r="I252" i="104"/>
  <c r="I248" i="104"/>
  <c r="I235" i="104"/>
  <c r="I231" i="104"/>
  <c r="I227" i="104"/>
  <c r="I222" i="104"/>
  <c r="I206" i="104"/>
  <c r="I39" i="104"/>
  <c r="I45" i="104"/>
  <c r="I151" i="104"/>
  <c r="I167" i="104"/>
  <c r="I185" i="104"/>
  <c r="I179" i="104"/>
  <c r="I67" i="104"/>
  <c r="I27" i="104"/>
  <c r="N108" i="102"/>
  <c r="N127" i="102"/>
  <c r="N144" i="102"/>
  <c r="N154" i="102"/>
  <c r="N93" i="102"/>
  <c r="N94" i="102" s="1"/>
  <c r="N86" i="102"/>
  <c r="N85" i="102"/>
  <c r="N81" i="102"/>
  <c r="N80" i="102"/>
  <c r="N74" i="102"/>
  <c r="N73" i="102"/>
  <c r="N69" i="102"/>
  <c r="N68" i="102"/>
  <c r="N61" i="102"/>
  <c r="N63" i="102"/>
  <c r="N62" i="102"/>
  <c r="N46" i="102"/>
  <c r="N39" i="102"/>
  <c r="N32" i="102"/>
  <c r="N26" i="102"/>
  <c r="N20" i="102"/>
  <c r="N19" i="102"/>
  <c r="N13" i="102"/>
  <c r="N12" i="102"/>
  <c r="N10" i="102"/>
  <c r="M36" i="115"/>
  <c r="M38" i="115"/>
  <c r="M34" i="115"/>
  <c r="L30" i="115"/>
  <c r="M30" i="115"/>
  <c r="M28" i="115"/>
  <c r="I16" i="109" s="1"/>
  <c r="M29" i="115"/>
  <c r="I17" i="109" s="1"/>
  <c r="M27" i="115"/>
  <c r="L26" i="115"/>
  <c r="M24" i="115"/>
  <c r="M25" i="115"/>
  <c r="M23" i="115"/>
  <c r="L21" i="115"/>
  <c r="L14" i="115" s="1"/>
  <c r="M21" i="115"/>
  <c r="I18" i="109" s="1"/>
  <c r="M17" i="115"/>
  <c r="M18" i="115"/>
  <c r="M16" i="115"/>
  <c r="M9" i="115"/>
  <c r="M10" i="115"/>
  <c r="M8" i="115"/>
  <c r="M63" i="113"/>
  <c r="M60" i="113" s="1"/>
  <c r="M62" i="113"/>
  <c r="L60" i="113"/>
  <c r="M59" i="113"/>
  <c r="M58" i="113"/>
  <c r="M57" i="113"/>
  <c r="L56" i="113"/>
  <c r="M54" i="113"/>
  <c r="M55" i="113"/>
  <c r="M52" i="113" s="1"/>
  <c r="E23" i="109" s="1"/>
  <c r="M53" i="113"/>
  <c r="L52" i="113"/>
  <c r="L45" i="113"/>
  <c r="M45" i="113"/>
  <c r="M43" i="113"/>
  <c r="E17" i="109" s="1"/>
  <c r="M40" i="113"/>
  <c r="M39" i="113" s="1"/>
  <c r="E16" i="109" s="1"/>
  <c r="L39" i="113"/>
  <c r="M38" i="113"/>
  <c r="M37" i="113"/>
  <c r="K35" i="113"/>
  <c r="M30" i="113"/>
  <c r="M27" i="113"/>
  <c r="M28" i="113"/>
  <c r="M26" i="113"/>
  <c r="M18" i="113"/>
  <c r="M16" i="113" s="1"/>
  <c r="M15" i="113" s="1"/>
  <c r="M19" i="113"/>
  <c r="M20" i="113"/>
  <c r="M21" i="113"/>
  <c r="M22" i="113"/>
  <c r="M23" i="113"/>
  <c r="M24" i="113"/>
  <c r="M17" i="113"/>
  <c r="L16" i="113"/>
  <c r="L15" i="113"/>
  <c r="M12" i="113"/>
  <c r="M10" i="113"/>
  <c r="M9" i="113" s="1"/>
  <c r="L9" i="113"/>
  <c r="L8" i="113" s="1"/>
  <c r="F93" i="122"/>
  <c r="F9" i="122"/>
  <c r="F10" i="122"/>
  <c r="F11" i="122"/>
  <c r="F12" i="122"/>
  <c r="F13" i="122"/>
  <c r="F14" i="122"/>
  <c r="F15" i="122"/>
  <c r="F16" i="122"/>
  <c r="F17" i="122"/>
  <c r="F18" i="122"/>
  <c r="F19" i="122"/>
  <c r="F20" i="122"/>
  <c r="F21" i="122"/>
  <c r="F22" i="122"/>
  <c r="F23" i="122"/>
  <c r="F24" i="122"/>
  <c r="F25" i="122"/>
  <c r="F26" i="122"/>
  <c r="F27" i="122"/>
  <c r="F37" i="122"/>
  <c r="F38" i="122"/>
  <c r="F42" i="122"/>
  <c r="F43" i="122"/>
  <c r="F45" i="122"/>
  <c r="F46" i="122"/>
  <c r="F47" i="122"/>
  <c r="F50" i="122"/>
  <c r="F51" i="122"/>
  <c r="F53" i="122"/>
  <c r="F54" i="122"/>
  <c r="F57" i="122"/>
  <c r="F58" i="122"/>
  <c r="F60" i="122"/>
  <c r="F62" i="122"/>
  <c r="F63" i="122"/>
  <c r="F64" i="122"/>
  <c r="F66" i="122"/>
  <c r="F67" i="122"/>
  <c r="F68" i="122"/>
  <c r="F69" i="122"/>
  <c r="F70" i="122"/>
  <c r="F71" i="122"/>
  <c r="F72" i="122"/>
  <c r="F74" i="122"/>
  <c r="F79" i="122"/>
  <c r="F82" i="122"/>
  <c r="F84" i="122"/>
  <c r="F87" i="122"/>
  <c r="F183" i="134"/>
  <c r="F187" i="134"/>
  <c r="F201" i="134"/>
  <c r="F211" i="134"/>
  <c r="F220" i="134"/>
  <c r="F223" i="134"/>
  <c r="F227" i="134"/>
  <c r="F233" i="134"/>
  <c r="F234" i="134"/>
  <c r="F239" i="134"/>
  <c r="F247" i="134"/>
  <c r="F254" i="134"/>
  <c r="F257" i="134"/>
  <c r="F259" i="134"/>
  <c r="F262" i="134"/>
  <c r="F264" i="134"/>
  <c r="F268" i="134"/>
  <c r="F269" i="134"/>
  <c r="F271" i="134"/>
  <c r="F272" i="134"/>
  <c r="F273" i="134"/>
  <c r="F274" i="134"/>
  <c r="F275" i="134"/>
  <c r="F286" i="134"/>
  <c r="F287" i="134"/>
  <c r="F288" i="134"/>
  <c r="F289" i="134"/>
  <c r="F290" i="134"/>
  <c r="F291" i="134"/>
  <c r="F292" i="134"/>
  <c r="F293" i="134"/>
  <c r="F306" i="134"/>
  <c r="F319" i="134"/>
  <c r="F320" i="134"/>
  <c r="F321" i="134"/>
  <c r="F331" i="134"/>
  <c r="F332" i="134"/>
  <c r="F339" i="134"/>
  <c r="F340" i="134"/>
  <c r="F341" i="134"/>
  <c r="F342" i="134"/>
  <c r="F343" i="134"/>
  <c r="F344" i="134"/>
  <c r="F369" i="134"/>
  <c r="F373" i="134"/>
  <c r="F375" i="134"/>
  <c r="F384" i="134"/>
  <c r="F393" i="134"/>
  <c r="F394" i="134"/>
  <c r="F395" i="134"/>
  <c r="F179" i="134"/>
  <c r="F163" i="134"/>
  <c r="F174" i="134"/>
  <c r="F162" i="134"/>
  <c r="F10" i="134"/>
  <c r="F11" i="134"/>
  <c r="F12" i="134"/>
  <c r="F13" i="134"/>
  <c r="F15" i="134"/>
  <c r="F17" i="134"/>
  <c r="F20" i="134"/>
  <c r="F21" i="134"/>
  <c r="F30" i="134"/>
  <c r="M34" i="113" l="1"/>
  <c r="M8" i="113"/>
  <c r="E7" i="109" s="1"/>
  <c r="F398" i="134"/>
  <c r="L12" i="115"/>
  <c r="L33" i="115" s="1"/>
  <c r="L40" i="115" s="1"/>
  <c r="M15" i="115"/>
  <c r="M14" i="115" s="1"/>
  <c r="M25" i="113"/>
  <c r="F94" i="122"/>
  <c r="K213" i="102"/>
  <c r="K195" i="102"/>
  <c r="M213" i="102"/>
  <c r="L213" i="102"/>
  <c r="L195" i="102"/>
  <c r="K300" i="104"/>
  <c r="K301" i="104" s="1"/>
  <c r="K190" i="104"/>
  <c r="O301" i="104"/>
  <c r="O190" i="104"/>
  <c r="L300" i="104"/>
  <c r="L190" i="104"/>
  <c r="M26" i="115"/>
  <c r="I12" i="109"/>
  <c r="M7" i="115"/>
  <c r="I15" i="109"/>
  <c r="I19" i="109" s="1"/>
  <c r="L51" i="113"/>
  <c r="L49" i="113" s="1"/>
  <c r="E15" i="109"/>
  <c r="E19" i="109" s="1"/>
  <c r="E9" i="109"/>
  <c r="L7" i="113"/>
  <c r="L47" i="113" s="1"/>
  <c r="F175" i="134"/>
  <c r="I189" i="104"/>
  <c r="I306" i="104"/>
  <c r="N52" i="102"/>
  <c r="N21" i="102"/>
  <c r="N41" i="102"/>
  <c r="N47" i="102"/>
  <c r="M56" i="113"/>
  <c r="M33" i="113"/>
  <c r="N138" i="102"/>
  <c r="N195" i="102" l="1"/>
  <c r="M12" i="115"/>
  <c r="M33" i="115" s="1"/>
  <c r="M40" i="115" s="1"/>
  <c r="E33" i="109"/>
  <c r="N212" i="102"/>
  <c r="I300" i="104"/>
  <c r="L301" i="104"/>
  <c r="M7" i="113"/>
  <c r="M47" i="113" s="1"/>
  <c r="M51" i="113"/>
  <c r="M49" i="113" s="1"/>
  <c r="E28" i="109"/>
  <c r="E35" i="109" s="1"/>
  <c r="E13" i="109"/>
  <c r="E20" i="109" s="1"/>
  <c r="L64" i="113"/>
  <c r="L41" i="115" s="1"/>
  <c r="L48" i="113"/>
  <c r="I50" i="113"/>
  <c r="M48" i="113" l="1"/>
  <c r="E29" i="109"/>
  <c r="E30" i="109" s="1"/>
  <c r="M64" i="113"/>
  <c r="M41" i="115" s="1"/>
  <c r="F744" i="105"/>
  <c r="G744" i="105"/>
  <c r="E744" i="105"/>
  <c r="E38" i="109" l="1"/>
  <c r="E37" i="109"/>
  <c r="M330" i="105" l="1"/>
  <c r="I340" i="105"/>
  <c r="F41" i="134" l="1"/>
  <c r="K62" i="113" l="1"/>
  <c r="I22" i="134"/>
  <c r="F22" i="134" l="1"/>
  <c r="I23" i="134"/>
  <c r="M23" i="134"/>
  <c r="F23" i="134" s="1"/>
  <c r="P11" i="123"/>
  <c r="P14" i="123" l="1"/>
  <c r="J41" i="123" l="1"/>
  <c r="M310" i="104"/>
  <c r="N310" i="104"/>
  <c r="P310" i="104"/>
  <c r="Q310" i="104"/>
  <c r="K153" i="104"/>
  <c r="L153" i="104"/>
  <c r="O153" i="104"/>
  <c r="J153" i="104"/>
  <c r="R32" i="123"/>
  <c r="L32" i="123"/>
  <c r="L31" i="123"/>
  <c r="M28" i="134"/>
  <c r="Q13" i="123"/>
  <c r="I19" i="134"/>
  <c r="F19" i="134" s="1"/>
  <c r="I14" i="134"/>
  <c r="F14" i="134" s="1"/>
  <c r="Q10" i="123"/>
  <c r="F28" i="134" l="1"/>
  <c r="M160" i="134"/>
  <c r="O310" i="104"/>
  <c r="K310" i="104"/>
  <c r="I157" i="104"/>
  <c r="J310" i="104"/>
  <c r="L310" i="104"/>
  <c r="F32" i="123"/>
  <c r="R31" i="123"/>
  <c r="F31" i="123" s="1"/>
  <c r="I313" i="104" l="1"/>
  <c r="L701" i="105"/>
  <c r="L551" i="105"/>
  <c r="I554" i="105" s="1"/>
  <c r="L556" i="105"/>
  <c r="I559" i="105" l="1"/>
  <c r="I704" i="105"/>
  <c r="I75" i="134"/>
  <c r="I74" i="134"/>
  <c r="R11" i="123" l="1"/>
  <c r="R12" i="123"/>
  <c r="R13" i="123"/>
  <c r="L11" i="123"/>
  <c r="L12" i="123"/>
  <c r="L13" i="123"/>
  <c r="F13" i="123" l="1"/>
  <c r="F11" i="123"/>
  <c r="F12" i="123"/>
  <c r="R30" i="123"/>
  <c r="L30" i="123"/>
  <c r="R29" i="123"/>
  <c r="L29" i="123"/>
  <c r="Q28" i="123"/>
  <c r="F30" i="123" l="1"/>
  <c r="F29" i="123"/>
  <c r="L197" i="102" l="1"/>
  <c r="I840" i="105"/>
  <c r="I8" i="134"/>
  <c r="I224" i="104"/>
  <c r="I835" i="105"/>
  <c r="I29" i="134"/>
  <c r="I830" i="105"/>
  <c r="I219" i="104"/>
  <c r="I825" i="105"/>
  <c r="I27" i="134"/>
  <c r="I820" i="105"/>
  <c r="I24" i="134"/>
  <c r="I15" i="115"/>
  <c r="I160" i="134" l="1"/>
  <c r="F8" i="134"/>
  <c r="M175" i="134"/>
  <c r="H175" i="134"/>
  <c r="G175" i="134"/>
  <c r="G72" i="134"/>
  <c r="F72" i="134" s="1"/>
  <c r="G9" i="134"/>
  <c r="G160" i="134" l="1"/>
  <c r="G176" i="134" s="1"/>
  <c r="G399" i="134" s="1"/>
  <c r="F9" i="134"/>
  <c r="F160" i="134" s="1"/>
  <c r="L176" i="134"/>
  <c r="L399" i="134" s="1"/>
  <c r="H176" i="134"/>
  <c r="H399" i="134" s="1"/>
  <c r="M176" i="134"/>
  <c r="M399" i="134" s="1"/>
  <c r="I176" i="134"/>
  <c r="I399" i="134" s="1"/>
  <c r="F176" i="134" l="1"/>
  <c r="F399" i="134" s="1"/>
  <c r="L498" i="105"/>
  <c r="I501" i="105" s="1"/>
  <c r="F403" i="134" l="1"/>
  <c r="H309" i="104"/>
  <c r="L493" i="105" l="1"/>
  <c r="L1193" i="105" s="1"/>
  <c r="I135" i="105"/>
  <c r="L453" i="105"/>
  <c r="I456" i="105" l="1"/>
  <c r="I496" i="105"/>
  <c r="E259" i="105"/>
  <c r="N488" i="105" l="1"/>
  <c r="I491" i="105" l="1"/>
  <c r="N225" i="105"/>
  <c r="I228" i="105" s="1"/>
  <c r="L805" i="105"/>
  <c r="I681" i="105"/>
  <c r="N150" i="105"/>
  <c r="I815" i="105"/>
  <c r="L800" i="105"/>
  <c r="I810" i="105"/>
  <c r="I795" i="105"/>
  <c r="I790" i="105"/>
  <c r="I785" i="105"/>
  <c r="I780" i="105"/>
  <c r="I775" i="105"/>
  <c r="I610" i="105"/>
  <c r="I721" i="105"/>
  <c r="I605" i="105"/>
  <c r="I458" i="105"/>
  <c r="I748" i="105" l="1"/>
  <c r="N1193" i="105"/>
  <c r="I800" i="105"/>
  <c r="I805" i="105"/>
  <c r="I808" i="105"/>
  <c r="I745" i="105"/>
  <c r="I215" i="105"/>
  <c r="I126" i="105"/>
  <c r="I121" i="105"/>
  <c r="I1193" i="105" l="1"/>
  <c r="K92" i="104" l="1"/>
  <c r="L92" i="104"/>
  <c r="M92" i="104"/>
  <c r="N92" i="104"/>
  <c r="O92" i="104"/>
  <c r="P92" i="104"/>
  <c r="Q92" i="104"/>
  <c r="J92" i="104"/>
  <c r="F96" i="102"/>
  <c r="G96" i="102"/>
  <c r="H96" i="102"/>
  <c r="I96" i="102"/>
  <c r="J96" i="102"/>
  <c r="K96" i="102"/>
  <c r="L96" i="102"/>
  <c r="M96" i="102"/>
  <c r="E96" i="102"/>
  <c r="D37" i="75"/>
  <c r="N99" i="102" l="1"/>
  <c r="E181" i="102"/>
  <c r="F181" i="102"/>
  <c r="N59" i="102"/>
  <c r="F31" i="75" l="1"/>
  <c r="F30" i="75" l="1"/>
  <c r="H18" i="103" l="1"/>
  <c r="G18" i="103"/>
  <c r="F18" i="103"/>
  <c r="E18" i="103"/>
  <c r="N91" i="102"/>
  <c r="N83" i="102"/>
  <c r="H92" i="104"/>
  <c r="G92" i="104"/>
  <c r="F92" i="104"/>
  <c r="I87" i="104"/>
  <c r="I80" i="104"/>
  <c r="F23" i="75" l="1"/>
  <c r="F22" i="75"/>
  <c r="P41" i="123"/>
  <c r="L40" i="123"/>
  <c r="L39" i="123"/>
  <c r="L28" i="123"/>
  <c r="L27" i="123"/>
  <c r="L26" i="123"/>
  <c r="L25" i="123"/>
  <c r="L24" i="123"/>
  <c r="L23" i="123"/>
  <c r="L22" i="123"/>
  <c r="L21" i="123"/>
  <c r="L20" i="123"/>
  <c r="L19" i="123"/>
  <c r="L18" i="123"/>
  <c r="L17" i="123"/>
  <c r="L16" i="123"/>
  <c r="L15" i="123"/>
  <c r="L14" i="123"/>
  <c r="L10" i="123"/>
  <c r="R10" i="123"/>
  <c r="R14" i="123"/>
  <c r="F10" i="123" l="1"/>
  <c r="F14" i="123"/>
  <c r="R18" i="123" l="1"/>
  <c r="F18" i="123" s="1"/>
  <c r="R19" i="123"/>
  <c r="F19" i="123" s="1"/>
  <c r="R20" i="123"/>
  <c r="F20" i="123" s="1"/>
  <c r="R21" i="123"/>
  <c r="F21" i="123" s="1"/>
  <c r="R22" i="123"/>
  <c r="F22" i="123" s="1"/>
  <c r="R23" i="123"/>
  <c r="F23" i="123" s="1"/>
  <c r="R24" i="123"/>
  <c r="F24" i="123" s="1"/>
  <c r="R25" i="123"/>
  <c r="F25" i="123" s="1"/>
  <c r="R26" i="123"/>
  <c r="F26" i="123" s="1"/>
  <c r="R27" i="123"/>
  <c r="F27" i="123" s="1"/>
  <c r="R28" i="123"/>
  <c r="F28" i="123" s="1"/>
  <c r="R39" i="123"/>
  <c r="F39" i="123" s="1"/>
  <c r="R40" i="123"/>
  <c r="F40" i="123" s="1"/>
  <c r="N330" i="105" l="1"/>
  <c r="L330" i="105"/>
  <c r="K330" i="105"/>
  <c r="J330" i="105"/>
  <c r="F329" i="105"/>
  <c r="E329" i="105"/>
  <c r="N285" i="105" l="1"/>
  <c r="M285" i="105"/>
  <c r="L285" i="105"/>
  <c r="K285" i="105"/>
  <c r="J285" i="105"/>
  <c r="G284" i="105"/>
  <c r="F284" i="105"/>
  <c r="E284" i="105"/>
  <c r="N260" i="105"/>
  <c r="M260" i="105"/>
  <c r="L260" i="105"/>
  <c r="K260" i="105"/>
  <c r="J260" i="105"/>
  <c r="F259" i="105"/>
  <c r="M150" i="105"/>
  <c r="L150" i="105"/>
  <c r="K150" i="105"/>
  <c r="J150" i="105"/>
  <c r="G149" i="105"/>
  <c r="F149" i="105"/>
  <c r="E149" i="105"/>
  <c r="M39" i="105"/>
  <c r="L39" i="105"/>
  <c r="K39" i="105"/>
  <c r="J39" i="105"/>
  <c r="G38" i="105"/>
  <c r="F38" i="105"/>
  <c r="E38" i="105"/>
  <c r="H293" i="104"/>
  <c r="G293" i="104"/>
  <c r="F293" i="104"/>
  <c r="F315" i="104" s="1"/>
  <c r="E1187" i="105" l="1"/>
  <c r="E1205" i="105" s="1"/>
  <c r="F1187" i="105"/>
  <c r="F1205" i="105" s="1"/>
  <c r="G1187" i="105"/>
  <c r="G1205" i="105" s="1"/>
  <c r="J1198" i="105"/>
  <c r="L1198" i="105"/>
  <c r="N1198" i="105"/>
  <c r="K1198" i="105"/>
  <c r="M1198" i="105"/>
  <c r="J1188" i="105"/>
  <c r="I333" i="105"/>
  <c r="L1188" i="105"/>
  <c r="L1205" i="105" s="1"/>
  <c r="N1188" i="105"/>
  <c r="N1205" i="105" s="1"/>
  <c r="K1188" i="105"/>
  <c r="K1205" i="105" s="1"/>
  <c r="M1188" i="105"/>
  <c r="M1205" i="105" s="1"/>
  <c r="I263" i="105"/>
  <c r="I153" i="105"/>
  <c r="I99" i="105"/>
  <c r="I96" i="105"/>
  <c r="J1205" i="105" l="1"/>
  <c r="I1191" i="105"/>
  <c r="H10" i="109"/>
  <c r="I288" i="105"/>
  <c r="I1201" i="105"/>
  <c r="I1188" i="105"/>
  <c r="I42" i="105"/>
  <c r="I182" i="104"/>
  <c r="I1208" i="105" l="1"/>
  <c r="H177" i="104"/>
  <c r="G177" i="104"/>
  <c r="F177" i="104"/>
  <c r="Q177" i="104"/>
  <c r="P177" i="104"/>
  <c r="O177" i="104"/>
  <c r="N177" i="104"/>
  <c r="M177" i="104"/>
  <c r="L177" i="104"/>
  <c r="K177" i="104"/>
  <c r="J177" i="104"/>
  <c r="I164" i="104"/>
  <c r="I148" i="104"/>
  <c r="H52" i="104"/>
  <c r="H303" i="104" s="1"/>
  <c r="G52" i="104"/>
  <c r="F52" i="104"/>
  <c r="E54" i="102"/>
  <c r="Q52" i="104"/>
  <c r="P52" i="104"/>
  <c r="O52" i="104"/>
  <c r="N52" i="104"/>
  <c r="M52" i="104"/>
  <c r="L52" i="104"/>
  <c r="K52" i="104"/>
  <c r="J52" i="104"/>
  <c r="I64" i="104"/>
  <c r="M181" i="102"/>
  <c r="L181" i="102"/>
  <c r="K181" i="102"/>
  <c r="J181" i="102"/>
  <c r="I181" i="102"/>
  <c r="H181" i="102"/>
  <c r="G181" i="102"/>
  <c r="N151" i="102"/>
  <c r="N66" i="102"/>
  <c r="K304" i="104" l="1"/>
  <c r="M304" i="104"/>
  <c r="O304" i="104"/>
  <c r="Q304" i="104"/>
  <c r="J304" i="104"/>
  <c r="L304" i="104"/>
  <c r="N304" i="104"/>
  <c r="P304" i="104"/>
  <c r="I180" i="104"/>
  <c r="N184" i="102"/>
  <c r="N181" i="102"/>
  <c r="E192" i="102"/>
  <c r="F303" i="104"/>
  <c r="I92" i="104"/>
  <c r="I52" i="104"/>
  <c r="J187" i="104"/>
  <c r="L187" i="104"/>
  <c r="N187" i="104"/>
  <c r="I177" i="104"/>
  <c r="F187" i="104"/>
  <c r="F298" i="104" s="1"/>
  <c r="K187" i="104"/>
  <c r="M187" i="104"/>
  <c r="O187" i="104"/>
  <c r="Q187" i="104"/>
  <c r="Q298" i="104" s="1"/>
  <c r="P187" i="104"/>
  <c r="P298" i="104" s="1"/>
  <c r="K21" i="115"/>
  <c r="K14" i="115" s="1"/>
  <c r="I21" i="115"/>
  <c r="I14" i="115" s="1"/>
  <c r="H21" i="115"/>
  <c r="G21" i="115"/>
  <c r="H15" i="115"/>
  <c r="G15" i="115"/>
  <c r="E210" i="102" l="1"/>
  <c r="I307" i="104"/>
  <c r="K298" i="104"/>
  <c r="M298" i="104"/>
  <c r="I10" i="109" s="1"/>
  <c r="N298" i="104"/>
  <c r="O298" i="104"/>
  <c r="L298" i="104"/>
  <c r="I55" i="104"/>
  <c r="I187" i="104"/>
  <c r="K26" i="115"/>
  <c r="Q41" i="123"/>
  <c r="O41" i="123"/>
  <c r="M41" i="123"/>
  <c r="K41" i="123"/>
  <c r="G41" i="123"/>
  <c r="R17" i="123"/>
  <c r="F17" i="123" s="1"/>
  <c r="R16" i="123"/>
  <c r="F16" i="123" s="1"/>
  <c r="I41" i="123"/>
  <c r="H41" i="123"/>
  <c r="R15" i="123"/>
  <c r="F15" i="123" s="1"/>
  <c r="L41" i="123"/>
  <c r="L103" i="122"/>
  <c r="N41" i="123"/>
  <c r="I64" i="105"/>
  <c r="I310" i="105"/>
  <c r="I438" i="105"/>
  <c r="I433" i="105"/>
  <c r="F6" i="75"/>
  <c r="F8" i="75"/>
  <c r="Q316" i="104"/>
  <c r="O316" i="104"/>
  <c r="M316" i="104"/>
  <c r="K316" i="104"/>
  <c r="Q323" i="104"/>
  <c r="I214" i="104"/>
  <c r="I208" i="104"/>
  <c r="I193" i="104"/>
  <c r="G9" i="115"/>
  <c r="G7" i="115" s="1"/>
  <c r="F325" i="104" s="1"/>
  <c r="I35" i="113"/>
  <c r="I34" i="113" s="1"/>
  <c r="H35" i="113"/>
  <c r="H34" i="113" s="1"/>
  <c r="G35" i="113"/>
  <c r="G34" i="113" s="1"/>
  <c r="I116" i="105"/>
  <c r="I111" i="105"/>
  <c r="I170" i="105"/>
  <c r="D36" i="109"/>
  <c r="D24" i="109"/>
  <c r="E44" i="75"/>
  <c r="D44" i="75"/>
  <c r="F41" i="75"/>
  <c r="F40" i="75"/>
  <c r="F38" i="75"/>
  <c r="E37" i="75"/>
  <c r="E42" i="75" s="1"/>
  <c r="D42" i="75"/>
  <c r="F36" i="75"/>
  <c r="F35" i="75"/>
  <c r="F34" i="75"/>
  <c r="F33" i="75"/>
  <c r="F32" i="75"/>
  <c r="F29" i="75"/>
  <c r="F28" i="75"/>
  <c r="F27" i="75"/>
  <c r="F26" i="75"/>
  <c r="F25" i="75"/>
  <c r="F24" i="75"/>
  <c r="F21" i="75"/>
  <c r="F20" i="75"/>
  <c r="F19" i="75"/>
  <c r="F18" i="75"/>
  <c r="F17" i="75"/>
  <c r="F16" i="75"/>
  <c r="F15" i="75"/>
  <c r="F14" i="75"/>
  <c r="F13" i="75"/>
  <c r="F12" i="75"/>
  <c r="F11" i="75"/>
  <c r="F10" i="75"/>
  <c r="F9" i="75"/>
  <c r="F7" i="75"/>
  <c r="I770" i="105"/>
  <c r="I765" i="105"/>
  <c r="I760" i="105"/>
  <c r="I755" i="105"/>
  <c r="I750" i="105"/>
  <c r="I740" i="105"/>
  <c r="I731" i="105"/>
  <c r="I726" i="105"/>
  <c r="I716" i="105"/>
  <c r="I711" i="105"/>
  <c r="I706" i="105"/>
  <c r="I701" i="105"/>
  <c r="I696" i="105"/>
  <c r="I691" i="105"/>
  <c r="I686" i="105"/>
  <c r="I676" i="105"/>
  <c r="I670" i="105"/>
  <c r="I665" i="105"/>
  <c r="I660" i="105"/>
  <c r="I655" i="105"/>
  <c r="I642" i="105"/>
  <c r="I637" i="105"/>
  <c r="I631" i="105"/>
  <c r="I626" i="105"/>
  <c r="I621" i="105"/>
  <c r="I616" i="105"/>
  <c r="I590" i="105"/>
  <c r="I581" i="105"/>
  <c r="I576" i="105"/>
  <c r="I571" i="105"/>
  <c r="I566" i="105"/>
  <c r="I561" i="105"/>
  <c r="I556" i="105"/>
  <c r="I551" i="105"/>
  <c r="I546" i="105"/>
  <c r="I537" i="105"/>
  <c r="I532" i="105"/>
  <c r="I523" i="105"/>
  <c r="I518" i="105"/>
  <c r="I513" i="105"/>
  <c r="I600" i="105"/>
  <c r="I595" i="105"/>
  <c r="I508" i="105"/>
  <c r="I503" i="105"/>
  <c r="I498" i="105"/>
  <c r="I493" i="105"/>
  <c r="I488" i="105"/>
  <c r="I483" i="105"/>
  <c r="I478" i="105"/>
  <c r="I473" i="105"/>
  <c r="I468" i="105"/>
  <c r="I463" i="105"/>
  <c r="I453" i="105"/>
  <c r="I448" i="105"/>
  <c r="I443" i="105"/>
  <c r="I428" i="105"/>
  <c r="I419" i="105"/>
  <c r="I414" i="105"/>
  <c r="I409" i="105"/>
  <c r="I404" i="105"/>
  <c r="I395" i="105"/>
  <c r="I390" i="105"/>
  <c r="I385" i="105"/>
  <c r="I380" i="105"/>
  <c r="I375" i="105"/>
  <c r="I370" i="105"/>
  <c r="I365" i="105"/>
  <c r="I360" i="105"/>
  <c r="I355" i="105"/>
  <c r="I350" i="105"/>
  <c r="I345" i="105"/>
  <c r="I335" i="105"/>
  <c r="I325" i="105"/>
  <c r="I320" i="105"/>
  <c r="I315" i="105"/>
  <c r="I305" i="105"/>
  <c r="I300" i="105"/>
  <c r="I295" i="105"/>
  <c r="I290" i="105"/>
  <c r="I280" i="105"/>
  <c r="I275" i="105"/>
  <c r="I270" i="105"/>
  <c r="I265" i="105"/>
  <c r="I255" i="105"/>
  <c r="I250" i="105"/>
  <c r="I245" i="105"/>
  <c r="I240" i="105"/>
  <c r="I235" i="105"/>
  <c r="I230" i="105"/>
  <c r="I225" i="105"/>
  <c r="I220" i="105"/>
  <c r="I210" i="105"/>
  <c r="I205" i="105"/>
  <c r="I200" i="105"/>
  <c r="I195" i="105"/>
  <c r="I190" i="105"/>
  <c r="I185" i="105"/>
  <c r="I180" i="105"/>
  <c r="I175" i="105"/>
  <c r="I165" i="105"/>
  <c r="I160" i="105"/>
  <c r="I155" i="105"/>
  <c r="I145" i="105"/>
  <c r="I140" i="105"/>
  <c r="I106" i="105"/>
  <c r="I101" i="105"/>
  <c r="I91" i="105"/>
  <c r="I86" i="105"/>
  <c r="I79" i="105"/>
  <c r="I74" i="105"/>
  <c r="I69" i="105"/>
  <c r="I59" i="105"/>
  <c r="I54" i="105"/>
  <c r="I49" i="105"/>
  <c r="I44" i="105"/>
  <c r="I34" i="105"/>
  <c r="I29" i="105"/>
  <c r="I24" i="105"/>
  <c r="I19" i="105"/>
  <c r="I14" i="105"/>
  <c r="I9" i="105"/>
  <c r="G309" i="104"/>
  <c r="F309" i="104"/>
  <c r="P316" i="104"/>
  <c r="N316" i="104"/>
  <c r="L316" i="104"/>
  <c r="H315" i="104"/>
  <c r="G315" i="104"/>
  <c r="I203" i="104"/>
  <c r="I198" i="104"/>
  <c r="I169" i="104"/>
  <c r="I159" i="104"/>
  <c r="I153" i="104"/>
  <c r="I143" i="104"/>
  <c r="I135" i="104"/>
  <c r="I126" i="104"/>
  <c r="I119" i="104"/>
  <c r="I110" i="104"/>
  <c r="I97" i="104"/>
  <c r="I75" i="104"/>
  <c r="I69" i="104"/>
  <c r="I57" i="104"/>
  <c r="I47" i="104"/>
  <c r="I42" i="104"/>
  <c r="I36" i="104"/>
  <c r="I30" i="104"/>
  <c r="I24" i="104"/>
  <c r="I17" i="104"/>
  <c r="H25" i="103"/>
  <c r="G25" i="103"/>
  <c r="F25" i="103"/>
  <c r="E25" i="103"/>
  <c r="H14" i="103"/>
  <c r="H27" i="103" s="1"/>
  <c r="H29" i="103" s="1"/>
  <c r="H30" i="103" s="1"/>
  <c r="G14" i="103"/>
  <c r="F14" i="103"/>
  <c r="F27" i="103" s="1"/>
  <c r="F29" i="103" s="1"/>
  <c r="F30" i="103" s="1"/>
  <c r="E14" i="103"/>
  <c r="N197" i="102"/>
  <c r="N186" i="102"/>
  <c r="N173" i="102"/>
  <c r="N163" i="102"/>
  <c r="N156" i="102"/>
  <c r="N146" i="102"/>
  <c r="N129" i="102"/>
  <c r="N122" i="102"/>
  <c r="N114" i="102"/>
  <c r="N101" i="102"/>
  <c r="N78" i="102"/>
  <c r="N71" i="102"/>
  <c r="M54" i="102"/>
  <c r="L54" i="102"/>
  <c r="K54" i="102"/>
  <c r="J54" i="102"/>
  <c r="I54" i="102"/>
  <c r="H54" i="102"/>
  <c r="G54" i="102"/>
  <c r="F54" i="102"/>
  <c r="N49" i="102"/>
  <c r="N44" i="102"/>
  <c r="N37" i="102"/>
  <c r="N30" i="102"/>
  <c r="N24" i="102"/>
  <c r="N17" i="102"/>
  <c r="K52" i="113"/>
  <c r="K34" i="115"/>
  <c r="I34" i="115"/>
  <c r="H34" i="115"/>
  <c r="G34" i="115"/>
  <c r="K30" i="115"/>
  <c r="I30" i="115"/>
  <c r="H30" i="115"/>
  <c r="G30" i="115"/>
  <c r="I26" i="115"/>
  <c r="H26" i="115"/>
  <c r="G26" i="115"/>
  <c r="I12" i="115"/>
  <c r="H14" i="115"/>
  <c r="H12" i="115" s="1"/>
  <c r="K7" i="115"/>
  <c r="I9" i="115"/>
  <c r="I7" i="115" s="1"/>
  <c r="H9" i="115"/>
  <c r="H7" i="115" s="1"/>
  <c r="K60" i="113"/>
  <c r="I60" i="113"/>
  <c r="H60" i="113"/>
  <c r="G60" i="113"/>
  <c r="K56" i="113"/>
  <c r="I56" i="113"/>
  <c r="H56" i="113"/>
  <c r="G56" i="113"/>
  <c r="I52" i="113"/>
  <c r="H52" i="113"/>
  <c r="G52" i="113"/>
  <c r="K45" i="113"/>
  <c r="I45" i="113"/>
  <c r="H45" i="113"/>
  <c r="G45" i="113"/>
  <c r="K39" i="113"/>
  <c r="I39" i="113"/>
  <c r="H39" i="113"/>
  <c r="G39" i="113"/>
  <c r="K34" i="113"/>
  <c r="I25" i="113"/>
  <c r="H25" i="113"/>
  <c r="G25" i="113"/>
  <c r="K16" i="113"/>
  <c r="I16" i="113"/>
  <c r="H16" i="113"/>
  <c r="H15" i="113" s="1"/>
  <c r="G16" i="113"/>
  <c r="G15" i="113" s="1"/>
  <c r="K15" i="113"/>
  <c r="I15" i="113"/>
  <c r="K9" i="113"/>
  <c r="K8" i="113" s="1"/>
  <c r="I9" i="113"/>
  <c r="I8" i="113" s="1"/>
  <c r="H9" i="113"/>
  <c r="G9" i="113"/>
  <c r="G8" i="113" s="1"/>
  <c r="H8" i="113"/>
  <c r="I39" i="105"/>
  <c r="I150" i="105"/>
  <c r="I260" i="105"/>
  <c r="I285" i="105"/>
  <c r="I330" i="105"/>
  <c r="I192" i="102"/>
  <c r="G27" i="103"/>
  <c r="G29" i="103" s="1"/>
  <c r="G30" i="103" s="1"/>
  <c r="E27" i="103"/>
  <c r="E29" i="103" s="1"/>
  <c r="E30" i="103" s="1"/>
  <c r="K33" i="113" l="1"/>
  <c r="I9" i="109"/>
  <c r="H9" i="109"/>
  <c r="I11" i="109"/>
  <c r="H11" i="109"/>
  <c r="I8" i="109"/>
  <c r="H8" i="109"/>
  <c r="I210" i="102"/>
  <c r="M323" i="104"/>
  <c r="I190" i="104"/>
  <c r="L323" i="104"/>
  <c r="G192" i="102"/>
  <c r="F192" i="102"/>
  <c r="J192" i="102"/>
  <c r="K192" i="102"/>
  <c r="M192" i="102"/>
  <c r="L192" i="102"/>
  <c r="R182" i="104"/>
  <c r="H33" i="113"/>
  <c r="P323" i="104"/>
  <c r="N323" i="104"/>
  <c r="F44" i="75"/>
  <c r="G33" i="113"/>
  <c r="I33" i="113"/>
  <c r="I47" i="113" s="1"/>
  <c r="K51" i="113"/>
  <c r="K49" i="113" s="1"/>
  <c r="I51" i="113"/>
  <c r="I310" i="104"/>
  <c r="I33" i="115"/>
  <c r="I40" i="115" s="1"/>
  <c r="N96" i="102"/>
  <c r="R92" i="104" s="1"/>
  <c r="I49" i="113"/>
  <c r="H29" i="109"/>
  <c r="H19" i="109"/>
  <c r="D35" i="109"/>
  <c r="D19" i="109"/>
  <c r="N54" i="102"/>
  <c r="F37" i="75"/>
  <c r="F42" i="75" s="1"/>
  <c r="F41" i="123"/>
  <c r="O323" i="104"/>
  <c r="K323" i="104"/>
  <c r="F323" i="104"/>
  <c r="H187" i="104"/>
  <c r="H298" i="104" s="1"/>
  <c r="H325" i="104" s="1"/>
  <c r="G303" i="104"/>
  <c r="G187" i="104"/>
  <c r="G298" i="104" s="1"/>
  <c r="I304" i="104"/>
  <c r="H192" i="102"/>
  <c r="H33" i="115"/>
  <c r="H40" i="115" s="1"/>
  <c r="G14" i="115"/>
  <c r="G12" i="115" s="1"/>
  <c r="G33" i="115" s="1"/>
  <c r="G40" i="115" s="1"/>
  <c r="H7" i="113"/>
  <c r="H47" i="113" s="1"/>
  <c r="G51" i="113"/>
  <c r="G49" i="113" s="1"/>
  <c r="H51" i="113"/>
  <c r="H49" i="113" s="1"/>
  <c r="K7" i="113"/>
  <c r="G7" i="113"/>
  <c r="G47" i="113" s="1"/>
  <c r="G64" i="113" s="1"/>
  <c r="I7" i="113"/>
  <c r="D13" i="109"/>
  <c r="D20" i="109" s="1"/>
  <c r="D29" i="109"/>
  <c r="K12" i="115"/>
  <c r="K33" i="115" s="1"/>
  <c r="I1198" i="105"/>
  <c r="I1205" i="105" s="1"/>
  <c r="R41" i="123"/>
  <c r="L210" i="102" l="1"/>
  <c r="M210" i="102"/>
  <c r="K210" i="102"/>
  <c r="J210" i="102"/>
  <c r="F210" i="102"/>
  <c r="H210" i="102"/>
  <c r="G210" i="102"/>
  <c r="N57" i="102"/>
  <c r="D33" i="109"/>
  <c r="K47" i="113"/>
  <c r="K64" i="113" s="1"/>
  <c r="I48" i="113"/>
  <c r="G48" i="113"/>
  <c r="G41" i="115"/>
  <c r="H323" i="104"/>
  <c r="G323" i="104"/>
  <c r="G325" i="104"/>
  <c r="N192" i="102"/>
  <c r="R187" i="104" s="1"/>
  <c r="H48" i="113"/>
  <c r="H64" i="113"/>
  <c r="H41" i="115" s="1"/>
  <c r="K40" i="115"/>
  <c r="D30" i="109"/>
  <c r="N213" i="102" l="1"/>
  <c r="K48" i="113"/>
  <c r="N210" i="102"/>
  <c r="I64" i="113"/>
  <c r="I41" i="115" s="1"/>
  <c r="K41" i="115"/>
  <c r="D38" i="109"/>
  <c r="D37" i="109"/>
  <c r="I293" i="104" l="1"/>
  <c r="I296" i="104"/>
  <c r="J316" i="104"/>
  <c r="J298" i="104"/>
  <c r="I7" i="109" l="1"/>
  <c r="I13" i="109" s="1"/>
  <c r="H7" i="109"/>
  <c r="H13" i="109" s="1"/>
  <c r="I316" i="104"/>
  <c r="I319" i="104"/>
  <c r="I298" i="104"/>
  <c r="J323" i="104"/>
  <c r="I301" i="104" l="1"/>
  <c r="E32" i="109"/>
  <c r="I20" i="109"/>
  <c r="H20" i="109"/>
  <c r="D32" i="109"/>
  <c r="I323" i="104"/>
  <c r="E31" i="109" l="1"/>
  <c r="E34" i="109" s="1"/>
  <c r="I30" i="109"/>
  <c r="D31" i="109"/>
  <c r="D34" i="109" s="1"/>
  <c r="H30" i="109"/>
  <c r="I38" i="109" l="1"/>
  <c r="I37" i="109"/>
  <c r="H38" i="109"/>
  <c r="H37" i="109"/>
  <c r="I33" i="104"/>
  <c r="K176" i="134"/>
  <c r="K399" i="134" s="1"/>
  <c r="I803" i="105"/>
  <c r="I208" i="105" l="1"/>
  <c r="F103" i="122"/>
  <c r="F107" i="122" s="1"/>
  <c r="N179" i="102" l="1"/>
</calcChain>
</file>

<file path=xl/sharedStrings.xml><?xml version="1.0" encoding="utf-8"?>
<sst xmlns="http://schemas.openxmlformats.org/spreadsheetml/2006/main" count="3978" uniqueCount="1503">
  <si>
    <t>adatok eFt-ban</t>
  </si>
  <si>
    <t>A</t>
  </si>
  <si>
    <t>C</t>
  </si>
  <si>
    <t>B</t>
  </si>
  <si>
    <t>D</t>
  </si>
  <si>
    <t>E</t>
  </si>
  <si>
    <t>Megnevezés</t>
  </si>
  <si>
    <t>Temetők üzemeltetésével kapcsolatos feladatok</t>
  </si>
  <si>
    <t>Parkfenntartás</t>
  </si>
  <si>
    <t>Köztisztasági feladatok</t>
  </si>
  <si>
    <t>Kertek és Kolostorok működtetése</t>
  </si>
  <si>
    <t>Városi kiemelt fesztiválok</t>
  </si>
  <si>
    <t>Városi lap kiadásai</t>
  </si>
  <si>
    <t>Kitüntetések</t>
  </si>
  <si>
    <t>MINDÖSSZESEN:</t>
  </si>
  <si>
    <t>Veszprém Megyei Jogú Város Önkormányzata</t>
  </si>
  <si>
    <t>F</t>
  </si>
  <si>
    <t>G</t>
  </si>
  <si>
    <t>H</t>
  </si>
  <si>
    <t>Cím</t>
  </si>
  <si>
    <t>Alcím</t>
  </si>
  <si>
    <t>Feladatellátás jellege*</t>
  </si>
  <si>
    <t>Teljes költség</t>
  </si>
  <si>
    <t>Önkormányzati felújítási kiadások</t>
  </si>
  <si>
    <t>K</t>
  </si>
  <si>
    <t>NK</t>
  </si>
  <si>
    <t>Eötvös Károly Megyei Könyvtár</t>
  </si>
  <si>
    <t>VMJV Polgármesteri Hivatal</t>
  </si>
  <si>
    <t>* Feladatellátás jellege:</t>
  </si>
  <si>
    <t>K= Magyarország helyi önkormányzatairól szóló 2011. évi CLXXXIX. törvény 13. § (1) bekezdése szerinti kötelező feladatok</t>
  </si>
  <si>
    <t>NK= Önkormányzat által önként vállalt feladatok</t>
  </si>
  <si>
    <t>J</t>
  </si>
  <si>
    <t>Önkormányzati beruházási kiadások</t>
  </si>
  <si>
    <t>Hulladéklerakó rekultiváció</t>
  </si>
  <si>
    <t>Kádártai Közösségi Ház átépítése</t>
  </si>
  <si>
    <t>Intézményi beruházási kiadások</t>
  </si>
  <si>
    <t>Laczkó Dezső Múzeum</t>
  </si>
  <si>
    <t>Informatikai kiadások</t>
  </si>
  <si>
    <t>Intézményi beruházási kiadások összesen</t>
  </si>
  <si>
    <t>I</t>
  </si>
  <si>
    <t>L</t>
  </si>
  <si>
    <t>M</t>
  </si>
  <si>
    <t>Működési költségvetési kiadások</t>
  </si>
  <si>
    <t>Személyi juttatások</t>
  </si>
  <si>
    <t>Munk.a. terh. jár. és szoc.hj.adó</t>
  </si>
  <si>
    <t>Dologi kiadások</t>
  </si>
  <si>
    <t>Egyéb működési kiadások</t>
  </si>
  <si>
    <t>Nemzeti ünnepek kiadásaira</t>
  </si>
  <si>
    <t>Közművelődési szolgált.</t>
  </si>
  <si>
    <t>Nemzetközi kapcsolatok</t>
  </si>
  <si>
    <t>Marketing tevékenység, marketing stratégia</t>
  </si>
  <si>
    <t>ebből: - Veszprémi Ünnepi Játékok</t>
  </si>
  <si>
    <t xml:space="preserve">          - Gizella Napok</t>
  </si>
  <si>
    <t xml:space="preserve">          - Tánc Fesztivál </t>
  </si>
  <si>
    <t xml:space="preserve">          - Veszprémi Utcazene Fesztivál</t>
  </si>
  <si>
    <t xml:space="preserve">          - Auer Hegedűfesztivál</t>
  </si>
  <si>
    <t>Eseti rendezvények</t>
  </si>
  <si>
    <t>Köztéri szobrok, emléktáblák, lektorátus</t>
  </si>
  <si>
    <t>I. Világháborús Centenáriumi Emlékezés költségei</t>
  </si>
  <si>
    <t>Kiadványok, folyóiratok támogatása</t>
  </si>
  <si>
    <t>Méz Rádió támogatása</t>
  </si>
  <si>
    <t>Veszprém Város Vegyeskar utánpótlás</t>
  </si>
  <si>
    <t>ebből: - Mendelssohn Kamarazenekar</t>
  </si>
  <si>
    <t xml:space="preserve"> - Veszprém Város Vegyeskara</t>
  </si>
  <si>
    <t xml:space="preserve"> - Veszprémi Táncegyüttesért Alapítvány</t>
  </si>
  <si>
    <t xml:space="preserve"> - Liszt F. Kórus</t>
  </si>
  <si>
    <t>Szaléziánum támogatása</t>
  </si>
  <si>
    <t>Sziveri János Intézet működtetése</t>
  </si>
  <si>
    <t>Filharmónia koncertek támogatás</t>
  </si>
  <si>
    <t>Tanórán kívüli tevékenység támogatása</t>
  </si>
  <si>
    <t>Verseny és élsport</t>
  </si>
  <si>
    <t>Sportpálya fenntartás, ill. fenntartói tám.</t>
  </si>
  <si>
    <t>Sportcélok és feladatok (sportigazgatás)</t>
  </si>
  <si>
    <t>Szabadidő- és diáksport</t>
  </si>
  <si>
    <t>Polgármesteri keret</t>
  </si>
  <si>
    <t>Városi civil keret</t>
  </si>
  <si>
    <t xml:space="preserve"> ebből : - Nyugdíjas szervezetek számára pályázati keret</t>
  </si>
  <si>
    <t xml:space="preserve">            - Pályázati keret</t>
  </si>
  <si>
    <t xml:space="preserve">            - Civil-díj, Civil nap költségei</t>
  </si>
  <si>
    <t>Köztemetés</t>
  </si>
  <si>
    <t xml:space="preserve">Közcélú és közhasznú foglalkoztatás </t>
  </si>
  <si>
    <t>Települési szilárdhulladék szállítás ártámogatás</t>
  </si>
  <si>
    <t>Kisgyermekes bérlet</t>
  </si>
  <si>
    <t>Máltai Szeretetszolgálatnak pénzeszköz átadás (ellátási szerződés)</t>
  </si>
  <si>
    <t>Családsegítő és Gyermekjóléti Alapszolgáltatási Intézményfenntartó Társulás</t>
  </si>
  <si>
    <t>Lelkisegély szolgálat</t>
  </si>
  <si>
    <t>Hittudományi Főiskola támogatása</t>
  </si>
  <si>
    <t>Foglalkoztatás eü. szolg.</t>
  </si>
  <si>
    <t>Munkavédelmi feladatok</t>
  </si>
  <si>
    <t>Közbeszerzési eljárások költségei</t>
  </si>
  <si>
    <t xml:space="preserve">Önkormányzat igazgatási tevékenysége </t>
  </si>
  <si>
    <t>Igazgatás - Állam felé befizetési kötelezettség</t>
  </si>
  <si>
    <t>ÁFA befizetés</t>
  </si>
  <si>
    <t>Kamatkiadások</t>
  </si>
  <si>
    <t>Családi ünnepek szervezése</t>
  </si>
  <si>
    <t>Városi Közbiztonság Keret</t>
  </si>
  <si>
    <t>Nem lakáscélú helyiségek üzemeltetési költségei</t>
  </si>
  <si>
    <t>Közüzemi Zrt. jutaléka</t>
  </si>
  <si>
    <t>Városi TV közszolgálati műsorok támogatása</t>
  </si>
  <si>
    <t>Kittenberger K. Növény- és Vadaspark KHT működéséhez hozzájárulás</t>
  </si>
  <si>
    <t>Peres ügyek, Kártérítési díjak kifizetése ingatlantulajdonosok részére</t>
  </si>
  <si>
    <t>Jutasi úti műfüves pálya fenntartása (LUC)</t>
  </si>
  <si>
    <t>Többfunkciós csarnok szolgált. vásárlás</t>
  </si>
  <si>
    <t>TDM Irodától szolgáltatás vásárlása</t>
  </si>
  <si>
    <t>Programiroda szolgáltatás vásárlás</t>
  </si>
  <si>
    <t>Társadalmi tudatformálási kampányok (mobilitási hét, "Te Szedd", kerékpárral munkába)</t>
  </si>
  <si>
    <t>Városépítészeti feladatok</t>
  </si>
  <si>
    <t>Településfejlesztési feladatok</t>
  </si>
  <si>
    <t>Rekultivációt megelőző telephely fenntartási költség</t>
  </si>
  <si>
    <t>Aluljárók csapadékvíz átemelőinek üzemeltetése</t>
  </si>
  <si>
    <t>Szökőkutak, ivókutak szolgáltatási díjai</t>
  </si>
  <si>
    <t>Városgazdálkodási szolg.</t>
  </si>
  <si>
    <t>Közvilágítás</t>
  </si>
  <si>
    <t>Közműalagút működtetése</t>
  </si>
  <si>
    <t>Környezetvédelmi feladat (Városüzemeltetés feladatai)</t>
  </si>
  <si>
    <t>Környezetvédelmi feladat (Közigazgatási Iroda feladatai)</t>
  </si>
  <si>
    <t>Közterület Felügyelet, gyepmesteri telep</t>
  </si>
  <si>
    <t>Veszprém Város Közlekedésfejlesztéséért Közalapítvány támogatása (nyugdíjas bérletek)</t>
  </si>
  <si>
    <t>Nemzetiségi önkormányzatok kiadásai:</t>
  </si>
  <si>
    <t xml:space="preserve"> ebből: - Roma Nemzetiségi Önkormányzat</t>
  </si>
  <si>
    <t>- Német Nemzetiségi Önkormányzat</t>
  </si>
  <si>
    <t>- Örmény Nemzetiségi Önkormányzat</t>
  </si>
  <si>
    <t>- Lengyel Nemzetiségi Önkormányzat</t>
  </si>
  <si>
    <t>- Ukrán Nemzetiségi Önkormányzat</t>
  </si>
  <si>
    <t>Választókerületi keretből civil szervezetek támogatása</t>
  </si>
  <si>
    <t>Ebből: Önkormányzat által ellátott kötelező feladatok összesen:</t>
  </si>
  <si>
    <t>Ebből: Önkormányzat által ellátott önként vállalt feladatok összesen:</t>
  </si>
  <si>
    <t>KIMUTATÁS</t>
  </si>
  <si>
    <t>Módosítás</t>
  </si>
  <si>
    <t>Megjegyzés</t>
  </si>
  <si>
    <t>Göllesz Viktor Fogyatékos Személyek Nappali Intézménye</t>
  </si>
  <si>
    <t>Intézmények összesen:</t>
  </si>
  <si>
    <t>VMJV Önkormányzata</t>
  </si>
  <si>
    <t>ebből:</t>
  </si>
  <si>
    <t>Összesen</t>
  </si>
  <si>
    <t>1.</t>
  </si>
  <si>
    <t>Iparűzési adó</t>
  </si>
  <si>
    <t>Építményadó</t>
  </si>
  <si>
    <t>Telekadó</t>
  </si>
  <si>
    <t>Kommunális adó</t>
  </si>
  <si>
    <t>Idegenforgalmi adó</t>
  </si>
  <si>
    <t>Gépjárműadó</t>
  </si>
  <si>
    <t>2.</t>
  </si>
  <si>
    <t>3.</t>
  </si>
  <si>
    <t>4.</t>
  </si>
  <si>
    <t>5.</t>
  </si>
  <si>
    <t>Veszprém Megyei Jogú Város Önkormányzata Intézményei</t>
  </si>
  <si>
    <t>Működési költségvetési bevételek</t>
  </si>
  <si>
    <t>Felhalmozási költségvetési bevételek</t>
  </si>
  <si>
    <t>Irányító szervtől kapott támogatás</t>
  </si>
  <si>
    <t>Bevételek összesen</t>
  </si>
  <si>
    <t>Működési bevételek</t>
  </si>
  <si>
    <t>Működési célú támogatás Áht-on belülről</t>
  </si>
  <si>
    <t>Működési célú átvett pénzeszköz</t>
  </si>
  <si>
    <t>Felhalmozási bevétel</t>
  </si>
  <si>
    <t>Felhalmozási célú támogatás Áht.-on belülről</t>
  </si>
  <si>
    <t>Felhalmozási célú átvett pénzeszköz</t>
  </si>
  <si>
    <t>Közcélú és közhasznú foglalkoztatás</t>
  </si>
  <si>
    <t>(Ringató Óvoda, Erdei Tagóvoda, Kuckó Tagóvoda)</t>
  </si>
  <si>
    <t>(Egry ltp. Óvoda, Nárcisz Tagóvoda)</t>
  </si>
  <si>
    <t>(Csillag úti Óvoda, Cholnoky ltp. Óvoda)</t>
  </si>
  <si>
    <t>(Kastélykert Óvoda, Ficánka Óvoda)</t>
  </si>
  <si>
    <t>Óvodák összesen:</t>
  </si>
  <si>
    <t>Egészségügyi és szoc. int. összesen:</t>
  </si>
  <si>
    <t>Veszprémi Petőfi Színház</t>
  </si>
  <si>
    <t>Kulturális és közművelődési int. Összesen</t>
  </si>
  <si>
    <t>INTÉZMÉNYEK ÖSSZESEN:</t>
  </si>
  <si>
    <t>VMJV Polgármesteri Hivatal által ellátott kötelező és önként vállalt feladatok</t>
  </si>
  <si>
    <t>Veszprém Megyei Jogú Város Önkormányzata Intézményeinek</t>
  </si>
  <si>
    <t>N</t>
  </si>
  <si>
    <t>O</t>
  </si>
  <si>
    <t>P</t>
  </si>
  <si>
    <t>Felhalmozási költségvetési kiadások</t>
  </si>
  <si>
    <t>Egyéb felhalmozási célú kiadások</t>
  </si>
  <si>
    <t>Kulturális és közművelődési int. összesen</t>
  </si>
  <si>
    <t>INTÉZMÉNYEK ÖSSZESEN</t>
  </si>
  <si>
    <t>Igazgatási tevékenység</t>
  </si>
  <si>
    <t>Gondnokság</t>
  </si>
  <si>
    <t>ISO 9001 minőségbiztosítás karbantartás</t>
  </si>
  <si>
    <t>VMJV Polgármesteri Hivatal összesen</t>
  </si>
  <si>
    <t>Ebből:</t>
  </si>
  <si>
    <t>Önkormányzati kötelező feladatokat ellátó intézmények összesen</t>
  </si>
  <si>
    <t>Önkormányzat által önként vállalt feladatokat ellátó intézmények összesen</t>
  </si>
  <si>
    <t>VMJV Polgármesteri Hivatal által ellátott kötelező és államigazgatási feladatok összesen</t>
  </si>
  <si>
    <t>Veszprém Megyei Jogú Város Önkormányzatának</t>
  </si>
  <si>
    <t>Előir. csop. szám</t>
  </si>
  <si>
    <t>Kie-melt előir. szám</t>
  </si>
  <si>
    <t>Működési célú támogatások Áht-on belülről</t>
  </si>
  <si>
    <t>Önkormányzatok működési támogatásai</t>
  </si>
  <si>
    <t>Működési célú költségvetési támogatások és kiegészítő támogatások</t>
  </si>
  <si>
    <t>Egyéb működési célú támogatások bevételei</t>
  </si>
  <si>
    <t>ebből: Társadalombizt. Alapból származó támogatás</t>
  </si>
  <si>
    <t>Önkormányzati Intézmények  működési célú támogatások Áht-on belülről</t>
  </si>
  <si>
    <t>Közhatalmi bevételek</t>
  </si>
  <si>
    <t>Adók</t>
  </si>
  <si>
    <t>Egyéb pótlékok, bírságok</t>
  </si>
  <si>
    <t>Egyéb közhatalmi bevételek (bírságok, igazgatási szolgáltatási díjak)</t>
  </si>
  <si>
    <t>Önkormányzati Intézmények működési bevételek</t>
  </si>
  <si>
    <t>Működési célú átvett pénzeszközök</t>
  </si>
  <si>
    <t>Önkormányzati Intézmények működési célú átvett pénzeszközök</t>
  </si>
  <si>
    <t>Felhalmozási célú támogatások Áht-on belülről</t>
  </si>
  <si>
    <t>Felhalmozási célú önkormányzati támogatások</t>
  </si>
  <si>
    <t>Vis maior, Egyéb felhalmozási célú támogatás</t>
  </si>
  <si>
    <t>Egyéb felhalmozási célú támogatások bevételei</t>
  </si>
  <si>
    <t>Önkormányzati Intézmények felhalmozási célú támogatások Áht-on belülről</t>
  </si>
  <si>
    <t>Felhalmozási bevételek</t>
  </si>
  <si>
    <t>Ingatlanok értékesítése</t>
  </si>
  <si>
    <t>Önkormányzati Intézmények felhalmozási bevételei</t>
  </si>
  <si>
    <t>Felhalmozási célú átvett pénzeszközök</t>
  </si>
  <si>
    <t>Önkormányzati Intézmények felhalmozási célú átvett pénzeszközök</t>
  </si>
  <si>
    <t>Lakásalap</t>
  </si>
  <si>
    <t>Költségvetési bevételek összesen</t>
  </si>
  <si>
    <t>Költségvetési egyenleg összege</t>
  </si>
  <si>
    <t>Finanszírozási bevételek</t>
  </si>
  <si>
    <t>Intézmények</t>
  </si>
  <si>
    <t>VMJV Polgármesteri Hivatala</t>
  </si>
  <si>
    <t>Beruházási hitelfelvétel</t>
  </si>
  <si>
    <t>Előző évi hitelszerződéseken alapuló felvétel</t>
  </si>
  <si>
    <t>Bevételi főösszeg</t>
  </si>
  <si>
    <t xml:space="preserve">Cím  </t>
  </si>
  <si>
    <t>Intézményi költségvetési kiadások</t>
  </si>
  <si>
    <t>Céltartalékok</t>
  </si>
  <si>
    <t xml:space="preserve"> - Felmentési idő, jub.jut., végkielégítés</t>
  </si>
  <si>
    <t xml:space="preserve"> - Választókerületi keret</t>
  </si>
  <si>
    <t xml:space="preserve"> - Előző évi hitelszerződéshez kapcs. feladat</t>
  </si>
  <si>
    <t>Általános tartalék</t>
  </si>
  <si>
    <t>Lakásalap kiadása</t>
  </si>
  <si>
    <t>Költségvetési kiadások összesen</t>
  </si>
  <si>
    <t>Finanszírozási kiadások</t>
  </si>
  <si>
    <t>Működési finanszírozási kiadások</t>
  </si>
  <si>
    <t>Felhalmozási finanszírozási kiadások</t>
  </si>
  <si>
    <t xml:space="preserve"> - Hiteltörlesztés</t>
  </si>
  <si>
    <t xml:space="preserve"> - Lakásalap hiteltörlesztése</t>
  </si>
  <si>
    <t>Kiadási főösszeg</t>
  </si>
  <si>
    <t>VESZPRÉM MEGYEI JOGÚ VÁROS ÖNKORMÁNYZATÁNAK MŰKÖDÉSI ÉS FELHALMOZÁSI</t>
  </si>
  <si>
    <t>MŰKÖDÉSI KÖLTSÉGVETÉSI BEVÉTELEK</t>
  </si>
  <si>
    <t>MŰKÖDÉSI KÖLTSÉGVETÉSI KIADÁSOK</t>
  </si>
  <si>
    <t>Működési célú támogatások államháztartáson belülről</t>
  </si>
  <si>
    <t>Munkaadókat terhelő járulékok és szociális hozzájárulási adó</t>
  </si>
  <si>
    <t>Ellátottak pénzbeli juttatásai</t>
  </si>
  <si>
    <t>Egyéb működési célú kiadások (tartalékok nélkül)</t>
  </si>
  <si>
    <t>6.</t>
  </si>
  <si>
    <t>Működési költségvetési bevételek összesen</t>
  </si>
  <si>
    <t>Működési költségvetési kiadások összesen</t>
  </si>
  <si>
    <t>FELHALMOZÁSI KÖLTSÉGVETÉSI BEVÉTELEK</t>
  </si>
  <si>
    <t>FELHALMOZÁSI KÖLTSÉGVETÉSI KIADÁSOK</t>
  </si>
  <si>
    <t>Felhalmozási célú támogatások államháztartáson belülről</t>
  </si>
  <si>
    <t>Beruházási kiadások</t>
  </si>
  <si>
    <t>Felújítási kiadások</t>
  </si>
  <si>
    <t>Felhalmozási költségvetési bevételek összesen</t>
  </si>
  <si>
    <t>Felhalmozási költségvetési kiadások összesen</t>
  </si>
  <si>
    <t>MŰKÖDÉSI FINANSZÍROZÁSI BEVÉTELEK</t>
  </si>
  <si>
    <t>MŰKÖDÉSI FINANSZÍROZÁSI KIADÁSOK</t>
  </si>
  <si>
    <t>Rövid lejáratú hitel felvétele</t>
  </si>
  <si>
    <t>Rövid lejáratú hitel tőkeösszegének törlesztése</t>
  </si>
  <si>
    <t>FELHALMOZÁSI FINANSZÍROZÁSI BEVÉTELEK</t>
  </si>
  <si>
    <t>FELHALMOZÁSI FINANSZÍROZÁSI KIADÁSOK</t>
  </si>
  <si>
    <t>Hosszú lejáratú hitel felvétele</t>
  </si>
  <si>
    <t>Hosszú lejáratú hitel tőkeösszegének törlesztése</t>
  </si>
  <si>
    <t>Finanszírozási bevételek összesen</t>
  </si>
  <si>
    <t>Finanszírozási kiadások összesen</t>
  </si>
  <si>
    <t>ÖSSZES BEVÉTEL</t>
  </si>
  <si>
    <t>ÖSSZES KIADÁS</t>
  </si>
  <si>
    <t>ebből működési:</t>
  </si>
  <si>
    <t>ebből felhalmozási:</t>
  </si>
  <si>
    <t>Finanszírozási kiadásokkal korrigált hiány összege</t>
  </si>
  <si>
    <t>Működési bevételek aránya %-ban</t>
  </si>
  <si>
    <t>Működési kiadások aránya %-ban</t>
  </si>
  <si>
    <t>Felhalmozási bevételek aránya %-ban</t>
  </si>
  <si>
    <t>Felhalmozási kiadások aránya %-ban</t>
  </si>
  <si>
    <t xml:space="preserve"> </t>
  </si>
  <si>
    <t>Közfoglalkoztatottak létszáma</t>
  </si>
  <si>
    <t>I.</t>
  </si>
  <si>
    <t>Kiemelt művészeti együttesek támogatása</t>
  </si>
  <si>
    <t>Swing-Swing Kft. Szolgáltatás vásárlás</t>
  </si>
  <si>
    <t>Bérleményekkel, haszonbérletekkel kapcsolatos feladatok</t>
  </si>
  <si>
    <t>Csapadékcsatornák üzemeltetési szolgáltatásai</t>
  </si>
  <si>
    <t>Felhalmozási célú átvett pénzeszközök (kölcsönök visszatérülése)</t>
  </si>
  <si>
    <t>Felhalmozási célú költségvetési maradvány igénybevétele</t>
  </si>
  <si>
    <t>Működési célú  költségvetési maradvány igénybevétele</t>
  </si>
  <si>
    <t>Előző évi  költségvetési maradvány</t>
  </si>
  <si>
    <t>Államháztartáson belüli megelőlegezések</t>
  </si>
  <si>
    <t>Államháztartáson belüli megelőlegezések visszafizetése</t>
  </si>
  <si>
    <t>Veszprémi Ringató Körzeti Óvoda</t>
  </si>
  <si>
    <t>Veszprémi Egry úti Körzeti Óvoda</t>
  </si>
  <si>
    <t>Veszprémi Csillag úti Körzeti Óvoda</t>
  </si>
  <si>
    <t>Veszprémi Kastélykert Körzeti Óvoda</t>
  </si>
  <si>
    <t>Veszprémi Intézményi Szolgáltató Szervezet</t>
  </si>
  <si>
    <t>Nyári diákmunka</t>
  </si>
  <si>
    <t>Pannon Térség Fejlődéséért Alapítvány támogatása</t>
  </si>
  <si>
    <t>Pannon Várszínház támogatás</t>
  </si>
  <si>
    <t>Beruházáshoz kapcsolódó működési kiadások:</t>
  </si>
  <si>
    <t>Végleges forgalomba helyezéshez szükséges ingatlanrendezés</t>
  </si>
  <si>
    <t>Út,-járda, parkoló építések tervezési munkái</t>
  </si>
  <si>
    <t>Erdész utca csapadékvízcsatorna tervezés, engedélyezés</t>
  </si>
  <si>
    <t>Észak - déli út II. szakasz - tervezési feladatok, kisajátítás, engedélyezés</t>
  </si>
  <si>
    <t>Felújításhoz kapcsolódó működési kiadások:</t>
  </si>
  <si>
    <t>Városi rendezvények</t>
  </si>
  <si>
    <t>SÉD folyóirat költségei</t>
  </si>
  <si>
    <t>Európa Kulturális Fővárosa</t>
  </si>
  <si>
    <t>Finnugor Kulturális Főváros</t>
  </si>
  <si>
    <t>M.J.V.SZ. tám. Kárpátalja megsegítésére</t>
  </si>
  <si>
    <t>ebből:  - Lélektér Alapítvány</t>
  </si>
  <si>
    <t xml:space="preserve">           - Tanulmányi ösztöndíj</t>
  </si>
  <si>
    <t xml:space="preserve">           - Fiatalok napja rendezvény</t>
  </si>
  <si>
    <t>Lakbértámogatás</t>
  </si>
  <si>
    <t>Települési támogatások</t>
  </si>
  <si>
    <t>Parkolók üzemeltetési költsége</t>
  </si>
  <si>
    <t>ebből: - Vár Ucca Műhely támogatása</t>
  </si>
  <si>
    <t xml:space="preserve">          - Veszprémi Szemle Várostörténeti Közhasznú Alapítvány Támogatása</t>
  </si>
  <si>
    <t>EÜ. Alapell. Intézm. - Cserhát ltp. 1. védőnői tanácsadó és gyermekorv.rendelő felújítása, kialakítása</t>
  </si>
  <si>
    <t>ebből:  - Rendkívüli támogatás</t>
  </si>
  <si>
    <t>Közfoglalkoztatottak és diákmunkások létszáma</t>
  </si>
  <si>
    <t>Egészségügyi feladatok ellátását szolgáló ingatlanrész bérleti díja és rezsiköltségek</t>
  </si>
  <si>
    <t>Szolgáltatások, közvetített szolgáltatások ellenértéke</t>
  </si>
  <si>
    <t>Tulajdonosi bevételek</t>
  </si>
  <si>
    <t>ÁFA bevételek és visszatérülések</t>
  </si>
  <si>
    <t xml:space="preserve">Egyéb működési  bevételek </t>
  </si>
  <si>
    <t>Helyi önkormányzatok működésének általános  és ágazati feladataihoz kapcsolódó támogatás</t>
  </si>
  <si>
    <t>Költségvetési hiány belső finanszírozására szolgáló bevételek</t>
  </si>
  <si>
    <t>Költségvetési hiány külső finanszírozására szolgáló bevételek</t>
  </si>
  <si>
    <t>Feladatellátás jellege</t>
  </si>
  <si>
    <t>Kőbánya u. útrekonstrukció</t>
  </si>
  <si>
    <t xml:space="preserve">Eötvös Károly Megyei Könyvtár </t>
  </si>
  <si>
    <t>BERUHÁZÁSI KIADÁSOK MINDÖSSZESEN</t>
  </si>
  <si>
    <t>TOP-6.5.1 Laczkó Dezső Múzeum energetikai megújítása, előkészítő, engedélyezési terv</t>
  </si>
  <si>
    <t>Egyéb városüzemeltetési feladatok</t>
  </si>
  <si>
    <t>VKSZ Zrt. által ellátott városüzemeltetési feladatok</t>
  </si>
  <si>
    <t>VKSZ Zrt. által ellátott intézményüzemeltetési feladatok</t>
  </si>
  <si>
    <t>Közüzemi költségek</t>
  </si>
  <si>
    <t>Intézményi működtetők költsége</t>
  </si>
  <si>
    <t>Szenvedélybetegek ellátásának működési kiadásaihoz támogatás</t>
  </si>
  <si>
    <t>Költségvetési maradvány</t>
  </si>
  <si>
    <t>Önkormányzati egyéb felhalmozási célú kiadások</t>
  </si>
  <si>
    <t>eredeti előirányzat</t>
  </si>
  <si>
    <t>(Hársfa Tagóvoda, Bóbita Óvoda)</t>
  </si>
  <si>
    <t>Veszprémi Bóbita Körzeti Óvoda</t>
  </si>
  <si>
    <t>Veszprémi Vadvirág Körzeti Óvoda</t>
  </si>
  <si>
    <t>Járásszékhely települési önkormányzatok által fenntartott múzeumok szakmai támogatása</t>
  </si>
  <si>
    <t>Önkormányzati bérlakások felújítása</t>
  </si>
  <si>
    <t>Bérlakások üzemeltetési költségei</t>
  </si>
  <si>
    <t>Veszprémi Egry Úti Körzeti Óvoda</t>
  </si>
  <si>
    <t>Veszprémi Csillag Úti Körzeti Óvoda</t>
  </si>
  <si>
    <t>ÓVODÁK</t>
  </si>
  <si>
    <t>Veszprém Megyei Jogú Város Önkormányzata által</t>
  </si>
  <si>
    <t>Támogatás összege</t>
  </si>
  <si>
    <t>Veszprémi Táncegyüttesért Alapítvány</t>
  </si>
  <si>
    <t>Veszprémi Ifjúsági Közalapítvány</t>
  </si>
  <si>
    <t>17</t>
  </si>
  <si>
    <t>Vagyongazdálkodással és ingatlanhasznosítással összefüggő fel. (Földhivatali eljárások, vagyonértékelés)</t>
  </si>
  <si>
    <t>Alapítvány / egyesület / civil szervezet / társadalmi szervezet megnevezése</t>
  </si>
  <si>
    <t>Gizella Múzeum támogatása</t>
  </si>
  <si>
    <t>Polgármester, Alpolgármesterek</t>
  </si>
  <si>
    <t>(Csillagvár Waldorf Tagóvoda, Vadvirág Óvoda)</t>
  </si>
  <si>
    <t>Sorszám</t>
  </si>
  <si>
    <t>2019. évi előirányzat</t>
  </si>
  <si>
    <t>Futsal Club Veszprém</t>
  </si>
  <si>
    <t>7.</t>
  </si>
  <si>
    <t>Veszprémi Bölcsődei és Egészségügyi Alapellátási Integrált Intézmény</t>
  </si>
  <si>
    <t>Beruházási kiadások összesen</t>
  </si>
  <si>
    <t>Önkormányzati egyéb felhalmozási célú kiadások összesen</t>
  </si>
  <si>
    <t xml:space="preserve"> - Gizella Kórus/Dowland Alapítvány</t>
  </si>
  <si>
    <t xml:space="preserve">Központi orvosi ügyelet </t>
  </si>
  <si>
    <t>TOP-6.2.1-15-VP1-2016-00002 Gyulafirátóti óvoda újjáépítése</t>
  </si>
  <si>
    <t>ELENA projekt előkészítési feladatokra konzorciumi hozzájárulás</t>
  </si>
  <si>
    <t>TOP-6.2.1-15-VPI-2016-00003 Egry úti óvoda újjáépítése</t>
  </si>
  <si>
    <t>TOP-6.3.3-15-VPI-2016-00001 Kertváros csapadékelvezető rendszer rekonstrukciója I. ütem</t>
  </si>
  <si>
    <t>TOP-6.2.1-15-VPI-2016-00001 Aprófalvi bölcsőde kapacitásbővítő átalakítása</t>
  </si>
  <si>
    <t xml:space="preserve">           - Veszprémi Ifjúsági Közalapítvány</t>
  </si>
  <si>
    <t>Mendelssohn Kamarazenekar</t>
  </si>
  <si>
    <t>Program megnevezés</t>
  </si>
  <si>
    <t>Program megvalósításának ideje</t>
  </si>
  <si>
    <t>Saját erő</t>
  </si>
  <si>
    <t>EU támogatás összesen</t>
  </si>
  <si>
    <t>EU támogatás</t>
  </si>
  <si>
    <t>2016-2018</t>
  </si>
  <si>
    <t>TOP.6.6.1-15-VP2-2016-00001 Egészségház építése</t>
  </si>
  <si>
    <t>TOP-6.6.2-15-VP1-2016-00001 Idős demensek nappali ellátójának kialakítása</t>
  </si>
  <si>
    <t>TOP-6.4-1-15-VP1-2016-00002 Fenntartható Város Mobilitási terv készítése Veszprém Megyei Jogú Város területére (SUMP)</t>
  </si>
  <si>
    <t xml:space="preserve">TOP-6.6.2-15-VP1-2016-00001 Idős demensek nappali ellátójának kialakítása </t>
  </si>
  <si>
    <t>VMJV Önkormányzat</t>
  </si>
  <si>
    <t xml:space="preserve">Veszprémi Bóbita Körzeti Óvoda </t>
  </si>
  <si>
    <r>
      <t>Ebből</t>
    </r>
    <r>
      <rPr>
        <i/>
        <sz val="10"/>
        <rFont val="Palatino Linotype"/>
        <family val="1"/>
        <charset val="238"/>
      </rPr>
      <t>: költségvetési támogatás</t>
    </r>
  </si>
  <si>
    <t>Veszprémi Vadvirág Körzeti Óvoda                                                (Csillagvár Waldorf Tagóvoda, Vadvirág Óvoda)</t>
  </si>
  <si>
    <t>Veszprémi Bóbita Körzeti Óvoda                                                       (Hársfa Tagóvoda, Bóbita Óvoda)</t>
  </si>
  <si>
    <t>Veszprémi Ringató Körzeti Óvoda                                                   (Ringató Óvoda, Erdei Tagóvoda, Kuckó Tagóvoda)</t>
  </si>
  <si>
    <t>Veszprémi Egry úti Körzeti Óvoda                                                   (Egry ltp. Óvoda, Nárcisz Tagóvoda)</t>
  </si>
  <si>
    <t>Veszprémi Csillag úti Körzeti Óvoda                                        (Csillag úti Óvoda, Cholnoky ltp. Óvoda)</t>
  </si>
  <si>
    <t>Veszprémi Kastélykert Körzeti Óvoda                                       (Kastélykert Óvoda, Ficánka Óvoda)</t>
  </si>
  <si>
    <t xml:space="preserve">B </t>
  </si>
  <si>
    <t>Projekt forrás összetétel</t>
  </si>
  <si>
    <t>Projekt költség megbontás</t>
  </si>
  <si>
    <t>2016. évi            tény</t>
  </si>
  <si>
    <t>2016. évi                tény</t>
  </si>
  <si>
    <t xml:space="preserve">E </t>
  </si>
  <si>
    <t>TOP-6.4.1-15-VP1-2016-00001 Közlekedésbiztonsági és kerékpárosbarát fejlesztések magvalósulása Veszprém város területén</t>
  </si>
  <si>
    <t>2016-2019</t>
  </si>
  <si>
    <t>2017-2019</t>
  </si>
  <si>
    <t>1-16</t>
  </si>
  <si>
    <t>Tárgyi eszközök értékesítés</t>
  </si>
  <si>
    <t>a Veszprém Megyei Jogú Város Önkormányzata Támogatási Szerződéssel rendelkező</t>
  </si>
  <si>
    <t>Erdész u.-i parkoló építés</t>
  </si>
  <si>
    <t>Orgona utca átépítésének kivitelezése</t>
  </si>
  <si>
    <t>Stromfeld Aurél utca akadálymentesítés</t>
  </si>
  <si>
    <t>Programiroda Kft. törzstőke emelés</t>
  </si>
  <si>
    <t xml:space="preserve">Programiroda Kft. tőketartalékba helyezés </t>
  </si>
  <si>
    <t>Swing-Swing Kft. törzstőke emelés</t>
  </si>
  <si>
    <t>Swing-Swing Kft. tőketartalékba helyezés</t>
  </si>
  <si>
    <t xml:space="preserve">Erdőtelepítés és utógondozás (a 241/2009.(IX.15.) Közgyűlési határozat; Erdészeti Hatóság 28.3/1176-7/2010.(V.25.) és VE-G-001/3883-8/2013. sz. határozata; 298/2009.(X.20.) Vfkb és 48/2010.(II.16.) Vfkb </t>
  </si>
  <si>
    <t>Játszótér építések</t>
  </si>
  <si>
    <t xml:space="preserve">Utcanévtáblák </t>
  </si>
  <si>
    <t>Kézi hulladékgyűjtők beszerzése</t>
  </si>
  <si>
    <t>Eü. Alapellátás</t>
  </si>
  <si>
    <t>Megyei Könyvtár kistelepülési könyvtári és közművelődési célú kiegészítő állami támogatás</t>
  </si>
  <si>
    <t>Gépkocsi gumiabroncs beszerzés</t>
  </si>
  <si>
    <t>Mihály-napi búcsú</t>
  </si>
  <si>
    <t>Stadion üzemeltetése</t>
  </si>
  <si>
    <t xml:space="preserve">            - Civil iroda működési költsége</t>
  </si>
  <si>
    <t>Városi ifjúsági keret</t>
  </si>
  <si>
    <t>Rendszeres gyermekvédelmi kedvezmény/pénzbeli ellátás</t>
  </si>
  <si>
    <t>Szünidei gyermekétkeztetés</t>
  </si>
  <si>
    <t xml:space="preserve">          - Lakásfenntartási támogatás </t>
  </si>
  <si>
    <t xml:space="preserve">          - Albérleti támogatás</t>
  </si>
  <si>
    <t xml:space="preserve">          - Temetési támogatás</t>
  </si>
  <si>
    <t xml:space="preserve">          - Térítési díj</t>
  </si>
  <si>
    <t xml:space="preserve">          - Gyógyszertámogatás</t>
  </si>
  <si>
    <t xml:space="preserve">         - Adósságcsökkentési támogatás</t>
  </si>
  <si>
    <t xml:space="preserve">         - Szünidei gyermekétkeztetés</t>
  </si>
  <si>
    <t>Nevelési szolgáltatás</t>
  </si>
  <si>
    <t>Német Nemzetiségi Önk. helységének bérleti díja</t>
  </si>
  <si>
    <t>Szolidaritási hozzájárulás</t>
  </si>
  <si>
    <t xml:space="preserve">Észak-Nyugati Közlekedési Központ Zrt. Helyi közösségi közlekedés közszolgáltatás és veszteségkiegyenlítés </t>
  </si>
  <si>
    <t>Önkormányzati tulajdonú ingatlanok művelési ág változásával járó költségek (Földhivatal)</t>
  </si>
  <si>
    <t>Közmű alaptérkép változásvezetés</t>
  </si>
  <si>
    <t>Térinformatikai rendszer adatfeltöltés, fakataszter</t>
  </si>
  <si>
    <t>Óvodai csoportok átmeneti elhelyezését szolgáló konténerek bérleti díja</t>
  </si>
  <si>
    <t>TOP-6.8.2-15-VPI-2016-00001 Helyi foglalkoztatási együttműködések a megyei jogú város területén és várostérségben, foglalkoztatási együttműködés a veszprémi járás területén</t>
  </si>
  <si>
    <t>TOP-6.4.1-15-VP1-2016-00001"Közlekedésbiztonsági és kerékpárosbarát fejlesztések megvalósulása Veszprém város területén"</t>
  </si>
  <si>
    <t>Szentkirályszabadja - Veszprém Reptér tulajdonjogának megszerzéséhez kapcsolódó per- és egyéb költség</t>
  </si>
  <si>
    <t>Rendezési terv felülvizsgálat megjelenítése a térinformatikai rendszerben</t>
  </si>
  <si>
    <t>Liszt F. Kórus</t>
  </si>
  <si>
    <t>Hiány finanszírozása belső finanszírozásra szolgáló költségvetési bevétel összegével</t>
  </si>
  <si>
    <t>Hiány finanszírozása külső finanszírozásra szolgáló költségvetési bevétel összegével</t>
  </si>
  <si>
    <t xml:space="preserve">          - Ex Symposion Alapítvány</t>
  </si>
  <si>
    <t xml:space="preserve">         - Comitatus Társadalomkutató Egyesület - Comitatus Önkormányzati Szemle</t>
  </si>
  <si>
    <t>Veszprémi Szemle Várostörténeti Közhasznú Alapítvány Támogatása</t>
  </si>
  <si>
    <t>Ex Symposion Alapítvány</t>
  </si>
  <si>
    <t>Comitatus Társadalomkutató Egyesület - Comitatus Önkormányzati Szemle</t>
  </si>
  <si>
    <t>DTP1-1-311-2.2 Interreg Duna Nemzetközi Program Networld*</t>
  </si>
  <si>
    <t>Országgyűlési képviselők választása 2018.</t>
  </si>
  <si>
    <t>KÖFOP-1.2.1-VEKOP-16-2017-01268, Veszprém Megyei Jogú Város Önkormányzata ASP Központhoz való csatlakozása</t>
  </si>
  <si>
    <t>Gizella Kórus/Dowland Alapítvány</t>
  </si>
  <si>
    <t>Önkormányzati beruházási és egyéb felhalmozási                                                                     célú kiadások összesen:</t>
  </si>
  <si>
    <t>Csillagvár Waldorf Tagóvoda</t>
  </si>
  <si>
    <t>Hársfa Tagóvoda</t>
  </si>
  <si>
    <t>Erdei Tagóvoda, Kuckó Tagóvoda</t>
  </si>
  <si>
    <t>Nárcisz Tagóvoda</t>
  </si>
  <si>
    <t>Cholnoky Jenő Ltp. Tagóvoda</t>
  </si>
  <si>
    <t>Ficánka Tagóvoda</t>
  </si>
  <si>
    <t>Tárgyi eszközök beszerzésére</t>
  </si>
  <si>
    <t>Hóvirág Bölcsőde</t>
  </si>
  <si>
    <t>Vackor Bölcsőde</t>
  </si>
  <si>
    <t>Aprófalvi Bölcsőde</t>
  </si>
  <si>
    <t>Módszertani Bölcsőde</t>
  </si>
  <si>
    <t>Fogorvosi körzeteknek működési hozzájárulás</t>
  </si>
  <si>
    <t>Fogorvosi körzetek részére pályázati alap</t>
  </si>
  <si>
    <t>Paktum Iroda működéséhez hozzájárulás</t>
  </si>
  <si>
    <t>Magyar-Lengyel Barátság napja</t>
  </si>
  <si>
    <t>Állatmenhelyek támogatása</t>
  </si>
  <si>
    <t>Helikoni Ünnepségek Keszthelyen (diákok nevezési díjai)</t>
  </si>
  <si>
    <t>Hatósági engedélyek beszerzése, hatályban tartása</t>
  </si>
  <si>
    <t>Közlekedési Igazgatóság költségei</t>
  </si>
  <si>
    <t>"Városom Veszprém", "Virágos Magyarországért" és "Entente Florale" verseny szervezési, előkészítési, lebonyolítási költségei</t>
  </si>
  <si>
    <t>Repülőtér üzemeltetése</t>
  </si>
  <si>
    <t>Veszprém Város Vegyeskar - Dúdoló Népzenei Műhely</t>
  </si>
  <si>
    <t>Musica Sacra Alapítvány</t>
  </si>
  <si>
    <t>Veszprémi Deák Ferenc Ált. Iskoláért Közhasznú Alapítvány</t>
  </si>
  <si>
    <t>Balaton Vívóklub</t>
  </si>
  <si>
    <t>DTP1-1-311-2.2 Interreg Duna Nemzetközi Program Netwold</t>
  </si>
  <si>
    <t>TOP 6.1.5-16-VPI-2017-00001 Északi Iparterület Közlekedésfejlesztése</t>
  </si>
  <si>
    <t>MVP Veszprémi Petőfi Színház komplex fejlesztése</t>
  </si>
  <si>
    <t>TOP-6.3.3-15 Csapadékvíz-elvezető rendszer rekonstrukciója I. ütem - Dózsaváros előkészítő, engedélyezési, kiviteli és tender terv</t>
  </si>
  <si>
    <t>Táncsics utcai rendelő felújítása</t>
  </si>
  <si>
    <t>Egészségház közműfejlesztési költségek</t>
  </si>
  <si>
    <t>Védőnői és háziorvosi körzetek költöztetési költsége</t>
  </si>
  <si>
    <t>Állatkert építési engedélyezési tervek</t>
  </si>
  <si>
    <t>Gyulafirátót 10089/4 hrsz-ú ingatlan közműfejlesztési költségei</t>
  </si>
  <si>
    <t>Veszprémi Dózsa György Német Nemzetiségi Nyelvoktató Általános Iskola - nyílászáró csere 2 tanteremben</t>
  </si>
  <si>
    <t>TOP-6.3.3-16-VP1-2017-00001 Dózsaváros, Pápai úti csapadékvíz-elvezető rendszer fejlesztése</t>
  </si>
  <si>
    <t>TOP-6.6.1-16-VP1-2017-00001 Gyulafirátóti rendelő felújítása</t>
  </si>
  <si>
    <t>TOP – 6.3.2 Zöldváros kialakítása (Kulturális negyed - Színházkert, Megyeház tér, Erzsébet liget, Erzsébet sétány – fejlesztése)</t>
  </si>
  <si>
    <t>TOP- 7.1.1 Helyi közösségi kezdeményezések (CLLD kulcsprojekt előkészítése)</t>
  </si>
  <si>
    <t>TOP-6.4.1-16-VP1 Kerékpárút építése Márkó-Bánd települések irányába</t>
  </si>
  <si>
    <t>EFOP-1.9.9-17-2017-00004 Még jobb kezekben - Veszprémben</t>
  </si>
  <si>
    <t>EFOP-4.1.8-16-VP1-2017-00020 "Az Eötvös Károly Megyei Könyvtár tanulás segítő infrastrukturális fejlesztései"</t>
  </si>
  <si>
    <t>Erasmus +K3 SporTown</t>
  </si>
  <si>
    <t>KEHOP-5.4.1-16-2016-00142 "Veszprém, az energiatudatos város"</t>
  </si>
  <si>
    <t>Veszprém, Pápai út 37. szám alatti ingatlanon munkásszállás kialakítása</t>
  </si>
  <si>
    <t>MVP Kittenberger Kálmán Növény- és Vadaspark fejlesztése és bővítése</t>
  </si>
  <si>
    <t>MVP Veszprémi Zeneművészeti Szakgimnázium és Alapfokú Művészeti Iskola intézményegysége, a Csermák Antal Zeneiskola felújításának megvalósítása</t>
  </si>
  <si>
    <t>Vörösmarty tér tömbbelső fejlesztés, I. ütem (csapadékvíz elvezetés kiépítése) + II. ütem</t>
  </si>
  <si>
    <t>Gyulafirátót Németh u. útrekonstrukció I. ütem csapadékvíz elvezetés</t>
  </si>
  <si>
    <t>Közvilágítás bővítések (tervezés, kivitelezés) 2011. évi CLXXXIX törvény</t>
  </si>
  <si>
    <t>Swing-Swing Kft. Üzletrész vásárlás</t>
  </si>
  <si>
    <t>Térfigyelő rendszer bővítése 51/2011. (IV.29.) VMJV Önk.</t>
  </si>
  <si>
    <t>Karácsonyi köztéri dekorációk beszerzése</t>
  </si>
  <si>
    <t>Erdei Tagóvoda</t>
  </si>
  <si>
    <t>Kuckó Tagóvoda</t>
  </si>
  <si>
    <t>Veszprémi Bölcsődei és Eü.Alapell. Integrált Int.</t>
  </si>
  <si>
    <t>Kazán csere</t>
  </si>
  <si>
    <t>Veszprémi Családseg. és Gyermekjóléti Integrált Int.</t>
  </si>
  <si>
    <t>Veszprém Foci Centrum Utánpótlás SE</t>
  </si>
  <si>
    <t>Veszprémi Egyetemi és Diák Atlétikai Club</t>
  </si>
  <si>
    <t xml:space="preserve">          - Magyar Kórusok találkozója</t>
  </si>
  <si>
    <t>TOP-6.1.5-16-VP1-2017-00001 Északi Iparterület Közlekedés-fejlesztése</t>
  </si>
  <si>
    <t>TOP-6.4.1-16-VP1 Kerékpárút építése Alsóörs - Felsőörs irányába</t>
  </si>
  <si>
    <t>Török I.u. - Aulich összekötés</t>
  </si>
  <si>
    <t>Padbeszerzés és kihelyezés (141/2008(IV.22.) VFKB és 215/2008(VI.20.) VFKB</t>
  </si>
  <si>
    <t>Veszprémi Bölcsődei és Eü. Alapell. Integrált Intézmény</t>
  </si>
  <si>
    <t>2018-2019</t>
  </si>
  <si>
    <t>2017-2018</t>
  </si>
  <si>
    <t>Máltai Szeretetszolgálat</t>
  </si>
  <si>
    <t>Baláca Múzeum régészeti anyagfeldolgozása</t>
  </si>
  <si>
    <t>Kulturális kínálat bővítés/ amatőr művészeti csoportok támogatása</t>
  </si>
  <si>
    <t>Hiszek Benned Sport Program</t>
  </si>
  <si>
    <t>Veszprémi Kistérségi Társulásnak pénzeszköz átadás (Egyesített Szoc.Int.)</t>
  </si>
  <si>
    <t>Közutak, hidak fenntartása</t>
  </si>
  <si>
    <t>MVP Veszprémi Atlétikai Stadion felújítása, fejlesztése - Részletes Megvalósíthatósági tanulmány készítése</t>
  </si>
  <si>
    <t>2017. évi              tény</t>
  </si>
  <si>
    <t>2018. évi eredeti előirányzat</t>
  </si>
  <si>
    <t xml:space="preserve"> - Viziközmű fejlesztés</t>
  </si>
  <si>
    <t>Művészetek Háza Veszprém Művelődési Ház és Kiállítóhely</t>
  </si>
  <si>
    <t>Kabóca Bábszínház</t>
  </si>
  <si>
    <r>
      <rPr>
        <b/>
        <sz val="10"/>
        <rFont val="Palatino Linotype"/>
        <family val="1"/>
        <charset val="238"/>
      </rPr>
      <t>EFOP-1.9.9-17-2017-00004</t>
    </r>
    <r>
      <rPr>
        <sz val="10"/>
        <rFont val="Palatino Linotype"/>
        <family val="1"/>
        <charset val="238"/>
      </rPr>
      <t xml:space="preserve"> Még jobb kezekben - Veszprémben</t>
    </r>
  </si>
  <si>
    <r>
      <rPr>
        <b/>
        <sz val="10"/>
        <rFont val="Palatino Linotype"/>
        <family val="1"/>
        <charset val="238"/>
      </rPr>
      <t>EFOP-4.1.9-16-2017-00014</t>
    </r>
    <r>
      <rPr>
        <sz val="10"/>
        <rFont val="Palatino Linotype"/>
        <family val="1"/>
        <charset val="238"/>
      </rPr>
      <t xml:space="preserve"> A múzeumi és levéltári intézményrendszer tanulás segítő infrastrukturális fejlesztései -Laczkó Dezső Múzeumban oktatótermek és kiszolgáló helyiségek kialakítása</t>
    </r>
  </si>
  <si>
    <r>
      <rPr>
        <b/>
        <sz val="10"/>
        <rFont val="Palatino Linotype"/>
        <family val="1"/>
        <charset val="238"/>
      </rPr>
      <t>EFOP-3.3.2-16-2016-00107</t>
    </r>
    <r>
      <rPr>
        <sz val="10"/>
        <rFont val="Palatino Linotype"/>
        <family val="1"/>
        <charset val="238"/>
      </rPr>
      <t xml:space="preserve"> Kulturális intézmények a köznevelés eredményességéért</t>
    </r>
  </si>
  <si>
    <t>2017. évi           tény</t>
  </si>
  <si>
    <t>2019. évi  előirányzat</t>
  </si>
  <si>
    <t xml:space="preserve">Kabóca Bábszínház </t>
  </si>
  <si>
    <t>2017. évi tény</t>
  </si>
  <si>
    <t>TOP-6.4.1-16-VP1-17-00001 Kerékpárút építése Alsóörs - Felsőörs irányába</t>
  </si>
  <si>
    <t>TOP-6.5.1-16-VP1-2017-00001 Veszprém Városra vonatkozó fenntartható energia és klíma akcióterv (SECAP) elkészítése</t>
  </si>
  <si>
    <t>EFOP-2.4.2-17-2018-00012 Szociális bérlakások felújítása Veszprémben</t>
  </si>
  <si>
    <t>Időközi helyi önkormányzati képviselő választás 2018.</t>
  </si>
  <si>
    <t>601835-CITIZ-1-2018-1-HU-CITIZ-NT Reveal YouropEaN Cultural Heritage/Tárd fel  európai kulturális örökségedet (ENriCH)</t>
  </si>
  <si>
    <t>Mentorprogram pályakezdők részre, együttműködési megállapodás az Életet Segítő Alapítvánnyal az 57/2018. (III.29.) határozat alapján</t>
  </si>
  <si>
    <t>TOP-6.4.1-15-VP1-2016-00001 Közlekedésbiztonsági és kerékpárosbarát fejlesztések megvalósulása Veszprém város területén</t>
  </si>
  <si>
    <t>TOP-6.4.1-16-VP1-2018-00002 Márkó-Bánd települések irányába kerékpárút építése</t>
  </si>
  <si>
    <t>2018-2020</t>
  </si>
  <si>
    <t>2016-2020</t>
  </si>
  <si>
    <t>2016-2021</t>
  </si>
  <si>
    <t>2017-2020</t>
  </si>
  <si>
    <t>KÖFOP-1.2.1-VEKOP-16-2017-01268 Veszprém Megyei Jogú Város Önkormányzata ASP Központhoz való csatlakozása **</t>
  </si>
  <si>
    <t>EFOP-3.3.2-16-2016-00107 Kulturális intézmények a köznevelés eredményességéért</t>
  </si>
  <si>
    <t>EFOP-4.1.9-16-2017-00014 A múzeumi és levéltári intézményrendszer tanulás segítő infrastrukturális fejlesztései -Laczkó Dezső Múzeumban oktatótermek és kiszolgáló helyiségek kialakítása***</t>
  </si>
  <si>
    <t>** Ezen projektek esetében a 2018. évi EU támogatás negatív előirányzata az EU támogatás visszautalását jelenti.</t>
  </si>
  <si>
    <t>2020-tól</t>
  </si>
  <si>
    <t xml:space="preserve">P </t>
  </si>
  <si>
    <t>2019. évi engedélyezett létszám</t>
  </si>
  <si>
    <t>Veszprémi Családsegítő és Gyermekjóléti Integrált Intézmény</t>
  </si>
  <si>
    <t>Agóra Veszprém Kulturális Központ</t>
  </si>
  <si>
    <t>10. melléklet a .../2019. (…….) önkormányzati rendelethez</t>
  </si>
  <si>
    <t>2019. év utáni javaslat</t>
  </si>
  <si>
    <t>Teljesítés                      2017.          12.31.-ig</t>
  </si>
  <si>
    <t xml:space="preserve">Agóra Veszprém Kulturális Központ </t>
  </si>
  <si>
    <t>1-17</t>
  </si>
  <si>
    <t>18</t>
  </si>
  <si>
    <t>Napsugár Bölcsőde</t>
  </si>
  <si>
    <t>NKA pályázat - Szilágyi László és Lakner Zoltán művei</t>
  </si>
  <si>
    <t>NKA pályázat - Szilvásy Nándor plakáttervei</t>
  </si>
  <si>
    <t>EFOP-4.1.9-16-2017-00014 A múzeumi és levéltári intézményrendszer tanulás segítő infrastrukturális fejlesztései -Laczkó Dezső Múzeumban oktatótermek és kiszolgáló helyiségek kialakítása</t>
  </si>
  <si>
    <t>Terepjáró</t>
  </si>
  <si>
    <t>Geodéziai mérőműszer</t>
  </si>
  <si>
    <t>Műtárgybeszerzés</t>
  </si>
  <si>
    <t>Szoftvervásárlás</t>
  </si>
  <si>
    <t>Mosógép vásárlás</t>
  </si>
  <si>
    <t>Fagyasztó vásárlás (CSÁÓ)</t>
  </si>
  <si>
    <t>Kiságy vásárlás 2 db (CSÁÓ)</t>
  </si>
  <si>
    <t>Konyhaszekrény vásárlás (CSÁÓ)</t>
  </si>
  <si>
    <t>Szőnyeg vásárlás (Rózsa u. 48.)</t>
  </si>
  <si>
    <t>Függöny vásárlás (Rózsa u. 48.)</t>
  </si>
  <si>
    <t>Bútor vásárlás (Rózsa u. 48.)</t>
  </si>
  <si>
    <t>Számítógép és szoftver vásárlás</t>
  </si>
  <si>
    <t>Cholnoky u. 19. Védőnői Szolgálat - konyhabútor mosogatótálcával</t>
  </si>
  <si>
    <t xml:space="preserve">Védőnői tanácsadók </t>
  </si>
  <si>
    <t xml:space="preserve"> - 3 db. Szűróaudiométer</t>
  </si>
  <si>
    <t xml:space="preserve"> - 7 db. Lang-féle sztereo-teszt térlátás vizsgálathoz Lang II.</t>
  </si>
  <si>
    <t xml:space="preserve"> - 3 db. asztali számítógép</t>
  </si>
  <si>
    <t xml:space="preserve"> - 5 db. Pelenkázó asztal</t>
  </si>
  <si>
    <t xml:space="preserve"> - oktatási eszközök iskolavédőnői szolgálat részére</t>
  </si>
  <si>
    <t>TOP-6.4.1-16-VP1-2018-00002 Kerékpárút építése Márkó-Bánd települések irányába</t>
  </si>
  <si>
    <t xml:space="preserve">          - Veszprémi Kaleidoszkóp 1-2. újrakiadása</t>
  </si>
  <si>
    <t xml:space="preserve">          - 10 éves kiadvány</t>
  </si>
  <si>
    <t>Veszprém Város Vegyeskar utánpótlás/Dúdoló Kórus</t>
  </si>
  <si>
    <t>Oktatási intézmények támogatása</t>
  </si>
  <si>
    <t>Téli rezsicsökkentésben nem részesültek egyszeri támogatása</t>
  </si>
  <si>
    <t>V-Busz Kft. Szolgáltatás vásárlás</t>
  </si>
  <si>
    <t>Környezet terhelés vizsgálat K-Ny-i főtengely I. ütem</t>
  </si>
  <si>
    <t>VESZOL - Veszprém, Pápai u. 37. sz. munkásszálló működetési feladatai</t>
  </si>
  <si>
    <t>MVP Veszprémi Zeneművészeti Szakgimnázium és Alapfokú Művészeti Iskola intézményegysége, a Csermák Antal Zeneiskola felújításához tartozó költöztetési feladatok elvégzése</t>
  </si>
  <si>
    <t>TOP Egry úti Óvoda újjáépítés - konténerbérlet</t>
  </si>
  <si>
    <t>TOP orvosi rendelők felújításához tartozó költöztetési munkák</t>
  </si>
  <si>
    <t>Felújításra kerülő bölcsődék költöztetési, eszközszállítási feladatai</t>
  </si>
  <si>
    <t xml:space="preserve">EFOP-1.9.9-17-2017-00004 Még jobb kezekben - Veszprémben </t>
  </si>
  <si>
    <t>V-Busz Kft. Cégalapítás költségei</t>
  </si>
  <si>
    <t>Digitális Kódfejtő Alapítvány támogatása/Talentum Centrum Tehetséggondozó Alapítvány</t>
  </si>
  <si>
    <t>TOP-71.1. Helyi közösségi kezdeményezések (CLLD kulcsprojekt előkészítése)</t>
  </si>
  <si>
    <t>Erasmus+K3 SporTown</t>
  </si>
  <si>
    <t>Gyulafirátóti rendelő felújítása költöztetés)</t>
  </si>
  <si>
    <t>Kádártai rendelő felújítása - Posta költöztetés</t>
  </si>
  <si>
    <t>9.sz. választókerületi járdaépítések</t>
  </si>
  <si>
    <t>A "Helyi foglalkoztatási együttműködések a megyei jogú város területén és várostérségben, foglalkoztatási együttműködés a veszprémi járás területén" projekt közbeszerzési eljárásával kapcsolatos fizetési kötelezettség</t>
  </si>
  <si>
    <t>Infrastruktúra fejlesztési feladatokhoz kapcsolódó kiadások</t>
  </si>
  <si>
    <t>Belváros komplett gazdasági, szociális, épített örökségvédelmi rehabilitációja és városfejlesztési stratégia elkészítése KDOP-3.1.1/D-2010-0001</t>
  </si>
  <si>
    <t>TOP-6.6.1-16-VP1 Jutasi u. 59. sz. alatti rendelő megújítása</t>
  </si>
  <si>
    <t>Jutasi u. 59. sz. alatti rendelő felújításához - költöztetés</t>
  </si>
  <si>
    <t>TOP 6.5.1-16 Önkormányzati épületek energetikai korszerűsítése</t>
  </si>
  <si>
    <t>MVP "Veszprémi új Városi Jégcsarnok építése"</t>
  </si>
  <si>
    <t>Tornászgyakorló kivitelezéséhez kapcsolódó közbeszerzés</t>
  </si>
  <si>
    <t>Veszprém, Óvári Ferenc u. 1. volt Zeneiskolában kiállításhoz szükséges költségekre</t>
  </si>
  <si>
    <t>Közbeszerzési szakértelem beszerzése (sportmarketing)</t>
  </si>
  <si>
    <t>Tagsági díj Balatoni Szövetség</t>
  </si>
  <si>
    <t>Felsőörs raktárbázis Felsőörs Szabadság tér 14 érintésvédelmi felülvizsgálata hatósági kötelezettség</t>
  </si>
  <si>
    <t>GINOP - 7.1.9-17-2018-00023 Veszprém kulturális turisztikai kínálatának fejlesztése</t>
  </si>
  <si>
    <t>Barátság park sportfejlesztések előkészítése, közmű ellátása</t>
  </si>
  <si>
    <t>Játszótérépítések</t>
  </si>
  <si>
    <t>Boglárka u.-Lóczy u. gyalogátkelő</t>
  </si>
  <si>
    <t>Festő utca rekonstrukciója, tervezés</t>
  </si>
  <si>
    <t>Polgármesteri Hivatal felújítási munkák</t>
  </si>
  <si>
    <t>Magyar Építőipari Múzeum Szent István u. épület fertőtlenítése és felújítása</t>
  </si>
  <si>
    <t>Védett sírok felújítása az Alsóvárosi temetőben</t>
  </si>
  <si>
    <t>Szilágyi Táncegyüttes Alapítvány</t>
  </si>
  <si>
    <t>Cholnoky Jazzbalettért Alapítvány</t>
  </si>
  <si>
    <t>Szent Miklós szeg környezetének fejlesztése, építészeti ötletpályázat</t>
  </si>
  <si>
    <t>Brusznyai Árpád Alapítvány támogatása</t>
  </si>
  <si>
    <t>Működési célú tartalékok</t>
  </si>
  <si>
    <t>Felhalmozási célú tartalékok</t>
  </si>
  <si>
    <t>Működési célú céltartalékok</t>
  </si>
  <si>
    <t>Felhalmozási célú céltartalékok</t>
  </si>
  <si>
    <t>Játszóeszközök felújítása (78/2003 GKM rendelet)</t>
  </si>
  <si>
    <t>Köztéri műalkotások rekonstrukciója, körforgalmakban lévő fa műtárgyak felületkezelése, állagmegóvása</t>
  </si>
  <si>
    <t>Elhasználódott labdapályák felújítása és balesetveszély elhárítás</t>
  </si>
  <si>
    <t>Nagyfelületű út- és járdafelújítások</t>
  </si>
  <si>
    <t>Vízrendezési feladatok, árkok felújítása</t>
  </si>
  <si>
    <t>Földutak felújítása</t>
  </si>
  <si>
    <t>Köztéri padok felújítása</t>
  </si>
  <si>
    <t>Kertvárosi utcák felújítása víziközmű rekonstrukció után</t>
  </si>
  <si>
    <t>2019.</t>
  </si>
  <si>
    <t>Hősök kapuja, Vár u. 2. tetőterasz beázás és falak felszívódó nedvesség elleni szigetelése</t>
  </si>
  <si>
    <t>Evangélikus Óvoda tető felújítása</t>
  </si>
  <si>
    <t>Gyulafirátót, Posta utcai csapadékvíz elvezető árok részleges felújítása</t>
  </si>
  <si>
    <t>Nem lakás célú  helyiségek felújítási igénye</t>
  </si>
  <si>
    <t>Földmérési jelek felújítása</t>
  </si>
  <si>
    <t>Tetőjavítás, esővízelvezetés Kengyel utca felőli részen</t>
  </si>
  <si>
    <t>Elkorhadt nyílászárók cseréje II. ütem</t>
  </si>
  <si>
    <t>Árnyékolás két pavilon teraszán</t>
  </si>
  <si>
    <t>Kertrendezés, vízelvezetés, talajpótlás megoldása</t>
  </si>
  <si>
    <t>Hátsó épület nyílászárók cseréje a csoportszobákban</t>
  </si>
  <si>
    <t>Első épület összekötő folyosó nyílászáró cseréje és tetőjavítás</t>
  </si>
  <si>
    <t>Hátsó épület utólagos vízszigetelése, külső terepszint süllyesztése</t>
  </si>
  <si>
    <t>Terasz árnyékolás</t>
  </si>
  <si>
    <t>Tetőcsere 1 pavilonban</t>
  </si>
  <si>
    <t>Ereszcsatorna bővítés, csapadékelvezetés</t>
  </si>
  <si>
    <t>Burkolat cseréje szélfogóban, folyosón</t>
  </si>
  <si>
    <t>Cholnoky Jenő Tagóvoda</t>
  </si>
  <si>
    <t>Gyermekmosdók burkolása, öltözők felújítása -              3 csoportban</t>
  </si>
  <si>
    <t>Éjszakai áramkör kialakítása</t>
  </si>
  <si>
    <t>Elektromos hálózat felújítása I. ütem</t>
  </si>
  <si>
    <t>Komakút tér 1. Fogászat - pihenőhelyiség lapozása, festése</t>
  </si>
  <si>
    <t>Terasz árnyékolás megoldása 3 pavilonnál</t>
  </si>
  <si>
    <t>Nyílászáró csere IV. ütem (4 db. pavilonban)</t>
  </si>
  <si>
    <t>Fürdőszoba felújítása III. ütem (1 db. pavilonban)</t>
  </si>
  <si>
    <t>Bejárati lépcsők felújítása</t>
  </si>
  <si>
    <t>Vass-Gyűjtemény</t>
  </si>
  <si>
    <t>Tűzjelző, mozgásérzékelő javítása</t>
  </si>
  <si>
    <t>Veszprémi Báthory István Általános Iskola és Köznevelési Típusú Sportiskola</t>
  </si>
  <si>
    <t>Főzőkonyha padozat és burkolat felújítása</t>
  </si>
  <si>
    <t>Családok Átmeneti Otthonában (Pápai u.37.) a fennmaradó 6 db konvektor cseréje</t>
  </si>
  <si>
    <t>TOP-6.2.1-16-VP1-2018-00002 Egry úti óvoda újjáépítése</t>
  </si>
  <si>
    <t>TOP-6.5.1-16-VP1-2018-00006 Módszertani Bölcsőde energetikai megújítása</t>
  </si>
  <si>
    <t>TOP-6.5.1-16-VP1-2018-00003 Laczkó Dezső Múzeum energetikai megújítása</t>
  </si>
  <si>
    <t>TOP-6.9 "Közösségfejlesztés Veszprém város településrészein</t>
  </si>
  <si>
    <t>URBACT Innova Tor</t>
  </si>
  <si>
    <t>Önkormányzati érdekeket érintő településrendezése eszközök módosítása-2019</t>
  </si>
  <si>
    <t>Petőfi Sándor utca rekonstrukciója III. ütem</t>
  </si>
  <si>
    <t>Kulturális negyed tervezése II. ütem</t>
  </si>
  <si>
    <t>Jutaspusztai kerékpárút tervezés előkészítése</t>
  </si>
  <si>
    <t>Bolgár Mihály utcai híd áteresz kapacitás bővítés, tervezés, engedélyezés, kivitelezés</t>
  </si>
  <si>
    <t>Egry utcai óvoda új villamos és gáz betáp vezeték tervezése és kiépítése, villamos kapacitásbővítés</t>
  </si>
  <si>
    <t>Bóbita óvodában elhelyezendő konténer óvodák</t>
  </si>
  <si>
    <t>Gyulafirátóti köztéri játszótér eszközeinek elhelyezése</t>
  </si>
  <si>
    <t>Sorompó utca járdaépítés</t>
  </si>
  <si>
    <t>Egyetemváros, zöldterület rendezés</t>
  </si>
  <si>
    <t>Engedélyek megújítása</t>
  </si>
  <si>
    <t>82-es út közlekedésbiztonsági fejlesztése</t>
  </si>
  <si>
    <t>Vár u. 10. épület felújításának előkészítése, tervezés</t>
  </si>
  <si>
    <t>Aradi vértanuk emlékművének elkészítése</t>
  </si>
  <si>
    <t>Veszprém - Balaton 2023 Zrt. törzstőke emelés</t>
  </si>
  <si>
    <t>Veszprém - Balaton 2023 Zrt. tőketartalékba helyezés</t>
  </si>
  <si>
    <t>Veszprém - Balaton Zrt. Részvényvásárlás</t>
  </si>
  <si>
    <t xml:space="preserve">V-Busz Kft törzstőke </t>
  </si>
  <si>
    <t>V-Busz Kft tőketartalékba helyezés</t>
  </si>
  <si>
    <t>Herendi műtárgy felállítása belvárosi körforgalomba</t>
  </si>
  <si>
    <t>Veszprém 0105/1 hrsz.alatti nem veszélyes hulladéklerakó részletes tényfeltárása</t>
  </si>
  <si>
    <t>Óvodai pályaépítési program</t>
  </si>
  <si>
    <t>EFOP-4.1.8-16-VP1-2017-00020 "Az Eötvös Károly Megyei Könyvtár tanulás segítő infrastrukturális fejlesztései" visszafizetési kötelezettség</t>
  </si>
  <si>
    <t>Projekt teljes költség</t>
  </si>
  <si>
    <t>Civil díj, civil nap költségei</t>
  </si>
  <si>
    <t xml:space="preserve">TOP-7.1.1-16 CLLD Városrészi közösség és kulturális terek felújítása </t>
  </si>
  <si>
    <t>Kertészeti felújítások</t>
  </si>
  <si>
    <t>Vár utca kockakő burkolat felújítása</t>
  </si>
  <si>
    <t>Csikász Galéria Vár u.17.</t>
  </si>
  <si>
    <t>Március 15. u. Uszoda HMV vízmelegítés értéktartó szabályozás kiépítése</t>
  </si>
  <si>
    <t>TOP-6.5.1-16-VP1-2018-00004 Aprófalvi bölcsőde energetikai korszerűsítése</t>
  </si>
  <si>
    <t>2018-2021</t>
  </si>
  <si>
    <t>TOP-6.5.1-16-VP1-2018-00003 Laczkó Dezső Múzeum épületének energetikai megújítása</t>
  </si>
  <si>
    <t>TOP-6.5.1-16-VP1-2018-00006 Módszertani bölcsőde energetikai megújítása</t>
  </si>
  <si>
    <t>Örmény Kultúráért Alapítvány</t>
  </si>
  <si>
    <t>2019-2020</t>
  </si>
  <si>
    <t>2019-2021</t>
  </si>
  <si>
    <t>MVP Veszprémi Atlétikai Stadion felújítása I.ütem</t>
  </si>
  <si>
    <t>Aréna hiteltörlesztéséhez nyújtott támogatás visszafizetése</t>
  </si>
  <si>
    <t>TOP-6.6.1-16-VP1-2018-00006 - Cserhát ltp.1.sz.alatti gyermekorvosi rendelők  felújítása</t>
  </si>
  <si>
    <t>TOP-6.5.1-16-VP1-2018-00005 - Március 15. utcai Sportcsarnok és Uszoda energetikai megújítása</t>
  </si>
  <si>
    <t>TOP-6.5.1-16-VP1-2018-00002 Völgyikút utca 2. szám alatti épület energetikai megújítása</t>
  </si>
  <si>
    <t>TOP-6.2.1-16-VP1-2018-00001  A Veszprémi Bölcsődei és Egészségügyi Alapellátási Integrált Intézmény Módszertani Bölcsődéje megújítása, illetve bölcsődei eszközbeszerzések</t>
  </si>
  <si>
    <t xml:space="preserve"> - Beruházási kiadásokra képzett céltartalék                     </t>
  </si>
  <si>
    <t xml:space="preserve"> - Intézményi beruházáshoz kapcsolódó létszámbővítés</t>
  </si>
  <si>
    <t>határozott idejű foglalkozatottak létszáma                 (2019. március 1 - 2019. december 31-i)</t>
  </si>
  <si>
    <t>határozott idejű foglalkozatottak létszáma               (2019. január 1 - 2019. február 28-i)</t>
  </si>
  <si>
    <t>Tornaterem és utcafronti ablakok nyílászáró csere</t>
  </si>
  <si>
    <t>Udvari ivókút telepítése, hozzá tartozó vízvezeték elvezetése és a kút körüli burkolás</t>
  </si>
  <si>
    <t xml:space="preserve">          - Beiskolázási támogatás</t>
  </si>
  <si>
    <t>módosítás-</t>
  </si>
  <si>
    <t>Egyesített Szoc.Int.-Hóvirág utcai II.sz.Gondozási Központ 3.sz.Idősek Nappali Intézménye (9.vk.Támogatása)</t>
  </si>
  <si>
    <t>2019. évi eredeti előirányzat</t>
  </si>
  <si>
    <t>MINDÖSSZESEN</t>
  </si>
  <si>
    <t>V á l a s z t ó k e r ü l e t</t>
  </si>
  <si>
    <t>Beruh.</t>
  </si>
  <si>
    <t>Felúj. és karbantartás</t>
  </si>
  <si>
    <t>Utak-</t>
  </si>
  <si>
    <t>Parkfennt.</t>
  </si>
  <si>
    <t>Köztiszt.</t>
  </si>
  <si>
    <t>Város</t>
  </si>
  <si>
    <t>Környezet-</t>
  </si>
  <si>
    <t>Igaz-</t>
  </si>
  <si>
    <t>Sport</t>
  </si>
  <si>
    <t>Civil Szerv.</t>
  </si>
  <si>
    <t>Intézményi</t>
  </si>
  <si>
    <t>Tartalék</t>
  </si>
  <si>
    <t>hidak</t>
  </si>
  <si>
    <t>feladatok</t>
  </si>
  <si>
    <t>Gazdálk.</t>
  </si>
  <si>
    <t>védelmi fel.</t>
  </si>
  <si>
    <t>gatás</t>
  </si>
  <si>
    <t>támogatása</t>
  </si>
  <si>
    <t>támogatás</t>
  </si>
  <si>
    <t>Költségv.</t>
  </si>
  <si>
    <t>Kv.-i maradv.</t>
  </si>
  <si>
    <t xml:space="preserve">1. </t>
  </si>
  <si>
    <t>eredeti ei. + költségvetési maradvány</t>
  </si>
  <si>
    <t xml:space="preserve">3. </t>
  </si>
  <si>
    <t xml:space="preserve">4. </t>
  </si>
  <si>
    <t xml:space="preserve">5. </t>
  </si>
  <si>
    <t xml:space="preserve">6. </t>
  </si>
  <si>
    <t xml:space="preserve">7. </t>
  </si>
  <si>
    <t xml:space="preserve">8. </t>
  </si>
  <si>
    <t xml:space="preserve">9. </t>
  </si>
  <si>
    <t xml:space="preserve">10. </t>
  </si>
  <si>
    <t>11.</t>
  </si>
  <si>
    <t>12.</t>
  </si>
  <si>
    <t>A 2019. évi választókerületi alap megoszlása feladatonként</t>
  </si>
  <si>
    <t>ÖSSZEFOGLALÓ TÁBLA</t>
  </si>
  <si>
    <t>a bevételi és kiadási előirányzatok módosításáról</t>
  </si>
  <si>
    <t xml:space="preserve">                </t>
  </si>
  <si>
    <t>BEVÉTELEK</t>
  </si>
  <si>
    <t>Helyi önkormányzatok általános működéséhez és ágazati feladataihoz kapcsolódó támogatás</t>
  </si>
  <si>
    <t>Egyéb működési célú támogatások</t>
  </si>
  <si>
    <t>Önkormányzati Intézmények működési célú támogatások Áht-on belülről</t>
  </si>
  <si>
    <t>BEVÉTELEK ÖSSZESEN:</t>
  </si>
  <si>
    <t>II.</t>
  </si>
  <si>
    <t>KIADÁSOK</t>
  </si>
  <si>
    <t>VMJV Önkormányzat működési kiadások</t>
  </si>
  <si>
    <t>Ágazati feladatokhoz kapott támogatásokból, bevételi többletből, feladatok közötti átcsoportosításból</t>
  </si>
  <si>
    <t>Veszprémi Kistérségi Társulásnak pénzeszköz átadás (ESZI)</t>
  </si>
  <si>
    <t>Bevételi többletből, feladatok közötti átcsoportosításból összesen</t>
  </si>
  <si>
    <t>VMJV Önkormányzata működési kiadás összesen</t>
  </si>
  <si>
    <t xml:space="preserve">Felhalmozási kiadások </t>
  </si>
  <si>
    <t>Felújítás összesen:</t>
  </si>
  <si>
    <t>Felhalmozási kiadások összesen:</t>
  </si>
  <si>
    <t>INTÉZMÉNYI KIADÁSOK</t>
  </si>
  <si>
    <t>Polgármesteri Hivatal</t>
  </si>
  <si>
    <t>Intézményi működési kiadások összesen</t>
  </si>
  <si>
    <t xml:space="preserve">Intézményi felhalmozási költségvetés </t>
  </si>
  <si>
    <t>Bárczi G. Általános Iskola (Főzőkonyha)</t>
  </si>
  <si>
    <t>Intézmények összesen</t>
  </si>
  <si>
    <t>Működési céltartalék</t>
  </si>
  <si>
    <t>Kiadások összesen</t>
  </si>
  <si>
    <t>Hintaállvány ütéscsillapítóval, telepítéssel</t>
  </si>
  <si>
    <t>Udvari játék, gumitégla</t>
  </si>
  <si>
    <t>Udvari padok</t>
  </si>
  <si>
    <t>Fészekhinta</t>
  </si>
  <si>
    <t>Árnyékoló</t>
  </si>
  <si>
    <t>Laptop</t>
  </si>
  <si>
    <t>Lengő hinta</t>
  </si>
  <si>
    <t>Napernyők, árnyékoló</t>
  </si>
  <si>
    <t>Konyhai edények</t>
  </si>
  <si>
    <t>Udvari játékok</t>
  </si>
  <si>
    <t>Interaktív tábla állvánnyal</t>
  </si>
  <si>
    <t>Kisértékű tárgyi eszközök (kisgépek, fejlesztő eszközök, informatikai és kommunikációs eszközök, egyéb üzemeltetési eszközök, udvari játékok, tartós játékok, bútorok, tárolók, textíliák, kisgépek)</t>
  </si>
  <si>
    <t>Önkormányzati intézmények működési bevételei</t>
  </si>
  <si>
    <t>Beépített szekrénysor mosókonyhába</t>
  </si>
  <si>
    <t>Beépített szekrénysor - 4 csoportszobába</t>
  </si>
  <si>
    <t>Egyedi gyártású gyermek öltözőszekrények - 2 csoport részére</t>
  </si>
  <si>
    <t>Beépített szekrénysor vasaló szobába</t>
  </si>
  <si>
    <t>Faház</t>
  </si>
  <si>
    <t>Televízió</t>
  </si>
  <si>
    <t>Kerámia plakett</t>
  </si>
  <si>
    <t>Sportszerek</t>
  </si>
  <si>
    <t>MyRay Hy-scan röntgendigitalizáló készülék</t>
  </si>
  <si>
    <t>Projektor</t>
  </si>
  <si>
    <t>Villanytűzhely</t>
  </si>
  <si>
    <t>Projektor 2 db.</t>
  </si>
  <si>
    <t>Mikrofon 2db.</t>
  </si>
  <si>
    <t>Laptop szoftverrel</t>
  </si>
  <si>
    <t>Konyhabútor</t>
  </si>
  <si>
    <t xml:space="preserve">Számítástechnikai eszközök </t>
  </si>
  <si>
    <t>Könyvtári bútor</t>
  </si>
  <si>
    <t>Hang- és fénytechnikai eszközök</t>
  </si>
  <si>
    <t>Bábműhely kisgépek</t>
  </si>
  <si>
    <t>Füst gép</t>
  </si>
  <si>
    <t>Köd gép</t>
  </si>
  <si>
    <t>Iratmegsemmisítő</t>
  </si>
  <si>
    <t>Beépített szekrény igazgatói irodába</t>
  </si>
  <si>
    <t xml:space="preserve">módosítás- </t>
  </si>
  <si>
    <t>8.vk. Hulladékgyűjtő elhelyezése a Kalmár térre</t>
  </si>
  <si>
    <t>Önkormányzati egyéb felhalmozási célú kiadások - átcsoportosításból</t>
  </si>
  <si>
    <t xml:space="preserve">9.vk. VKTT Egyesített Szoc.Int. - Hóvirág utcai II.sz. Gondozási Központ 3.sz. Idősek Nappali Intézménye eszközbeszerzésére </t>
  </si>
  <si>
    <t>10.vk. 2.sz. Idősek Otthona (Völgyikút u.) tűzhelyek beszerzésére</t>
  </si>
  <si>
    <t>Honlap fejlesztés</t>
  </si>
  <si>
    <t xml:space="preserve">EMMI - Csóri Sándor pályázat (Néptáncegyüttesek működési támogatása) - műszaki berendezés </t>
  </si>
  <si>
    <t>TOP-6.6.1-16-VP1-2018-0003 "Jutasi u. 59. sz. alatti orvosi rendelők megújítása"</t>
  </si>
  <si>
    <t>10.vk. Konténer tárolók kihelyezésére a 10. sz. választókerületben</t>
  </si>
  <si>
    <t>Beruházási kiadások -bevételi források változásából adódóan, valamint feladatok közötti átcsoportosításból</t>
  </si>
  <si>
    <t>Bevételi források változásából adódóan, valamint feladatok közötti átcsoportosításból összesen</t>
  </si>
  <si>
    <t>TOP-6.6.1-16-VP1-2018-00003 Jutasi u. 59. szám alatti orvosi rendelő megújítása</t>
  </si>
  <si>
    <t>Gyepmesteri telep kerítés felújítása</t>
  </si>
  <si>
    <t>Aranyfőkötős szobor felújítása</t>
  </si>
  <si>
    <t>Pajta utca 10. sz. alatti bérlakás felújítása</t>
  </si>
  <si>
    <t>Teherhordó fal javítása</t>
  </si>
  <si>
    <t>11.vk., 12.vk. Gazdasági bejárat ajtó csere</t>
  </si>
  <si>
    <t>Irodaépület - padlóburkolatok cseréje</t>
  </si>
  <si>
    <t>Fan-coil fűtési rendszer javítása</t>
  </si>
  <si>
    <t>Raktárbázis (Felsőörs) villamos hálózat felújítás és riasztó kiépítése</t>
  </si>
  <si>
    <t>A Családok Átmeneti Otthona, Pápai út 37. telephelyen elavult, tönkrement fűtésrendszer cseréje</t>
  </si>
  <si>
    <t>VKTT Egyesített Szociális Intézmény</t>
  </si>
  <si>
    <t>1. sz. Idősek Otthona lift felvonó csere</t>
  </si>
  <si>
    <t>Tűzjelző, mozgásérzékelő javítása, cseréje</t>
  </si>
  <si>
    <t>Kézművesház belső szakipari munkák</t>
  </si>
  <si>
    <t>Karos papírvágó (restaurátoroknak)</t>
  </si>
  <si>
    <t>Ásatástechnikai berendezések</t>
  </si>
  <si>
    <t>Szkenner</t>
  </si>
  <si>
    <t>Fényképezőgép</t>
  </si>
  <si>
    <t>Terepi laptop (régészetre)</t>
  </si>
  <si>
    <t>Felsőörsi raktárbázis fűtéskorszerűsítés</t>
  </si>
  <si>
    <t>Irodai székek</t>
  </si>
  <si>
    <t xml:space="preserve">Régészeti és egyéb szakmai eszközök </t>
  </si>
  <si>
    <t>Urbact Innova-tor *</t>
  </si>
  <si>
    <t>* Az Urbact Innova-tor támogatása a szerződésben €-ban van meghatározva, az átszámítás 316.39 Ft/EUR-val történt</t>
  </si>
  <si>
    <t>A Veszprém, 0273 hrsz-ú "kivett helyi közút" kialakítása érdekében szükséges ingatlanszerzési eljárások lefolytatása (0270/1, 0270/2, 0271/3, 0274/1, 0274/3 hrsz-ú ingatlanok)</t>
  </si>
  <si>
    <t>TOP-6.3.3-15-VP1-2016-00001 Kertváros csapadékelvezető rendszer rekonstrukciója I. ütem</t>
  </si>
  <si>
    <t>Hulladéklerakó környezetének vizsgálata és rekultiváció</t>
  </si>
  <si>
    <t>Önkormányzati érdekeket érintő településrendezése eszközök módosítása III.</t>
  </si>
  <si>
    <t>Arculati kézikönyv</t>
  </si>
  <si>
    <t>József Attila utca és Takácskert utcai körforgalmi csomópont tervezése</t>
  </si>
  <si>
    <t>"Játék Összeköt" program előkészítése</t>
  </si>
  <si>
    <t>Csikász I.u parkolóépítés tervezés</t>
  </si>
  <si>
    <t>Diósi M. u. parkolóépítés tervezés</t>
  </si>
  <si>
    <t>Autóbuszöböl építése a Cholnoky Jenő utcában</t>
  </si>
  <si>
    <t>Csutorás utca, közműfejlesztés</t>
  </si>
  <si>
    <t>Közvilágítás fejlesztése (Zrínyi Miklós utca és a Káposztáskert utca)</t>
  </si>
  <si>
    <t>Káposztáskert utcai távközlési kábel áthelyezése és új kiépítése</t>
  </si>
  <si>
    <t>Parkolók tervezése a Halle u. 5. szám előtti területen</t>
  </si>
  <si>
    <t>Helikopter statikus elhelyezése</t>
  </si>
  <si>
    <t>Ingatlan haszonbérleti díj Szentgál</t>
  </si>
  <si>
    <t>Közműalagút lámpatestek cseréje</t>
  </si>
  <si>
    <t>Buszvárók telepítése</t>
  </si>
  <si>
    <t>6.vk. Gyalogátkelőhely tervezése (Ady E. u.)</t>
  </si>
  <si>
    <t>Pápai u.-Jutasi u. belső krt. mellékkötelezettségek</t>
  </si>
  <si>
    <t>Árkok műszaki tervei</t>
  </si>
  <si>
    <t>Közműalagút vészjelző rendszer tervezése</t>
  </si>
  <si>
    <t>Közműalagút vészjelző rendszer cseréje</t>
  </si>
  <si>
    <t>Végleges forgalomba helyezésekhez szükséges ingatlanrendezés</t>
  </si>
  <si>
    <t>Veszprém, Erdész utca csapadékvíz elvezetés kivitelezése I. ütem</t>
  </si>
  <si>
    <t>Vízbázisvédelmi feladatok KDKvTvVF 27063/05. sz. határozat</t>
  </si>
  <si>
    <t>Veszprém Stadion gázellátása</t>
  </si>
  <si>
    <t>Barátság park sport fejlesztések előkészítése, közmű ellátása</t>
  </si>
  <si>
    <t>Térfigyelő kamerák beszerzése</t>
  </si>
  <si>
    <t>Martinovics tér ivókút (12.vk.)</t>
  </si>
  <si>
    <t>CLLD - Városrészi közösségi és kulturális terek infrastrukturális felújítása, átépítése</t>
  </si>
  <si>
    <t>Sorompó utca hiányzó járdaszakasz tervek</t>
  </si>
  <si>
    <t>SÉD-völgy táblarendszer fejlesztése</t>
  </si>
  <si>
    <t>Aradi Vértanúk emlékmű pályázat tervezési díja</t>
  </si>
  <si>
    <t>Komakút tér 1. III. emeletén található fogorvosi rendelő várójában térelválasztó fal építése</t>
  </si>
  <si>
    <t>Pápai út 37. csapadékvíz elvezetés tervezés</t>
  </si>
  <si>
    <t>Csererdő csapadékvíz - tervezés</t>
  </si>
  <si>
    <t>Károly templom felújításának támogatása</t>
  </si>
  <si>
    <t>Csererdő játszótér, alapítványi támogatás (Csererdei Baráti Kör)</t>
  </si>
  <si>
    <t>Beruházások közműdíjai</t>
  </si>
  <si>
    <t>Játék összeköt minket program</t>
  </si>
  <si>
    <t>Zöldfelületi stratégia készítése, külső szakértők díjazása</t>
  </si>
  <si>
    <t>Miklós utca 18. sz. alatti 604/A/3 hrsz-ú ingatlan adásvétele</t>
  </si>
  <si>
    <t>8.vk. Hulladékgyűjtő beszerzésére</t>
  </si>
  <si>
    <t>8.vk. 2 db utcai pad és 1 db sörpad garnitúra Kalmár térre</t>
  </si>
  <si>
    <t>4.vk. támogatása udvari játékokra</t>
  </si>
  <si>
    <t>VKSZ Zrt. Közfeladat ellátásának 2017-2018. évi elszámolása</t>
  </si>
  <si>
    <t>2018. tény</t>
  </si>
  <si>
    <t>TOP-6.6.1-16-VP1-2018-00004 Vilonyai utca 2/B szám alatti orvosi rendelő megújítása</t>
  </si>
  <si>
    <t>TOP-6.6.1-16-VP1-2018-00005 Ördögárok u. 5. szám alatti orvosi rendelő megújítása</t>
  </si>
  <si>
    <t>TOP-6.6.1-16-VP1-2017-00002 Kádártai rendelő kialakítása</t>
  </si>
  <si>
    <t>TOP – 6.9.2  A helyi identitás és kohézió erősítése</t>
  </si>
  <si>
    <t>TOP – 6.9.2 -16-VP1-2018-00001 Közösségfejlesztés Veszprém város településrészein</t>
  </si>
  <si>
    <t>TOP-6.5.1 - 16- VP1-2018-00004 Aprófalvi Bölcsőde energetikai korszerűsítése</t>
  </si>
  <si>
    <t>"Okos-Zebra - Gyalogosvédelmi rendszer" elnevezésű pályázat önrésze</t>
  </si>
  <si>
    <t>2018. évi tény</t>
  </si>
  <si>
    <t>Veszprémi Fúvós Kultúráért Alapítvány támogatása</t>
  </si>
  <si>
    <t xml:space="preserve">          - Veszprém várostörténeti kiadványok előkészítése</t>
  </si>
  <si>
    <t>Európa Parlament tagjainak 2019. évi választása</t>
  </si>
  <si>
    <t xml:space="preserve"> - 2018. évi adóbevételekkel szembeni kötelezettség</t>
  </si>
  <si>
    <t>Várlift építészeti tervpályázat lebonyolítása</t>
  </si>
  <si>
    <t>2018. évi              tény</t>
  </si>
  <si>
    <t xml:space="preserve">         Villámhárító tervezése, kivitelezése (Gyulafirátót)</t>
  </si>
  <si>
    <t>Tanórán kívüli tevékenység - Veszprémi Fúvóskultúráért Alapítvány</t>
  </si>
  <si>
    <t>* A Duna Nemzetközi  Interreg Program kapcsán az összes támogatás összevontan került feltüntetésre (85% EU és a 10% Nemzeti támogatás)                                                                                                                                                                                                                                                                     A támogatási szerződésben €-ban van, 2017. jan. 12-i MNB deviza-árfolyammal:  307,71 forinttal átszámolva.</t>
  </si>
  <si>
    <t>2018. évi    tény</t>
  </si>
  <si>
    <t>Tartalék összesen</t>
  </si>
  <si>
    <t>Befektetés ösztönzési kiadványok (részvétel a Renexpo ingatlanfejlesztési vásáron, marketingakciók)</t>
  </si>
  <si>
    <t>Brusznyai utcai csapadékvíz csatorna rekonstrukció I. ütem (alsó szakasz) tervezés, engedélyezés, kivitelezés</t>
  </si>
  <si>
    <t>Ivókút létesítése</t>
  </si>
  <si>
    <t>Egry úti Óvoda újjáépítése miatt szükséges óvodai felújítások, konténer ovi telepítése</t>
  </si>
  <si>
    <t>Dózsa György u. 2.sz. alatti épület felújítása</t>
  </si>
  <si>
    <t>Március 15. u. 4/B Orvosi rendelő  - Dr. Mántó István - várótermi pad csere, székek cseréje</t>
  </si>
  <si>
    <t>módosítás- kulturális illetmény pótlék (2019. március - 2019. április hó)</t>
  </si>
  <si>
    <t>Mikszáth Kálmán u. 13.</t>
  </si>
  <si>
    <t>Családok Átmeneti Otthona - Pápai u. 37.</t>
  </si>
  <si>
    <t>Kisértékű tárgyi eszközök (mosogép, bútor, függöny, szőnyeg, fagyasztó, mobiltelefon, kártyaolvasó, mikró, porszívó, router, ventilátor, iratmegsemmisítő, papírvágó, lamináló, fűnyíró)</t>
  </si>
  <si>
    <t xml:space="preserve">Konyhaszekrény </t>
  </si>
  <si>
    <t>Kaputelefon</t>
  </si>
  <si>
    <t>Iskolai szociális munkások - Rózsa u. 48.</t>
  </si>
  <si>
    <t>Gépkocsi vásárlás</t>
  </si>
  <si>
    <t>Elektromos személygépjármű beszerzése 2 db.</t>
  </si>
  <si>
    <t>Ovi-Foci Közhasznú Alapítvány</t>
  </si>
  <si>
    <t>Veszprém Jutasi út 59. szám alatti gyermekorvosi rendelőkbe bútor vásárlása</t>
  </si>
  <si>
    <t>I. Világháborús Centenáriumi Emlékezés költségei/Veszprém Megyei Honismereti Egyesület</t>
  </si>
  <si>
    <t>módosítás- átcsoportosítás</t>
  </si>
  <si>
    <t>Leégett párizsi Notre Dame Katedrális támogatása</t>
  </si>
  <si>
    <t>Számítástechnikai eszközök (számítógépek, laptopok, Office programok, Windows programok, unifi routerek, nyomtatók, Switch asztali, kártyaleolvasó Kira porgramhoz, Synology DiskStation Nas 2 Gb RAM, Western Digital 64MB Winchester)</t>
  </si>
  <si>
    <t>Sporttámogatások</t>
  </si>
  <si>
    <t>Pannon SE női kézilabda</t>
  </si>
  <si>
    <t>Veszprémi Úszó Klub</t>
  </si>
  <si>
    <t>Balaton Úszó Klub</t>
  </si>
  <si>
    <t>Veszprémi Torna Klub</t>
  </si>
  <si>
    <t>VESC női röplabda</t>
  </si>
  <si>
    <t>Szilágyi DSE</t>
  </si>
  <si>
    <t>Dózsavárosi DSE</t>
  </si>
  <si>
    <t>Veszprémi Jégkorong SE</t>
  </si>
  <si>
    <t>Veszprémi Egyetemi SC</t>
  </si>
  <si>
    <t>Veszprémi FITT SE</t>
  </si>
  <si>
    <t>Veszprémi Honvéd SE</t>
  </si>
  <si>
    <t>Veszprémi Dózsa SK-birkózó</t>
  </si>
  <si>
    <t>Balaton Fitness Sportegyesület</t>
  </si>
  <si>
    <t>Ezüst Huszár Sakkegyesület</t>
  </si>
  <si>
    <t>Veszprémi Spartacus SE</t>
  </si>
  <si>
    <t>Veszprémi Taekwondo SE</t>
  </si>
  <si>
    <t>K.O. Sport és Szabadidő Egyesület</t>
  </si>
  <si>
    <t>Top-Gym SE</t>
  </si>
  <si>
    <t>Veszprémi Thai-Boksz SE</t>
  </si>
  <si>
    <t>Veszprémi Triatlon Egylet</t>
  </si>
  <si>
    <t>Ász Veszprémi Teniszezők Klubja</t>
  </si>
  <si>
    <t>Veszprémi Bridzs és Tájékozódási SE</t>
  </si>
  <si>
    <t>Veszprémi Ejtőernyős Egyesület</t>
  </si>
  <si>
    <t>Veszprémi Szivárvány Integrált SE</t>
  </si>
  <si>
    <t>Bonita Tánc Egyesület</t>
  </si>
  <si>
    <t>Bakony Kendo és Iaido Club</t>
  </si>
  <si>
    <t>Veszprémi Judo és Szabadidő SE</t>
  </si>
  <si>
    <t>Acro Dance</t>
  </si>
  <si>
    <t>Hemo Winner Versenytánc SE</t>
  </si>
  <si>
    <t>Veszprémi Sportmászó Egyesület</t>
  </si>
  <si>
    <t>Építők Természetbarát SE</t>
  </si>
  <si>
    <t>Veszprémi Asztalitenisz Sportegyesület</t>
  </si>
  <si>
    <t>Veszprémi Rendőr SE</t>
  </si>
  <si>
    <t>A FÉNY SE</t>
  </si>
  <si>
    <t>Kid Rock and Roll SE</t>
  </si>
  <si>
    <t>Centrum Diák és Szabadidő Egyesület</t>
  </si>
  <si>
    <t>Berenhidai H.P. Baranta SE</t>
  </si>
  <si>
    <t>Veszprémi Shotokan Karate Club</t>
  </si>
  <si>
    <t>Golding Táncsport Egyesület</t>
  </si>
  <si>
    <t>Rock'n'Roll Club Veszprém</t>
  </si>
  <si>
    <t>Veszprémi Kerékpáros Egyesület</t>
  </si>
  <si>
    <t>Bakony Dinamikus Lövész Egyesület</t>
  </si>
  <si>
    <t>Veszprémi Sí Egylet</t>
  </si>
  <si>
    <t>Carlson Gracie Bloodline Team SE</t>
  </si>
  <si>
    <t>Veszprémi Tollaslabda Sportegyesület</t>
  </si>
  <si>
    <t>Piros Életmód SE</t>
  </si>
  <si>
    <t>Sportolj Velünk SE</t>
  </si>
  <si>
    <t>Gyulafirátót SE</t>
  </si>
  <si>
    <t>Veszprémi Kempo SE</t>
  </si>
  <si>
    <t>Veszprémi Röplabda Klub</t>
  </si>
  <si>
    <t>Veszprémi Sportlövész Egyesület</t>
  </si>
  <si>
    <t>Veszprémi Szabadidő és Tömegsport Egyesület</t>
  </si>
  <si>
    <t>D.L. Veszprémi Judo és Szabadidő Közhasznú SE</t>
  </si>
  <si>
    <t>HEMO Winner Versenytánc Egyesület</t>
  </si>
  <si>
    <t>Utánpótlás Kézilabdakapus Képző Sportegyesület</t>
  </si>
  <si>
    <t>"Ász" Veszprémi Teniszezők Klubja</t>
  </si>
  <si>
    <t>Dózsavárosi Diáksport Egyesület</t>
  </si>
  <si>
    <t>Laroco Motorsport Egyesület</t>
  </si>
  <si>
    <t>Veszprémi Szivárvány SE</t>
  </si>
  <si>
    <t>Veszprémi Shotokan Karate Club SE</t>
  </si>
  <si>
    <t>Veszprémi Spartacus Sportegyesület</t>
  </si>
  <si>
    <t>Centrum DSE</t>
  </si>
  <si>
    <t>Veszprémi Torna Club</t>
  </si>
  <si>
    <t>Veszprémi Rendőr Sportegyesület</t>
  </si>
  <si>
    <t>A.D. Akrobatikus Rock and Roll Sporttánc Egyesület</t>
  </si>
  <si>
    <t>Olimpiai felkészülésre</t>
  </si>
  <si>
    <t>Kónya Ádám / Veszprémi Síegylet</t>
  </si>
  <si>
    <t>Orbán Éva / VEDAC</t>
  </si>
  <si>
    <t>Kéri Bianka / Sportolj Velünk SE</t>
  </si>
  <si>
    <t>Rasovszky Kristóf / Balaton Úszóklub</t>
  </si>
  <si>
    <t>Feliratos tábla Dózsa Gy. u. tiszafa</t>
  </si>
  <si>
    <t>Irodabútor, irodai székek</t>
  </si>
  <si>
    <t>Laptop, asztali számítógép, oktató tablet programmal</t>
  </si>
  <si>
    <t>Laptop, oktató tablet</t>
  </si>
  <si>
    <t>Intézményi felújítási kiadások</t>
  </si>
  <si>
    <t>Családok Átmeneti Otthona - bejárati ajtó csere</t>
  </si>
  <si>
    <t>Önkormányzati felújítási kiadások összesen</t>
  </si>
  <si>
    <t>Intézményi felújítási kiadások összesen</t>
  </si>
  <si>
    <t>Lakossági vízbekötés</t>
  </si>
  <si>
    <t>Kulturális Kínálat bővítése / Veszprémi Nyugdíjasok Érdekvédelmi Egyesülete</t>
  </si>
  <si>
    <t>Kulturális Kínálat bővítése / Gyulafirátóti Német Nemzetiségi Kulturális Egyesület</t>
  </si>
  <si>
    <t>Kulturális Kínálat bővítése / Jutaspusztáért Egyesület</t>
  </si>
  <si>
    <t>Kulturális Kínálat bővítése / amatőr művészeti csoportok támogatása - Veszprémi Fúvóskultúráért Alapítvány</t>
  </si>
  <si>
    <t>Kulturális Kínálat bővítése / Bakonyfolk Baráti Kör Egyesület</t>
  </si>
  <si>
    <t>Kulturális Kínálat bővítése / Orsolya-Fashion Line Mozgásművészeti Egyesület</t>
  </si>
  <si>
    <t>Kulturális Kínálat bővítése / Szilágyi Táncegyüttes Alapítvány</t>
  </si>
  <si>
    <t>Kulturális Kínálat bővítése / Orlando Egyesület</t>
  </si>
  <si>
    <t>Kulturális Kínálat bővítése / Hemo Winner Versenytánc Egyesület</t>
  </si>
  <si>
    <t>Kulturális Kínálat bővítése / Fúvóskultúráért Alapítvány</t>
  </si>
  <si>
    <t>Tanórán kívüli tevékenység - Veszprémi Táncsics Diáksport Egyesület</t>
  </si>
  <si>
    <t>Tanórán kívüli tevékenység / Gyulaffi László Alapítvány</t>
  </si>
  <si>
    <t>Fagyöngy Emlőbeteg, Gyógyultak és Támogatók Önsegítő Egyesülete</t>
  </si>
  <si>
    <t>Civil keret támogatások</t>
  </si>
  <si>
    <t>,,Reményforrás" Embertárs Segítő Egyesület</t>
  </si>
  <si>
    <t>Horgony Pszichiátriai Betegekért Kiemelten Közhasznú Alapítvány</t>
  </si>
  <si>
    <t>A "Csend Világa" Alapítvány</t>
  </si>
  <si>
    <t>Bakony Balaton Környezetvédelmi Oktatóközpont Egyesület</t>
  </si>
  <si>
    <t>Bakonyi Szépalmáskert Erdei Iskola Alapítvány</t>
  </si>
  <si>
    <t>Csererdei Baráti Kör</t>
  </si>
  <si>
    <t>Dnipro Ukrán Kulturális Egyesület</t>
  </si>
  <si>
    <t>Dózsa Iskoláért Alapítvány</t>
  </si>
  <si>
    <t>Dózsavárosi Baráti Kör</t>
  </si>
  <si>
    <t>Egészséges Nemzetért Sportegyesület</t>
  </si>
  <si>
    <t>Egry József Lakótelepi Baráti Kör</t>
  </si>
  <si>
    <t>Egyesület A Capoeira Ápolásáért És Fejlesztéséért</t>
  </si>
  <si>
    <t>Emberkék Alapítvány</t>
  </si>
  <si>
    <t>Ép Lélek Egyesület</t>
  </si>
  <si>
    <t>Fehér Holló Vadmentő Alapítvány</t>
  </si>
  <si>
    <t>Fúvóskultúráért Alapítvány</t>
  </si>
  <si>
    <t>Hét Domb Hagyományőrző és Kulturális Egyesület</t>
  </si>
  <si>
    <t>Jutaspusztáért Egyesület</t>
  </si>
  <si>
    <t>Kádártai Sporthorgász Egyesület</t>
  </si>
  <si>
    <t>Kapcsolat Szerviz Közhasznú Egyesület</t>
  </si>
  <si>
    <t>Keresztény Értelmiségiek Szövetsége Veszprémi Csoport</t>
  </si>
  <si>
    <t>KID Rock and Roll Sportegyesület</t>
  </si>
  <si>
    <t>Kollégium Alapítvány</t>
  </si>
  <si>
    <t>Kozmutza Flóra Alapítvány-Értelmileg Sérült Gyermekekért</t>
  </si>
  <si>
    <t>Mozgássérültek Aktív Egyesülete</t>
  </si>
  <si>
    <t>Munkanélküliek, Álláskeresők és Segítők Veszprém Megyei Egyesülete</t>
  </si>
  <si>
    <t>Nagycsaládosok Veszprémi Egyesülete</t>
  </si>
  <si>
    <t>Orsolya-Fashion Line Mozgásművészeti Egyesület</t>
  </si>
  <si>
    <t>Szent Imre Ifjúsági Alapítvány</t>
  </si>
  <si>
    <t>Társasházak Veszprémi Egyesülete</t>
  </si>
  <si>
    <t>Vakok És Gyengénlátók Veszprém Megyei Egyesülete</t>
  </si>
  <si>
    <t>Veszprém Megyei Autósport Bírók Közhasznú Egyesülete</t>
  </si>
  <si>
    <t>Veszprém Megyei Honismereti Egyesület</t>
  </si>
  <si>
    <t>Veszprém Megyei Mentőszervezet 04 Alapítvány</t>
  </si>
  <si>
    <t>Veszprém Polgárai a Városi Zenedéért Alapítvány</t>
  </si>
  <si>
    <t>Veszprém Városi Hátrányos Helyzetű Fiatalokért Egyesület</t>
  </si>
  <si>
    <t>Veszprém-Cserháti Társaskör Kulturális Egyesület</t>
  </si>
  <si>
    <t>Veszprémi ILCO Egyesület</t>
  </si>
  <si>
    <t>Veszprémi Jeruzsálemhegyi Baráti Kör</t>
  </si>
  <si>
    <t>Veszprémi Magyar-Finn Egyesület</t>
  </si>
  <si>
    <t>Veszprémi Művész Céh</t>
  </si>
  <si>
    <t>Veszprémi Német Nemzetiségi Klub</t>
  </si>
  <si>
    <t>Veszprémi Nők Kerekasztala Egyesület</t>
  </si>
  <si>
    <t>Veszprémi Nyugdíjasok Érdekvédelmi Egyesülete</t>
  </si>
  <si>
    <t xml:space="preserve">Veszprémi Szemle Várostörténeti Közhasznú Alapítvány </t>
  </si>
  <si>
    <t>Veszprémi Újtelepi Baráti Kör</t>
  </si>
  <si>
    <t>Veszprém-Passau Baráti Társaság Egyesület</t>
  </si>
  <si>
    <t>"A Báthorys Gyermekekért" Alapítvány</t>
  </si>
  <si>
    <t>"Vadvirág" Alapítvány</t>
  </si>
  <si>
    <t>AutiSpektrum Egyesület</t>
  </si>
  <si>
    <t>Bárczi - Caritas Alapítvány</t>
  </si>
  <si>
    <t>Bencés Diákok Veszprém Megyei Egyesülete</t>
  </si>
  <si>
    <t>Centrum Diák- és Szabadidősport Egyesület</t>
  </si>
  <si>
    <t>Családokért és Gyermekekért Közhasznú Alapítvány</t>
  </si>
  <si>
    <t>Csigaház Alapítvány</t>
  </si>
  <si>
    <t>Éltes Mátyás Alapítvány</t>
  </si>
  <si>
    <t>Gyulafirátóti Német Nemzetiségi Kulturális Egyesület</t>
  </si>
  <si>
    <t>Hajrá Közgáz Diáksport Egyesület</t>
  </si>
  <si>
    <t>Kapcsolat '96 Mentálhigiénés Egyesület</t>
  </si>
  <si>
    <t>Kék Madár Alapítvány</t>
  </si>
  <si>
    <t>Kiss Lajos Diáksport Egyesület</t>
  </si>
  <si>
    <t>Kövirózsa Alapítvány</t>
  </si>
  <si>
    <t>Lélekpallér Önsegítő Egyesület</t>
  </si>
  <si>
    <t>Magyar Tartalékosok Szövetsége Veszprém Megyei Egyesülete</t>
  </si>
  <si>
    <t>Polgári Csapat Ifjúsági és Kulturális Egyesület</t>
  </si>
  <si>
    <t>Ringató Erdei Kuckó Óvoda Közhasznú Alapítvány</t>
  </si>
  <si>
    <t>Szellemi Regenerációs Társulás</t>
  </si>
  <si>
    <t>Új Veszprémi Református Templom Alapítvány</t>
  </si>
  <si>
    <t>Veszprém Fiatal Sportolóiért Közhasznú Alapítvány</t>
  </si>
  <si>
    <t>Veszprémi Jégsport Egyesület</t>
  </si>
  <si>
    <t>Veszprémi Motoros Egyesület</t>
  </si>
  <si>
    <t>Veszprémi Táncsics Diáksport Egyesület</t>
  </si>
  <si>
    <t>Veszprémi Waldorf-Pedagógiai Alapítvány</t>
  </si>
  <si>
    <t>Zonta Club Veszprém</t>
  </si>
  <si>
    <t>Kisértékű tárgyieszköz (irodai felszerelés, berendezés, informatikai eszközök, telefon, kártyaleolvasó)</t>
  </si>
  <si>
    <t>Kamerarendszer</t>
  </si>
  <si>
    <t>Vírusírtó program</t>
  </si>
  <si>
    <t>Amerikai Kuckó (bútor)</t>
  </si>
  <si>
    <t>Honlap felújítás</t>
  </si>
  <si>
    <t>Számítástechnikai eszközök (notebook, Office programok, Windows programok, monitorok, Unifi Acces Point-tok, Unif Wi-fi adó-vevő, laptopok, számítógépek, szoftverek, Samsung telefonok, kártyaolvasók)</t>
  </si>
  <si>
    <t>Borbély Adrienn - Feleségem (akvarell)</t>
  </si>
  <si>
    <t>2019-2022</t>
  </si>
  <si>
    <t>TOP-6.9.2-16-VP1-2018-00001 Közösségfejlesztés Veszprém város településrészein</t>
  </si>
  <si>
    <t>VESZOL Kft. törzstőke emelés</t>
  </si>
  <si>
    <t>TOP-7.1.1-16-H-ERFA-2019-00078 Szent Miklós-szegi Kálvária domb és környékének infrastrukturális felújítása és funkcióbővítése</t>
  </si>
  <si>
    <t>TOP-7.1.1-16-H-ERFA-2019-00078 Szent Miklós-szegi Kálvária domb és környékének infrastrukturális felújítása és funkcióbővítése - átnevezés</t>
  </si>
  <si>
    <t xml:space="preserve">TOP-7.1.1-16-H-ERFA-2019-00078 Szent Miklós-szegi Kálvária domb és környékének infrastrukturális felújítása és funkcióbővítése </t>
  </si>
  <si>
    <t>Veszprém Deák és Úrkút( 304,305,308,309 hrsz), valamint a Tüzér (2166/1 hrsz.) utcai ingatlancsere</t>
  </si>
  <si>
    <t>Március 15. u. Uszoda - parkettázás</t>
  </si>
  <si>
    <t>TOP-6.3.2-16-VP1-2018-00001 Kulturális negyed</t>
  </si>
  <si>
    <t>1. vk.</t>
  </si>
  <si>
    <t>2. vk.</t>
  </si>
  <si>
    <t>3. vk.</t>
  </si>
  <si>
    <t>4. vk.</t>
  </si>
  <si>
    <t>5. vk.</t>
  </si>
  <si>
    <t>6. vk.</t>
  </si>
  <si>
    <t>7. vk.</t>
  </si>
  <si>
    <t>8. vk.</t>
  </si>
  <si>
    <t>9. vk.</t>
  </si>
  <si>
    <t>10. vk.</t>
  </si>
  <si>
    <t>11. vk.</t>
  </si>
  <si>
    <t>12. vk.</t>
  </si>
  <si>
    <t>Gyulafirátótért Közhasznú Egyesület - működési költségekre, rendezvényekre</t>
  </si>
  <si>
    <t>Kövirózsa Alapítvány - Református egyház, Katolikus egyház, Karitasz támogatása, programtámogatás</t>
  </si>
  <si>
    <t>Polgári Csapat Ifjúsági és Kulturális Egyesület - működési költségekre, programok szervezésére</t>
  </si>
  <si>
    <t>Deák Ferenc Iskola alapítványa - működési költségekre, programokra</t>
  </si>
  <si>
    <t>Báthorys Gyermekekért Alapítvány - működési költségekre, rendezvényekre</t>
  </si>
  <si>
    <t>Fehér Holló Vadmentő Alapítvány - működési költségekre</t>
  </si>
  <si>
    <t>Éltes Mátyás Alapítvány - működési költségekre, nyári táborozás költségeire</t>
  </si>
  <si>
    <t>Veszprém Szivárvány Integrált Sportegyesület - működési költségekre, rendezvényekre</t>
  </si>
  <si>
    <t>BaBAKO Egyesület - működési költségekre, programokra</t>
  </si>
  <si>
    <t>Éltes Mátyás Alapítvány - működési költségekre,programokra</t>
  </si>
  <si>
    <t>Kozmutza Flóra Alapítvány Értelmi Sérült Gyermekekért - működési költségekre, rendezvényekre</t>
  </si>
  <si>
    <t>BaBaKO Egyesület - működési költségekre, programokra</t>
  </si>
  <si>
    <t>Mozgássérültek Aktív Egyesülete - működési költségekre, rendezvényekre</t>
  </si>
  <si>
    <t>Peca-Kunyhó Horgász Egyesület - működési költségekre,rendezvényekre</t>
  </si>
  <si>
    <t>Vackoló Közhasznú Állatvédő Egyesület - működési költségekre,programokra</t>
  </si>
  <si>
    <t>Polgári Csapat Ifjúsági és Kulturális Egyesület - működési költségekre</t>
  </si>
  <si>
    <t>Hét Domb Hagyományőrző és Kulturális Egyesület - rendezvény, program költségeire</t>
  </si>
  <si>
    <t>Veszprémi Deák Ferenc Általános Iskoláért Közhasznú Alapítvány - rendezvények szervezésére</t>
  </si>
  <si>
    <t>Új Veszprémi Református Templom Alapítvány -közösségi helyiség kialakítására</t>
  </si>
  <si>
    <t>Veszprémi Deák Ferenc Általános Iskoláért Közhasznú Alapítvány - jutalom könyvekre</t>
  </si>
  <si>
    <t>Veszprémi Deák Ferenc Általános Iskoláért Közhasznú Alapítvány - mosdó felújításra</t>
  </si>
  <si>
    <t>Dowland Alapítvány - Gizella Nőikar dániai konc.körút költs.</t>
  </si>
  <si>
    <t>Polgári Csapat Ifjúsági és Kulturális Egyesület - működési költségekre,rendezvényekre</t>
  </si>
  <si>
    <t>Kertvárosi Városvédő Egyesület - működési költségekre,programokra</t>
  </si>
  <si>
    <t>Kittenberger Zoo Alapítvány - működési költségekre, programokra</t>
  </si>
  <si>
    <t>Tihanyi Alapítvány - Matthias Corvinus Collegium működésére, programjaira</t>
  </si>
  <si>
    <t>Veszprém Megyei Kórházért Alapítvány - Érsebészeti osztály, Doppler készülék beszerzésére</t>
  </si>
  <si>
    <t>Hét Domb Hagyományőrző és Kulturális Egyesület - rendezvény, program támogatás</t>
  </si>
  <si>
    <t>Alapítvány a Laczkó Dezső Múzeumért- Piros György programjaira</t>
  </si>
  <si>
    <t>Veszprém Egyházmegyei Alapítvány - Magyarok Nagyasszonya Mindszenty Emléktemplom nyílász. csere</t>
  </si>
  <si>
    <t>Cholnoky Jenő Iskolai Alapítvány - jutalomkönyvekre, színházbérletre</t>
  </si>
  <si>
    <t>AutiSpektrum Egyesület - működési költségekre, rendezvényekre</t>
  </si>
  <si>
    <t>Kapcsolat '96 Mentálhigiénés Egyesület - működési költségekre</t>
  </si>
  <si>
    <t>Állatvédő Egyesület Veszprém - működési költségekre</t>
  </si>
  <si>
    <t>Veszprémi Thai-Boksz Sportegyesület - Bécsi Nikolett versenyeire</t>
  </si>
  <si>
    <t>Ultimátum Állatvédelmi Alapítvány - működési költségekre</t>
  </si>
  <si>
    <t>Szent Imre Ifjúsági Alapítvány - Cserkész világtalálkozó részvételi költségeire</t>
  </si>
  <si>
    <t>Lélekpallér Egyesület-működésre, programokra</t>
  </si>
  <si>
    <t>Szabadság Lakótelepi Baráti Kör - programok támogatása, műk. költségek</t>
  </si>
  <si>
    <t>Veszprém Városi Hátrányos Helyzetű Fiatalokért Egyesület - működési költségekre, rendezvényekre</t>
  </si>
  <si>
    <t>"Rózsás " Gyermekkor Közhasznú Alapítvány - működési költségekre, rendezvényekre</t>
  </si>
  <si>
    <t>Minerva Alapítvány - működési költségekre, rendezvényekre</t>
  </si>
  <si>
    <t>Dowland Alapítvány - Gizella Nőikar dániai koncert körút költségeire</t>
  </si>
  <si>
    <t>Városi Nyilvánosságért Alapítvány-karácsonyi ajándékcsomagok beszerzésére</t>
  </si>
  <si>
    <t>Veszprémi Kerékpáros Egyesület- programok szervezésére</t>
  </si>
  <si>
    <t>Egészséges Nemzetért Sportegyesület-működési költségekre</t>
  </si>
  <si>
    <t>Szabadság Lakótelepi Baráti Kör - közösségi ház felújítására</t>
  </si>
  <si>
    <t>Polgári Csapat Ifjúsági és Kulturális Egyesület - működési költségekre, rendezvényekre</t>
  </si>
  <si>
    <t>Kozmutza Flóra Alapítvány Értelmi Sérült Gyermekekért - működési költségekre</t>
  </si>
  <si>
    <t>Veszprém Városi Hátrányos Helyzetű Fiatalokért Egyesület - füzetcsomagok</t>
  </si>
  <si>
    <t>Veszprémi Asztalitenisz SE - műk. költs., sporteszköz besz.</t>
  </si>
  <si>
    <t>Gyulafirátóti Polgárőrség - Dózsavárosi Csoport műk. költs., rendezvényre</t>
  </si>
  <si>
    <t>Dózsa György Iskoláért Alapítvány - működési költségekre, programokra, rendezvényekre</t>
  </si>
  <si>
    <t>Veszprém a Kereszténységért Alapítvány - működési költségekre, programokra</t>
  </si>
  <si>
    <t>VFC USE Sportegyesület tám. - öltözőépület karbantartására</t>
  </si>
  <si>
    <t>Jeruzsálemhegyi Baráti Kör - működési költségekre, programokra</t>
  </si>
  <si>
    <t>Veszprémi Waldorf Pedagógiai Alapítvány - működési költségekre, rendezvényekre</t>
  </si>
  <si>
    <t>Jutaspusztáért Egyesület - működési költségekre, rendezvényekre</t>
  </si>
  <si>
    <t>Csererdei Baráti Kör - működési költségekre, rendezvényekre</t>
  </si>
  <si>
    <t>Dózsavárosi Baráti Kör - működési költségekre, rendezvényekre</t>
  </si>
  <si>
    <r>
      <rPr>
        <b/>
        <sz val="11"/>
        <rFont val="Palatino Linotype"/>
        <family val="1"/>
        <charset val="238"/>
      </rPr>
      <t>Dowland Alapítvány</t>
    </r>
    <r>
      <rPr>
        <sz val="11"/>
        <rFont val="Palatino Linotype"/>
        <family val="1"/>
        <charset val="238"/>
      </rPr>
      <t xml:space="preserve"> - Gizella Nőikar koncertkörútjára</t>
    </r>
  </si>
  <si>
    <r>
      <rPr>
        <b/>
        <sz val="11"/>
        <rFont val="Palatino Linotype"/>
        <family val="1"/>
        <charset val="238"/>
      </rPr>
      <t>Kukkantó Baráti Kör Egyesület</t>
    </r>
    <r>
      <rPr>
        <sz val="11"/>
        <rFont val="Palatino Linotype"/>
        <family val="1"/>
        <charset val="238"/>
      </rPr>
      <t>-város ismereti vetélkedő szervezésére</t>
    </r>
  </si>
  <si>
    <t>Veszprém Egyházmegyei  Alapítvány -Magyarok Nagyasszony Mindszenty Emléktempl. nyílászáró csere</t>
  </si>
  <si>
    <t>Veszprémi Lovassy és volt Piarista Gimnázium Öregdiákjainak Baráti Köre - működési költségekre és kirándulás szervezésére</t>
  </si>
  <si>
    <t>Polgári Csapat Ifjúsági és Kulturális Egyesület - működési költségekre, programokra</t>
  </si>
  <si>
    <t>Alkohol-Drogsegély Ambulancia Egyesület-működési költségekre, programokra</t>
  </si>
  <si>
    <t>Minerva Alapítvány - Botev lépcsőforduló felújítása</t>
  </si>
  <si>
    <t>1. vk. Ping-pong asztal</t>
  </si>
  <si>
    <t>2.vk. Deák Iskola mosdó felújítására</t>
  </si>
  <si>
    <t>9.vk. Simonyi Iskola kis tornatermének felújítására</t>
  </si>
  <si>
    <t>8.vk. Szalonna sütő beszerzése Kalmár térre</t>
  </si>
  <si>
    <t>8.vk. Síkosság mentesítő-anyag tároló láda Flórián utcába</t>
  </si>
  <si>
    <r>
      <t xml:space="preserve">VMJV Polgármesteri Hivatal </t>
    </r>
    <r>
      <rPr>
        <i/>
        <sz val="11"/>
        <rFont val="Palatino Linotype"/>
        <family val="1"/>
        <charset val="238"/>
      </rPr>
      <t>(2019. május 1-től - 1 fő 36 hónapra, 1 fő 18 hónapra)</t>
    </r>
  </si>
  <si>
    <t>Völgyikút u. 2. villamos mérőhely kialakítás</t>
  </si>
  <si>
    <t xml:space="preserve"> - Működési kiadásokra képzett céltartalék</t>
  </si>
  <si>
    <t>Európa Parlamenti választás - 2 db. Szavazófülke</t>
  </si>
  <si>
    <t>Veszprém Megyei Jogú Város Önkormányzatának 2019. évi</t>
  </si>
  <si>
    <t>hitelszerződésen alapuló beruházási hitelfelvétele feladatonként</t>
  </si>
  <si>
    <t>Hitel összege 2019</t>
  </si>
  <si>
    <t>Hitel összege 2020</t>
  </si>
  <si>
    <t>I. Adósságot keletkeztető ügyletek összesen</t>
  </si>
  <si>
    <t>II. Adósságot keletkeztető ügyletek mindösszesen</t>
  </si>
  <si>
    <t>2019. évi eredeti</t>
  </si>
  <si>
    <t>Magyarország gazdasági stabilitásáról szóló 2011. évi CXCIV. törvény 10.§ (1) szerinti Kormányengedélyhez kötött, adósságot keletkeztető ügylet</t>
  </si>
  <si>
    <t>Adósságot Keletkeztető Ügyletek fejlesztési célok szerinti besorolása</t>
  </si>
  <si>
    <t>Környezetvédelemhez és természeti katasztrófák elhárításához kapcsolódó beruházási célok (szennyvízelvezetés és szennyvíztisztítás, csapadékvíz-elvezetés, hulladékkezelés, árvíz/belvíz elleni védekezés stb.)</t>
  </si>
  <si>
    <t>Közoktatási célú beruházási célok (óvodák, iskolák, tornaterem, tanuszoda, egyéb köznevelési intézmények építése, felújítása stb.)</t>
  </si>
  <si>
    <t>Szociális, gyermekjóléti és gyermekvédelmi célok (bölcsődék, időskorúak ellátását, gyermekek és családok átmeneti gondozását szolgáló beruházások stb.)</t>
  </si>
  <si>
    <t>TOP-6.5.1-16-VPI-2018-00006 Módszertani Bölcsőde energetikai megújítása</t>
  </si>
  <si>
    <t>TOP-6.2.1-16-VP1-2018-00001 Módszertani Bölcsőde megújítása – eszközbeszerzés</t>
  </si>
  <si>
    <t>TOP-6.5.1 Aprófalvi Bölcsőde energetikai megújítása</t>
  </si>
  <si>
    <t>TOP-6.5.1 Völgyikút utca 2. szám alatti épület energetikai megújítása</t>
  </si>
  <si>
    <t>Egészségügyi szolgáltatások fejlesztése (egészségházak, orvosi, gyermekorvosi, fogorvosi szakrendelők felújítása, eszközbeszerzések stb.)</t>
  </si>
  <si>
    <t>TOP - Vilonyai u. 2/B sz. gyermekorvosi rendelők felújítása</t>
  </si>
  <si>
    <t>TOP - Ördögárok u. 5. sz. gyermekorvosi rendelők felújítása</t>
  </si>
  <si>
    <t>Egyéb feladatokhoz kapcsolódó célok (közutak építése, felújítása, közbiztonság növelése, egyéb önkormányzati tulajdonú létesítmények felújítása, fejlesztése, város és település-rehabilitáció stb.)</t>
  </si>
  <si>
    <t>Török I. u. - Aulich L. u. összekötés</t>
  </si>
  <si>
    <t>11. melléklet a ….../2019 (…….) önkormányzati rendelethez</t>
  </si>
  <si>
    <t>10. vk. - Módszertani Bölcsőde -udvar és játszótér felújítására, játszóeszközök beszerzésére</t>
  </si>
  <si>
    <t>módosított előirányzat 4.</t>
  </si>
  <si>
    <t>Kiemelt művészeti együttesek támogatása / Veszprém Város Vegyeskara</t>
  </si>
  <si>
    <t>Alkohol-Drogsegély Ambulancia Egyesület</t>
  </si>
  <si>
    <t>Gyulafirátótért Polgárőr Egyesület</t>
  </si>
  <si>
    <t>Tanórán kívüli tevékenység / Képesség- és Tehetségfejlesztő Magániskola</t>
  </si>
  <si>
    <t>Közösség Kádártáért Egyesület</t>
  </si>
  <si>
    <t>Kittenberger Zoo Alapítvány - működési költségekre, programokra (2018)</t>
  </si>
  <si>
    <t>Aradi vértanúk emlékmű körüli területrendezés</t>
  </si>
  <si>
    <t>Közművelődési szolgáltatás / Hallgatók a Művészetért Egyesület</t>
  </si>
  <si>
    <t>MVP Iparos Park kialakítása</t>
  </si>
  <si>
    <t>Önkormányzati intézmények működési célú átvett pénzeszközei</t>
  </si>
  <si>
    <t>Kisértékű tárgyieszköz (asztalok, könyvtári szállítókocsik, raktári kocsi, lámpa, függöny, irodaszékek, asztal, válogató ládák, szalagfüggöny, roletta, szőnyeg, mobiltelefonok, hangszóró, TV, telefonközpont, telefonok)</t>
  </si>
  <si>
    <t xml:space="preserve">Igazgatás </t>
  </si>
  <si>
    <t>*** A projekt a támogatási szerződés szerint nettó módon finanszírozott (e táblában az előirányzatok az ÁFA összegét  nem tartalmazzák)</t>
  </si>
  <si>
    <t>EFOP-3.3.2-16-2016-00107 Kulturális intézmények a köznevelés eredményességéért***</t>
  </si>
  <si>
    <t>Internet hálózat kiépítés-szerelés</t>
  </si>
  <si>
    <t>Telefon</t>
  </si>
  <si>
    <t>Kisértékű tárgyi eszközök (tároló szekrény, szőnyeg, terítők, gyerekszékek, gyerekfektetők, porszívó, mosógép, konyhai kisgépek, asztali lámpa, eSzemélyi kártyaolvasó, mobiltelefon, salgo polc, vasaló, wifi jel erősítő, függöny karnis, spirálozógép, babzsák párna, áruszállító kézikocsi, fém polc, irodabútor, irodaszék, tornapad)</t>
  </si>
  <si>
    <t>Kiskategóriás személygépkocsi/Régészeti szakfelügyelet ellátására</t>
  </si>
  <si>
    <t>Kistehergépkocsi</t>
  </si>
  <si>
    <t>Telefonflotta felújítása</t>
  </si>
  <si>
    <t>NKA pályázat - műtárgy beszerzés</t>
  </si>
  <si>
    <t>Mobil klíma szerverszoba hűtéséhez</t>
  </si>
  <si>
    <t>Kisértékű tárgyi eszközök (restaurátori kiseszközök, restaurátor szerszámok, régészeti kiseszközök, szerszámok, szünetmentes tápegység, router, monitor, laptop, billenytyűzet, egér, memória, nyomtató, irodai felszerelések, telefonok, kisbútorok, karos papírvágó, tárolóeszközök, szoftverek, kisértékű számítástechnikai alkatrészek)</t>
  </si>
  <si>
    <t>Számítástechnikai eszközök, szerverszámítógép, számítógépes munkaállomás, szoftverbeszerzés</t>
  </si>
  <si>
    <t>Munkaállomás a grafikus részére</t>
  </si>
  <si>
    <t>Raktári polcok</t>
  </si>
  <si>
    <t>Villás emelők</t>
  </si>
  <si>
    <t>Internet hálózat kiépítése, laptopok, asztali számítógép</t>
  </si>
  <si>
    <t>Veszprémi Bóbita Körzeti Óvoda (Hársfa Tagóvoda)</t>
  </si>
  <si>
    <t>Csoportszoba vízszigetelése, vakolás, festés</t>
  </si>
  <si>
    <t>DAT térképfrissítés, földkönyv, közműnyilvántartás, GPS, földmérési jelek</t>
  </si>
  <si>
    <t>Illegális hulladéklerakók felszámolása KIEFO/14535/2019-ITM</t>
  </si>
  <si>
    <t>MVP "Veszprémi új Városi Jégcsarnok építése" - I. ütem elszámolás</t>
  </si>
  <si>
    <t>MVP Veszprémi Atlétikai Stadion felújítása - I.ütem</t>
  </si>
  <si>
    <t>MVP Veszprémi Atlétikai Stadion felújítása - II.ütem</t>
  </si>
  <si>
    <t>9 személyes kisbusz</t>
  </si>
  <si>
    <t>Kisértékű tárgyi eszközök (tartós játékok, kisgépek, bútorok, tárolók, informatikai és kommunikációs eszközök, műszaki cikkek, textíliák, konyhai eszközök, egyéb üzemeltetési eszközök, lamináló)</t>
  </si>
  <si>
    <t>10.vk. Pipacs utcai játszótér fejlesztésére (csúszda besz. és telepítése)</t>
  </si>
  <si>
    <t>4.vk. - Deák Iskola mosdó felújítására</t>
  </si>
  <si>
    <t>7.vk. Zárt konténertároló létesítésére a Cholnoky u. 25-27. Társasháznál</t>
  </si>
  <si>
    <t>Veszprémi Újtelepi Baráti Kör - Kirándulás, programok megvalósítására</t>
  </si>
  <si>
    <t>Veszprémi Honvéd Sportegyesület - Krenhardt Eszter Petanque Európa- és Vb-ra való kijutás támogatása</t>
  </si>
  <si>
    <t>Veszprém Megyei Honismereti Egyesület - működésre, programokra, rendezvényekre</t>
  </si>
  <si>
    <t>Veszprém Városi Hátrányos Helyzetű Fiatalokért Egyesület - jótékonysági tanszer akcióra</t>
  </si>
  <si>
    <t>Felújítási munkák a Március 15. utcai Sportcsarnokban</t>
  </si>
  <si>
    <t>Belvárosi zöldfelületek felújítási munkái</t>
  </si>
  <si>
    <t>módosítás- támogatás</t>
  </si>
  <si>
    <t>11. melléklet a .../2019. (…….) önkormányzati rendelethez</t>
  </si>
  <si>
    <t>12. melléklet a ……/2019. (…...) Önkormányzati rendelethez</t>
  </si>
  <si>
    <t>Helyi és nemzetiségi önkormányzati képviselők 2019. évi választása</t>
  </si>
  <si>
    <t>Veszprém-Cserháti Társaskör Kulturális Egyesület (Völgyikút Családi Nap rendezvény költségeire)</t>
  </si>
  <si>
    <t>2019. november hó</t>
  </si>
  <si>
    <t>2019. évi módosított előirányzat 5.</t>
  </si>
  <si>
    <t xml:space="preserve"> Európai Uniós forrásból finanszírozott támogatással megvalósuló programok, projektek bevételeiről és kiadásairól az Ávr. 24. § (1) bekezdés a.) és bd.) pontjainak megfelelően - 2019. november</t>
  </si>
  <si>
    <t>módosított előirányzat 5.</t>
  </si>
  <si>
    <t>módosított előirányzat összesen 5.</t>
  </si>
  <si>
    <t>Óvoda pályaépítési program</t>
  </si>
  <si>
    <t>Nyomtató, videó megfigyelő rendszer, kamera (VESZOL Munkásszálló, Pápai u. 37.)</t>
  </si>
  <si>
    <t>módosítás- támogatás rendezése</t>
  </si>
  <si>
    <t>átcsoportosítás</t>
  </si>
  <si>
    <t>Dagasztógép</t>
  </si>
  <si>
    <t>Levegő fertőtlenítő készülékek</t>
  </si>
  <si>
    <t>Kisértékű tárgyi eszközök (mobil erősítő, fülvédő mikrofon autisták részére, vizuális időmérő, eSzemélyi leolvasó, szőnyeg, kerti szerzámok, takarítógép, mobilklima, tanuló bicikli, asztali lámpák, pendriv-ok, hangszórók, bluetooth, függöny és karnis, telefonok, külső winchester, routher, fényképezőgép, vízforralók, vasalók, fejlesztőjátékok)</t>
  </si>
  <si>
    <t>Irodabútor</t>
  </si>
  <si>
    <t>Kisértékű tárgyi eszközök (mobil erősítő, fülvédő mikrofon autisták részére, vizuális időmérő, eSzemélyi leolvasó, tanuló bicikli, asztali lámpák, pendriv-ok, hangszórók, bluetooth, függöny és karnis, telefonok, routher, fényképezőgép, vízforralők, vasalók, fejlesztőjátékok, salgó polcok)</t>
  </si>
  <si>
    <t>Kisértékű tárgyi eszközök (ipari mosogató gép, homokozó ponyva, bábos raktár bútorzata, projektor állvánnyal, rönkbútorok udvarra, felnőtt óvodai székek, "eSzemélyi kártyaolvasó", mosógép, hűtőszekrények, óvodai aulába ülőbútor, szekrények, polcok)</t>
  </si>
  <si>
    <t>Kisértékű tárgyi eszközök (mosógép, szárítógép, tároló szekrény, tároló szekrény falra, minikonyha tűzhely)</t>
  </si>
  <si>
    <t>Külső HDD</t>
  </si>
  <si>
    <t>Számítógépek, notebook-ok</t>
  </si>
  <si>
    <t>Kisértékű tárgyi eszközök (szőnyegek, kerti asztalok, kerti padok, szárítógép, tartós szakmai játékok, székek, asztalok, mikrohullámú sütők, asztalok konyhákba, ventillátorok, gumiszőnyeg, VID Fém Kerti Fészer, gyermek asztalok, gyermek székek, kártyaleolvasó készülékek, hűtő, fényfűzérek, konyhaszekrénysor, kávégép, kézfertőtlenítő adagolók, ipari porszívók, ételszállító kocsik, asztali számológép, udvari faház, nyomtató, Notebook Windows operációs rendszerrel és Microsoft Officeval)</t>
  </si>
  <si>
    <t>Kisértékű tárgyi eszközök (óvodai gyermek fektetők, fektetőkhöz gurulós ágytartók, asztalok konyhákba, gumiszőnyegek, ventillátorok, mikrohullámú sütők, VID fém kerti fészer, kerti asztalok, kerti padok, kártyaleolvasó készülékek, tartós szakmai játékok, porszívók, tornaszőnyegek, vegyszertároló szekrények, kézfertőtlenítő adagolók, tartós szakmai játékok)</t>
  </si>
  <si>
    <t>Kisértékű tárgyi eszközök (vetítővászon, mágneses törölhető fehér tábla, társas és készségfejlesztő játékok, sportfelszerelések, íróasztalok, fotelek, egyéb bútorok, kávéfőzők, mobiltelefonok, konyhai eszközök és kisgépek, kártyaolvasó, hangszórók, optikai egerek, fénymásoló, porszívó, hűtők, televízió)</t>
  </si>
  <si>
    <t>Gyulafirátóti Bölcsőde</t>
  </si>
  <si>
    <t>Tárgyi eszközök beszerzésére (konyhai és szakmai eszközök, informatikai eszközök, programok, bútorok)</t>
  </si>
  <si>
    <t>Tárgyi eszközök beszerzésére (konyhai és szakmai eszközök, informatikai eszközök, telefonközpont, programok, bútorok)</t>
  </si>
  <si>
    <t>Tárgyi eszközök beszerzésére (konyhai és szakmai eszközök, mobiltelefon, bútorok)</t>
  </si>
  <si>
    <t>Kisértékű tárgyi eszközök (mosogép, bútor, függöny, szőnyeg, fagyasztó, mobiltelefon, kártyaolvasó, mikró, porszívó, router, ventilátor, iratmegsemmisítő, papírvágó, lamináló, fűnyíró, külső winchester, roló, tűzhely)</t>
  </si>
  <si>
    <t>Kisértékű tárgyi eszközök (mosogép, bútor, függöny, szőnyeg, fagyasztó, mobiltelefon, kártyaolvasó, mikró, porszívó, router, ventilátor, iratmegsemmisítő, papírvágó, lamináló, fűnyíró, digitális lázmérő, éjjeli lámpa)</t>
  </si>
  <si>
    <t>Számítógépek, szoftverek</t>
  </si>
  <si>
    <t>Nézőtér kialakítás</t>
  </si>
  <si>
    <t>Önkormányzati Intézmények felhalmozási célú támogatásai Áht-on belülről</t>
  </si>
  <si>
    <t>Ajtócsere Török u. 5.-7.</t>
  </si>
  <si>
    <t>Mikroszkópos munkaállomás (restaurátori)</t>
  </si>
  <si>
    <t>Személygépkocsi csere</t>
  </si>
  <si>
    <t>Pénztárgép</t>
  </si>
  <si>
    <t>Epson projektor, vászon, állvány</t>
  </si>
  <si>
    <t>Ipari mosogatógép, háztartási eszközök</t>
  </si>
  <si>
    <t>Számítástechnikai eszközök (számítógépkonfigurációk, Office programok, LED monitor, notebook, táblagép, Office programok, hangfal, USP elosztó, egér, kártyaolvasó, nyomtató, SSD kártya, szünetmentes egységek, monitor, memóriakártya)</t>
  </si>
  <si>
    <t>Sennheiser 600 drum set-mikrofonkészlet</t>
  </si>
  <si>
    <t>TÁMOP-3.1.3-11/2-2012-0061 "Természettudományos közoktatási laboratórium kialakítása a veszprémi Ipari Szakközépiskola és Gimnáziumban"</t>
  </si>
  <si>
    <t>Kreatív Európa Program "Az együttműködés iskolája" projekt önerő</t>
  </si>
  <si>
    <t>Európa Kulturális Fővárosa felújítási kiadások</t>
  </si>
  <si>
    <t>Dózsa György u. 2.sz. alatti épület felújítása (tervezés-előkészítés)</t>
  </si>
  <si>
    <t>Udvari fajáték (kisvonat)</t>
  </si>
  <si>
    <t>Udvari fajáték (kisgőzös)</t>
  </si>
  <si>
    <t>Kisértékű tárgyi eszközök (szakmai eszközök, bútorok, telefonközpont, nyomtatók)</t>
  </si>
  <si>
    <t>Petőfi Sándor utca rekonstrukciója I-III. ütem</t>
  </si>
  <si>
    <t>Petőfi utca rekonstrukció I-III. ütem</t>
  </si>
  <si>
    <t>módosítás- többlettámogatás</t>
  </si>
  <si>
    <t>Kisértékű tárgyi eszközök (székek, szőnyegek, bútorok, íróasztalok, polcok, számológépek, ventillátorok, kávéfőzők, alapkőletételi urna, telefonok, mobiltelefonok beszerzése, spirálózógép, laptopok anyakönyvi feladatok ellátásához,)</t>
  </si>
  <si>
    <t>Önkormányzati választások - 11 db. Szavazófülke</t>
  </si>
  <si>
    <r>
      <t xml:space="preserve">Európa Kulturális Fővárosa beruházási feladatok </t>
    </r>
    <r>
      <rPr>
        <sz val="11"/>
        <rFont val="Palatino Linotype"/>
        <family val="1"/>
        <charset val="238"/>
      </rPr>
      <t>(tervezés-előkészítés)</t>
    </r>
  </si>
  <si>
    <t>8.vk. Kutyaürülék gyűjtő elhelyezése a Kalmár téren</t>
  </si>
  <si>
    <t>Szilágyi Keresztény Iskoláért Alapítvány - működési költségekre, programokra</t>
  </si>
  <si>
    <t>Szent Imre Ifjúsági Alapítvány - működési költségekre, programokra</t>
  </si>
  <si>
    <t>Veszprém Egyházmegyei Építési és Felújítási Alapítvány - Szent Mihály Plébánia - működési költségekre, épület karbantartásra</t>
  </si>
  <si>
    <t>Brusznyai Árpád Alapítvány Veszprém - évfordulós kiadványra</t>
  </si>
  <si>
    <t>Veszprémi Lovassy és Volt piarista Gimnázium Öregdiákjainak Barát Köre -  működési költségekre és kirándulásra</t>
  </si>
  <si>
    <t>Felmentési idő, jub.jut., végkielégítés</t>
  </si>
  <si>
    <t>6.vk. Konstruktív dézsa</t>
  </si>
  <si>
    <t>Veszprém Megyei Kórházért Alapítvány (Érsebészeti Osztály, Doppler készülék beszerzésére)</t>
  </si>
  <si>
    <t xml:space="preserve">Veszprémi Bölcsődei és Egészségügyi Alapellátási Integrált Intézmény </t>
  </si>
  <si>
    <t>Újjáépítésre kerülő óvodák költöztetési munkák</t>
  </si>
  <si>
    <t>Aréna hitel-végtörlesztés támogatás visszafizetése és kamatterhei</t>
  </si>
  <si>
    <t>Városi kiemelt fesztiválok / Veszprém Város Vegyeskara</t>
  </si>
  <si>
    <t>Veszprém Városi Hátrányos Helyzetű Fiatalokért Egyesület - jótékonysági bál, füzetcsomagok beszerzése</t>
  </si>
  <si>
    <t>"Rózsás" Gyermekkor Közhasznú Alapítvány - működési költségekre, rendezvényekre</t>
  </si>
  <si>
    <t>MVP "Veszprémi új Városi Jégcsarnok építése" II. ütem</t>
  </si>
  <si>
    <t>VESZOL Kft. tőketartalékba helyezés</t>
  </si>
  <si>
    <t>Kisértékű tárgyi eszközök (tároló szekrény, szőnyeg, terítők, gyerekszékek, gyerekfektetők, porszívó, mosógép, konyhai kisgépek, asztali lámpa, szalagfüggöny, eSzemélyi kártyaolvasó, mobiltelefon, salgo polc, vasaló, fix peremes szúnyogháló, mobil szúnyogháló, redőny szunyoghálóval, redőny, roló, konyhai nagyedények, spirálozógép, áruszállító kézikocsi, irodabútor, irodaszék, sótégla, tornapad, rozsdamentes munkaasztal, pult, iratmegsemmisítő)</t>
  </si>
  <si>
    <t>Aszfalt burkolatok, útlapok és makadám burkolatok földmunkák</t>
  </si>
  <si>
    <t>2019. december hó</t>
  </si>
  <si>
    <t>Kulturális illetmény pótlék (2019. október hó)</t>
  </si>
  <si>
    <t>Szociális ágazati összevont pótlék (2019. október hó)</t>
  </si>
  <si>
    <t>Szociális ágazatban foglalkoztatottak egészségügyi kiegészítő pótléka (2019. október hó)</t>
  </si>
  <si>
    <t>Bérkompenzáció (2019. október hó)</t>
  </si>
  <si>
    <t>Egészségügyi kiegészítő pótlék (2019. október hó)</t>
  </si>
  <si>
    <t>2019. évi költségvetési bevételeinek módosítása - 2019. december</t>
  </si>
  <si>
    <t>2019. évi módosított előirányzat 6.</t>
  </si>
  <si>
    <t>2019. évi       módosított előirányzat 5.</t>
  </si>
  <si>
    <t>2019. évi költségvetési kiadásainak módosítása - 2019. december</t>
  </si>
  <si>
    <t>KÖLTSÉGVETÉSI BEVÉTELEI ÉS KIADÁSAI 2019. ÉVBEN - 2019. december</t>
  </si>
  <si>
    <t>a 2019. évi engedélyezett létszámról - 2019. december</t>
  </si>
  <si>
    <t>2019. évi felújítási kiadások előirányzatainak módosítása - 2019. december</t>
  </si>
  <si>
    <t>2019. módosított előirányzat 6.</t>
  </si>
  <si>
    <t>alapítványoknak, egyesületeknek, civil szervezeteknek, társadalmi szervezeteknek nyújtott támogatásokról 2019. évben - 2019. december</t>
  </si>
  <si>
    <t>2019. évi beruházási és egyéb felhalmozási célú kiadások előirányzatainak módosítása - 2019. december</t>
  </si>
  <si>
    <t>2019. évi saját bevételeinek módosítás - 2019. december</t>
  </si>
  <si>
    <t>módosított előirányzat 6.</t>
  </si>
  <si>
    <t>módosítás- bérkompenzáció (2019. október hó)</t>
  </si>
  <si>
    <t>szociális ágazati összevont pótlék (2019. október hó)</t>
  </si>
  <si>
    <t>módosítás- kulturális pótlék (2019. október hó)</t>
  </si>
  <si>
    <t>Önkormányzati feladatok és egyéb kötelezettségek 2019. évi működési költségvetési kiadásainak módosítása - 2019. december</t>
  </si>
  <si>
    <t>módosítás- Szociális ágazati összevont pótlék (2019. október hó)</t>
  </si>
  <si>
    <t>minimálbér és garantált bérminimum emelésével kapcs.támogatás</t>
  </si>
  <si>
    <t>módosítás- minimálbér és garantált bérminimum emelésével kapcs.támogatás</t>
  </si>
  <si>
    <t>VMJV Önkormányzat működési hozzájárulása</t>
  </si>
  <si>
    <t>Járásszékhely múzeumok szakmai támogatása pályázat</t>
  </si>
  <si>
    <t>EMMI - Járásszékhely múzeumok szakmai támogatása pályázat</t>
  </si>
  <si>
    <t>EMMI - Kubinyi Ágoston Program pályázat</t>
  </si>
  <si>
    <t>Kubinyi Ágoston Program pályázat</t>
  </si>
  <si>
    <t>Járásszékhely múzeumok szakmai támogatása</t>
  </si>
  <si>
    <t>Kubinyi Ágoston Program</t>
  </si>
  <si>
    <t>Nagyvázsony Önkormányzat - családsegítő és gyermekjóléti feladatok 2018. évi hozzájárulása</t>
  </si>
  <si>
    <t>átcsoportosítás dologi kiadásokról beruházási kiadásokra</t>
  </si>
  <si>
    <t>Kisértékű tárgyi eszközök (telefonok, szőnyeg és kárpittisztító, beépített szekrények, tisztítószeres szekrények, irattartó szekrények, lábzsámolyok, monitor állványok, Orion léghűtő, szelektív hulladékgyűktők, pedálos szemetes, párologtatók, létrák, LG mikrohifik, faliórák, hűtőszekrény, vérnyomásmérő, bluetoth headseat, előszobaasztalok, függönyök, kisszekrények, vízforralók, minigrillek, székek vezetői irodákba, beépített szekrények, mobiltelefonok, falikép, polcok, szekrények)</t>
  </si>
  <si>
    <t>Okostábla</t>
  </si>
  <si>
    <t>Egészségmegőrző eszköz</t>
  </si>
  <si>
    <t>Kisértékű tárgyi eszközök (sportszer, bútorok, szőnyegek, gőzállomás, fagyasztó, telefon, hűtőszekrény, mosógép, maghőmérő, e-személyi kliensek, külső HDD-k, notebook-ok, lamináló)</t>
  </si>
  <si>
    <t>Kisértékű tárgyi eszközök (iratmegsemmisítő, bútorok)</t>
  </si>
  <si>
    <t>Iratmegsemmisítő, bútorok</t>
  </si>
  <si>
    <t>Lamináló</t>
  </si>
  <si>
    <t>átcsoportosítás személyi kiadásokról 770 eFt., munkaad.terh.jár. És szoc.hoz.adóról 130 eFt.,)</t>
  </si>
  <si>
    <t>dologi kiadásokra</t>
  </si>
  <si>
    <t>Waldorf Tagóvoda - mosókonyha ajtó csere</t>
  </si>
  <si>
    <t>Kisértékű tárgyi eszközök</t>
  </si>
  <si>
    <t>Veszprémi Vadvirág Körzeti Óvoda - Waldorf Tagóvoda - mosókonyha ajtó csere</t>
  </si>
  <si>
    <t>2 db laptop vásárlás</t>
  </si>
  <si>
    <t>NKA pályázati támogatás "Örök Pódium"</t>
  </si>
  <si>
    <t>Agóra Veszprémi Kulturális Központ - NKA pályázati támogatás "Örök Pódium"</t>
  </si>
  <si>
    <t>Bevételi előirányzat rendezés</t>
  </si>
  <si>
    <t>Bevételi előirányzat rendezéshez kapcsolódó dologi előirányzat változás</t>
  </si>
  <si>
    <t>Kisértékű tárgyi eszközök (mosogatótálca, mennyezeti lámpa, kanapék, szék-kiállítás, telefon, asztal, bútor, pavilon, irodaszékek, esernyőtartó, polc, porszívók)</t>
  </si>
  <si>
    <t>Porszívók</t>
  </si>
  <si>
    <t>Művészetek Háza Veszprém Művelődési Ház és Kiállítóhely - NKA pályázati előirányzat rendezés</t>
  </si>
  <si>
    <t>Amerikai Kuckó támogatása</t>
  </si>
  <si>
    <t>Eötvös Károly Megyei Könyvtár - Amerikai Kuckó támogatása</t>
  </si>
  <si>
    <t>Régészeti és egyéb többlet bevétel</t>
  </si>
  <si>
    <t xml:space="preserve">Vörösök, fehérek és románok Veszprémben 1919-ben - meghiúsult kiállítás támogatás </t>
  </si>
  <si>
    <t>bevételi többletből</t>
  </si>
  <si>
    <t>Laczkó Dezső Múzeum - régészeti és egyéb többlet bevétel</t>
  </si>
  <si>
    <t>bevételi többletből személyi kiadásokra 2000 eFt, munkaad.terh.jár. És szoc.hoz.adóra 350 eFt., dologi kiadásokra 27350 eFt)</t>
  </si>
  <si>
    <t xml:space="preserve">Vörösök, fehérek és románok Veszprémben 1919-ben meghiúsult kiállítás </t>
  </si>
  <si>
    <t>Ajtócsere Török I. u. 5.-7.</t>
  </si>
  <si>
    <t>Kistehergépkocsi beszerzés</t>
  </si>
  <si>
    <t>Számítástechnikai eszközök</t>
  </si>
  <si>
    <t>Kisértékű eszközök</t>
  </si>
  <si>
    <t>módosítás- átcsoportosítás Laczkó Dezső Múzeumtól - Vörösök, fehérek és románok Veszprémben 1919-ben meghiúsult kiállítás</t>
  </si>
  <si>
    <t>Átcsoportosítás</t>
  </si>
  <si>
    <t>NKA pályázati támogatás</t>
  </si>
  <si>
    <r>
      <rPr>
        <u/>
        <sz val="11"/>
        <rFont val="Palatino Linotype"/>
        <family val="1"/>
        <charset val="238"/>
      </rPr>
      <t>Kabóca Bábszínház</t>
    </r>
    <r>
      <rPr>
        <sz val="11"/>
        <rFont val="Palatino Linotype"/>
        <family val="1"/>
        <charset val="238"/>
      </rPr>
      <t xml:space="preserve"> - átcsoportosítás</t>
    </r>
  </si>
  <si>
    <t>NKA pályázati támogatásból személyi kiadásokra</t>
  </si>
  <si>
    <t>NKA pályázati támogatásból</t>
  </si>
  <si>
    <t>Tárgyi eszközök beszerzésére (etetőszék, gyermek ülőgarnitúra, szabadtéri pavilonok, autógumik, matrac fekvőbetéttel, e-szeméyi olvasó, íróasztal)</t>
  </si>
  <si>
    <t>átcsoportosítás személyi kiadásokról</t>
  </si>
  <si>
    <t>munkaadót terhelő járulék és szociális hozzájárulási adóra</t>
  </si>
  <si>
    <t>átcsoportosítás személyi kiadásokról 1 eFt, munkaad.terh.jár. és szoc.hoz.adóról 2 eFt.</t>
  </si>
  <si>
    <t>átcsoportosítás személyi kiadásokról 11 eFt, munkaad.terh.jár. és szoc.hoz adóról 4 eFt.</t>
  </si>
  <si>
    <t xml:space="preserve">átcsoportosítás dologi kiadásokról </t>
  </si>
  <si>
    <t>személyi kiadásokra 50 eFt, munkaad.terh. jár és szoc.hoz adóra 50 eFt</t>
  </si>
  <si>
    <t>személyi kiadásokra 350 eFt, munkaad.terh. jár és szoc.hoz adóra 100 eFt</t>
  </si>
  <si>
    <t>módosítás-  átcsoportosítás beruházási feladatokról 10.vk. Konténer tároló kihelyezése a 10. sz. választókerületben</t>
  </si>
  <si>
    <r>
      <t xml:space="preserve">Közterület Felügyelet, gyepmesteri telep </t>
    </r>
    <r>
      <rPr>
        <sz val="11"/>
        <rFont val="Palatino Linotype"/>
        <family val="1"/>
        <charset val="238"/>
      </rPr>
      <t>- átcsoportosítás beruházási feladatokra</t>
    </r>
  </si>
  <si>
    <t>Fényképezőgép (Közterület Felügyelet, gyepmesteri telep)</t>
  </si>
  <si>
    <t>módosítás- átcsoportosítás beruházási kiadásokra</t>
  </si>
  <si>
    <t>átcsoportosítás Agóra VKK-nak - deportáltak megemlékezés hangosítására</t>
  </si>
  <si>
    <t>átcsoportosítás deportáltak megemlékezés hangosítására</t>
  </si>
  <si>
    <t>módosítás-  átcsoportosítás</t>
  </si>
  <si>
    <t xml:space="preserve">Infrastruktúra fejlesztési feladatokhoz kapcsolódó kiadások </t>
  </si>
  <si>
    <t>átcsoportosítás dologi kiadásokról</t>
  </si>
  <si>
    <t>átcsoportosítás dologi kiadásokra</t>
  </si>
  <si>
    <t>Készletértékesítés, szolgáltatások bevétele</t>
  </si>
  <si>
    <t>bevételi többletből személyi kiadásokra 25000 eFt, munkaad.terh.jár. és szoc.hoz.adóra 4375 eFt., dologi kiadásokra 60738 eFt)</t>
  </si>
  <si>
    <t>projektor</t>
  </si>
  <si>
    <t>AEG hőszivattyús szárítógép</t>
  </si>
  <si>
    <t>Kisértékű tárgyi eszközök (robotlámpák, hűtőszekrény, kárpitos kapcsozógép, vízbojler, vérnyomásmérő (nézőtérre) DMX vezeték nélküli szett, tábla asztalok, könyöklők, könyöklőhuzat, kamerák, TV-kirakat reklámhoz, hosszabbító, szünetmentes tápegységek, spirálozógép, kottaállványok, kottaállvány világítások, kottaállvány tartó konténerek, mobiltelefonok, irodai bútorok, irodai székek, rolós árnyékoló, flottás telefonok, laptop táskák, bankettszékek, bőrvágó olló, színes intelligens led lámpák, függönyök, vasalók, kárpitos tűzőgép, akkus csavarhúzó gép, díszítőtár, spilter-viltár, mikrofonállvány, pultlámpa, mikrofonok, kihangosítő, telefon, kaptok táska, széf, centrifúga, vérnyomásmérő, kávéfőző, eü. matrac, árnyékoló, mosógép, körfűrész, rolós árnyékoló)</t>
  </si>
  <si>
    <t>Nyomtató, usb átalakító, egér</t>
  </si>
  <si>
    <t>Mosógép, körfűrész</t>
  </si>
  <si>
    <t>Rolós árnyékoló</t>
  </si>
  <si>
    <t>Sportcélok és feladatok</t>
  </si>
  <si>
    <t>személyi kiadásokra 40 eFt, munkaad.terh.jár. és szoc.hoz adóra 29 eFt.</t>
  </si>
  <si>
    <t>személyi kiadásokra</t>
  </si>
  <si>
    <t>átcsoportosítás dologi kiadásokról zöldfelületi stratégia készítése feladatokra</t>
  </si>
  <si>
    <t>átcsoportosítás beruházási kiadásokról</t>
  </si>
  <si>
    <t xml:space="preserve">Városgazdálkodási szolgáltatás </t>
  </si>
  <si>
    <t>átcsoportosítás zöldfelületi stratégia előkészítése feladatokra</t>
  </si>
  <si>
    <t>Fiatalok napja rendezvény</t>
  </si>
  <si>
    <t>személyi kiadásokra 665 eFt, munkaad.terh.jár. és szoc.hoz adóra 279 eFt.</t>
  </si>
  <si>
    <t>Veszprém Stadion gázellátása és villamos kapacitásbővítése</t>
  </si>
  <si>
    <t>átcsoportosítás fiatalok napjar rendezvényre</t>
  </si>
  <si>
    <t>átcsoportosítás Fiatalok napja rendezvényre</t>
  </si>
  <si>
    <t>személyi kiadásokra 665 eFt, munkaad.terh. jár és szoc.hoz adóra 279 eFt</t>
  </si>
  <si>
    <t>jubileumi jutalom</t>
  </si>
  <si>
    <t>Jubileumi jutalom</t>
  </si>
  <si>
    <t>Közművelődési érdekeltségnövelő támogatás</t>
  </si>
  <si>
    <t>Közművelődési érdekeltségnövelő támogatás önrésszel - (szék, kamerarendszer, televíziók)</t>
  </si>
  <si>
    <t>Közművelődési érdekeltségnövelő pályázat önrésszel (mobil színpad bővítés)</t>
  </si>
  <si>
    <t>Veszprémi Petőfi Színház - készletértékesítés és szolgáltatások bevétele</t>
  </si>
  <si>
    <t>Veszprémi Petőfi Színház - NKA, EMMI pályázati támogatások</t>
  </si>
  <si>
    <t>átcsoportosítás Laczkó Dezső Múzeumtól - Vörösök, fehérek és románok Veszprémben 1919-ben - meghiúsult kiállítás</t>
  </si>
  <si>
    <t>1. melléklet a 30/2019. (XII.12.) önkormányzati rendelethez</t>
  </si>
  <si>
    <t>2. melléklet a 30/2019. (XII.12.) önkormányzati rendelethez</t>
  </si>
  <si>
    <t>3. melléklet a 30/2019. (XII.12.) önkormányzati rendelethez</t>
  </si>
  <si>
    <t>4. melléklet a 30/2019. (XII.12.) önkormányzati rendelethez</t>
  </si>
  <si>
    <t>5. melléklet a 30/2019. (XII.12.) önkormányzati rendelethez</t>
  </si>
  <si>
    <t>6. melléklet a 30/2019. (XII.12.) önkormányzati rendelethez</t>
  </si>
  <si>
    <t>6.A. melléklet a 30/2019. (XII.12.) önkormányzati rendelethez</t>
  </si>
  <si>
    <t>7. melléklet a 30/2019. (XII.12.) önkormányzati rendelethez</t>
  </si>
  <si>
    <t>8. melléklet a 30/2019. (XII.12.) önkormányzati rendelethez</t>
  </si>
  <si>
    <t>9. melléklet a 30/2019. (XII.12.) önkormányzati rendelethez</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</si>
</sst>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F_t_-;\-* #,##0.00\ _F_t_-;_-* &quot;-&quot;??\ _F_t_-;_-@_-"/>
    <numFmt numFmtId="164" formatCode="0.000"/>
    <numFmt numFmtId="165" formatCode="0.0%"/>
  </numFmts>
  <fonts count="54" x14ac:knownFonts="1">
    <font>
      <sz val="10"/>
      <name val="Arial CE"/>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CE"/>
      <charset val="238"/>
    </font>
    <font>
      <sz val="11"/>
      <name val="Palatino Linotype"/>
      <family val="1"/>
      <charset val="238"/>
    </font>
    <font>
      <sz val="10"/>
      <name val="Arial"/>
      <family val="2"/>
      <charset val="238"/>
    </font>
    <font>
      <b/>
      <sz val="11"/>
      <name val="Palatino Linotype"/>
      <family val="1"/>
      <charset val="238"/>
    </font>
    <font>
      <i/>
      <sz val="11"/>
      <name val="Palatino Linotype"/>
      <family val="1"/>
      <charset val="238"/>
    </font>
    <font>
      <sz val="9"/>
      <name val="Palatino Linotype"/>
      <family val="1"/>
      <charset val="238"/>
    </font>
    <font>
      <sz val="8"/>
      <name val="Arial CE"/>
      <charset val="238"/>
    </font>
    <font>
      <sz val="12"/>
      <name val="Times New Roman"/>
      <family val="1"/>
      <charset val="238"/>
    </font>
    <font>
      <sz val="8"/>
      <name val="Palatino Linotype"/>
      <family val="1"/>
      <charset val="238"/>
    </font>
    <font>
      <sz val="10"/>
      <name val="Palatino Linotype"/>
      <family val="1"/>
      <charset val="238"/>
    </font>
    <font>
      <b/>
      <sz val="9"/>
      <name val="Palatino Linotype"/>
      <family val="1"/>
      <charset val="238"/>
    </font>
    <font>
      <i/>
      <sz val="10"/>
      <name val="Palatino Linotype"/>
      <family val="1"/>
      <charset val="238"/>
    </font>
    <font>
      <b/>
      <sz val="10"/>
      <name val="Palatino Linotype"/>
      <family val="1"/>
      <charset val="238"/>
    </font>
    <font>
      <sz val="9"/>
      <name val="Arial CE"/>
      <charset val="238"/>
    </font>
    <font>
      <i/>
      <u/>
      <sz val="10"/>
      <name val="Palatino Linotype"/>
      <family val="1"/>
      <charset val="238"/>
    </font>
    <font>
      <b/>
      <i/>
      <sz val="10"/>
      <name val="Palatino Linotype"/>
      <family val="1"/>
      <charset val="238"/>
    </font>
    <font>
      <i/>
      <sz val="9"/>
      <name val="Palatino Linotype"/>
      <family val="1"/>
      <charset val="238"/>
    </font>
    <font>
      <b/>
      <i/>
      <sz val="9"/>
      <name val="Palatino Linotype"/>
      <family val="1"/>
      <charset val="238"/>
    </font>
    <font>
      <b/>
      <i/>
      <sz val="11"/>
      <name val="Palatino Linotype"/>
      <family val="1"/>
      <charset val="238"/>
    </font>
    <font>
      <sz val="7"/>
      <name val="Palatino Linotype"/>
      <family val="1"/>
      <charset val="238"/>
    </font>
    <font>
      <b/>
      <sz val="8"/>
      <name val="Palatino Linotype"/>
      <family val="1"/>
      <charset val="238"/>
    </font>
    <font>
      <b/>
      <sz val="10"/>
      <name val="Arial CE"/>
      <charset val="238"/>
    </font>
    <font>
      <i/>
      <sz val="10"/>
      <name val="Arial CE"/>
      <charset val="238"/>
    </font>
    <font>
      <b/>
      <u val="double"/>
      <sz val="10"/>
      <name val="Palatino Linotype"/>
      <family val="1"/>
      <charset val="238"/>
    </font>
    <font>
      <sz val="11"/>
      <name val="Arial CE"/>
      <charset val="238"/>
    </font>
    <font>
      <sz val="10"/>
      <name val="Times New Roman"/>
      <family val="1"/>
      <charset val="238"/>
    </font>
    <font>
      <b/>
      <u/>
      <sz val="10"/>
      <name val="Palatino Linotype"/>
      <family val="1"/>
      <charset val="238"/>
    </font>
    <font>
      <b/>
      <u/>
      <sz val="11"/>
      <name val="Palatino Linotype"/>
      <family val="1"/>
      <charset val="238"/>
    </font>
    <font>
      <sz val="10.5"/>
      <name val="Palatino Linotype"/>
      <family val="1"/>
      <charset val="238"/>
    </font>
    <font>
      <sz val="11"/>
      <color theme="1"/>
      <name val="Calibri"/>
      <family val="2"/>
      <charset val="238"/>
      <scheme val="minor"/>
    </font>
    <font>
      <u/>
      <sz val="11"/>
      <name val="Palatino Linotype"/>
      <family val="1"/>
      <charset val="238"/>
    </font>
    <font>
      <b/>
      <sz val="12"/>
      <name val="Palatino Linotype"/>
      <family val="1"/>
      <charset val="238"/>
    </font>
    <font>
      <b/>
      <sz val="11"/>
      <color theme="5" tint="-0.499984740745262"/>
      <name val="Palatino Linotype"/>
      <family val="1"/>
      <charset val="238"/>
    </font>
    <font>
      <i/>
      <sz val="11"/>
      <color rgb="FFFF0000"/>
      <name val="Palatino Linotype"/>
      <family val="1"/>
      <charset val="238"/>
    </font>
    <font>
      <b/>
      <sz val="10"/>
      <color theme="5" tint="-0.499984740745262"/>
      <name val="Arial CE"/>
      <charset val="238"/>
    </font>
    <font>
      <i/>
      <u/>
      <sz val="11"/>
      <name val="Palatino Linotype"/>
      <family val="1"/>
      <charset val="238"/>
    </font>
    <font>
      <b/>
      <i/>
      <u/>
      <sz val="11"/>
      <name val="Palatino Linotype"/>
      <family val="1"/>
      <charset val="238"/>
    </font>
    <font>
      <sz val="10"/>
      <color theme="5" tint="-0.499984740745262"/>
      <name val="Palatino Linotype"/>
      <family val="1"/>
      <charset val="238"/>
    </font>
    <font>
      <i/>
      <sz val="10"/>
      <color theme="5" tint="-0.499984740745262"/>
      <name val="Palatino Linotype"/>
      <family val="1"/>
      <charset val="238"/>
    </font>
    <font>
      <b/>
      <sz val="10"/>
      <color theme="5" tint="-0.499984740745262"/>
      <name val="Palatino Linotype"/>
      <family val="1"/>
      <charset val="238"/>
    </font>
    <font>
      <b/>
      <i/>
      <sz val="10"/>
      <color theme="5" tint="-0.499984740745262"/>
      <name val="Palatino Linotype"/>
      <family val="1"/>
      <charset val="238"/>
    </font>
    <font>
      <sz val="11"/>
      <color theme="5" tint="-0.499984740745262"/>
      <name val="Palatino Linotype"/>
      <family val="1"/>
      <charset val="238"/>
    </font>
    <font>
      <i/>
      <sz val="11"/>
      <color theme="5" tint="-0.499984740745262"/>
      <name val="Palatino Linotype"/>
      <family val="1"/>
      <charset val="238"/>
    </font>
    <font>
      <b/>
      <i/>
      <sz val="11"/>
      <color theme="5" tint="-0.499984740745262"/>
      <name val="Palatino Linotype"/>
      <family val="1"/>
      <charset val="238"/>
    </font>
    <font>
      <i/>
      <sz val="9"/>
      <color theme="5" tint="-0.499984740745262"/>
      <name val="Palatino Linotype"/>
      <family val="1"/>
      <charset val="238"/>
    </font>
    <font>
      <sz val="11"/>
      <color theme="1"/>
      <name val="Palatino Linotype"/>
      <family val="1"/>
      <charset val="238"/>
    </font>
    <font>
      <b/>
      <sz val="11"/>
      <color theme="1"/>
      <name val="Calibri"/>
      <family val="2"/>
      <charset val="238"/>
      <scheme val="minor"/>
    </font>
    <font>
      <b/>
      <sz val="11"/>
      <color theme="1"/>
      <name val="Palatino Linotype"/>
      <family val="1"/>
      <charset val="238"/>
    </font>
    <font>
      <sz val="11"/>
      <color rgb="FF000000"/>
      <name val="Palatino Linotype"/>
      <family val="1"/>
      <charset val="238"/>
    </font>
  </fonts>
  <fills count="2">
    <fill>
      <patternFill patternType="none"/>
    </fill>
    <fill>
      <patternFill patternType="gray125"/>
    </fill>
  </fills>
  <borders count="238">
    <border>
      <left/>
      <right/>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right/>
      <top style="double">
        <color indexed="64"/>
      </top>
      <bottom style="medium">
        <color indexed="64"/>
      </bottom>
      <diagonal/>
    </border>
    <border>
      <left/>
      <right/>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hair">
        <color indexed="64"/>
      </left>
      <right style="hair">
        <color indexed="64"/>
      </right>
      <top style="double">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bottom/>
      <diagonal/>
    </border>
    <border>
      <left/>
      <right style="medium">
        <color indexed="64"/>
      </right>
      <top/>
      <bottom style="double">
        <color indexed="64"/>
      </bottom>
      <diagonal/>
    </border>
    <border>
      <left/>
      <right style="medium">
        <color indexed="64"/>
      </right>
      <top/>
      <bottom style="medium">
        <color indexed="64"/>
      </bottom>
      <diagonal/>
    </border>
    <border>
      <left style="double">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style="double">
        <color indexed="64"/>
      </bottom>
      <diagonal/>
    </border>
    <border>
      <left style="hair">
        <color indexed="64"/>
      </left>
      <right style="medium">
        <color indexed="64"/>
      </right>
      <top/>
      <bottom style="double">
        <color indexed="64"/>
      </bottom>
      <diagonal/>
    </border>
    <border>
      <left style="hair">
        <color indexed="64"/>
      </left>
      <right/>
      <top style="hair">
        <color indexed="64"/>
      </top>
      <bottom style="hair">
        <color indexed="64"/>
      </bottom>
      <diagonal/>
    </border>
    <border>
      <left style="hair">
        <color indexed="64"/>
      </left>
      <right style="medium">
        <color indexed="64"/>
      </right>
      <top/>
      <bottom style="hair">
        <color indexed="64"/>
      </bottom>
      <diagonal/>
    </border>
    <border>
      <left style="hair">
        <color indexed="64"/>
      </left>
      <right/>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style="hair">
        <color indexed="64"/>
      </top>
      <bottom style="double">
        <color indexed="64"/>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style="medium">
        <color indexed="64"/>
      </bottom>
      <diagonal/>
    </border>
    <border>
      <left style="double">
        <color indexed="64"/>
      </left>
      <right style="double">
        <color indexed="64"/>
      </right>
      <top/>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double">
        <color indexed="64"/>
      </left>
      <right style="double">
        <color indexed="64"/>
      </right>
      <top style="medium">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double">
        <color indexed="64"/>
      </right>
      <top style="hair">
        <color indexed="64"/>
      </top>
      <bottom style="hair">
        <color indexed="64"/>
      </bottom>
      <diagonal/>
    </border>
    <border>
      <left/>
      <right style="medium">
        <color indexed="64"/>
      </right>
      <top style="hair">
        <color indexed="64"/>
      </top>
      <bottom style="hair">
        <color indexed="64"/>
      </bottom>
      <diagonal/>
    </border>
    <border>
      <left/>
      <right/>
      <top style="medium">
        <color indexed="64"/>
      </top>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style="hair">
        <color indexed="64"/>
      </right>
      <top style="medium">
        <color indexed="64"/>
      </top>
      <bottom style="medium">
        <color indexed="64"/>
      </bottom>
      <diagonal/>
    </border>
    <border>
      <left style="medium">
        <color indexed="64"/>
      </left>
      <right style="hair">
        <color indexed="64"/>
      </right>
      <top/>
      <bottom/>
      <diagonal/>
    </border>
    <border>
      <left style="medium">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style="double">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style="hair">
        <color indexed="64"/>
      </top>
      <bottom style="medium">
        <color indexed="64"/>
      </bottom>
      <diagonal/>
    </border>
    <border>
      <left style="double">
        <color indexed="64"/>
      </left>
      <right style="hair">
        <color indexed="64"/>
      </right>
      <top style="medium">
        <color indexed="64"/>
      </top>
      <bottom style="hair">
        <color indexed="64"/>
      </bottom>
      <diagonal/>
    </border>
    <border>
      <left style="medium">
        <color indexed="64"/>
      </left>
      <right/>
      <top/>
      <bottom style="hair">
        <color indexed="64"/>
      </bottom>
      <diagonal/>
    </border>
    <border>
      <left style="double">
        <color indexed="64"/>
      </left>
      <right/>
      <top/>
      <bottom style="hair">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hair">
        <color indexed="64"/>
      </left>
      <right/>
      <top style="medium">
        <color indexed="64"/>
      </top>
      <bottom style="medium">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hair">
        <color indexed="64"/>
      </right>
      <top/>
      <bottom style="medium">
        <color indexed="64"/>
      </bottom>
      <diagonal/>
    </border>
    <border>
      <left style="medium">
        <color indexed="64"/>
      </left>
      <right style="hair">
        <color indexed="64"/>
      </right>
      <top/>
      <bottom style="medium">
        <color indexed="64"/>
      </bottom>
      <diagonal/>
    </border>
    <border>
      <left style="hair">
        <color indexed="64"/>
      </left>
      <right/>
      <top/>
      <bottom style="medium">
        <color indexed="64"/>
      </bottom>
      <diagonal/>
    </border>
    <border>
      <left style="double">
        <color indexed="64"/>
      </left>
      <right style="hair">
        <color indexed="64"/>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medium">
        <color indexed="64"/>
      </top>
      <bottom style="hair">
        <color indexed="64"/>
      </bottom>
      <diagonal/>
    </border>
    <border>
      <left style="double">
        <color indexed="64"/>
      </left>
      <right style="medium">
        <color indexed="64"/>
      </right>
      <top/>
      <bottom style="hair">
        <color indexed="64"/>
      </bottom>
      <diagonal/>
    </border>
    <border>
      <left style="double">
        <color indexed="64"/>
      </left>
      <right style="medium">
        <color indexed="64"/>
      </right>
      <top style="hair">
        <color indexed="64"/>
      </top>
      <bottom style="hair">
        <color indexed="64"/>
      </bottom>
      <diagonal/>
    </border>
    <border>
      <left/>
      <right/>
      <top/>
      <bottom style="double">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double">
        <color indexed="64"/>
      </left>
      <right/>
      <top/>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double">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double">
        <color indexed="64"/>
      </left>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thin">
        <color indexed="64"/>
      </right>
      <top/>
      <bottom/>
      <diagonal/>
    </border>
    <border>
      <left style="medium">
        <color indexed="64"/>
      </left>
      <right/>
      <top/>
      <bottom style="thin">
        <color indexed="64"/>
      </bottom>
      <diagonal/>
    </border>
    <border>
      <left style="double">
        <color indexed="64"/>
      </left>
      <right/>
      <top/>
      <bottom style="thin">
        <color indexed="64"/>
      </bottom>
      <diagonal/>
    </border>
    <border>
      <left style="double">
        <color indexed="64"/>
      </left>
      <right/>
      <top/>
      <bottom style="medium">
        <color indexed="64"/>
      </bottom>
      <diagonal/>
    </border>
    <border>
      <left style="thin">
        <color indexed="64"/>
      </left>
      <right/>
      <top style="thin">
        <color indexed="64"/>
      </top>
      <bottom style="double">
        <color indexed="64"/>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style="medium">
        <color indexed="64"/>
      </right>
      <top/>
      <bottom style="double">
        <color indexed="64"/>
      </bottom>
      <diagonal/>
    </border>
    <border>
      <left style="thin">
        <color indexed="64"/>
      </left>
      <right style="medium">
        <color indexed="64"/>
      </right>
      <top/>
      <bottom style="thin">
        <color indexed="64"/>
      </bottom>
      <diagonal/>
    </border>
    <border>
      <left style="hair">
        <color indexed="64"/>
      </left>
      <right style="medium">
        <color indexed="64"/>
      </right>
      <top style="thin">
        <color indexed="64"/>
      </top>
      <bottom style="thin">
        <color indexed="64"/>
      </bottom>
      <diagonal/>
    </border>
    <border>
      <left style="double">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double">
        <color indexed="64"/>
      </bottom>
      <diagonal/>
    </border>
    <border>
      <left style="hair">
        <color indexed="64"/>
      </left>
      <right/>
      <top style="double">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right style="hair">
        <color indexed="64"/>
      </right>
      <top style="double">
        <color indexed="64"/>
      </top>
      <bottom style="hair">
        <color indexed="64"/>
      </bottom>
      <diagonal/>
    </border>
    <border>
      <left/>
      <right style="hair">
        <color indexed="64"/>
      </right>
      <top style="hair">
        <color indexed="64"/>
      </top>
      <bottom/>
      <diagonal/>
    </border>
    <border>
      <left style="double">
        <color indexed="64"/>
      </left>
      <right style="medium">
        <color indexed="64"/>
      </right>
      <top style="hair">
        <color indexed="64"/>
      </top>
      <bottom/>
      <diagonal/>
    </border>
    <border>
      <left style="hair">
        <color indexed="64"/>
      </left>
      <right/>
      <top/>
      <bottom/>
      <diagonal/>
    </border>
    <border>
      <left style="hair">
        <color indexed="64"/>
      </left>
      <right style="medium">
        <color indexed="64"/>
      </right>
      <top style="medium">
        <color indexed="64"/>
      </top>
      <bottom/>
      <diagonal/>
    </border>
    <border>
      <left style="double">
        <color indexed="64"/>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hair">
        <color indexed="64"/>
      </right>
      <top style="medium">
        <color indexed="64"/>
      </top>
      <bottom style="medium">
        <color indexed="64"/>
      </bottom>
      <diagonal/>
    </border>
    <border>
      <left style="medium">
        <color indexed="64"/>
      </left>
      <right style="medium">
        <color indexed="64"/>
      </right>
      <top style="medium">
        <color indexed="64"/>
      </top>
      <bottom/>
      <diagonal/>
    </border>
    <border>
      <left style="hair">
        <color indexed="64"/>
      </left>
      <right/>
      <top style="double">
        <color indexed="64"/>
      </top>
      <bottom style="medium">
        <color indexed="64"/>
      </bottom>
      <diagonal/>
    </border>
    <border>
      <left/>
      <right style="hair">
        <color indexed="64"/>
      </right>
      <top style="double">
        <color indexed="64"/>
      </top>
      <bottom style="medium">
        <color indexed="64"/>
      </bottom>
      <diagonal/>
    </border>
    <border>
      <left style="thin">
        <color indexed="64"/>
      </left>
      <right/>
      <top style="medium">
        <color indexed="64"/>
      </top>
      <bottom/>
      <diagonal/>
    </border>
    <border>
      <left/>
      <right style="hair">
        <color indexed="64"/>
      </right>
      <top style="medium">
        <color indexed="64"/>
      </top>
      <bottom style="hair">
        <color indexed="64"/>
      </bottom>
      <diagonal/>
    </border>
    <border>
      <left style="double">
        <color indexed="64"/>
      </left>
      <right style="medium">
        <color indexed="64"/>
      </right>
      <top style="medium">
        <color indexed="64"/>
      </top>
      <bottom/>
      <diagonal/>
    </border>
    <border>
      <left style="hair">
        <color indexed="64"/>
      </left>
      <right/>
      <top style="medium">
        <color indexed="64"/>
      </top>
      <bottom style="dotted">
        <color indexed="64"/>
      </bottom>
      <diagonal/>
    </border>
    <border>
      <left style="hair">
        <color indexed="64"/>
      </left>
      <right/>
      <top style="dotted">
        <color indexed="64"/>
      </top>
      <bottom style="double">
        <color indexed="64"/>
      </bottom>
      <diagonal/>
    </border>
    <border>
      <left/>
      <right style="hair">
        <color indexed="64"/>
      </right>
      <top style="medium">
        <color indexed="64"/>
      </top>
      <bottom style="dotted">
        <color indexed="64"/>
      </bottom>
      <diagonal/>
    </border>
    <border>
      <left/>
      <right style="hair">
        <color indexed="64"/>
      </right>
      <top style="dotted">
        <color indexed="64"/>
      </top>
      <bottom style="double">
        <color indexed="64"/>
      </bottom>
      <diagonal/>
    </border>
    <border>
      <left style="hair">
        <color indexed="64"/>
      </left>
      <right style="hair">
        <color indexed="64"/>
      </right>
      <top style="medium">
        <color indexed="64"/>
      </top>
      <bottom style="dotted">
        <color indexed="64"/>
      </bottom>
      <diagonal/>
    </border>
    <border>
      <left style="hair">
        <color indexed="64"/>
      </left>
      <right style="hair">
        <color indexed="64"/>
      </right>
      <top style="dotted">
        <color indexed="64"/>
      </top>
      <bottom style="double">
        <color indexed="64"/>
      </bottom>
      <diagonal/>
    </border>
    <border>
      <left style="medium">
        <color indexed="64"/>
      </left>
      <right style="hair">
        <color indexed="64"/>
      </right>
      <top style="medium">
        <color indexed="64"/>
      </top>
      <bottom style="dotted">
        <color indexed="64"/>
      </bottom>
      <diagonal/>
    </border>
    <border>
      <left style="medium">
        <color indexed="64"/>
      </left>
      <right style="hair">
        <color indexed="64"/>
      </right>
      <top style="dotted">
        <color indexed="64"/>
      </top>
      <bottom style="double">
        <color indexed="64"/>
      </bottom>
      <diagonal/>
    </border>
    <border>
      <left style="double">
        <color indexed="64"/>
      </left>
      <right style="hair">
        <color indexed="64"/>
      </right>
      <top style="medium">
        <color indexed="64"/>
      </top>
      <bottom/>
      <diagonal/>
    </border>
    <border>
      <left style="double">
        <color indexed="64"/>
      </left>
      <right style="hair">
        <color indexed="64"/>
      </right>
      <top/>
      <bottom style="double">
        <color indexed="64"/>
      </bottom>
      <diagonal/>
    </border>
    <border>
      <left style="hair">
        <color indexed="64"/>
      </left>
      <right/>
      <top style="thin">
        <color indexed="64"/>
      </top>
      <bottom style="hair">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right/>
      <top/>
      <bottom style="hair">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bottom style="medium">
        <color indexed="64"/>
      </bottom>
      <diagonal/>
    </border>
    <border>
      <left style="hair">
        <color indexed="64"/>
      </left>
      <right/>
      <top style="hair">
        <color indexed="64"/>
      </top>
      <bottom style="double">
        <color indexed="64"/>
      </bottom>
      <diagonal/>
    </border>
    <border>
      <left style="double">
        <color indexed="64"/>
      </left>
      <right style="hair">
        <color indexed="64"/>
      </right>
      <top style="hair">
        <color indexed="64"/>
      </top>
      <bottom style="double">
        <color indexed="64"/>
      </bottom>
      <diagonal/>
    </border>
    <border>
      <left style="hair">
        <color indexed="64"/>
      </left>
      <right style="medium">
        <color indexed="64"/>
      </right>
      <top style="hair">
        <color indexed="64"/>
      </top>
      <bottom style="double">
        <color indexed="64"/>
      </bottom>
      <diagonal/>
    </border>
    <border>
      <left style="double">
        <color indexed="64"/>
      </left>
      <right style="hair">
        <color indexed="64"/>
      </right>
      <top/>
      <bottom/>
      <diagonal/>
    </border>
    <border>
      <left style="double">
        <color indexed="64"/>
      </left>
      <right style="hair">
        <color indexed="64"/>
      </right>
      <top style="medium">
        <color indexed="64"/>
      </top>
      <bottom style="medium">
        <color indexed="64"/>
      </bottom>
      <diagonal/>
    </border>
    <border>
      <left style="hair">
        <color indexed="64"/>
      </left>
      <right style="double">
        <color indexed="64"/>
      </right>
      <top style="hair">
        <color indexed="64"/>
      </top>
      <bottom style="double">
        <color indexed="64"/>
      </bottom>
      <diagonal/>
    </border>
    <border>
      <left style="hair">
        <color indexed="64"/>
      </left>
      <right style="double">
        <color indexed="64"/>
      </right>
      <top style="hair">
        <color indexed="64"/>
      </top>
      <bottom style="hair">
        <color indexed="64"/>
      </bottom>
      <diagonal/>
    </border>
    <border>
      <left style="hair">
        <color indexed="64"/>
      </left>
      <right style="double">
        <color indexed="64"/>
      </right>
      <top style="hair">
        <color indexed="64"/>
      </top>
      <bottom style="medium">
        <color indexed="64"/>
      </bottom>
      <diagonal/>
    </border>
    <border>
      <left/>
      <right style="medium">
        <color indexed="64"/>
      </right>
      <top style="hair">
        <color indexed="64"/>
      </top>
      <bottom/>
      <diagonal/>
    </border>
    <border>
      <left style="double">
        <color indexed="64"/>
      </left>
      <right/>
      <top style="hair">
        <color indexed="64"/>
      </top>
      <bottom style="hair">
        <color indexed="64"/>
      </bottom>
      <diagonal/>
    </border>
    <border>
      <left style="double">
        <color indexed="64"/>
      </left>
      <right/>
      <top style="hair">
        <color indexed="64"/>
      </top>
      <bottom/>
      <diagonal/>
    </border>
    <border>
      <left style="double">
        <color indexed="64"/>
      </left>
      <right/>
      <top style="thin">
        <color indexed="64"/>
      </top>
      <bottom style="medium">
        <color indexed="64"/>
      </bottom>
      <diagonal/>
    </border>
    <border>
      <left style="hair">
        <color indexed="64"/>
      </left>
      <right style="double">
        <color indexed="64"/>
      </right>
      <top style="medium">
        <color indexed="64"/>
      </top>
      <bottom style="medium">
        <color indexed="64"/>
      </bottom>
      <diagonal/>
    </border>
    <border>
      <left style="double">
        <color indexed="64"/>
      </left>
      <right/>
      <top style="double">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double">
        <color indexed="64"/>
      </bottom>
      <diagonal/>
    </border>
    <border>
      <left/>
      <right style="medium">
        <color indexed="64"/>
      </right>
      <top style="double">
        <color indexed="64"/>
      </top>
      <bottom style="medium">
        <color indexed="64"/>
      </bottom>
      <diagonal/>
    </border>
    <border>
      <left/>
      <right style="medium">
        <color indexed="64"/>
      </right>
      <top style="thin">
        <color indexed="64"/>
      </top>
      <bottom style="medium">
        <color indexed="64"/>
      </bottom>
      <diagonal/>
    </border>
    <border>
      <left style="hair">
        <color indexed="64"/>
      </left>
      <right style="double">
        <color indexed="64"/>
      </right>
      <top style="double">
        <color indexed="64"/>
      </top>
      <bottom style="hair">
        <color indexed="64"/>
      </bottom>
      <diagonal/>
    </border>
    <border>
      <left style="double">
        <color indexed="64"/>
      </left>
      <right style="hair">
        <color indexed="64"/>
      </right>
      <top style="hair">
        <color indexed="64"/>
      </top>
      <bottom style="medium">
        <color indexed="64"/>
      </bottom>
      <diagonal/>
    </border>
    <border>
      <left style="hair">
        <color indexed="64"/>
      </left>
      <right style="double">
        <color indexed="64"/>
      </right>
      <top style="hair">
        <color indexed="64"/>
      </top>
      <bottom/>
      <diagonal/>
    </border>
    <border>
      <left/>
      <right style="hair">
        <color indexed="64"/>
      </right>
      <top style="double">
        <color indexed="64"/>
      </top>
      <bottom/>
      <diagonal/>
    </border>
    <border>
      <left/>
      <right style="medium">
        <color indexed="64"/>
      </right>
      <top style="double">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style="hair">
        <color indexed="64"/>
      </left>
      <right style="double">
        <color indexed="64"/>
      </right>
      <top/>
      <bottom style="hair">
        <color indexed="64"/>
      </bottom>
      <diagonal/>
    </border>
    <border>
      <left style="hair">
        <color indexed="64"/>
      </left>
      <right style="double">
        <color indexed="64"/>
      </right>
      <top style="thin">
        <color indexed="64"/>
      </top>
      <bottom style="medium">
        <color indexed="64"/>
      </bottom>
      <diagonal/>
    </border>
    <border>
      <left style="thin">
        <color indexed="64"/>
      </left>
      <right/>
      <top style="double">
        <color indexed="64"/>
      </top>
      <bottom style="double">
        <color indexed="64"/>
      </bottom>
      <diagonal/>
    </border>
    <border>
      <left style="thin">
        <color indexed="64"/>
      </left>
      <right style="double">
        <color indexed="64"/>
      </right>
      <top/>
      <bottom/>
      <diagonal/>
    </border>
    <border>
      <left style="thin">
        <color indexed="64"/>
      </left>
      <right/>
      <top/>
      <bottom style="double">
        <color indexed="64"/>
      </bottom>
      <diagonal/>
    </border>
    <border>
      <left style="medium">
        <color indexed="64"/>
      </left>
      <right/>
      <top style="medium">
        <color indexed="64"/>
      </top>
      <bottom style="dotted">
        <color indexed="64"/>
      </bottom>
      <diagonal/>
    </border>
    <border>
      <left style="medium">
        <color indexed="64"/>
      </left>
      <right/>
      <top style="dotted">
        <color indexed="64"/>
      </top>
      <bottom style="double">
        <color indexed="64"/>
      </bottom>
      <diagonal/>
    </border>
    <border>
      <left style="medium">
        <color indexed="64"/>
      </left>
      <right/>
      <top style="hair">
        <color indexed="64"/>
      </top>
      <bottom/>
      <diagonal/>
    </border>
    <border>
      <left style="medium">
        <color indexed="64"/>
      </left>
      <right/>
      <top style="double">
        <color indexed="64"/>
      </top>
      <bottom style="hair">
        <color indexed="64"/>
      </bottom>
      <diagonal/>
    </border>
    <border>
      <left style="medium">
        <color indexed="64"/>
      </left>
      <right/>
      <top style="hair">
        <color indexed="64"/>
      </top>
      <bottom style="medium">
        <color indexed="64"/>
      </bottom>
      <diagonal/>
    </border>
    <border>
      <left style="medium">
        <color indexed="64"/>
      </left>
      <right/>
      <top style="hair">
        <color indexed="64"/>
      </top>
      <bottom style="double">
        <color indexed="64"/>
      </bottom>
      <diagonal/>
    </border>
    <border>
      <left/>
      <right style="hair">
        <color indexed="64"/>
      </right>
      <top style="hair">
        <color indexed="64"/>
      </top>
      <bottom style="double">
        <color indexed="64"/>
      </bottom>
      <diagonal/>
    </border>
    <border>
      <left style="double">
        <color indexed="64"/>
      </left>
      <right/>
      <top style="double">
        <color indexed="64"/>
      </top>
      <bottom style="hair">
        <color indexed="64"/>
      </bottom>
      <diagonal/>
    </border>
    <border>
      <left style="double">
        <color indexed="64"/>
      </left>
      <right style="medium">
        <color indexed="64"/>
      </right>
      <top/>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double">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double">
        <color indexed="64"/>
      </left>
      <right style="medium">
        <color indexed="64"/>
      </right>
      <top style="hair">
        <color indexed="64"/>
      </top>
      <bottom style="thin">
        <color indexed="64"/>
      </bottom>
      <diagonal/>
    </border>
    <border>
      <left/>
      <right style="hair">
        <color indexed="64"/>
      </right>
      <top style="thin">
        <color indexed="64"/>
      </top>
      <bottom style="thin">
        <color indexed="64"/>
      </bottom>
      <diagonal/>
    </border>
    <border>
      <left/>
      <right style="medium">
        <color indexed="64"/>
      </right>
      <top style="hair">
        <color indexed="64"/>
      </top>
      <bottom style="double">
        <color indexed="64"/>
      </bottom>
      <diagonal/>
    </border>
    <border>
      <left/>
      <right style="medium">
        <color indexed="64"/>
      </right>
      <top/>
      <bottom style="thin">
        <color indexed="64"/>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style="thin">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medium">
        <color indexed="64"/>
      </left>
      <right style="hair">
        <color indexed="64"/>
      </right>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right style="medium">
        <color indexed="64"/>
      </right>
      <top/>
      <bottom style="hair">
        <color indexed="64"/>
      </bottom>
      <diagonal/>
    </border>
  </borders>
  <cellStyleXfs count="33">
    <xf numFmtId="0" fontId="0" fillId="0" borderId="0"/>
    <xf numFmtId="43" fontId="11" fillId="0" borderId="0" applyFont="0" applyFill="0" applyBorder="0" applyAlignment="0" applyProtection="0"/>
    <xf numFmtId="43" fontId="12"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0" fontId="11" fillId="0" borderId="0"/>
    <xf numFmtId="0" fontId="12" fillId="0" borderId="0"/>
    <xf numFmtId="0" fontId="12" fillId="0" borderId="0"/>
    <xf numFmtId="0" fontId="34" fillId="0" borderId="0"/>
    <xf numFmtId="0" fontId="34" fillId="0" borderId="0"/>
    <xf numFmtId="0" fontId="34" fillId="0" borderId="0"/>
    <xf numFmtId="0" fontId="34" fillId="0" borderId="0"/>
    <xf numFmtId="0" fontId="5" fillId="0" borderId="0"/>
    <xf numFmtId="0" fontId="34" fillId="0" borderId="0"/>
    <xf numFmtId="0" fontId="5" fillId="0" borderId="0"/>
    <xf numFmtId="0" fontId="5" fillId="0" borderId="0"/>
    <xf numFmtId="0" fontId="7" fillId="0" borderId="0"/>
    <xf numFmtId="0" fontId="7" fillId="0" borderId="0"/>
    <xf numFmtId="0" fontId="5" fillId="0" borderId="0"/>
    <xf numFmtId="0" fontId="5" fillId="0" borderId="0"/>
    <xf numFmtId="0" fontId="7" fillId="0" borderId="0"/>
    <xf numFmtId="0" fontId="7"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4" fillId="0" borderId="0"/>
    <xf numFmtId="0" fontId="3" fillId="0" borderId="0"/>
    <xf numFmtId="0" fontId="3" fillId="0" borderId="0"/>
    <xf numFmtId="0" fontId="7" fillId="0" borderId="0"/>
    <xf numFmtId="0" fontId="30" fillId="0" borderId="0"/>
    <xf numFmtId="0" fontId="2" fillId="0" borderId="0"/>
    <xf numFmtId="43" fontId="2" fillId="0" borderId="0" applyFont="0" applyFill="0" applyBorder="0" applyAlignment="0" applyProtection="0"/>
    <xf numFmtId="0" fontId="1" fillId="0" borderId="0"/>
  </cellStyleXfs>
  <cellXfs count="1955">
    <xf numFmtId="0" fontId="0" fillId="0" borderId="0" xfId="0"/>
    <xf numFmtId="0" fontId="6" fillId="0" borderId="0" xfId="0" applyFont="1" applyFill="1" applyBorder="1" applyAlignment="1">
      <alignment vertical="center"/>
    </xf>
    <xf numFmtId="3" fontId="6" fillId="0" borderId="0" xfId="0" applyNumberFormat="1" applyFont="1" applyFill="1" applyBorder="1"/>
    <xf numFmtId="3" fontId="6" fillId="0" borderId="0" xfId="15" applyNumberFormat="1" applyFont="1" applyFill="1" applyAlignment="1">
      <alignment horizontal="center"/>
    </xf>
    <xf numFmtId="3" fontId="6" fillId="0" borderId="0" xfId="15" applyNumberFormat="1" applyFont="1" applyFill="1"/>
    <xf numFmtId="3" fontId="8" fillId="0" borderId="0" xfId="15" applyNumberFormat="1" applyFont="1" applyFill="1"/>
    <xf numFmtId="3" fontId="6" fillId="0" borderId="0" xfId="15" applyNumberFormat="1" applyFont="1" applyFill="1" applyAlignment="1">
      <alignment vertical="center"/>
    </xf>
    <xf numFmtId="3" fontId="6" fillId="0" borderId="0" xfId="15" applyNumberFormat="1" applyFont="1" applyFill="1" applyAlignment="1">
      <alignment horizontal="center" vertical="top"/>
    </xf>
    <xf numFmtId="0" fontId="8" fillId="0" borderId="0" xfId="15" applyFont="1" applyFill="1" applyBorder="1" applyAlignment="1">
      <alignment vertical="top" wrapText="1"/>
    </xf>
    <xf numFmtId="3" fontId="6" fillId="0" borderId="0" xfId="15" applyNumberFormat="1" applyFont="1" applyFill="1" applyAlignment="1"/>
    <xf numFmtId="3" fontId="6" fillId="0" borderId="0" xfId="15" applyNumberFormat="1" applyFont="1" applyFill="1" applyAlignment="1">
      <alignment horizontal="center" vertical="center"/>
    </xf>
    <xf numFmtId="3" fontId="9" fillId="0" borderId="0" xfId="15" applyNumberFormat="1" applyFont="1" applyFill="1" applyAlignment="1">
      <alignment horizontal="center" vertical="center"/>
    </xf>
    <xf numFmtId="3" fontId="8" fillId="0" borderId="0" xfId="0" applyNumberFormat="1" applyFont="1" applyFill="1" applyBorder="1"/>
    <xf numFmtId="3" fontId="6" fillId="0" borderId="0" xfId="15" applyNumberFormat="1" applyFont="1" applyFill="1" applyBorder="1" applyAlignment="1">
      <alignment vertical="top" wrapText="1"/>
    </xf>
    <xf numFmtId="3" fontId="6" fillId="0" borderId="0" xfId="15" applyNumberFormat="1" applyFont="1" applyFill="1" applyBorder="1" applyAlignment="1">
      <alignment horizontal="center"/>
    </xf>
    <xf numFmtId="3" fontId="8" fillId="0" borderId="0" xfId="15" applyNumberFormat="1" applyFont="1" applyFill="1" applyBorder="1"/>
    <xf numFmtId="3" fontId="8" fillId="0" borderId="0" xfId="15" applyNumberFormat="1" applyFont="1" applyFill="1" applyBorder="1" applyAlignment="1">
      <alignment vertical="top" wrapText="1"/>
    </xf>
    <xf numFmtId="3" fontId="8" fillId="0" borderId="0" xfId="15" applyNumberFormat="1" applyFont="1" applyFill="1" applyBorder="1" applyAlignment="1">
      <alignment horizontal="center"/>
    </xf>
    <xf numFmtId="3" fontId="6" fillId="0" borderId="0" xfId="15" applyNumberFormat="1" applyFont="1" applyFill="1" applyAlignment="1">
      <alignment vertical="top" wrapText="1"/>
    </xf>
    <xf numFmtId="3" fontId="6" fillId="0" borderId="0" xfId="15" applyNumberFormat="1" applyFont="1" applyFill="1" applyBorder="1" applyAlignment="1">
      <alignment horizontal="center" vertical="top" wrapText="1"/>
    </xf>
    <xf numFmtId="3" fontId="8" fillId="0" borderId="0" xfId="15" applyNumberFormat="1" applyFont="1" applyFill="1" applyAlignment="1">
      <alignment vertical="top" wrapText="1"/>
    </xf>
    <xf numFmtId="4" fontId="6" fillId="0" borderId="0" xfId="0" applyNumberFormat="1" applyFont="1" applyFill="1" applyBorder="1" applyAlignment="1">
      <alignment horizontal="left" vertical="center"/>
    </xf>
    <xf numFmtId="4" fontId="6" fillId="0" borderId="0" xfId="0" applyNumberFormat="1" applyFont="1" applyFill="1" applyAlignment="1">
      <alignment vertical="center"/>
    </xf>
    <xf numFmtId="4" fontId="10" fillId="0" borderId="0" xfId="0" applyNumberFormat="1" applyFont="1" applyFill="1" applyAlignment="1">
      <alignment horizontal="center" vertical="center"/>
    </xf>
    <xf numFmtId="0" fontId="6" fillId="0" borderId="0" xfId="0" applyFont="1" applyFill="1" applyAlignment="1">
      <alignment vertical="center"/>
    </xf>
    <xf numFmtId="0" fontId="14" fillId="0" borderId="1" xfId="0" applyFont="1" applyFill="1" applyBorder="1" applyAlignment="1">
      <alignment horizontal="center" vertical="center" textRotation="90"/>
    </xf>
    <xf numFmtId="0" fontId="6" fillId="0" borderId="2" xfId="0" applyFont="1" applyFill="1" applyBorder="1" applyAlignment="1">
      <alignment horizontal="center" vertical="center" wrapText="1"/>
    </xf>
    <xf numFmtId="4" fontId="6" fillId="0" borderId="3" xfId="0" applyNumberFormat="1" applyFont="1" applyFill="1" applyBorder="1" applyAlignment="1">
      <alignment horizontal="center" vertical="center"/>
    </xf>
    <xf numFmtId="0" fontId="6" fillId="0" borderId="4" xfId="0" applyFont="1" applyFill="1" applyBorder="1" applyAlignment="1">
      <alignment horizontal="center" vertical="center"/>
    </xf>
    <xf numFmtId="4" fontId="6" fillId="0" borderId="0" xfId="0" applyNumberFormat="1" applyFont="1" applyFill="1" applyBorder="1" applyAlignment="1">
      <alignment vertical="center"/>
    </xf>
    <xf numFmtId="164" fontId="9" fillId="0" borderId="0" xfId="0" applyNumberFormat="1" applyFont="1" applyFill="1" applyBorder="1" applyAlignment="1">
      <alignment horizontal="left" vertical="center" wrapText="1" indent="3"/>
    </xf>
    <xf numFmtId="0" fontId="8" fillId="0" borderId="0" xfId="0" applyFont="1" applyFill="1" applyAlignment="1">
      <alignment vertical="center"/>
    </xf>
    <xf numFmtId="0" fontId="6" fillId="0" borderId="5" xfId="0" applyFont="1" applyFill="1" applyBorder="1" applyAlignment="1">
      <alignment horizontal="center" vertical="center"/>
    </xf>
    <xf numFmtId="164" fontId="8" fillId="0" borderId="6" xfId="0" applyNumberFormat="1" applyFont="1" applyFill="1" applyBorder="1" applyAlignment="1">
      <alignment vertical="center" wrapText="1"/>
    </xf>
    <xf numFmtId="0" fontId="6" fillId="0" borderId="0" xfId="0" applyFont="1" applyFill="1" applyBorder="1" applyAlignment="1">
      <alignment vertical="center" wrapText="1"/>
    </xf>
    <xf numFmtId="0" fontId="6" fillId="0" borderId="0" xfId="0" applyFont="1" applyFill="1" applyBorder="1" applyAlignment="1">
      <alignment horizontal="center" vertical="center" wrapText="1"/>
    </xf>
    <xf numFmtId="4" fontId="6" fillId="0" borderId="0" xfId="0" applyNumberFormat="1" applyFont="1" applyFill="1" applyBorder="1" applyAlignment="1">
      <alignment horizontal="center" vertical="center"/>
    </xf>
    <xf numFmtId="0" fontId="8" fillId="0" borderId="0" xfId="0" applyFont="1" applyFill="1" applyAlignment="1">
      <alignment vertical="center" wrapText="1"/>
    </xf>
    <xf numFmtId="4" fontId="8" fillId="0" borderId="0" xfId="0" applyNumberFormat="1" applyFont="1" applyFill="1" applyAlignment="1">
      <alignment vertical="center"/>
    </xf>
    <xf numFmtId="4" fontId="6" fillId="0" borderId="0" xfId="0" applyNumberFormat="1" applyFont="1" applyFill="1" applyAlignment="1">
      <alignment horizontal="right" vertical="center"/>
    </xf>
    <xf numFmtId="0" fontId="6" fillId="0" borderId="0" xfId="0" applyFont="1" applyFill="1" applyAlignment="1">
      <alignment vertical="center" wrapText="1"/>
    </xf>
    <xf numFmtId="3" fontId="14" fillId="0" borderId="0" xfId="0" applyNumberFormat="1" applyFont="1" applyFill="1" applyAlignment="1">
      <alignment vertical="center"/>
    </xf>
    <xf numFmtId="3" fontId="16" fillId="0" borderId="0" xfId="0" applyNumberFormat="1" applyFont="1" applyFill="1" applyAlignment="1">
      <alignment vertical="center"/>
    </xf>
    <xf numFmtId="3" fontId="14" fillId="0" borderId="0" xfId="0" applyNumberFormat="1" applyFont="1" applyFill="1" applyAlignment="1">
      <alignment horizontal="center" vertical="center"/>
    </xf>
    <xf numFmtId="3" fontId="14" fillId="0" borderId="0" xfId="0" applyNumberFormat="1" applyFont="1" applyFill="1" applyBorder="1" applyAlignment="1">
      <alignment vertical="center"/>
    </xf>
    <xf numFmtId="3" fontId="19" fillId="0" borderId="7" xfId="0" applyNumberFormat="1" applyFont="1" applyFill="1" applyBorder="1" applyAlignment="1">
      <alignment horizontal="center" vertical="center" wrapText="1"/>
    </xf>
    <xf numFmtId="3" fontId="14" fillId="0" borderId="0" xfId="0" applyNumberFormat="1" applyFont="1" applyFill="1" applyAlignment="1"/>
    <xf numFmtId="3" fontId="14" fillId="0" borderId="0" xfId="0" applyNumberFormat="1" applyFont="1" applyFill="1" applyBorder="1" applyAlignment="1"/>
    <xf numFmtId="3" fontId="16" fillId="0" borderId="0" xfId="0" applyNumberFormat="1" applyFont="1" applyFill="1" applyBorder="1" applyAlignment="1">
      <alignment vertical="center"/>
    </xf>
    <xf numFmtId="3" fontId="14" fillId="0" borderId="0" xfId="0" applyNumberFormat="1" applyFont="1" applyFill="1" applyAlignment="1">
      <alignment vertical="top"/>
    </xf>
    <xf numFmtId="3" fontId="17" fillId="0" borderId="0" xfId="0" applyNumberFormat="1" applyFont="1" applyFill="1" applyAlignment="1">
      <alignment vertical="center"/>
    </xf>
    <xf numFmtId="3" fontId="17" fillId="0" borderId="0" xfId="0" applyNumberFormat="1" applyFont="1" applyFill="1" applyBorder="1" applyAlignment="1">
      <alignment vertical="center"/>
    </xf>
    <xf numFmtId="3" fontId="20" fillId="0" borderId="0" xfId="0" applyNumberFormat="1" applyFont="1" applyFill="1" applyBorder="1" applyAlignment="1">
      <alignment vertical="center"/>
    </xf>
    <xf numFmtId="3" fontId="14" fillId="0" borderId="0" xfId="0" applyNumberFormat="1" applyFont="1" applyFill="1" applyBorder="1" applyAlignment="1">
      <alignment horizontal="right" vertical="center"/>
    </xf>
    <xf numFmtId="3" fontId="10" fillId="0" borderId="0" xfId="0" applyNumberFormat="1" applyFont="1" applyFill="1" applyAlignment="1">
      <alignment horizontal="center" vertical="center"/>
    </xf>
    <xf numFmtId="3" fontId="14" fillId="0" borderId="0" xfId="0" applyNumberFormat="1" applyFont="1" applyFill="1" applyAlignment="1">
      <alignment horizontal="center" vertical="top"/>
    </xf>
    <xf numFmtId="3" fontId="14" fillId="0" borderId="7" xfId="14" applyNumberFormat="1" applyFont="1" applyFill="1" applyBorder="1" applyAlignment="1">
      <alignment horizontal="center" vertical="center" wrapText="1"/>
    </xf>
    <xf numFmtId="3" fontId="13" fillId="0" borderId="0" xfId="0" applyNumberFormat="1" applyFont="1" applyFill="1" applyAlignment="1">
      <alignment horizontal="center" vertical="center"/>
    </xf>
    <xf numFmtId="3" fontId="8" fillId="0" borderId="0" xfId="14" applyNumberFormat="1" applyFont="1" applyFill="1" applyBorder="1" applyAlignment="1">
      <alignment horizontal="right" wrapText="1"/>
    </xf>
    <xf numFmtId="0" fontId="8" fillId="0" borderId="0" xfId="0" applyFont="1" applyFill="1" applyBorder="1" applyAlignment="1">
      <alignment horizontal="left" wrapText="1"/>
    </xf>
    <xf numFmtId="0" fontId="6" fillId="0" borderId="0" xfId="0" applyFont="1" applyFill="1" applyBorder="1" applyAlignment="1">
      <alignment horizontal="left" wrapText="1" indent="1"/>
    </xf>
    <xf numFmtId="3" fontId="8" fillId="0" borderId="0" xfId="0" applyNumberFormat="1" applyFont="1" applyFill="1" applyBorder="1" applyAlignment="1"/>
    <xf numFmtId="3" fontId="8" fillId="0" borderId="8" xfId="0" applyNumberFormat="1" applyFont="1" applyFill="1" applyBorder="1" applyAlignment="1">
      <alignment vertical="center"/>
    </xf>
    <xf numFmtId="3" fontId="8" fillId="0" borderId="9" xfId="0" applyNumberFormat="1" applyFont="1" applyFill="1" applyBorder="1" applyAlignment="1">
      <alignment vertical="center"/>
    </xf>
    <xf numFmtId="3" fontId="6" fillId="0" borderId="10" xfId="0" applyNumberFormat="1" applyFont="1" applyFill="1" applyBorder="1"/>
    <xf numFmtId="3" fontId="6" fillId="0" borderId="0" xfId="0" applyNumberFormat="1" applyFont="1" applyFill="1"/>
    <xf numFmtId="3" fontId="6" fillId="0" borderId="0" xfId="14" applyNumberFormat="1" applyFont="1" applyFill="1"/>
    <xf numFmtId="3" fontId="6" fillId="0" borderId="0" xfId="14" applyNumberFormat="1" applyFont="1" applyFill="1" applyAlignment="1">
      <alignment horizontal="right"/>
    </xf>
    <xf numFmtId="3" fontId="6" fillId="0" borderId="0" xfId="14" applyNumberFormat="1" applyFont="1" applyFill="1" applyAlignment="1"/>
    <xf numFmtId="3" fontId="6" fillId="0" borderId="0" xfId="14" applyNumberFormat="1" applyFont="1" applyFill="1" applyAlignment="1">
      <alignment vertical="center"/>
    </xf>
    <xf numFmtId="3" fontId="6" fillId="0" borderId="0" xfId="14" applyNumberFormat="1" applyFont="1" applyFill="1" applyAlignment="1">
      <alignment horizontal="center" vertical="center"/>
    </xf>
    <xf numFmtId="3" fontId="8" fillId="0" borderId="11" xfId="14" applyNumberFormat="1" applyFont="1" applyFill="1" applyBorder="1" applyAlignment="1">
      <alignment horizontal="center"/>
    </xf>
    <xf numFmtId="3" fontId="6" fillId="0" borderId="11" xfId="14" applyNumberFormat="1" applyFont="1" applyFill="1" applyBorder="1" applyAlignment="1">
      <alignment horizontal="center"/>
    </xf>
    <xf numFmtId="3" fontId="8" fillId="0" borderId="11" xfId="14" applyNumberFormat="1" applyFont="1" applyFill="1" applyBorder="1" applyAlignment="1">
      <alignment wrapText="1"/>
    </xf>
    <xf numFmtId="3" fontId="8" fillId="0" borderId="11" xfId="14" applyNumberFormat="1" applyFont="1" applyFill="1" applyBorder="1"/>
    <xf numFmtId="3" fontId="8" fillId="0" borderId="0" xfId="14" applyNumberFormat="1" applyFont="1" applyFill="1"/>
    <xf numFmtId="49" fontId="6" fillId="0" borderId="4" xfId="14" applyNumberFormat="1" applyFont="1" applyFill="1" applyBorder="1" applyAlignment="1">
      <alignment horizontal="center"/>
    </xf>
    <xf numFmtId="3" fontId="6" fillId="0" borderId="0" xfId="14" applyNumberFormat="1" applyFont="1" applyFill="1" applyBorder="1" applyAlignment="1">
      <alignment horizontal="center"/>
    </xf>
    <xf numFmtId="3" fontId="6" fillId="0" borderId="0" xfId="14" applyNumberFormat="1" applyFont="1" applyFill="1" applyBorder="1"/>
    <xf numFmtId="3" fontId="6" fillId="0" borderId="0" xfId="14" applyNumberFormat="1" applyFont="1" applyFill="1" applyBorder="1" applyAlignment="1">
      <alignment horizontal="left" indent="2"/>
    </xf>
    <xf numFmtId="3" fontId="8" fillId="0" borderId="8" xfId="14" applyNumberFormat="1" applyFont="1" applyFill="1" applyBorder="1" applyAlignment="1">
      <alignment horizontal="center"/>
    </xf>
    <xf numFmtId="3" fontId="6" fillId="0" borderId="8" xfId="14" applyNumberFormat="1" applyFont="1" applyFill="1" applyBorder="1" applyAlignment="1">
      <alignment horizontal="center"/>
    </xf>
    <xf numFmtId="3" fontId="8" fillId="0" borderId="8" xfId="14" applyNumberFormat="1" applyFont="1" applyFill="1" applyBorder="1"/>
    <xf numFmtId="3" fontId="8" fillId="0" borderId="0" xfId="14" applyNumberFormat="1" applyFont="1" applyFill="1" applyBorder="1" applyAlignment="1">
      <alignment horizontal="center"/>
    </xf>
    <xf numFmtId="3" fontId="8" fillId="0" borderId="0" xfId="14" applyNumberFormat="1" applyFont="1" applyFill="1" applyBorder="1"/>
    <xf numFmtId="3" fontId="9" fillId="0" borderId="0" xfId="14" applyNumberFormat="1" applyFont="1" applyFill="1" applyBorder="1" applyAlignment="1">
      <alignment horizontal="center"/>
    </xf>
    <xf numFmtId="3" fontId="9" fillId="0" borderId="0" xfId="14" applyNumberFormat="1" applyFont="1" applyFill="1" applyBorder="1" applyAlignment="1">
      <alignment horizontal="left" indent="2"/>
    </xf>
    <xf numFmtId="3" fontId="9" fillId="0" borderId="0" xfId="14" applyNumberFormat="1" applyFont="1" applyFill="1" applyBorder="1"/>
    <xf numFmtId="3" fontId="9" fillId="0" borderId="0" xfId="14" applyNumberFormat="1" applyFont="1" applyFill="1"/>
    <xf numFmtId="3" fontId="6" fillId="0" borderId="0" xfId="14" applyNumberFormat="1" applyFont="1" applyFill="1" applyBorder="1" applyAlignment="1">
      <alignment horizontal="left" indent="3"/>
    </xf>
    <xf numFmtId="3" fontId="8" fillId="0" borderId="0" xfId="14" applyNumberFormat="1" applyFont="1" applyFill="1" applyBorder="1" applyAlignment="1">
      <alignment horizontal="center" vertical="center"/>
    </xf>
    <xf numFmtId="3" fontId="8" fillId="0" borderId="0" xfId="14" applyNumberFormat="1" applyFont="1" applyFill="1" applyBorder="1" applyAlignment="1">
      <alignment vertical="center"/>
    </xf>
    <xf numFmtId="3" fontId="6" fillId="0" borderId="0" xfId="14" applyNumberFormat="1" applyFont="1" applyFill="1" applyBorder="1" applyAlignment="1">
      <alignment horizontal="left"/>
    </xf>
    <xf numFmtId="49" fontId="6" fillId="0" borderId="4" xfId="14" applyNumberFormat="1" applyFont="1" applyFill="1" applyBorder="1" applyAlignment="1">
      <alignment horizontal="center" vertical="top"/>
    </xf>
    <xf numFmtId="3" fontId="6" fillId="0" borderId="0" xfId="14" applyNumberFormat="1" applyFont="1" applyFill="1" applyBorder="1" applyAlignment="1">
      <alignment horizontal="center" vertical="top"/>
    </xf>
    <xf numFmtId="3" fontId="6" fillId="0" borderId="0" xfId="14" applyNumberFormat="1" applyFont="1" applyFill="1" applyBorder="1" applyAlignment="1">
      <alignment vertical="top" wrapText="1"/>
    </xf>
    <xf numFmtId="3" fontId="6" fillId="0" borderId="0" xfId="14" applyNumberFormat="1" applyFont="1" applyFill="1" applyBorder="1" applyAlignment="1">
      <alignment vertical="top"/>
    </xf>
    <xf numFmtId="3" fontId="6" fillId="0" borderId="0" xfId="14" applyNumberFormat="1" applyFont="1" applyFill="1" applyAlignment="1">
      <alignment vertical="top"/>
    </xf>
    <xf numFmtId="49" fontId="6" fillId="0" borderId="12" xfId="14" applyNumberFormat="1" applyFont="1" applyFill="1" applyBorder="1" applyAlignment="1">
      <alignment horizontal="center" vertical="center"/>
    </xf>
    <xf numFmtId="3" fontId="8" fillId="0" borderId="13" xfId="14" applyNumberFormat="1" applyFont="1" applyFill="1" applyBorder="1" applyAlignment="1">
      <alignment horizontal="center" vertical="center"/>
    </xf>
    <xf numFmtId="3" fontId="6" fillId="0" borderId="13" xfId="14" applyNumberFormat="1" applyFont="1" applyFill="1" applyBorder="1" applyAlignment="1">
      <alignment horizontal="center" vertical="center"/>
    </xf>
    <xf numFmtId="3" fontId="8" fillId="0" borderId="13" xfId="14" applyNumberFormat="1" applyFont="1" applyFill="1" applyBorder="1" applyAlignment="1">
      <alignment vertical="center"/>
    </xf>
    <xf numFmtId="3" fontId="6" fillId="0" borderId="0" xfId="14" applyNumberFormat="1" applyFont="1" applyFill="1" applyBorder="1" applyAlignment="1"/>
    <xf numFmtId="3" fontId="6" fillId="0" borderId="0" xfId="14" applyNumberFormat="1" applyFont="1" applyFill="1" applyBorder="1" applyAlignment="1">
      <alignment horizontal="left" indent="1"/>
    </xf>
    <xf numFmtId="3" fontId="6" fillId="0" borderId="0" xfId="14" applyNumberFormat="1" applyFont="1" applyFill="1" applyBorder="1" applyAlignment="1">
      <alignment horizontal="left" vertical="top" indent="1"/>
    </xf>
    <xf numFmtId="49" fontId="6" fillId="0" borderId="0" xfId="14" applyNumberFormat="1" applyFont="1" applyFill="1" applyBorder="1" applyAlignment="1">
      <alignment horizontal="center"/>
    </xf>
    <xf numFmtId="49" fontId="6" fillId="0" borderId="0" xfId="14" applyNumberFormat="1" applyFont="1" applyFill="1" applyAlignment="1">
      <alignment horizontal="center"/>
    </xf>
    <xf numFmtId="3" fontId="8" fillId="0" borderId="0" xfId="14" applyNumberFormat="1" applyFont="1" applyFill="1" applyAlignment="1">
      <alignment horizontal="center"/>
    </xf>
    <xf numFmtId="3" fontId="6" fillId="0" borderId="0" xfId="14" applyNumberFormat="1" applyFont="1" applyFill="1" applyAlignment="1">
      <alignment horizontal="center"/>
    </xf>
    <xf numFmtId="3" fontId="6" fillId="0" borderId="0" xfId="15" applyNumberFormat="1" applyFont="1" applyFill="1" applyAlignment="1">
      <alignment horizontal="right"/>
    </xf>
    <xf numFmtId="3" fontId="8" fillId="0" borderId="0" xfId="15" applyNumberFormat="1" applyFont="1" applyFill="1" applyAlignment="1">
      <alignment horizontal="center"/>
    </xf>
    <xf numFmtId="3" fontId="10" fillId="0" borderId="0" xfId="0" applyNumberFormat="1" applyFont="1" applyFill="1" applyAlignment="1">
      <alignment horizontal="right"/>
    </xf>
    <xf numFmtId="3" fontId="14" fillId="0" borderId="0" xfId="0" applyNumberFormat="1" applyFont="1" applyFill="1" applyBorder="1" applyAlignment="1">
      <alignment horizontal="right"/>
    </xf>
    <xf numFmtId="3" fontId="10" fillId="0" borderId="0" xfId="0" applyNumberFormat="1" applyFont="1" applyFill="1" applyAlignment="1">
      <alignment horizontal="center" vertical="top"/>
    </xf>
    <xf numFmtId="3" fontId="10" fillId="0" borderId="0" xfId="0" applyNumberFormat="1" applyFont="1" applyFill="1" applyAlignment="1">
      <alignment horizontal="center"/>
    </xf>
    <xf numFmtId="3" fontId="16" fillId="0" borderId="16" xfId="0" applyNumberFormat="1" applyFont="1" applyFill="1" applyBorder="1" applyAlignment="1">
      <alignment wrapText="1"/>
    </xf>
    <xf numFmtId="3" fontId="14" fillId="0" borderId="16" xfId="0" applyNumberFormat="1" applyFont="1" applyFill="1" applyBorder="1" applyAlignment="1"/>
    <xf numFmtId="0" fontId="6" fillId="0" borderId="4" xfId="0" applyFont="1" applyFill="1" applyBorder="1" applyAlignment="1">
      <alignment horizontal="center"/>
    </xf>
    <xf numFmtId="164" fontId="6" fillId="0" borderId="0" xfId="0" applyNumberFormat="1" applyFont="1" applyFill="1" applyBorder="1" applyAlignment="1">
      <alignment horizontal="left" wrapText="1"/>
    </xf>
    <xf numFmtId="0" fontId="6" fillId="0" borderId="0" xfId="0" applyFont="1" applyFill="1" applyAlignment="1"/>
    <xf numFmtId="0" fontId="6" fillId="0" borderId="4" xfId="0" applyFont="1" applyFill="1" applyBorder="1" applyAlignment="1">
      <alignment horizontal="center" vertical="top"/>
    </xf>
    <xf numFmtId="0" fontId="6" fillId="0" borderId="0" xfId="0" applyFont="1" applyFill="1" applyAlignment="1">
      <alignment vertical="top"/>
    </xf>
    <xf numFmtId="164" fontId="9" fillId="0" borderId="0" xfId="0" applyNumberFormat="1" applyFont="1" applyFill="1" applyBorder="1" applyAlignment="1">
      <alignment horizontal="left" vertical="top" wrapText="1" indent="2"/>
    </xf>
    <xf numFmtId="164" fontId="9" fillId="0" borderId="6" xfId="0" applyNumberFormat="1" applyFont="1" applyFill="1" applyBorder="1" applyAlignment="1">
      <alignment horizontal="left" vertical="center" wrapText="1" indent="3"/>
    </xf>
    <xf numFmtId="3" fontId="10" fillId="0" borderId="0" xfId="0" applyNumberFormat="1" applyFont="1" applyFill="1" applyBorder="1" applyAlignment="1">
      <alignment horizontal="center" vertical="center"/>
    </xf>
    <xf numFmtId="0" fontId="10" fillId="0" borderId="0" xfId="0" applyFont="1" applyFill="1" applyAlignment="1">
      <alignment horizontal="center" vertical="center"/>
    </xf>
    <xf numFmtId="0" fontId="10" fillId="0" borderId="0" xfId="0" applyFont="1" applyFill="1" applyAlignment="1">
      <alignment horizontal="center"/>
    </xf>
    <xf numFmtId="0" fontId="10" fillId="0" borderId="0" xfId="0" applyFont="1" applyFill="1" applyAlignment="1">
      <alignment horizontal="center" vertical="center" wrapText="1"/>
    </xf>
    <xf numFmtId="0" fontId="10" fillId="0" borderId="0" xfId="0" applyFont="1" applyFill="1" applyAlignment="1">
      <alignment vertical="center"/>
    </xf>
    <xf numFmtId="3" fontId="15" fillId="0" borderId="0" xfId="0" applyNumberFormat="1" applyFont="1" applyFill="1" applyAlignment="1">
      <alignment horizontal="center"/>
    </xf>
    <xf numFmtId="3" fontId="14" fillId="0" borderId="17" xfId="0" applyNumberFormat="1" applyFont="1" applyFill="1" applyBorder="1" applyAlignment="1"/>
    <xf numFmtId="4" fontId="10" fillId="0" borderId="18" xfId="0" applyNumberFormat="1" applyFont="1" applyFill="1" applyBorder="1" applyAlignment="1">
      <alignment horizontal="center"/>
    </xf>
    <xf numFmtId="4" fontId="10" fillId="0" borderId="18" xfId="0" applyNumberFormat="1" applyFont="1" applyFill="1" applyBorder="1" applyAlignment="1">
      <alignment horizontal="center" vertical="top"/>
    </xf>
    <xf numFmtId="4" fontId="10" fillId="0" borderId="18" xfId="0" applyNumberFormat="1" applyFont="1" applyFill="1" applyBorder="1" applyAlignment="1">
      <alignment horizontal="left" vertical="top"/>
    </xf>
    <xf numFmtId="4" fontId="10" fillId="0" borderId="18" xfId="0" applyNumberFormat="1" applyFont="1" applyFill="1" applyBorder="1" applyAlignment="1">
      <alignment horizontal="center" vertical="center"/>
    </xf>
    <xf numFmtId="4" fontId="15" fillId="0" borderId="20" xfId="0" applyNumberFormat="1" applyFont="1" applyFill="1" applyBorder="1" applyAlignment="1">
      <alignment horizontal="center" vertical="center"/>
    </xf>
    <xf numFmtId="4" fontId="10" fillId="0" borderId="18" xfId="0" applyNumberFormat="1" applyFont="1" applyFill="1" applyBorder="1" applyAlignment="1">
      <alignment horizontal="center" vertical="center" wrapText="1"/>
    </xf>
    <xf numFmtId="4" fontId="10" fillId="0" borderId="18" xfId="0" applyNumberFormat="1" applyFont="1" applyFill="1" applyBorder="1" applyAlignment="1">
      <alignment horizontal="center" vertical="top" wrapText="1"/>
    </xf>
    <xf numFmtId="4" fontId="10" fillId="0" borderId="20" xfId="0" applyNumberFormat="1" applyFont="1" applyFill="1" applyBorder="1" applyAlignment="1">
      <alignment horizontal="center" vertical="center"/>
    </xf>
    <xf numFmtId="4" fontId="10" fillId="0" borderId="0" xfId="0" applyNumberFormat="1" applyFont="1" applyFill="1" applyBorder="1" applyAlignment="1">
      <alignment horizontal="center" vertical="center"/>
    </xf>
    <xf numFmtId="4" fontId="15" fillId="0" borderId="0" xfId="0" applyNumberFormat="1" applyFont="1" applyFill="1" applyAlignment="1">
      <alignment horizontal="center" vertical="center"/>
    </xf>
    <xf numFmtId="0" fontId="11" fillId="0" borderId="0" xfId="0" applyFont="1" applyFill="1"/>
    <xf numFmtId="0" fontId="18" fillId="0" borderId="0" xfId="0" applyFont="1" applyFill="1"/>
    <xf numFmtId="3" fontId="13" fillId="0" borderId="0" xfId="15" applyNumberFormat="1" applyFont="1" applyFill="1" applyAlignment="1">
      <alignment horizontal="center" vertical="center"/>
    </xf>
    <xf numFmtId="0" fontId="6" fillId="0" borderId="0" xfId="0" applyFont="1" applyFill="1" applyBorder="1" applyAlignment="1">
      <alignment horizontal="center"/>
    </xf>
    <xf numFmtId="0" fontId="6" fillId="0" borderId="0" xfId="0" applyFont="1" applyFill="1"/>
    <xf numFmtId="0" fontId="6" fillId="0" borderId="0" xfId="0" applyFont="1" applyFill="1" applyBorder="1"/>
    <xf numFmtId="0" fontId="8" fillId="0" borderId="0" xfId="0" applyFont="1" applyFill="1" applyAlignment="1"/>
    <xf numFmtId="0" fontId="6" fillId="0" borderId="0" xfId="0" applyFont="1" applyFill="1" applyBorder="1" applyAlignment="1">
      <alignment vertical="top"/>
    </xf>
    <xf numFmtId="3" fontId="17" fillId="0" borderId="0" xfId="0" applyNumberFormat="1" applyFont="1" applyFill="1" applyBorder="1" applyAlignment="1">
      <alignment vertical="top"/>
    </xf>
    <xf numFmtId="3" fontId="17" fillId="0" borderId="0" xfId="0" applyNumberFormat="1" applyFont="1" applyFill="1" applyAlignment="1">
      <alignment vertical="top"/>
    </xf>
    <xf numFmtId="3" fontId="16" fillId="0" borderId="0" xfId="0" applyNumberFormat="1" applyFont="1" applyFill="1" applyAlignment="1">
      <alignment vertical="top"/>
    </xf>
    <xf numFmtId="3" fontId="17" fillId="0" borderId="0" xfId="0" applyNumberFormat="1" applyFont="1" applyFill="1" applyAlignment="1"/>
    <xf numFmtId="3" fontId="16" fillId="0" borderId="0" xfId="0" applyNumberFormat="1" applyFont="1" applyFill="1" applyBorder="1" applyAlignment="1">
      <alignment horizontal="right" vertical="center"/>
    </xf>
    <xf numFmtId="3" fontId="17" fillId="0" borderId="0" xfId="0" applyNumberFormat="1" applyFont="1" applyFill="1" applyAlignment="1">
      <alignment horizontal="right"/>
    </xf>
    <xf numFmtId="3" fontId="13" fillId="0" borderId="0" xfId="15" applyNumberFormat="1" applyFont="1" applyFill="1" applyBorder="1" applyAlignment="1">
      <alignment horizontal="center" vertical="center"/>
    </xf>
    <xf numFmtId="3" fontId="17" fillId="0" borderId="21" xfId="0" applyNumberFormat="1" applyFont="1" applyFill="1" applyBorder="1" applyAlignment="1"/>
    <xf numFmtId="3" fontId="23" fillId="0" borderId="0" xfId="15" applyNumberFormat="1" applyFont="1" applyFill="1" applyAlignment="1">
      <alignment horizontal="center" vertical="center"/>
    </xf>
    <xf numFmtId="3" fontId="16" fillId="0" borderId="16" xfId="0" applyNumberFormat="1" applyFont="1" applyFill="1" applyBorder="1" applyAlignment="1"/>
    <xf numFmtId="3" fontId="10" fillId="0" borderId="0" xfId="0" applyNumberFormat="1" applyFont="1" applyFill="1" applyBorder="1"/>
    <xf numFmtId="3" fontId="15" fillId="0" borderId="0" xfId="0" applyNumberFormat="1" applyFont="1" applyFill="1" applyBorder="1"/>
    <xf numFmtId="3" fontId="14" fillId="0" borderId="23" xfId="0" applyNumberFormat="1" applyFont="1" applyFill="1" applyBorder="1" applyAlignment="1">
      <alignment horizontal="center" vertical="center" wrapText="1"/>
    </xf>
    <xf numFmtId="3" fontId="14" fillId="0" borderId="24" xfId="0" applyNumberFormat="1" applyFont="1" applyFill="1" applyBorder="1" applyAlignment="1">
      <alignment horizontal="center" vertical="center" wrapText="1"/>
    </xf>
    <xf numFmtId="3" fontId="14" fillId="0" borderId="16" xfId="15" applyNumberFormat="1" applyFont="1" applyFill="1" applyBorder="1" applyAlignment="1">
      <alignment wrapText="1"/>
    </xf>
    <xf numFmtId="3" fontId="14" fillId="0" borderId="16" xfId="15" applyNumberFormat="1" applyFont="1" applyFill="1" applyBorder="1" applyAlignment="1">
      <alignment horizontal="right"/>
    </xf>
    <xf numFmtId="3" fontId="17" fillId="0" borderId="22" xfId="0" applyNumberFormat="1" applyFont="1" applyFill="1" applyBorder="1" applyAlignment="1">
      <alignment horizontal="right" wrapText="1"/>
    </xf>
    <xf numFmtId="3" fontId="17" fillId="0" borderId="26" xfId="0" applyNumberFormat="1" applyFont="1" applyFill="1" applyBorder="1" applyAlignment="1">
      <alignment horizontal="right" wrapText="1"/>
    </xf>
    <xf numFmtId="3" fontId="14" fillId="0" borderId="22" xfId="15" applyNumberFormat="1" applyFont="1" applyFill="1" applyBorder="1" applyAlignment="1">
      <alignment wrapText="1"/>
    </xf>
    <xf numFmtId="3" fontId="14" fillId="0" borderId="16" xfId="0" applyNumberFormat="1" applyFont="1" applyFill="1" applyBorder="1" applyAlignment="1">
      <alignment horizontal="right" wrapText="1"/>
    </xf>
    <xf numFmtId="3" fontId="14" fillId="0" borderId="17" xfId="0" applyNumberFormat="1" applyFont="1" applyFill="1" applyBorder="1" applyAlignment="1">
      <alignment horizontal="right" wrapText="1"/>
    </xf>
    <xf numFmtId="3" fontId="16" fillId="0" borderId="22" xfId="15" applyNumberFormat="1" applyFont="1" applyFill="1" applyBorder="1" applyAlignment="1">
      <alignment horizontal="right"/>
    </xf>
    <xf numFmtId="3" fontId="14" fillId="0" borderId="16" xfId="0" applyNumberFormat="1" applyFont="1" applyFill="1" applyBorder="1" applyAlignment="1">
      <alignment horizontal="right" vertical="center" wrapText="1"/>
    </xf>
    <xf numFmtId="3" fontId="14" fillId="0" borderId="17" xfId="0" applyNumberFormat="1" applyFont="1" applyFill="1" applyBorder="1" applyAlignment="1">
      <alignment horizontal="right" vertical="center" wrapText="1"/>
    </xf>
    <xf numFmtId="3" fontId="16" fillId="0" borderId="16" xfId="15" applyNumberFormat="1" applyFont="1" applyFill="1" applyBorder="1" applyAlignment="1">
      <alignment horizontal="right"/>
    </xf>
    <xf numFmtId="3" fontId="16" fillId="0" borderId="16" xfId="0" applyNumberFormat="1" applyFont="1" applyFill="1" applyBorder="1" applyAlignment="1">
      <alignment horizontal="right" vertical="center" wrapText="1"/>
    </xf>
    <xf numFmtId="3" fontId="16" fillId="0" borderId="17" xfId="0" applyNumberFormat="1" applyFont="1" applyFill="1" applyBorder="1" applyAlignment="1">
      <alignment horizontal="right" vertical="center" wrapText="1"/>
    </xf>
    <xf numFmtId="3" fontId="16" fillId="0" borderId="22" xfId="15" applyNumberFormat="1" applyFont="1" applyFill="1" applyBorder="1" applyAlignment="1">
      <alignment horizontal="left" wrapText="1" indent="4"/>
    </xf>
    <xf numFmtId="3" fontId="16" fillId="0" borderId="16" xfId="15" applyNumberFormat="1" applyFont="1" applyFill="1" applyBorder="1" applyAlignment="1">
      <alignment vertical="center" wrapText="1"/>
    </xf>
    <xf numFmtId="3" fontId="14" fillId="0" borderId="16" xfId="15" applyNumberFormat="1" applyFont="1" applyFill="1" applyBorder="1" applyAlignment="1"/>
    <xf numFmtId="49" fontId="16" fillId="0" borderId="16" xfId="15" applyNumberFormat="1" applyFont="1" applyFill="1" applyBorder="1" applyAlignment="1">
      <alignment horizontal="left" vertical="center" wrapText="1" indent="4"/>
    </xf>
    <xf numFmtId="3" fontId="28" fillId="0" borderId="16" xfId="15" applyNumberFormat="1" applyFont="1" applyFill="1" applyBorder="1" applyAlignment="1">
      <alignment wrapText="1"/>
    </xf>
    <xf numFmtId="3" fontId="10" fillId="0" borderId="0" xfId="15" applyNumberFormat="1" applyFont="1" applyFill="1"/>
    <xf numFmtId="3" fontId="23" fillId="0" borderId="0" xfId="15" applyNumberFormat="1" applyFont="1" applyFill="1" applyAlignment="1">
      <alignment horizontal="center"/>
    </xf>
    <xf numFmtId="3" fontId="16" fillId="0" borderId="16" xfId="0" applyNumberFormat="1" applyFont="1" applyFill="1" applyBorder="1" applyAlignment="1">
      <alignment horizontal="right" wrapText="1"/>
    </xf>
    <xf numFmtId="3" fontId="16" fillId="0" borderId="17" xfId="0" applyNumberFormat="1" applyFont="1" applyFill="1" applyBorder="1" applyAlignment="1">
      <alignment horizontal="right" wrapText="1"/>
    </xf>
    <xf numFmtId="3" fontId="13" fillId="0" borderId="0" xfId="15" applyNumberFormat="1" applyFont="1" applyFill="1" applyBorder="1" applyAlignment="1">
      <alignment horizontal="center" vertical="center" wrapText="1"/>
    </xf>
    <xf numFmtId="3" fontId="16" fillId="0" borderId="16" xfId="15" applyNumberFormat="1" applyFont="1" applyFill="1" applyBorder="1" applyAlignment="1">
      <alignment horizontal="left" wrapText="1" indent="2"/>
    </xf>
    <xf numFmtId="3" fontId="9" fillId="0" borderId="0" xfId="0" applyNumberFormat="1" applyFont="1" applyFill="1" applyBorder="1" applyAlignment="1">
      <alignment horizontal="right"/>
    </xf>
    <xf numFmtId="3" fontId="9" fillId="0" borderId="0" xfId="0" applyNumberFormat="1" applyFont="1" applyFill="1" applyBorder="1" applyAlignment="1">
      <alignment horizontal="right" vertical="center"/>
    </xf>
    <xf numFmtId="0" fontId="8" fillId="0" borderId="0" xfId="0" applyFont="1" applyFill="1" applyBorder="1" applyAlignment="1">
      <alignment horizontal="center"/>
    </xf>
    <xf numFmtId="0" fontId="8" fillId="0" borderId="0" xfId="0" applyFont="1" applyFill="1" applyBorder="1" applyAlignment="1"/>
    <xf numFmtId="3" fontId="6" fillId="0" borderId="15" xfId="15" applyNumberFormat="1" applyFont="1" applyFill="1" applyBorder="1" applyAlignment="1">
      <alignment vertical="center" wrapText="1"/>
    </xf>
    <xf numFmtId="3" fontId="6" fillId="0" borderId="17" xfId="0" applyNumberFormat="1" applyFont="1" applyFill="1" applyBorder="1" applyAlignment="1">
      <alignment horizontal="right" vertical="center" wrapText="1"/>
    </xf>
    <xf numFmtId="3" fontId="8" fillId="0" borderId="30" xfId="15" applyNumberFormat="1" applyFont="1" applyFill="1" applyBorder="1" applyAlignment="1">
      <alignment horizontal="center" vertical="center" wrapText="1"/>
    </xf>
    <xf numFmtId="3" fontId="8" fillId="0" borderId="31" xfId="15" applyNumberFormat="1" applyFont="1" applyFill="1" applyBorder="1" applyAlignment="1">
      <alignment vertical="center"/>
    </xf>
    <xf numFmtId="3" fontId="10" fillId="0" borderId="0" xfId="15" applyNumberFormat="1" applyFont="1" applyFill="1" applyAlignment="1">
      <alignment vertical="top"/>
    </xf>
    <xf numFmtId="3" fontId="10" fillId="0" borderId="0" xfId="0" applyNumberFormat="1" applyFont="1" applyFill="1"/>
    <xf numFmtId="3" fontId="14" fillId="0" borderId="22" xfId="0" applyNumberFormat="1" applyFont="1" applyFill="1" applyBorder="1" applyAlignment="1">
      <alignment horizontal="right" wrapText="1"/>
    </xf>
    <xf numFmtId="3" fontId="14" fillId="0" borderId="22" xfId="15" applyNumberFormat="1" applyFont="1" applyFill="1" applyBorder="1" applyAlignment="1">
      <alignment horizontal="right"/>
    </xf>
    <xf numFmtId="0" fontId="13" fillId="0" borderId="0" xfId="15" applyNumberFormat="1" applyFont="1" applyFill="1" applyBorder="1" applyAlignment="1">
      <alignment horizontal="center" vertical="center"/>
    </xf>
    <xf numFmtId="0" fontId="25" fillId="0" borderId="0" xfId="15" applyNumberFormat="1" applyFont="1" applyFill="1" applyBorder="1" applyAlignment="1">
      <alignment horizontal="center" vertical="center"/>
    </xf>
    <xf numFmtId="3" fontId="10" fillId="0" borderId="0" xfId="15" applyNumberFormat="1" applyFont="1" applyFill="1" applyAlignment="1">
      <alignment horizontal="right" vertical="top"/>
    </xf>
    <xf numFmtId="0" fontId="18" fillId="0" borderId="0" xfId="0" applyFont="1" applyFill="1" applyAlignment="1"/>
    <xf numFmtId="0" fontId="8" fillId="0" borderId="0" xfId="0" applyFont="1" applyFill="1" applyBorder="1" applyAlignment="1">
      <alignment vertical="center"/>
    </xf>
    <xf numFmtId="3" fontId="20" fillId="0" borderId="0" xfId="0" applyNumberFormat="1" applyFont="1" applyFill="1" applyBorder="1" applyAlignment="1">
      <alignment vertical="top"/>
    </xf>
    <xf numFmtId="3" fontId="14" fillId="0" borderId="26" xfId="0" applyNumberFormat="1" applyFont="1" applyFill="1" applyBorder="1" applyAlignment="1">
      <alignment horizontal="right" wrapText="1"/>
    </xf>
    <xf numFmtId="164" fontId="9" fillId="0" borderId="0" xfId="0" applyNumberFormat="1" applyFont="1" applyFill="1" applyBorder="1" applyAlignment="1">
      <alignment horizontal="left" vertical="center" wrapText="1" indent="2"/>
    </xf>
    <xf numFmtId="3" fontId="10" fillId="0" borderId="0" xfId="0" applyNumberFormat="1" applyFont="1" applyFill="1" applyAlignment="1">
      <alignment vertical="center"/>
    </xf>
    <xf numFmtId="3" fontId="14" fillId="0" borderId="0" xfId="0" applyNumberFormat="1" applyFont="1" applyFill="1" applyAlignment="1">
      <alignment horizontal="right" vertical="center"/>
    </xf>
    <xf numFmtId="3" fontId="16" fillId="0" borderId="0" xfId="0" applyNumberFormat="1" applyFont="1" applyFill="1" applyAlignment="1">
      <alignment horizontal="right" vertical="center"/>
    </xf>
    <xf numFmtId="0" fontId="8" fillId="0" borderId="0" xfId="0" applyFont="1" applyFill="1" applyBorder="1" applyAlignment="1">
      <alignment horizontal="center" vertical="center"/>
    </xf>
    <xf numFmtId="0" fontId="6" fillId="0" borderId="0" xfId="0" applyFont="1" applyFill="1" applyBorder="1" applyAlignment="1">
      <alignment horizontal="center" vertical="center"/>
    </xf>
    <xf numFmtId="3" fontId="6" fillId="0" borderId="0" xfId="0" applyNumberFormat="1" applyFont="1" applyFill="1" applyBorder="1" applyAlignment="1">
      <alignment horizontal="center"/>
    </xf>
    <xf numFmtId="3" fontId="8" fillId="0" borderId="11" xfId="14" applyNumberFormat="1" applyFont="1" applyFill="1" applyBorder="1" applyAlignment="1">
      <alignment horizontal="left" textRotation="90" wrapText="1"/>
    </xf>
    <xf numFmtId="3" fontId="6" fillId="0" borderId="11" xfId="14" applyNumberFormat="1" applyFont="1" applyFill="1" applyBorder="1" applyAlignment="1">
      <alignment horizontal="center" wrapText="1"/>
    </xf>
    <xf numFmtId="3" fontId="8" fillId="0" borderId="11" xfId="14" applyNumberFormat="1" applyFont="1" applyFill="1" applyBorder="1" applyAlignment="1">
      <alignment horizontal="left" wrapText="1"/>
    </xf>
    <xf numFmtId="3" fontId="8" fillId="0" borderId="0" xfId="14" applyNumberFormat="1" applyFont="1" applyFill="1" applyBorder="1" applyAlignment="1">
      <alignment horizontal="left"/>
    </xf>
    <xf numFmtId="3" fontId="8" fillId="0" borderId="0" xfId="14" applyNumberFormat="1" applyFont="1" applyFill="1" applyAlignment="1">
      <alignment horizontal="left"/>
    </xf>
    <xf numFmtId="3" fontId="8" fillId="0" borderId="0" xfId="14" applyNumberFormat="1" applyFont="1" applyFill="1" applyBorder="1" applyAlignment="1">
      <alignment horizontal="left" wrapText="1"/>
    </xf>
    <xf numFmtId="3" fontId="6" fillId="0" borderId="0" xfId="14" applyNumberFormat="1" applyFont="1" applyFill="1" applyBorder="1" applyAlignment="1">
      <alignment horizontal="center" wrapText="1"/>
    </xf>
    <xf numFmtId="0" fontId="8" fillId="0" borderId="0" xfId="0" applyFont="1" applyFill="1" applyBorder="1" applyAlignment="1">
      <alignment horizontal="left"/>
    </xf>
    <xf numFmtId="0" fontId="8" fillId="0" borderId="0" xfId="0" applyFont="1" applyFill="1"/>
    <xf numFmtId="0" fontId="6" fillId="0" borderId="0" xfId="0" applyFont="1" applyFill="1" applyBorder="1" applyAlignment="1">
      <alignment horizontal="center" vertical="top"/>
    </xf>
    <xf numFmtId="0" fontId="8" fillId="0" borderId="0" xfId="0" applyFont="1" applyFill="1" applyBorder="1" applyAlignment="1">
      <alignment horizontal="center" vertical="top"/>
    </xf>
    <xf numFmtId="0" fontId="8" fillId="0" borderId="10" xfId="0" applyFont="1" applyFill="1" applyBorder="1" applyAlignment="1">
      <alignment horizontal="center"/>
    </xf>
    <xf numFmtId="0" fontId="6" fillId="0" borderId="10" xfId="0" applyFont="1" applyFill="1" applyBorder="1" applyAlignment="1">
      <alignment horizontal="center" vertical="top"/>
    </xf>
    <xf numFmtId="0" fontId="8" fillId="0" borderId="10" xfId="0" applyFont="1" applyFill="1" applyBorder="1" applyAlignment="1">
      <alignment wrapText="1"/>
    </xf>
    <xf numFmtId="3" fontId="8" fillId="0" borderId="10" xfId="14" applyNumberFormat="1" applyFont="1" applyFill="1" applyBorder="1" applyAlignment="1">
      <alignment horizontal="left" textRotation="90" wrapText="1"/>
    </xf>
    <xf numFmtId="3" fontId="6" fillId="0" borderId="10" xfId="14" applyNumberFormat="1" applyFont="1" applyFill="1" applyBorder="1" applyAlignment="1">
      <alignment horizontal="center" wrapText="1"/>
    </xf>
    <xf numFmtId="3" fontId="8" fillId="0" borderId="10" xfId="14" applyNumberFormat="1" applyFont="1" applyFill="1" applyBorder="1" applyAlignment="1">
      <alignment horizontal="left" wrapText="1"/>
    </xf>
    <xf numFmtId="0" fontId="8" fillId="0" borderId="0" xfId="0" applyFont="1" applyFill="1" applyBorder="1" applyAlignment="1">
      <alignment vertical="top" wrapText="1"/>
    </xf>
    <xf numFmtId="0" fontId="8" fillId="0" borderId="8"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10" xfId="0" applyFont="1" applyFill="1" applyBorder="1" applyAlignment="1">
      <alignment horizontal="center"/>
    </xf>
    <xf numFmtId="0" fontId="8" fillId="0" borderId="35" xfId="0" applyFont="1" applyFill="1" applyBorder="1" applyAlignment="1">
      <alignment horizontal="center" vertical="center"/>
    </xf>
    <xf numFmtId="0" fontId="6" fillId="0" borderId="35" xfId="0" applyFont="1" applyFill="1" applyBorder="1" applyAlignment="1">
      <alignment horizontal="center" vertical="center"/>
    </xf>
    <xf numFmtId="0" fontId="8" fillId="0" borderId="35" xfId="0" applyFont="1" applyFill="1" applyBorder="1" applyAlignment="1">
      <alignment vertical="center"/>
    </xf>
    <xf numFmtId="0" fontId="8" fillId="0" borderId="9" xfId="0" applyFont="1" applyFill="1" applyBorder="1" applyAlignment="1">
      <alignment horizontal="center" vertical="center"/>
    </xf>
    <xf numFmtId="0" fontId="6" fillId="0" borderId="9" xfId="0" applyFont="1" applyFill="1" applyBorder="1" applyAlignment="1">
      <alignment horizontal="center" vertical="center"/>
    </xf>
    <xf numFmtId="0" fontId="8" fillId="0" borderId="9" xfId="0" applyFont="1" applyFill="1" applyBorder="1" applyAlignment="1">
      <alignment vertical="center"/>
    </xf>
    <xf numFmtId="0" fontId="8" fillId="0" borderId="8" xfId="0" applyFont="1" applyFill="1" applyBorder="1" applyAlignment="1">
      <alignment vertical="center" shrinkToFit="1"/>
    </xf>
    <xf numFmtId="0" fontId="6" fillId="0" borderId="0" xfId="0" applyFont="1" applyFill="1" applyBorder="1" applyAlignment="1">
      <alignment horizontal="left" indent="1"/>
    </xf>
    <xf numFmtId="0" fontId="6" fillId="0" borderId="10" xfId="0" applyFont="1" applyFill="1" applyBorder="1" applyAlignment="1">
      <alignment horizontal="left" indent="1"/>
    </xf>
    <xf numFmtId="0" fontId="8" fillId="0" borderId="36"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6" xfId="0" applyFont="1" applyFill="1" applyBorder="1" applyAlignment="1">
      <alignment vertical="center"/>
    </xf>
    <xf numFmtId="0" fontId="6" fillId="0" borderId="0" xfId="0" applyFont="1" applyFill="1" applyAlignment="1">
      <alignment horizontal="center"/>
    </xf>
    <xf numFmtId="0" fontId="6" fillId="0" borderId="0" xfId="0" applyFont="1" applyFill="1" applyAlignment="1">
      <alignment horizontal="left"/>
    </xf>
    <xf numFmtId="0" fontId="0" fillId="0" borderId="0" xfId="0" applyFont="1" applyFill="1"/>
    <xf numFmtId="0" fontId="27" fillId="0" borderId="0" xfId="0" applyFont="1" applyFill="1"/>
    <xf numFmtId="0" fontId="26" fillId="0" borderId="0" xfId="0" applyFont="1" applyFill="1"/>
    <xf numFmtId="0" fontId="0" fillId="0" borderId="0" xfId="0" applyFont="1" applyFill="1" applyAlignment="1"/>
    <xf numFmtId="3" fontId="10" fillId="0" borderId="0" xfId="0" applyNumberFormat="1" applyFont="1" applyFill="1" applyAlignment="1">
      <alignment horizontal="left" vertical="center"/>
    </xf>
    <xf numFmtId="3" fontId="17" fillId="0" borderId="0" xfId="0" applyNumberFormat="1" applyFont="1" applyFill="1" applyAlignment="1">
      <alignment horizontal="right" vertical="center"/>
    </xf>
    <xf numFmtId="3" fontId="14" fillId="0" borderId="0" xfId="0" applyNumberFormat="1" applyFont="1" applyFill="1" applyAlignment="1">
      <alignment horizontal="center"/>
    </xf>
    <xf numFmtId="3" fontId="14" fillId="0" borderId="0" xfId="0" applyNumberFormat="1" applyFont="1" applyFill="1" applyAlignment="1">
      <alignment horizontal="right"/>
    </xf>
    <xf numFmtId="3" fontId="14" fillId="0" borderId="0" xfId="0" applyNumberFormat="1" applyFont="1" applyFill="1"/>
    <xf numFmtId="3" fontId="17" fillId="0" borderId="0" xfId="0" applyNumberFormat="1" applyFont="1" applyFill="1" applyBorder="1" applyAlignment="1">
      <alignment horizontal="right" vertical="center"/>
    </xf>
    <xf numFmtId="3" fontId="14" fillId="0" borderId="0" xfId="0" applyNumberFormat="1" applyFont="1" applyFill="1" applyAlignment="1">
      <alignment horizontal="right" vertical="top"/>
    </xf>
    <xf numFmtId="3" fontId="16" fillId="0" borderId="0" xfId="0" applyNumberFormat="1" applyFont="1" applyFill="1" applyBorder="1" applyAlignment="1">
      <alignment horizontal="right"/>
    </xf>
    <xf numFmtId="3" fontId="17" fillId="0" borderId="0" xfId="0" applyNumberFormat="1" applyFont="1" applyFill="1" applyBorder="1" applyAlignment="1">
      <alignment horizontal="right" vertical="top"/>
    </xf>
    <xf numFmtId="3" fontId="16" fillId="0" borderId="0" xfId="0" applyNumberFormat="1" applyFont="1" applyFill="1" applyAlignment="1">
      <alignment horizontal="right"/>
    </xf>
    <xf numFmtId="3" fontId="16" fillId="0" borderId="0" xfId="0" applyNumberFormat="1" applyFont="1" applyFill="1"/>
    <xf numFmtId="3" fontId="17" fillId="0" borderId="0" xfId="0" applyNumberFormat="1" applyFont="1" applyFill="1"/>
    <xf numFmtId="0" fontId="18" fillId="0" borderId="0" xfId="0" applyFont="1" applyFill="1" applyAlignment="1">
      <alignment vertical="top"/>
    </xf>
    <xf numFmtId="0" fontId="29" fillId="0" borderId="0" xfId="0" applyFont="1" applyFill="1"/>
    <xf numFmtId="0" fontId="29" fillId="0" borderId="0" xfId="0" applyFont="1" applyFill="1" applyAlignment="1">
      <alignment vertical="center"/>
    </xf>
    <xf numFmtId="0" fontId="29" fillId="0" borderId="0" xfId="0" applyFont="1" applyFill="1" applyBorder="1" applyAlignment="1">
      <alignment vertical="center"/>
    </xf>
    <xf numFmtId="3" fontId="6" fillId="0" borderId="0" xfId="15" applyNumberFormat="1" applyFont="1" applyFill="1" applyBorder="1" applyAlignment="1">
      <alignment vertical="center" wrapText="1"/>
    </xf>
    <xf numFmtId="3" fontId="6" fillId="0" borderId="0" xfId="17" applyNumberFormat="1" applyFont="1"/>
    <xf numFmtId="3" fontId="6" fillId="0" borderId="0" xfId="17" applyNumberFormat="1" applyFont="1" applyAlignment="1">
      <alignment horizontal="center"/>
    </xf>
    <xf numFmtId="14" fontId="6" fillId="0" borderId="0" xfId="17" applyNumberFormat="1" applyFont="1" applyAlignment="1">
      <alignment horizontal="center"/>
    </xf>
    <xf numFmtId="3" fontId="6" fillId="0" borderId="0" xfId="17" applyNumberFormat="1" applyFont="1" applyAlignment="1">
      <alignment horizontal="center" vertical="center" wrapText="1"/>
    </xf>
    <xf numFmtId="3" fontId="6" fillId="0" borderId="38" xfId="17" applyNumberFormat="1" applyFont="1" applyBorder="1" applyAlignment="1">
      <alignment horizontal="right" vertical="center" wrapText="1"/>
    </xf>
    <xf numFmtId="3" fontId="6" fillId="0" borderId="39" xfId="17" applyNumberFormat="1" applyFont="1" applyBorder="1" applyAlignment="1">
      <alignment horizontal="right" vertical="center" wrapText="1"/>
    </xf>
    <xf numFmtId="3" fontId="6" fillId="0" borderId="39" xfId="17" applyNumberFormat="1" applyFont="1" applyBorder="1" applyAlignment="1">
      <alignment horizontal="left" vertical="center" wrapText="1"/>
    </xf>
    <xf numFmtId="14" fontId="6" fillId="0" borderId="39" xfId="17" applyNumberFormat="1" applyFont="1" applyBorder="1" applyAlignment="1">
      <alignment horizontal="center" vertical="center" wrapText="1"/>
    </xf>
    <xf numFmtId="3" fontId="8" fillId="0" borderId="13" xfId="17" applyNumberFormat="1" applyFont="1" applyBorder="1" applyAlignment="1">
      <alignment horizontal="right" vertical="center"/>
    </xf>
    <xf numFmtId="3" fontId="8" fillId="0" borderId="41" xfId="17" applyNumberFormat="1" applyFont="1" applyBorder="1" applyAlignment="1">
      <alignment horizontal="right" vertical="center"/>
    </xf>
    <xf numFmtId="3" fontId="8" fillId="0" borderId="42" xfId="17" applyNumberFormat="1" applyFont="1" applyBorder="1" applyAlignment="1">
      <alignment horizontal="right" vertical="center"/>
    </xf>
    <xf numFmtId="3" fontId="8" fillId="0" borderId="43" xfId="17" applyNumberFormat="1" applyFont="1" applyBorder="1" applyAlignment="1">
      <alignment horizontal="right" vertical="center"/>
    </xf>
    <xf numFmtId="3" fontId="8" fillId="0" borderId="34" xfId="17" applyNumberFormat="1" applyFont="1" applyBorder="1" applyAlignment="1">
      <alignment horizontal="right" vertical="center"/>
    </xf>
    <xf numFmtId="3" fontId="6" fillId="0" borderId="4" xfId="17" applyNumberFormat="1" applyFont="1" applyBorder="1" applyAlignment="1">
      <alignment horizontal="center" vertical="center" wrapText="1"/>
    </xf>
    <xf numFmtId="3" fontId="6" fillId="0" borderId="44" xfId="17" applyNumberFormat="1" applyFont="1" applyBorder="1" applyAlignment="1">
      <alignment horizontal="right" vertical="center" wrapText="1"/>
    </xf>
    <xf numFmtId="3" fontId="6" fillId="0" borderId="45" xfId="17" applyNumberFormat="1" applyFont="1" applyBorder="1" applyAlignment="1">
      <alignment horizontal="right" vertical="center" wrapText="1"/>
    </xf>
    <xf numFmtId="3" fontId="6" fillId="0" borderId="46" xfId="17" applyNumberFormat="1" applyFont="1" applyBorder="1" applyAlignment="1">
      <alignment horizontal="center" vertical="center" wrapText="1"/>
    </xf>
    <xf numFmtId="0" fontId="6" fillId="0" borderId="0" xfId="0" applyFont="1" applyFill="1" applyAlignment="1">
      <alignment horizontal="right"/>
    </xf>
    <xf numFmtId="3" fontId="6" fillId="0" borderId="0" xfId="0" applyNumberFormat="1" applyFont="1" applyFill="1" applyAlignment="1">
      <alignment horizontal="right"/>
    </xf>
    <xf numFmtId="3" fontId="6" fillId="0" borderId="49" xfId="14" applyNumberFormat="1" applyFont="1" applyFill="1" applyBorder="1" applyAlignment="1">
      <alignment horizontal="center" vertical="center" wrapText="1"/>
    </xf>
    <xf numFmtId="3" fontId="6" fillId="0" borderId="0" xfId="14" applyNumberFormat="1" applyFont="1" applyFill="1" applyBorder="1" applyAlignment="1">
      <alignment horizontal="center" vertical="top" wrapText="1"/>
    </xf>
    <xf numFmtId="3" fontId="14" fillId="0" borderId="50" xfId="0" applyNumberFormat="1" applyFont="1" applyFill="1" applyBorder="1" applyAlignment="1">
      <alignment horizontal="center"/>
    </xf>
    <xf numFmtId="3" fontId="14" fillId="0" borderId="51" xfId="0" applyNumberFormat="1" applyFont="1" applyFill="1" applyBorder="1" applyAlignment="1">
      <alignment horizontal="center"/>
    </xf>
    <xf numFmtId="3" fontId="14" fillId="0" borderId="51" xfId="0" applyNumberFormat="1" applyFont="1" applyFill="1" applyBorder="1" applyAlignment="1"/>
    <xf numFmtId="3" fontId="16" fillId="0" borderId="51" xfId="0" applyNumberFormat="1" applyFont="1" applyFill="1" applyBorder="1" applyAlignment="1"/>
    <xf numFmtId="3" fontId="14" fillId="0" borderId="52" xfId="0" applyNumberFormat="1" applyFont="1" applyFill="1" applyBorder="1" applyAlignment="1"/>
    <xf numFmtId="3" fontId="14" fillId="0" borderId="15" xfId="0" applyNumberFormat="1" applyFont="1" applyFill="1" applyBorder="1" applyAlignment="1">
      <alignment horizontal="center"/>
    </xf>
    <xf numFmtId="3" fontId="14" fillId="0" borderId="16" xfId="0" applyNumberFormat="1" applyFont="1" applyFill="1" applyBorder="1" applyAlignment="1">
      <alignment horizontal="center"/>
    </xf>
    <xf numFmtId="3" fontId="14" fillId="0" borderId="16" xfId="18" applyNumberFormat="1" applyFont="1" applyFill="1" applyBorder="1" applyAlignment="1">
      <alignment horizontal="left"/>
    </xf>
    <xf numFmtId="3" fontId="14" fillId="0" borderId="15" xfId="0" applyNumberFormat="1" applyFont="1" applyFill="1" applyBorder="1" applyAlignment="1">
      <alignment horizontal="center" vertical="center"/>
    </xf>
    <xf numFmtId="3" fontId="14" fillId="0" borderId="16" xfId="0" applyNumberFormat="1" applyFont="1" applyFill="1" applyBorder="1" applyAlignment="1">
      <alignment horizontal="center" vertical="center"/>
    </xf>
    <xf numFmtId="3" fontId="14" fillId="0" borderId="16" xfId="18" applyNumberFormat="1" applyFont="1" applyFill="1" applyBorder="1" applyAlignment="1">
      <alignment vertical="center"/>
    </xf>
    <xf numFmtId="3" fontId="14" fillId="0" borderId="15" xfId="0" applyNumberFormat="1" applyFont="1" applyFill="1" applyBorder="1" applyAlignment="1">
      <alignment horizontal="center" vertical="top"/>
    </xf>
    <xf numFmtId="3" fontId="14" fillId="0" borderId="16" xfId="0" applyNumberFormat="1" applyFont="1" applyFill="1" applyBorder="1" applyAlignment="1">
      <alignment horizontal="center" vertical="top"/>
    </xf>
    <xf numFmtId="3" fontId="14" fillId="0" borderId="16" xfId="18" applyNumberFormat="1" applyFont="1" applyFill="1" applyBorder="1" applyAlignment="1">
      <alignment horizontal="left" vertical="top" indent="2"/>
    </xf>
    <xf numFmtId="3" fontId="14" fillId="0" borderId="16" xfId="0" applyNumberFormat="1" applyFont="1" applyFill="1" applyBorder="1" applyAlignment="1">
      <alignment vertical="center"/>
    </xf>
    <xf numFmtId="3" fontId="16" fillId="0" borderId="16" xfId="0" applyNumberFormat="1" applyFont="1" applyFill="1" applyBorder="1" applyAlignment="1">
      <alignment vertical="center"/>
    </xf>
    <xf numFmtId="3" fontId="17" fillId="0" borderId="17" xfId="0" applyNumberFormat="1" applyFont="1" applyFill="1" applyBorder="1" applyAlignment="1">
      <alignment vertical="center"/>
    </xf>
    <xf numFmtId="3" fontId="14" fillId="0" borderId="16" xfId="0" applyNumberFormat="1" applyFont="1" applyFill="1" applyBorder="1" applyAlignment="1">
      <alignment vertical="top"/>
    </xf>
    <xf numFmtId="3" fontId="16" fillId="0" borderId="16" xfId="0" applyNumberFormat="1" applyFont="1" applyFill="1" applyBorder="1" applyAlignment="1">
      <alignment vertical="top"/>
    </xf>
    <xf numFmtId="3" fontId="17" fillId="0" borderId="17" xfId="0" applyNumberFormat="1" applyFont="1" applyFill="1" applyBorder="1" applyAlignment="1">
      <alignment vertical="top"/>
    </xf>
    <xf numFmtId="0" fontId="0" fillId="0" borderId="16" xfId="0" applyFont="1" applyFill="1" applyBorder="1"/>
    <xf numFmtId="0" fontId="27" fillId="0" borderId="16" xfId="0" applyFont="1" applyFill="1" applyBorder="1"/>
    <xf numFmtId="3" fontId="14" fillId="0" borderId="53" xfId="0" applyNumberFormat="1" applyFont="1" applyFill="1" applyBorder="1" applyAlignment="1">
      <alignment horizontal="center" vertical="top"/>
    </xf>
    <xf numFmtId="3" fontId="14" fillId="0" borderId="53" xfId="0" applyNumberFormat="1" applyFont="1" applyFill="1" applyBorder="1" applyAlignment="1">
      <alignment vertical="top"/>
    </xf>
    <xf numFmtId="3" fontId="16" fillId="0" borderId="53" xfId="0" applyNumberFormat="1" applyFont="1" applyFill="1" applyBorder="1" applyAlignment="1">
      <alignment vertical="top"/>
    </xf>
    <xf numFmtId="3" fontId="14" fillId="0" borderId="28" xfId="0" applyNumberFormat="1" applyFont="1" applyFill="1" applyBorder="1" applyAlignment="1">
      <alignment horizontal="center"/>
    </xf>
    <xf numFmtId="3" fontId="14" fillId="0" borderId="22" xfId="0" applyNumberFormat="1" applyFont="1" applyFill="1" applyBorder="1" applyAlignment="1">
      <alignment horizontal="center"/>
    </xf>
    <xf numFmtId="3" fontId="14" fillId="0" borderId="22" xfId="0" applyNumberFormat="1" applyFont="1" applyFill="1" applyBorder="1" applyAlignment="1">
      <alignment vertical="center"/>
    </xf>
    <xf numFmtId="3" fontId="16" fillId="0" borderId="22" xfId="0" applyNumberFormat="1" applyFont="1" applyFill="1" applyBorder="1" applyAlignment="1">
      <alignment vertical="center"/>
    </xf>
    <xf numFmtId="3" fontId="17" fillId="0" borderId="26" xfId="0" applyNumberFormat="1" applyFont="1" applyFill="1" applyBorder="1" applyAlignment="1">
      <alignment vertical="center"/>
    </xf>
    <xf numFmtId="3" fontId="14" fillId="0" borderId="17" xfId="0" applyNumberFormat="1" applyFont="1" applyFill="1" applyBorder="1" applyAlignment="1">
      <alignment vertical="center"/>
    </xf>
    <xf numFmtId="3" fontId="14" fillId="0" borderId="16" xfId="18" applyNumberFormat="1" applyFont="1" applyFill="1" applyBorder="1" applyAlignment="1">
      <alignment horizontal="left" indent="2"/>
    </xf>
    <xf numFmtId="3" fontId="17" fillId="0" borderId="17" xfId="0" applyNumberFormat="1" applyFont="1" applyFill="1" applyBorder="1" applyAlignment="1"/>
    <xf numFmtId="3" fontId="14" fillId="0" borderId="16" xfId="18" applyNumberFormat="1" applyFont="1" applyFill="1" applyBorder="1" applyAlignment="1">
      <alignment wrapText="1"/>
    </xf>
    <xf numFmtId="3" fontId="20" fillId="0" borderId="0" xfId="0" applyNumberFormat="1" applyFont="1" applyFill="1" applyAlignment="1">
      <alignment vertical="center"/>
    </xf>
    <xf numFmtId="3" fontId="17" fillId="0" borderId="52" xfId="0" applyNumberFormat="1" applyFont="1" applyFill="1" applyBorder="1" applyAlignment="1"/>
    <xf numFmtId="0" fontId="26" fillId="0" borderId="17" xfId="0" applyFont="1" applyFill="1" applyBorder="1"/>
    <xf numFmtId="3" fontId="14" fillId="0" borderId="26" xfId="0" applyNumberFormat="1" applyFont="1" applyFill="1" applyBorder="1" applyAlignment="1">
      <alignment vertical="center"/>
    </xf>
    <xf numFmtId="3" fontId="14" fillId="0" borderId="22" xfId="0" applyNumberFormat="1" applyFont="1" applyFill="1" applyBorder="1" applyAlignment="1"/>
    <xf numFmtId="3" fontId="16" fillId="0" borderId="22" xfId="0" applyNumberFormat="1" applyFont="1" applyFill="1" applyBorder="1" applyAlignment="1"/>
    <xf numFmtId="3" fontId="17" fillId="0" borderId="26" xfId="0" applyNumberFormat="1" applyFont="1" applyFill="1" applyBorder="1" applyAlignment="1"/>
    <xf numFmtId="3" fontId="14" fillId="0" borderId="50" xfId="0" applyNumberFormat="1" applyFont="1" applyFill="1" applyBorder="1" applyAlignment="1">
      <alignment horizontal="center" vertical="center"/>
    </xf>
    <xf numFmtId="3" fontId="17" fillId="0" borderId="57" xfId="0" applyNumberFormat="1" applyFont="1" applyFill="1" applyBorder="1" applyAlignment="1">
      <alignment vertical="center"/>
    </xf>
    <xf numFmtId="3" fontId="14" fillId="0" borderId="53" xfId="0" applyNumberFormat="1" applyFont="1" applyFill="1" applyBorder="1" applyAlignment="1">
      <alignment horizontal="center" vertical="center"/>
    </xf>
    <xf numFmtId="3" fontId="14" fillId="0" borderId="53" xfId="0" applyNumberFormat="1" applyFont="1" applyFill="1" applyBorder="1" applyAlignment="1">
      <alignment vertical="center"/>
    </xf>
    <xf numFmtId="3" fontId="16" fillId="0" borderId="53" xfId="0" applyNumberFormat="1" applyFont="1" applyFill="1" applyBorder="1" applyAlignment="1">
      <alignment vertical="center"/>
    </xf>
    <xf numFmtId="3" fontId="14" fillId="0" borderId="58" xfId="0" applyNumberFormat="1" applyFont="1" applyFill="1" applyBorder="1" applyAlignment="1">
      <alignment horizontal="center" vertical="center"/>
    </xf>
    <xf numFmtId="3" fontId="14" fillId="0" borderId="59" xfId="0" applyNumberFormat="1" applyFont="1" applyFill="1" applyBorder="1" applyAlignment="1">
      <alignment horizontal="center" vertical="center"/>
    </xf>
    <xf numFmtId="3" fontId="10" fillId="0" borderId="51" xfId="0" applyNumberFormat="1" applyFont="1" applyFill="1" applyBorder="1" applyAlignment="1">
      <alignment vertical="center"/>
    </xf>
    <xf numFmtId="3" fontId="14" fillId="0" borderId="52" xfId="0" applyNumberFormat="1" applyFont="1" applyFill="1" applyBorder="1" applyAlignment="1">
      <alignment vertical="center"/>
    </xf>
    <xf numFmtId="3" fontId="14" fillId="0" borderId="16" xfId="19" applyNumberFormat="1" applyFont="1" applyFill="1" applyBorder="1" applyAlignment="1">
      <alignment vertical="center"/>
    </xf>
    <xf numFmtId="3" fontId="10" fillId="0" borderId="16" xfId="0" applyNumberFormat="1" applyFont="1" applyFill="1" applyBorder="1" applyAlignment="1">
      <alignment vertical="center"/>
    </xf>
    <xf numFmtId="3" fontId="14" fillId="0" borderId="16" xfId="19" applyNumberFormat="1" applyFont="1" applyFill="1" applyBorder="1" applyAlignment="1">
      <alignment vertical="center" wrapText="1"/>
    </xf>
    <xf numFmtId="3" fontId="14" fillId="0" borderId="53" xfId="19" applyNumberFormat="1" applyFont="1" applyFill="1" applyBorder="1" applyAlignment="1">
      <alignment vertical="center"/>
    </xf>
    <xf numFmtId="3" fontId="10" fillId="0" borderId="53" xfId="0" applyNumberFormat="1" applyFont="1" applyFill="1" applyBorder="1" applyAlignment="1">
      <alignment vertical="center"/>
    </xf>
    <xf numFmtId="3" fontId="14" fillId="0" borderId="54" xfId="0" applyNumberFormat="1" applyFont="1" applyFill="1" applyBorder="1" applyAlignment="1">
      <alignment vertical="center"/>
    </xf>
    <xf numFmtId="3" fontId="14" fillId="0" borderId="22" xfId="0" applyNumberFormat="1" applyFont="1" applyFill="1" applyBorder="1" applyAlignment="1">
      <alignment horizontal="center" vertical="center"/>
    </xf>
    <xf numFmtId="3" fontId="14" fillId="0" borderId="22" xfId="19" applyNumberFormat="1" applyFont="1" applyFill="1" applyBorder="1" applyAlignment="1">
      <alignment vertical="center" wrapText="1"/>
    </xf>
    <xf numFmtId="3" fontId="10" fillId="0" borderId="22" xfId="0" applyNumberFormat="1" applyFont="1" applyFill="1" applyBorder="1" applyAlignment="1">
      <alignment vertical="center"/>
    </xf>
    <xf numFmtId="3" fontId="14" fillId="0" borderId="53" xfId="19" applyNumberFormat="1" applyFont="1" applyFill="1" applyBorder="1" applyAlignment="1">
      <alignment vertical="center" wrapText="1"/>
    </xf>
    <xf numFmtId="3" fontId="14" fillId="0" borderId="59" xfId="19" applyNumberFormat="1" applyFont="1" applyFill="1" applyBorder="1" applyAlignment="1">
      <alignment vertical="center"/>
    </xf>
    <xf numFmtId="3" fontId="10" fillId="0" borderId="59" xfId="0" applyNumberFormat="1" applyFont="1" applyFill="1" applyBorder="1" applyAlignment="1">
      <alignment vertical="center"/>
    </xf>
    <xf numFmtId="3" fontId="14" fillId="0" borderId="60" xfId="0" applyNumberFormat="1" applyFont="1" applyFill="1" applyBorder="1" applyAlignment="1">
      <alignment vertical="center"/>
    </xf>
    <xf numFmtId="3" fontId="14" fillId="0" borderId="30" xfId="0" applyNumberFormat="1" applyFont="1" applyFill="1" applyBorder="1" applyAlignment="1">
      <alignment horizontal="center" vertical="center"/>
    </xf>
    <xf numFmtId="3" fontId="15" fillId="0" borderId="61" xfId="0" applyNumberFormat="1" applyFont="1" applyFill="1" applyBorder="1" applyAlignment="1">
      <alignment vertical="center"/>
    </xf>
    <xf numFmtId="3" fontId="17" fillId="0" borderId="31" xfId="0" applyNumberFormat="1" applyFont="1" applyFill="1" applyBorder="1" applyAlignment="1">
      <alignment vertical="center"/>
    </xf>
    <xf numFmtId="3" fontId="14" fillId="0" borderId="62" xfId="0" applyNumberFormat="1" applyFont="1" applyFill="1" applyBorder="1" applyAlignment="1">
      <alignment horizontal="center" vertical="top"/>
    </xf>
    <xf numFmtId="3" fontId="14" fillId="0" borderId="63" xfId="0" applyNumberFormat="1" applyFont="1" applyFill="1" applyBorder="1" applyAlignment="1">
      <alignment horizontal="center" vertical="center"/>
    </xf>
    <xf numFmtId="3" fontId="15" fillId="0" borderId="64" xfId="0" applyNumberFormat="1" applyFont="1" applyFill="1" applyBorder="1" applyAlignment="1">
      <alignment vertical="center"/>
    </xf>
    <xf numFmtId="3" fontId="17" fillId="0" borderId="65" xfId="0" applyNumberFormat="1" applyFont="1" applyFill="1" applyBorder="1" applyAlignment="1">
      <alignment vertical="center"/>
    </xf>
    <xf numFmtId="3" fontId="14" fillId="0" borderId="51" xfId="19" applyNumberFormat="1" applyFont="1" applyFill="1" applyBorder="1" applyAlignment="1">
      <alignment vertical="center" wrapText="1"/>
    </xf>
    <xf numFmtId="3" fontId="17" fillId="0" borderId="51" xfId="18" applyNumberFormat="1" applyFont="1" applyFill="1" applyBorder="1" applyAlignment="1">
      <alignment horizontal="left"/>
    </xf>
    <xf numFmtId="3" fontId="17" fillId="0" borderId="16" xfId="18" applyNumberFormat="1" applyFont="1" applyFill="1" applyBorder="1" applyAlignment="1">
      <alignment horizontal="left"/>
    </xf>
    <xf numFmtId="3" fontId="17" fillId="0" borderId="16" xfId="18" applyNumberFormat="1" applyFont="1" applyFill="1" applyBorder="1" applyAlignment="1"/>
    <xf numFmtId="3" fontId="17" fillId="0" borderId="22" xfId="18" applyNumberFormat="1" applyFont="1" applyFill="1" applyBorder="1" applyAlignment="1">
      <alignment wrapText="1"/>
    </xf>
    <xf numFmtId="3" fontId="17" fillId="0" borderId="16" xfId="18" applyNumberFormat="1" applyFont="1" applyFill="1" applyBorder="1" applyAlignment="1">
      <alignment wrapText="1"/>
    </xf>
    <xf numFmtId="3" fontId="17" fillId="0" borderId="22" xfId="18" applyNumberFormat="1" applyFont="1" applyFill="1" applyBorder="1" applyAlignment="1"/>
    <xf numFmtId="3" fontId="14" fillId="0" borderId="16" xfId="0" applyNumberFormat="1" applyFont="1" applyFill="1" applyBorder="1" applyAlignment="1">
      <alignment horizontal="right"/>
    </xf>
    <xf numFmtId="3" fontId="14" fillId="0" borderId="17" xfId="0" applyNumberFormat="1" applyFont="1" applyFill="1" applyBorder="1" applyAlignment="1">
      <alignment horizontal="right"/>
    </xf>
    <xf numFmtId="3" fontId="14" fillId="0" borderId="16" xfId="0" applyNumberFormat="1" applyFont="1" applyFill="1" applyBorder="1" applyAlignment="1">
      <alignment horizontal="right" vertical="top"/>
    </xf>
    <xf numFmtId="3" fontId="14" fillId="0" borderId="17" xfId="0" applyNumberFormat="1" applyFont="1" applyFill="1" applyBorder="1" applyAlignment="1">
      <alignment horizontal="right" vertical="top"/>
    </xf>
    <xf numFmtId="3" fontId="14" fillId="0" borderId="16" xfId="0" applyNumberFormat="1" applyFont="1" applyFill="1" applyBorder="1" applyAlignment="1">
      <alignment horizontal="right" vertical="center"/>
    </xf>
    <xf numFmtId="3" fontId="17" fillId="0" borderId="66" xfId="0" applyNumberFormat="1" applyFont="1" applyFill="1" applyBorder="1" applyAlignment="1">
      <alignment vertical="center"/>
    </xf>
    <xf numFmtId="3" fontId="17" fillId="0" borderId="66" xfId="0" applyNumberFormat="1" applyFont="1" applyFill="1" applyBorder="1" applyAlignment="1"/>
    <xf numFmtId="3" fontId="14" fillId="0" borderId="53" xfId="0" applyNumberFormat="1" applyFont="1" applyFill="1" applyBorder="1" applyAlignment="1">
      <alignment horizontal="right"/>
    </xf>
    <xf numFmtId="3" fontId="14" fillId="0" borderId="54" xfId="0" applyNumberFormat="1" applyFont="1" applyFill="1" applyBorder="1" applyAlignment="1">
      <alignment horizontal="right"/>
    </xf>
    <xf numFmtId="3" fontId="20" fillId="0" borderId="15" xfId="0" applyNumberFormat="1" applyFont="1" applyFill="1" applyBorder="1" applyAlignment="1">
      <alignment horizontal="center" vertical="center"/>
    </xf>
    <xf numFmtId="3" fontId="20" fillId="0" borderId="0" xfId="0" applyNumberFormat="1" applyFont="1" applyFill="1" applyBorder="1" applyAlignment="1">
      <alignment horizontal="right" vertical="center"/>
    </xf>
    <xf numFmtId="3" fontId="14" fillId="0" borderId="26" xfId="0" applyNumberFormat="1" applyFont="1" applyFill="1" applyBorder="1" applyAlignment="1"/>
    <xf numFmtId="3" fontId="16" fillId="0" borderId="16" xfId="0" applyNumberFormat="1" applyFont="1" applyFill="1" applyBorder="1" applyAlignment="1">
      <alignment horizontal="right"/>
    </xf>
    <xf numFmtId="3" fontId="16" fillId="0" borderId="17" xfId="0" applyNumberFormat="1" applyFont="1" applyFill="1" applyBorder="1" applyAlignment="1">
      <alignment horizontal="right"/>
    </xf>
    <xf numFmtId="3" fontId="14" fillId="0" borderId="17" xfId="0" applyNumberFormat="1" applyFont="1" applyFill="1" applyBorder="1" applyAlignment="1">
      <alignment horizontal="right" vertical="center"/>
    </xf>
    <xf numFmtId="3" fontId="20" fillId="0" borderId="0" xfId="0" applyNumberFormat="1" applyFont="1" applyFill="1" applyBorder="1" applyAlignment="1">
      <alignment horizontal="right" vertical="top"/>
    </xf>
    <xf numFmtId="3" fontId="20" fillId="0" borderId="66" xfId="0" applyNumberFormat="1" applyFont="1" applyFill="1" applyBorder="1" applyAlignment="1"/>
    <xf numFmtId="3" fontId="17" fillId="0" borderId="51" xfId="0" applyNumberFormat="1" applyFont="1" applyFill="1" applyBorder="1" applyAlignment="1">
      <alignment horizontal="right"/>
    </xf>
    <xf numFmtId="3" fontId="17" fillId="0" borderId="52" xfId="0" applyNumberFormat="1" applyFont="1" applyFill="1" applyBorder="1" applyAlignment="1">
      <alignment horizontal="right"/>
    </xf>
    <xf numFmtId="3" fontId="17" fillId="0" borderId="16" xfId="0" applyNumberFormat="1" applyFont="1" applyFill="1" applyBorder="1" applyAlignment="1">
      <alignment horizontal="right" vertical="center"/>
    </xf>
    <xf numFmtId="3" fontId="17" fillId="0" borderId="17" xfId="0" applyNumberFormat="1" applyFont="1" applyFill="1" applyBorder="1" applyAlignment="1">
      <alignment horizontal="right" vertical="center"/>
    </xf>
    <xf numFmtId="3" fontId="16" fillId="0" borderId="16" xfId="0" applyNumberFormat="1" applyFont="1" applyFill="1" applyBorder="1" applyAlignment="1">
      <alignment horizontal="right" vertical="center"/>
    </xf>
    <xf numFmtId="3" fontId="17" fillId="0" borderId="69" xfId="0" applyNumberFormat="1" applyFont="1" applyFill="1" applyBorder="1" applyAlignment="1"/>
    <xf numFmtId="3" fontId="17" fillId="0" borderId="51" xfId="0" applyNumberFormat="1" applyFont="1" applyFill="1" applyBorder="1" applyAlignment="1">
      <alignment horizontal="right" vertical="center"/>
    </xf>
    <xf numFmtId="3" fontId="17" fillId="0" borderId="52" xfId="0" applyNumberFormat="1" applyFont="1" applyFill="1" applyBorder="1" applyAlignment="1">
      <alignment horizontal="right" vertical="center"/>
    </xf>
    <xf numFmtId="3" fontId="17" fillId="0" borderId="66" xfId="0" applyNumberFormat="1" applyFont="1" applyFill="1" applyBorder="1" applyAlignment="1">
      <alignment horizontal="right" vertical="center"/>
    </xf>
    <xf numFmtId="3" fontId="17" fillId="0" borderId="69" xfId="0" applyNumberFormat="1" applyFont="1" applyFill="1" applyBorder="1" applyAlignment="1">
      <alignment horizontal="right" vertical="center"/>
    </xf>
    <xf numFmtId="3" fontId="20" fillId="0" borderId="66" xfId="0" applyNumberFormat="1" applyFont="1" applyFill="1" applyBorder="1" applyAlignment="1">
      <alignment horizontal="right" vertical="center"/>
    </xf>
    <xf numFmtId="0" fontId="15" fillId="0" borderId="0" xfId="0" applyFont="1" applyFill="1" applyAlignment="1">
      <alignment horizontal="center"/>
    </xf>
    <xf numFmtId="3" fontId="6" fillId="0" borderId="0" xfId="17" applyNumberFormat="1" applyFont="1" applyAlignment="1">
      <alignment horizontal="center" wrapText="1"/>
    </xf>
    <xf numFmtId="3" fontId="6" fillId="0" borderId="0" xfId="17" applyNumberFormat="1" applyFont="1" applyBorder="1" applyAlignment="1">
      <alignment horizontal="center"/>
    </xf>
    <xf numFmtId="3" fontId="6" fillId="0" borderId="18" xfId="17" applyNumberFormat="1" applyFont="1" applyBorder="1" applyAlignment="1">
      <alignment vertical="center" wrapText="1"/>
    </xf>
    <xf numFmtId="3" fontId="6" fillId="0" borderId="71" xfId="17" applyNumberFormat="1" applyFont="1" applyBorder="1" applyAlignment="1">
      <alignment horizontal="right" vertical="center" wrapText="1"/>
    </xf>
    <xf numFmtId="0" fontId="6" fillId="0" borderId="72" xfId="17" applyNumberFormat="1" applyFont="1" applyBorder="1" applyAlignment="1">
      <alignment horizontal="center" vertical="center" wrapText="1"/>
    </xf>
    <xf numFmtId="3" fontId="6" fillId="0" borderId="73" xfId="17" applyNumberFormat="1" applyFont="1" applyBorder="1" applyAlignment="1">
      <alignment horizontal="center" vertical="center" wrapText="1"/>
    </xf>
    <xf numFmtId="3" fontId="6" fillId="0" borderId="72" xfId="17" applyNumberFormat="1" applyFont="1" applyBorder="1" applyAlignment="1">
      <alignment horizontal="center" vertical="center" wrapText="1"/>
    </xf>
    <xf numFmtId="3" fontId="14" fillId="0" borderId="0" xfId="15" applyNumberFormat="1" applyFont="1" applyFill="1"/>
    <xf numFmtId="3" fontId="31" fillId="0" borderId="16" xfId="15" applyNumberFormat="1" applyFont="1" applyFill="1" applyBorder="1" applyAlignment="1">
      <alignment wrapText="1"/>
    </xf>
    <xf numFmtId="3" fontId="8" fillId="0" borderId="0" xfId="15" applyNumberFormat="1" applyFont="1" applyFill="1" applyAlignment="1"/>
    <xf numFmtId="3" fontId="6" fillId="0" borderId="0" xfId="15" applyNumberFormat="1" applyFont="1" applyFill="1" applyBorder="1"/>
    <xf numFmtId="3" fontId="6" fillId="0" borderId="74" xfId="14" applyNumberFormat="1" applyFont="1" applyFill="1" applyBorder="1" applyAlignment="1">
      <alignment horizontal="center" textRotation="90" wrapText="1"/>
    </xf>
    <xf numFmtId="3" fontId="6" fillId="0" borderId="4" xfId="14" applyNumberFormat="1" applyFont="1" applyFill="1" applyBorder="1" applyAlignment="1">
      <alignment horizontal="center" wrapText="1"/>
    </xf>
    <xf numFmtId="49" fontId="6" fillId="0" borderId="4" xfId="0" applyNumberFormat="1" applyFont="1" applyFill="1" applyBorder="1" applyAlignment="1">
      <alignment horizontal="center" vertical="center"/>
    </xf>
    <xf numFmtId="49" fontId="6" fillId="0" borderId="4" xfId="0" applyNumberFormat="1" applyFont="1" applyFill="1" applyBorder="1" applyAlignment="1">
      <alignment horizontal="center"/>
    </xf>
    <xf numFmtId="49" fontId="6" fillId="0" borderId="4" xfId="0" applyNumberFormat="1" applyFont="1" applyFill="1" applyBorder="1" applyAlignment="1">
      <alignment horizontal="center" vertical="top"/>
    </xf>
    <xf numFmtId="3" fontId="6" fillId="0" borderId="75" xfId="14" applyNumberFormat="1" applyFont="1" applyFill="1" applyBorder="1" applyAlignment="1">
      <alignment horizontal="center" textRotation="90" wrapText="1"/>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78" xfId="0" applyFont="1" applyFill="1" applyBorder="1" applyAlignment="1">
      <alignment horizontal="center" vertical="center"/>
    </xf>
    <xf numFmtId="49" fontId="6" fillId="0" borderId="74" xfId="14" applyNumberFormat="1" applyFont="1" applyFill="1" applyBorder="1" applyAlignment="1">
      <alignment horizontal="center"/>
    </xf>
    <xf numFmtId="49" fontId="6" fillId="0" borderId="75" xfId="14" applyNumberFormat="1" applyFont="1" applyFill="1" applyBorder="1" applyAlignment="1">
      <alignment horizontal="center"/>
    </xf>
    <xf numFmtId="49" fontId="9" fillId="0" borderId="4" xfId="14" applyNumberFormat="1" applyFont="1" applyFill="1" applyBorder="1" applyAlignment="1">
      <alignment horizontal="center"/>
    </xf>
    <xf numFmtId="49" fontId="6" fillId="0" borderId="4" xfId="14" applyNumberFormat="1" applyFont="1" applyFill="1" applyBorder="1" applyAlignment="1">
      <alignment horizontal="center" vertical="center"/>
    </xf>
    <xf numFmtId="3" fontId="14" fillId="0" borderId="49" xfId="14" applyNumberFormat="1" applyFont="1" applyFill="1" applyBorder="1" applyAlignment="1">
      <alignment horizontal="center" vertical="center" wrapText="1"/>
    </xf>
    <xf numFmtId="3" fontId="6" fillId="0" borderId="79" xfId="14" applyNumberFormat="1" applyFont="1" applyFill="1" applyBorder="1" applyAlignment="1">
      <alignment horizontal="center" vertical="center" textRotation="90" wrapText="1"/>
    </xf>
    <xf numFmtId="3" fontId="6" fillId="0" borderId="49" xfId="14" applyNumberFormat="1" applyFont="1" applyFill="1" applyBorder="1" applyAlignment="1">
      <alignment horizontal="center" vertical="center" textRotation="90" wrapText="1"/>
    </xf>
    <xf numFmtId="3" fontId="8" fillId="0" borderId="49" xfId="14" applyNumberFormat="1" applyFont="1" applyFill="1" applyBorder="1" applyAlignment="1">
      <alignment horizontal="center" vertical="center" wrapText="1"/>
    </xf>
    <xf numFmtId="3" fontId="6" fillId="0" borderId="80" xfId="14" applyNumberFormat="1" applyFont="1" applyFill="1" applyBorder="1" applyAlignment="1">
      <alignment horizontal="center" vertical="center" wrapText="1"/>
    </xf>
    <xf numFmtId="3" fontId="8" fillId="0" borderId="11" xfId="14" applyNumberFormat="1" applyFont="1" applyFill="1" applyBorder="1" applyAlignment="1">
      <alignment horizontal="right" wrapText="1"/>
    </xf>
    <xf numFmtId="3" fontId="8" fillId="0" borderId="10" xfId="0" applyNumberFormat="1" applyFont="1" applyFill="1" applyBorder="1"/>
    <xf numFmtId="3" fontId="8" fillId="0" borderId="10" xfId="14" applyNumberFormat="1" applyFont="1" applyFill="1" applyBorder="1" applyAlignment="1">
      <alignment horizontal="right" wrapText="1"/>
    </xf>
    <xf numFmtId="3" fontId="8" fillId="0" borderId="35" xfId="0" applyNumberFormat="1" applyFont="1" applyFill="1" applyBorder="1" applyAlignment="1">
      <alignment vertical="center"/>
    </xf>
    <xf numFmtId="3" fontId="8" fillId="0" borderId="0" xfId="0" applyNumberFormat="1" applyFont="1" applyFill="1" applyBorder="1" applyAlignment="1">
      <alignment vertical="center"/>
    </xf>
    <xf numFmtId="3" fontId="8" fillId="0" borderId="36" xfId="0" applyNumberFormat="1" applyFont="1" applyFill="1" applyBorder="1" applyAlignment="1">
      <alignment vertical="center"/>
    </xf>
    <xf numFmtId="3" fontId="9" fillId="0" borderId="0" xfId="14" applyNumberFormat="1" applyFont="1" applyFill="1" applyBorder="1" applyAlignment="1">
      <alignment horizontal="right"/>
    </xf>
    <xf numFmtId="49" fontId="6" fillId="0" borderId="79" xfId="14" applyNumberFormat="1" applyFont="1" applyFill="1" applyBorder="1" applyAlignment="1">
      <alignment horizontal="center" vertical="center" textRotation="90"/>
    </xf>
    <xf numFmtId="3" fontId="6" fillId="0" borderId="49" xfId="14" applyNumberFormat="1" applyFont="1" applyFill="1" applyBorder="1" applyAlignment="1">
      <alignment horizontal="center" vertical="center" textRotation="90"/>
    </xf>
    <xf numFmtId="3" fontId="8" fillId="0" borderId="49" xfId="14" applyNumberFormat="1" applyFont="1" applyFill="1" applyBorder="1" applyAlignment="1">
      <alignment horizontal="center" vertical="center"/>
    </xf>
    <xf numFmtId="0" fontId="6" fillId="0" borderId="0" xfId="20" applyFont="1" applyFill="1" applyBorder="1"/>
    <xf numFmtId="0" fontId="6" fillId="0" borderId="0" xfId="20" applyFont="1" applyFill="1" applyBorder="1" applyAlignment="1">
      <alignment horizontal="center" vertical="top"/>
    </xf>
    <xf numFmtId="0" fontId="6" fillId="0" borderId="0" xfId="20" applyFont="1" applyFill="1" applyBorder="1" applyAlignment="1">
      <alignment horizontal="center" vertical="center"/>
    </xf>
    <xf numFmtId="0" fontId="6" fillId="0" borderId="0" xfId="20" applyFont="1" applyFill="1" applyBorder="1" applyAlignment="1">
      <alignment wrapText="1"/>
    </xf>
    <xf numFmtId="3" fontId="6" fillId="0" borderId="0" xfId="20" applyNumberFormat="1" applyFont="1" applyFill="1" applyBorder="1" applyAlignment="1">
      <alignment horizontal="center" vertical="center" wrapText="1"/>
    </xf>
    <xf numFmtId="0" fontId="6" fillId="0" borderId="0" xfId="21" applyFont="1" applyFill="1" applyBorder="1" applyAlignment="1">
      <alignment horizontal="center" vertical="center" wrapText="1"/>
    </xf>
    <xf numFmtId="3" fontId="6" fillId="0" borderId="0" xfId="21" applyNumberFormat="1" applyFont="1" applyFill="1" applyBorder="1" applyAlignment="1">
      <alignment horizontal="center" vertical="top"/>
    </xf>
    <xf numFmtId="3" fontId="6" fillId="0" borderId="0" xfId="21" applyNumberFormat="1" applyFont="1" applyFill="1" applyBorder="1" applyAlignment="1">
      <alignment horizontal="center" vertical="center"/>
    </xf>
    <xf numFmtId="3" fontId="6" fillId="0" borderId="0" xfId="21" applyNumberFormat="1" applyFont="1" applyFill="1" applyBorder="1" applyAlignment="1">
      <alignment horizontal="center"/>
    </xf>
    <xf numFmtId="3" fontId="6" fillId="0" borderId="30" xfId="15" applyNumberFormat="1" applyFont="1" applyFill="1" applyBorder="1" applyAlignment="1">
      <alignment horizontal="center" vertical="center" textRotation="90"/>
    </xf>
    <xf numFmtId="3" fontId="6" fillId="0" borderId="61" xfId="15" applyNumberFormat="1" applyFont="1" applyFill="1" applyBorder="1" applyAlignment="1">
      <alignment horizontal="center" vertical="center" textRotation="90"/>
    </xf>
    <xf numFmtId="0" fontId="8" fillId="0" borderId="61" xfId="20" applyFont="1" applyFill="1" applyBorder="1" applyAlignment="1">
      <alignment horizontal="center" vertical="center" wrapText="1"/>
    </xf>
    <xf numFmtId="0" fontId="14" fillId="0" borderId="61" xfId="20" applyFont="1" applyFill="1" applyBorder="1" applyAlignment="1">
      <alignment horizontal="center" vertical="center" textRotation="90" wrapText="1"/>
    </xf>
    <xf numFmtId="3" fontId="8" fillId="0" borderId="61" xfId="20" applyNumberFormat="1" applyFont="1" applyFill="1" applyBorder="1" applyAlignment="1">
      <alignment horizontal="center" vertical="center" wrapText="1"/>
    </xf>
    <xf numFmtId="3" fontId="6" fillId="0" borderId="0" xfId="20" applyNumberFormat="1" applyFont="1" applyFill="1" applyBorder="1" applyAlignment="1">
      <alignment horizontal="center"/>
    </xf>
    <xf numFmtId="3" fontId="6" fillId="0" borderId="28" xfId="15" applyNumberFormat="1" applyFont="1" applyFill="1" applyBorder="1" applyAlignment="1">
      <alignment horizontal="center"/>
    </xf>
    <xf numFmtId="0" fontId="6" fillId="0" borderId="22" xfId="20" applyFont="1" applyFill="1" applyBorder="1" applyAlignment="1">
      <alignment horizontal="center" textRotation="90" wrapText="1"/>
    </xf>
    <xf numFmtId="3" fontId="8" fillId="0" borderId="22" xfId="20" applyNumberFormat="1" applyFont="1" applyFill="1" applyBorder="1" applyAlignment="1">
      <alignment horizontal="right" wrapText="1"/>
    </xf>
    <xf numFmtId="0" fontId="6" fillId="0" borderId="0" xfId="20" applyFont="1" applyFill="1" applyBorder="1" applyAlignment="1"/>
    <xf numFmtId="0" fontId="6" fillId="0" borderId="15" xfId="20" applyFont="1" applyFill="1" applyBorder="1" applyAlignment="1">
      <alignment horizontal="center" vertical="center"/>
    </xf>
    <xf numFmtId="0" fontId="6" fillId="0" borderId="16" xfId="20" applyFont="1" applyFill="1" applyBorder="1" applyAlignment="1">
      <alignment horizontal="center" vertical="top"/>
    </xf>
    <xf numFmtId="0" fontId="6" fillId="0" borderId="16" xfId="20" applyFont="1" applyFill="1" applyBorder="1" applyAlignment="1">
      <alignment vertical="top" wrapText="1"/>
    </xf>
    <xf numFmtId="3" fontId="6" fillId="0" borderId="16" xfId="20" applyNumberFormat="1" applyFont="1" applyFill="1" applyBorder="1" applyAlignment="1">
      <alignment horizontal="center" vertical="center"/>
    </xf>
    <xf numFmtId="3" fontId="6" fillId="0" borderId="16" xfId="20" applyNumberFormat="1" applyFont="1" applyFill="1" applyBorder="1" applyAlignment="1">
      <alignment horizontal="right" vertical="center"/>
    </xf>
    <xf numFmtId="3" fontId="6" fillId="0" borderId="16" xfId="16" applyNumberFormat="1" applyFont="1" applyFill="1" applyBorder="1" applyAlignment="1">
      <alignment horizontal="right" vertical="center"/>
    </xf>
    <xf numFmtId="3" fontId="6" fillId="0" borderId="0" xfId="20" applyNumberFormat="1" applyFont="1" applyFill="1" applyBorder="1"/>
    <xf numFmtId="0" fontId="6" fillId="0" borderId="16" xfId="16" applyFont="1" applyFill="1" applyBorder="1" applyAlignment="1">
      <alignment wrapText="1"/>
    </xf>
    <xf numFmtId="0" fontId="6" fillId="0" borderId="16" xfId="20" applyFont="1" applyFill="1" applyBorder="1" applyAlignment="1">
      <alignment horizontal="center" vertical="center" wrapText="1"/>
    </xf>
    <xf numFmtId="0" fontId="6" fillId="0" borderId="16" xfId="16" applyFont="1" applyFill="1" applyBorder="1" applyAlignment="1">
      <alignment vertical="top" wrapText="1"/>
    </xf>
    <xf numFmtId="3" fontId="6" fillId="0" borderId="16" xfId="16" applyNumberFormat="1" applyFont="1" applyFill="1" applyBorder="1" applyAlignment="1">
      <alignment horizontal="center" vertical="center" wrapText="1"/>
    </xf>
    <xf numFmtId="0" fontId="6" fillId="0" borderId="0" xfId="20" applyFont="1" applyFill="1" applyBorder="1" applyAlignment="1">
      <alignment vertical="center"/>
    </xf>
    <xf numFmtId="0" fontId="6" fillId="0" borderId="16" xfId="20" applyFont="1" applyFill="1" applyBorder="1" applyAlignment="1">
      <alignment vertical="center" wrapText="1"/>
    </xf>
    <xf numFmtId="0" fontId="6" fillId="0" borderId="82" xfId="20" applyFont="1" applyFill="1" applyBorder="1" applyAlignment="1">
      <alignment horizontal="center" vertical="top"/>
    </xf>
    <xf numFmtId="0" fontId="23" fillId="0" borderId="83" xfId="20" applyFont="1" applyFill="1" applyBorder="1" applyAlignment="1">
      <alignment horizontal="right" vertical="center" wrapText="1"/>
    </xf>
    <xf numFmtId="0" fontId="6" fillId="0" borderId="8" xfId="20" applyFont="1" applyFill="1" applyBorder="1" applyAlignment="1">
      <alignment horizontal="center" vertical="center" wrapText="1"/>
    </xf>
    <xf numFmtId="3" fontId="23" fillId="0" borderId="82" xfId="20" applyNumberFormat="1" applyFont="1" applyFill="1" applyBorder="1" applyAlignment="1">
      <alignment horizontal="right" vertical="center"/>
    </xf>
    <xf numFmtId="0" fontId="32" fillId="0" borderId="84" xfId="16" applyFont="1" applyFill="1" applyBorder="1" applyAlignment="1">
      <alignment wrapText="1"/>
    </xf>
    <xf numFmtId="0" fontId="32" fillId="0" borderId="85" xfId="16" applyFont="1" applyFill="1" applyBorder="1" applyAlignment="1">
      <alignment wrapText="1"/>
    </xf>
    <xf numFmtId="3" fontId="6" fillId="0" borderId="22" xfId="16" applyNumberFormat="1" applyFont="1" applyFill="1" applyBorder="1" applyAlignment="1">
      <alignment horizontal="right"/>
    </xf>
    <xf numFmtId="3" fontId="6" fillId="0" borderId="22" xfId="20" applyNumberFormat="1" applyFont="1" applyFill="1" applyBorder="1" applyAlignment="1">
      <alignment horizontal="right"/>
    </xf>
    <xf numFmtId="0" fontId="8" fillId="0" borderId="0" xfId="20" applyFont="1" applyFill="1" applyBorder="1" applyAlignment="1">
      <alignment vertical="center"/>
    </xf>
    <xf numFmtId="0" fontId="6" fillId="0" borderId="62" xfId="20" applyFont="1" applyFill="1" applyBorder="1" applyAlignment="1">
      <alignment horizontal="center" vertical="center"/>
    </xf>
    <xf numFmtId="0" fontId="6" fillId="0" borderId="86" xfId="20" applyFont="1" applyFill="1" applyBorder="1" applyAlignment="1">
      <alignment horizontal="center" vertical="center"/>
    </xf>
    <xf numFmtId="0" fontId="23" fillId="0" borderId="86" xfId="20" applyFont="1" applyFill="1" applyBorder="1" applyAlignment="1">
      <alignment horizontal="right" vertical="center" wrapText="1"/>
    </xf>
    <xf numFmtId="0" fontId="9" fillId="0" borderId="87" xfId="20" applyFont="1" applyFill="1" applyBorder="1" applyAlignment="1">
      <alignment horizontal="center" vertical="center" wrapText="1"/>
    </xf>
    <xf numFmtId="0" fontId="8" fillId="0" borderId="30" xfId="20" applyFont="1" applyFill="1" applyBorder="1" applyAlignment="1">
      <alignment horizontal="center" vertical="center"/>
    </xf>
    <xf numFmtId="3" fontId="8" fillId="0" borderId="88" xfId="20" applyNumberFormat="1" applyFont="1" applyFill="1" applyBorder="1" applyAlignment="1">
      <alignment horizontal="right" vertical="center"/>
    </xf>
    <xf numFmtId="0" fontId="6" fillId="0" borderId="0" xfId="20" applyFont="1" applyFill="1" applyBorder="1" applyAlignment="1">
      <alignment horizontal="left"/>
    </xf>
    <xf numFmtId="0" fontId="6" fillId="0" borderId="28" xfId="21" applyFont="1" applyFill="1" applyBorder="1" applyAlignment="1">
      <alignment horizontal="center"/>
    </xf>
    <xf numFmtId="0" fontId="6" fillId="0" borderId="22" xfId="21" applyFont="1" applyFill="1" applyBorder="1" applyAlignment="1">
      <alignment horizontal="center"/>
    </xf>
    <xf numFmtId="3" fontId="8" fillId="0" borderId="22" xfId="21" applyNumberFormat="1" applyFont="1" applyFill="1" applyBorder="1" applyAlignment="1">
      <alignment horizontal="right"/>
    </xf>
    <xf numFmtId="0" fontId="6" fillId="0" borderId="22" xfId="21" applyFont="1" applyFill="1" applyBorder="1" applyAlignment="1">
      <alignment horizontal="left"/>
    </xf>
    <xf numFmtId="3" fontId="8" fillId="0" borderId="22" xfId="21" applyNumberFormat="1" applyFont="1" applyFill="1" applyBorder="1" applyAlignment="1">
      <alignment horizontal="left"/>
    </xf>
    <xf numFmtId="3" fontId="6" fillId="0" borderId="22" xfId="20" applyNumberFormat="1" applyFont="1" applyFill="1" applyBorder="1" applyAlignment="1">
      <alignment horizontal="left"/>
    </xf>
    <xf numFmtId="0" fontId="6" fillId="0" borderId="16" xfId="20" applyFont="1" applyFill="1" applyBorder="1" applyAlignment="1">
      <alignment wrapText="1"/>
    </xf>
    <xf numFmtId="3" fontId="6" fillId="0" borderId="22" xfId="21" applyNumberFormat="1" applyFont="1" applyFill="1" applyBorder="1" applyAlignment="1">
      <alignment horizontal="right" vertical="center"/>
    </xf>
    <xf numFmtId="3" fontId="6" fillId="0" borderId="22" xfId="20" applyNumberFormat="1" applyFont="1" applyFill="1" applyBorder="1" applyAlignment="1">
      <alignment horizontal="right" vertical="center"/>
    </xf>
    <xf numFmtId="0" fontId="6" fillId="0" borderId="16" xfId="20" applyFont="1" applyFill="1" applyBorder="1" applyAlignment="1">
      <alignment horizontal="center" wrapText="1"/>
    </xf>
    <xf numFmtId="0" fontId="6" fillId="0" borderId="22" xfId="21" applyFont="1" applyFill="1" applyBorder="1" applyAlignment="1">
      <alignment horizontal="center" vertical="top"/>
    </xf>
    <xf numFmtId="0" fontId="6" fillId="0" borderId="28" xfId="21" applyFont="1" applyFill="1" applyBorder="1" applyAlignment="1">
      <alignment horizontal="center" vertical="top"/>
    </xf>
    <xf numFmtId="0" fontId="6" fillId="0" borderId="15" xfId="21" applyFont="1" applyFill="1" applyBorder="1" applyAlignment="1">
      <alignment horizontal="center"/>
    </xf>
    <xf numFmtId="0" fontId="6" fillId="0" borderId="16" xfId="21" applyFont="1" applyFill="1" applyBorder="1" applyAlignment="1">
      <alignment horizontal="left"/>
    </xf>
    <xf numFmtId="3" fontId="6" fillId="0" borderId="16" xfId="20" applyNumberFormat="1" applyFont="1" applyFill="1" applyBorder="1" applyAlignment="1">
      <alignment horizontal="left"/>
    </xf>
    <xf numFmtId="3" fontId="6" fillId="0" borderId="16" xfId="20" applyNumberFormat="1" applyFont="1" applyFill="1" applyBorder="1" applyAlignment="1">
      <alignment horizontal="right"/>
    </xf>
    <xf numFmtId="0" fontId="6" fillId="0" borderId="16" xfId="21" applyFont="1" applyFill="1" applyBorder="1" applyAlignment="1">
      <alignment horizontal="center"/>
    </xf>
    <xf numFmtId="0" fontId="6" fillId="0" borderId="16" xfId="21" applyFont="1" applyFill="1" applyBorder="1" applyAlignment="1">
      <alignment horizontal="center" vertical="top"/>
    </xf>
    <xf numFmtId="0" fontId="6" fillId="0" borderId="58" xfId="21" applyFont="1" applyFill="1" applyBorder="1" applyAlignment="1">
      <alignment horizontal="center"/>
    </xf>
    <xf numFmtId="0" fontId="6" fillId="0" borderId="0" xfId="20" applyFont="1" applyFill="1" applyBorder="1" applyAlignment="1">
      <alignment horizontal="center"/>
    </xf>
    <xf numFmtId="0" fontId="6" fillId="0" borderId="53" xfId="20" applyFont="1" applyFill="1" applyBorder="1" applyAlignment="1">
      <alignment horizontal="center" wrapText="1"/>
    </xf>
    <xf numFmtId="3" fontId="6" fillId="0" borderId="53" xfId="20" applyNumberFormat="1" applyFont="1" applyFill="1" applyBorder="1" applyAlignment="1">
      <alignment horizontal="right"/>
    </xf>
    <xf numFmtId="0" fontId="6" fillId="0" borderId="53" xfId="21" applyFont="1" applyFill="1" applyBorder="1" applyAlignment="1">
      <alignment horizontal="center" vertical="top"/>
    </xf>
    <xf numFmtId="3" fontId="6" fillId="0" borderId="53" xfId="20" applyNumberFormat="1" applyFont="1" applyFill="1" applyBorder="1" applyAlignment="1">
      <alignment horizontal="right" vertical="center"/>
    </xf>
    <xf numFmtId="0" fontId="8" fillId="0" borderId="30" xfId="21" applyFont="1" applyFill="1" applyBorder="1" applyAlignment="1">
      <alignment horizontal="center" vertical="center"/>
    </xf>
    <xf numFmtId="3" fontId="8" fillId="0" borderId="61" xfId="16" applyNumberFormat="1" applyFont="1" applyFill="1" applyBorder="1" applyAlignment="1">
      <alignment horizontal="right" vertical="center" wrapText="1"/>
    </xf>
    <xf numFmtId="0" fontId="8" fillId="0" borderId="89" xfId="21" applyFont="1" applyFill="1" applyBorder="1" applyAlignment="1">
      <alignment horizontal="center" vertical="center"/>
    </xf>
    <xf numFmtId="3" fontId="8" fillId="0" borderId="88" xfId="16" applyNumberFormat="1" applyFont="1" applyFill="1" applyBorder="1" applyAlignment="1">
      <alignment horizontal="right" vertical="center" wrapText="1"/>
    </xf>
    <xf numFmtId="3" fontId="6" fillId="0" borderId="0" xfId="21" applyNumberFormat="1" applyFont="1" applyFill="1" applyBorder="1" applyAlignment="1">
      <alignment horizontal="right"/>
    </xf>
    <xf numFmtId="3" fontId="6" fillId="0" borderId="0" xfId="21" applyNumberFormat="1" applyFont="1" applyFill="1" applyBorder="1" applyAlignment="1">
      <alignment horizontal="right" wrapText="1"/>
    </xf>
    <xf numFmtId="0" fontId="6" fillId="0" borderId="0" xfId="0" applyFont="1" applyFill="1" applyBorder="1" applyAlignment="1">
      <alignment horizontal="right"/>
    </xf>
    <xf numFmtId="3" fontId="20" fillId="0" borderId="91" xfId="0" applyNumberFormat="1" applyFont="1" applyFill="1" applyBorder="1" applyAlignment="1"/>
    <xf numFmtId="3" fontId="14" fillId="0" borderId="58" xfId="0" applyNumberFormat="1" applyFont="1" applyFill="1" applyBorder="1" applyAlignment="1"/>
    <xf numFmtId="3" fontId="14" fillId="0" borderId="28" xfId="0" applyNumberFormat="1" applyFont="1" applyFill="1" applyBorder="1" applyAlignment="1"/>
    <xf numFmtId="3" fontId="20" fillId="0" borderId="22" xfId="0" applyNumberFormat="1" applyFont="1" applyFill="1" applyBorder="1" applyAlignment="1">
      <alignment vertical="center"/>
    </xf>
    <xf numFmtId="3" fontId="20" fillId="0" borderId="16" xfId="0" applyNumberFormat="1" applyFont="1" applyFill="1" applyBorder="1" applyAlignment="1">
      <alignment horizontal="right" wrapText="1"/>
    </xf>
    <xf numFmtId="3" fontId="17" fillId="0" borderId="17" xfId="0" applyNumberFormat="1" applyFont="1" applyFill="1" applyBorder="1" applyAlignment="1">
      <alignment horizontal="right" wrapText="1"/>
    </xf>
    <xf numFmtId="3" fontId="16" fillId="0" borderId="16" xfId="15" applyNumberFormat="1" applyFont="1" applyFill="1" applyBorder="1" applyAlignment="1">
      <alignment wrapText="1"/>
    </xf>
    <xf numFmtId="3" fontId="16" fillId="0" borderId="22" xfId="15" applyNumberFormat="1" applyFont="1" applyFill="1" applyBorder="1" applyAlignment="1">
      <alignment horizontal="left" vertical="top" wrapText="1" indent="4"/>
    </xf>
    <xf numFmtId="3" fontId="17" fillId="0" borderId="16" xfId="0" applyNumberFormat="1" applyFont="1" applyFill="1" applyBorder="1" applyAlignment="1">
      <alignment horizontal="right" vertical="center" wrapText="1"/>
    </xf>
    <xf numFmtId="3" fontId="16" fillId="0" borderId="16" xfId="15" applyNumberFormat="1" applyFont="1" applyFill="1" applyBorder="1" applyAlignment="1">
      <alignment horizontal="left" wrapText="1"/>
    </xf>
    <xf numFmtId="3" fontId="16" fillId="0" borderId="16" xfId="15" applyNumberFormat="1" applyFont="1" applyFill="1" applyBorder="1" applyAlignment="1">
      <alignment horizontal="left" wrapText="1" indent="3"/>
    </xf>
    <xf numFmtId="3" fontId="20" fillId="0" borderId="16" xfId="0" applyNumberFormat="1" applyFont="1" applyFill="1" applyBorder="1" applyAlignment="1">
      <alignment horizontal="right" vertical="center" wrapText="1"/>
    </xf>
    <xf numFmtId="3" fontId="17" fillId="0" borderId="16" xfId="0" applyNumberFormat="1" applyFont="1" applyFill="1" applyBorder="1" applyAlignment="1">
      <alignment horizontal="right" wrapText="1"/>
    </xf>
    <xf numFmtId="3" fontId="17" fillId="0" borderId="92" xfId="15" applyNumberFormat="1" applyFont="1" applyFill="1" applyBorder="1" applyAlignment="1">
      <alignment horizontal="right" vertical="center"/>
    </xf>
    <xf numFmtId="3" fontId="14" fillId="0" borderId="59" xfId="0" applyNumberFormat="1" applyFont="1" applyFill="1" applyBorder="1" applyAlignment="1">
      <alignment horizontal="right" vertical="center" wrapText="1"/>
    </xf>
    <xf numFmtId="0" fontId="32" fillId="0" borderId="22" xfId="20" applyFont="1" applyFill="1" applyBorder="1" applyAlignment="1">
      <alignment wrapText="1"/>
    </xf>
    <xf numFmtId="3" fontId="6" fillId="0" borderId="0" xfId="0" applyNumberFormat="1" applyFont="1" applyFill="1" applyAlignment="1">
      <alignment horizontal="right" vertical="center"/>
    </xf>
    <xf numFmtId="3" fontId="8" fillId="0" borderId="0" xfId="0" applyNumberFormat="1" applyFont="1" applyFill="1" applyAlignment="1">
      <alignment horizontal="right" vertical="center"/>
    </xf>
    <xf numFmtId="3" fontId="17" fillId="0" borderId="51" xfId="18" applyNumberFormat="1" applyFont="1" applyFill="1" applyBorder="1" applyAlignment="1"/>
    <xf numFmtId="3" fontId="14" fillId="0" borderId="51" xfId="18" applyNumberFormat="1" applyFont="1" applyFill="1" applyBorder="1" applyAlignment="1">
      <alignment horizontal="center"/>
    </xf>
    <xf numFmtId="3" fontId="14" fillId="0" borderId="16" xfId="18" applyNumberFormat="1" applyFont="1" applyFill="1" applyBorder="1" applyAlignment="1"/>
    <xf numFmtId="3" fontId="14" fillId="0" borderId="16" xfId="18" applyNumberFormat="1" applyFont="1" applyFill="1" applyBorder="1" applyAlignment="1">
      <alignment horizontal="center"/>
    </xf>
    <xf numFmtId="3" fontId="14" fillId="0" borderId="22" xfId="18" applyNumberFormat="1" applyFont="1" applyFill="1" applyBorder="1" applyAlignment="1">
      <alignment horizontal="center"/>
    </xf>
    <xf numFmtId="3" fontId="14" fillId="0" borderId="16" xfId="18" applyNumberFormat="1" applyFont="1" applyFill="1" applyBorder="1" applyAlignment="1">
      <alignment horizontal="center" vertical="top" wrapText="1"/>
    </xf>
    <xf numFmtId="3" fontId="14" fillId="0" borderId="16" xfId="18" applyNumberFormat="1" applyFont="1" applyFill="1" applyBorder="1" applyAlignment="1">
      <alignment horizontal="center" vertical="center"/>
    </xf>
    <xf numFmtId="3" fontId="14" fillId="0" borderId="53" xfId="18" applyNumberFormat="1" applyFont="1" applyFill="1" applyBorder="1" applyAlignment="1">
      <alignment horizontal="center" vertical="center"/>
    </xf>
    <xf numFmtId="3" fontId="17" fillId="0" borderId="22" xfId="0" applyNumberFormat="1" applyFont="1" applyFill="1" applyBorder="1" applyAlignment="1">
      <alignment horizontal="left"/>
    </xf>
    <xf numFmtId="3" fontId="17" fillId="0" borderId="15" xfId="0" applyNumberFormat="1" applyFont="1" applyFill="1" applyBorder="1" applyAlignment="1">
      <alignment horizontal="center" vertical="center"/>
    </xf>
    <xf numFmtId="3" fontId="14" fillId="0" borderId="22" xfId="18" applyNumberFormat="1" applyFont="1" applyFill="1" applyBorder="1" applyAlignment="1">
      <alignment horizontal="center" vertical="center"/>
    </xf>
    <xf numFmtId="3" fontId="17" fillId="0" borderId="51" xfId="0" applyNumberFormat="1" applyFont="1" applyFill="1" applyBorder="1" applyAlignment="1">
      <alignment horizontal="center" vertical="center"/>
    </xf>
    <xf numFmtId="3" fontId="14" fillId="0" borderId="16" xfId="0" applyNumberFormat="1" applyFont="1" applyFill="1" applyBorder="1" applyAlignment="1">
      <alignment horizontal="center" vertical="center" wrapText="1"/>
    </xf>
    <xf numFmtId="0" fontId="29" fillId="0" borderId="0" xfId="0" applyFont="1" applyFill="1" applyAlignment="1"/>
    <xf numFmtId="0" fontId="6" fillId="0" borderId="0" xfId="20" applyFont="1" applyFill="1" applyBorder="1" applyAlignment="1">
      <alignment vertical="top"/>
    </xf>
    <xf numFmtId="0" fontId="29" fillId="0" borderId="0" xfId="0" applyFont="1" applyFill="1" applyAlignment="1">
      <alignment vertical="top"/>
    </xf>
    <xf numFmtId="0" fontId="6" fillId="0" borderId="0" xfId="20" applyFont="1" applyFill="1" applyBorder="1" applyAlignment="1">
      <alignment horizontal="center" wrapText="1"/>
    </xf>
    <xf numFmtId="3" fontId="6" fillId="0" borderId="6" xfId="20" applyNumberFormat="1" applyFont="1" applyFill="1" applyBorder="1" applyAlignment="1">
      <alignment horizontal="center"/>
    </xf>
    <xf numFmtId="3" fontId="8" fillId="0" borderId="47" xfId="20" applyNumberFormat="1" applyFont="1" applyFill="1" applyBorder="1" applyAlignment="1">
      <alignment horizontal="center" vertical="center" wrapText="1"/>
    </xf>
    <xf numFmtId="0" fontId="6" fillId="0" borderId="28" xfId="20" applyFont="1" applyFill="1" applyBorder="1" applyAlignment="1">
      <alignment horizontal="center"/>
    </xf>
    <xf numFmtId="0" fontId="6" fillId="0" borderId="22" xfId="20" applyFont="1" applyFill="1" applyBorder="1" applyAlignment="1">
      <alignment horizontal="center"/>
    </xf>
    <xf numFmtId="3" fontId="8" fillId="0" borderId="22" xfId="20" applyNumberFormat="1" applyFont="1" applyFill="1" applyBorder="1" applyAlignment="1">
      <alignment horizontal="center" wrapText="1"/>
    </xf>
    <xf numFmtId="3" fontId="8" fillId="0" borderId="95" xfId="20" applyNumberFormat="1" applyFont="1" applyFill="1" applyBorder="1" applyAlignment="1">
      <alignment horizontal="center" wrapText="1"/>
    </xf>
    <xf numFmtId="0" fontId="6" fillId="0" borderId="16" xfId="20" applyFont="1" applyFill="1" applyBorder="1" applyAlignment="1">
      <alignment horizontal="center"/>
    </xf>
    <xf numFmtId="3" fontId="6" fillId="0" borderId="16" xfId="20" applyNumberFormat="1" applyFont="1" applyFill="1" applyBorder="1" applyAlignment="1"/>
    <xf numFmtId="3" fontId="6" fillId="0" borderId="96" xfId="20" applyNumberFormat="1" applyFont="1" applyFill="1" applyBorder="1"/>
    <xf numFmtId="0" fontId="6" fillId="0" borderId="16" xfId="20" applyFont="1" applyFill="1" applyBorder="1" applyAlignment="1"/>
    <xf numFmtId="0" fontId="6" fillId="0" borderId="16" xfId="20" applyFont="1" applyFill="1" applyBorder="1" applyAlignment="1">
      <alignment horizontal="left" wrapText="1" indent="1"/>
    </xf>
    <xf numFmtId="0" fontId="6" fillId="0" borderId="16" xfId="20" applyFont="1" applyFill="1" applyBorder="1" applyAlignment="1">
      <alignment horizontal="center" vertical="center"/>
    </xf>
    <xf numFmtId="3" fontId="6" fillId="0" borderId="96" xfId="20" applyNumberFormat="1" applyFont="1" applyFill="1" applyBorder="1" applyAlignment="1"/>
    <xf numFmtId="3" fontId="6" fillId="0" borderId="96" xfId="20" applyNumberFormat="1" applyFont="1" applyFill="1" applyBorder="1" applyAlignment="1">
      <alignment vertical="top"/>
    </xf>
    <xf numFmtId="3" fontId="8" fillId="0" borderId="47" xfId="20" applyNumberFormat="1" applyFont="1" applyFill="1" applyBorder="1" applyAlignment="1">
      <alignment vertical="center"/>
    </xf>
    <xf numFmtId="0" fontId="8" fillId="0" borderId="61" xfId="20" applyFont="1" applyFill="1" applyBorder="1" applyAlignment="1">
      <alignment horizontal="center"/>
    </xf>
    <xf numFmtId="0" fontId="8" fillId="0" borderId="61" xfId="20" applyFont="1" applyFill="1" applyBorder="1" applyAlignment="1">
      <alignment horizontal="center" vertical="center"/>
    </xf>
    <xf numFmtId="3" fontId="8" fillId="0" borderId="61" xfId="20" applyNumberFormat="1" applyFont="1" applyFill="1" applyBorder="1" applyAlignment="1">
      <alignment vertical="center"/>
    </xf>
    <xf numFmtId="3" fontId="6" fillId="0" borderId="92" xfId="20" applyNumberFormat="1" applyFont="1" applyFill="1" applyBorder="1"/>
    <xf numFmtId="4" fontId="6" fillId="0" borderId="2" xfId="0" applyNumberFormat="1" applyFont="1" applyFill="1" applyBorder="1" applyAlignment="1">
      <alignment horizontal="center" vertical="center" wrapText="1"/>
    </xf>
    <xf numFmtId="4" fontId="6" fillId="0" borderId="0" xfId="0" applyNumberFormat="1" applyFont="1" applyFill="1" applyBorder="1" applyAlignment="1"/>
    <xf numFmtId="4" fontId="6" fillId="0" borderId="0" xfId="0" applyNumberFormat="1" applyFont="1" applyFill="1" applyBorder="1" applyAlignment="1">
      <alignment vertical="top"/>
    </xf>
    <xf numFmtId="4" fontId="8" fillId="0" borderId="6" xfId="0" applyNumberFormat="1" applyFont="1" applyFill="1" applyBorder="1" applyAlignment="1">
      <alignment vertical="center"/>
    </xf>
    <xf numFmtId="4" fontId="6" fillId="0" borderId="6" xfId="0" applyNumberFormat="1" applyFont="1" applyFill="1" applyBorder="1" applyAlignment="1">
      <alignment vertical="center"/>
    </xf>
    <xf numFmtId="3" fontId="6" fillId="0" borderId="0" xfId="0" applyNumberFormat="1" applyFont="1" applyFill="1" applyBorder="1" applyAlignment="1">
      <alignment vertical="center"/>
    </xf>
    <xf numFmtId="0" fontId="6" fillId="0" borderId="0" xfId="0" applyFont="1" applyFill="1" applyBorder="1" applyAlignment="1">
      <alignment horizontal="right" vertical="center"/>
    </xf>
    <xf numFmtId="3" fontId="6" fillId="0" borderId="0" xfId="0" applyNumberFormat="1" applyFont="1" applyFill="1" applyBorder="1" applyAlignment="1">
      <alignment horizontal="center" vertical="center"/>
    </xf>
    <xf numFmtId="0" fontId="8" fillId="0" borderId="74" xfId="0" applyFont="1" applyFill="1" applyBorder="1" applyAlignment="1">
      <alignment horizontal="left"/>
    </xf>
    <xf numFmtId="0" fontId="8" fillId="0" borderId="98" xfId="0" applyFont="1" applyFill="1" applyBorder="1" applyAlignment="1">
      <alignment horizontal="center"/>
    </xf>
    <xf numFmtId="0" fontId="8" fillId="0" borderId="100" xfId="0" applyFont="1" applyFill="1" applyBorder="1" applyAlignment="1">
      <alignment horizontal="center"/>
    </xf>
    <xf numFmtId="0" fontId="8" fillId="0" borderId="11" xfId="0" applyFont="1" applyFill="1" applyBorder="1" applyAlignment="1">
      <alignment horizontal="center"/>
    </xf>
    <xf numFmtId="3" fontId="6" fillId="0" borderId="102" xfId="0" applyNumberFormat="1" applyFont="1" applyFill="1" applyBorder="1"/>
    <xf numFmtId="0" fontId="6" fillId="0" borderId="103" xfId="0" applyFont="1" applyFill="1" applyBorder="1" applyAlignment="1">
      <alignment horizontal="center"/>
    </xf>
    <xf numFmtId="0" fontId="6" fillId="0" borderId="0" xfId="0" applyFont="1" applyFill="1" applyBorder="1" applyAlignment="1">
      <alignment wrapText="1"/>
    </xf>
    <xf numFmtId="0" fontId="6" fillId="0" borderId="103" xfId="0" applyFont="1" applyFill="1" applyBorder="1" applyAlignment="1">
      <alignment horizontal="center" vertical="top"/>
    </xf>
    <xf numFmtId="0" fontId="8" fillId="0" borderId="75" xfId="0" applyFont="1" applyFill="1" applyBorder="1" applyAlignment="1">
      <alignment horizontal="right" vertical="center"/>
    </xf>
    <xf numFmtId="0" fontId="8" fillId="0" borderId="8" xfId="0" applyFont="1" applyFill="1" applyBorder="1" applyAlignment="1">
      <alignment horizontal="left" vertical="center"/>
    </xf>
    <xf numFmtId="3" fontId="8" fillId="0" borderId="104" xfId="0" applyNumberFormat="1" applyFont="1" applyFill="1" applyBorder="1" applyAlignment="1">
      <alignment vertical="center"/>
    </xf>
    <xf numFmtId="3" fontId="8" fillId="0" borderId="105" xfId="0" applyNumberFormat="1" applyFont="1" applyFill="1" applyBorder="1" applyAlignment="1">
      <alignment horizontal="center" vertical="center"/>
    </xf>
    <xf numFmtId="3" fontId="8" fillId="0" borderId="106" xfId="0" applyNumberFormat="1" applyFont="1" applyFill="1" applyBorder="1" applyAlignment="1">
      <alignment horizontal="right" vertical="center"/>
    </xf>
    <xf numFmtId="0" fontId="8" fillId="0" borderId="4" xfId="0" applyFont="1" applyFill="1" applyBorder="1" applyAlignment="1">
      <alignment horizontal="left"/>
    </xf>
    <xf numFmtId="0" fontId="8" fillId="0" borderId="103" xfId="0" applyFont="1" applyFill="1" applyBorder="1" applyAlignment="1">
      <alignment horizontal="center"/>
    </xf>
    <xf numFmtId="0" fontId="6" fillId="0" borderId="0" xfId="0" applyFont="1" applyFill="1" applyBorder="1" applyAlignment="1">
      <alignment horizontal="left"/>
    </xf>
    <xf numFmtId="3" fontId="6" fillId="0" borderId="102" xfId="0" applyNumberFormat="1" applyFont="1" applyFill="1" applyBorder="1" applyAlignment="1">
      <alignment horizontal="right"/>
    </xf>
    <xf numFmtId="1" fontId="6" fillId="0" borderId="103" xfId="0" applyNumberFormat="1" applyFont="1" applyFill="1" applyBorder="1" applyAlignment="1">
      <alignment horizontal="center"/>
    </xf>
    <xf numFmtId="3" fontId="6" fillId="0" borderId="107" xfId="0" applyNumberFormat="1" applyFont="1" applyFill="1" applyBorder="1" applyAlignment="1">
      <alignment horizontal="right"/>
    </xf>
    <xf numFmtId="0" fontId="8" fillId="0" borderId="76" xfId="0" applyFont="1" applyFill="1" applyBorder="1" applyAlignment="1">
      <alignment horizontal="right" vertical="center"/>
    </xf>
    <xf numFmtId="0" fontId="8" fillId="0" borderId="35" xfId="0" applyFont="1" applyFill="1" applyBorder="1" applyAlignment="1">
      <alignment horizontal="left" vertical="center"/>
    </xf>
    <xf numFmtId="3" fontId="8" fillId="0" borderId="108" xfId="0" applyNumberFormat="1" applyFont="1" applyFill="1" applyBorder="1" applyAlignment="1">
      <alignment horizontal="center" vertical="center"/>
    </xf>
    <xf numFmtId="3" fontId="8" fillId="0" borderId="109" xfId="0" applyNumberFormat="1" applyFont="1" applyFill="1" applyBorder="1" applyAlignment="1">
      <alignment horizontal="right" vertical="center"/>
    </xf>
    <xf numFmtId="0" fontId="8" fillId="0" borderId="110" xfId="0" applyFont="1" applyFill="1" applyBorder="1" applyAlignment="1">
      <alignment vertical="center"/>
    </xf>
    <xf numFmtId="0" fontId="8" fillId="0" borderId="111" xfId="0" applyFont="1" applyFill="1" applyBorder="1" applyAlignment="1">
      <alignment horizontal="center" vertical="center"/>
    </xf>
    <xf numFmtId="0" fontId="8" fillId="0" borderId="112" xfId="0" applyFont="1" applyFill="1" applyBorder="1" applyAlignment="1">
      <alignment vertical="center"/>
    </xf>
    <xf numFmtId="0" fontId="6" fillId="0" borderId="4" xfId="0" applyFont="1" applyFill="1" applyBorder="1" applyAlignment="1">
      <alignment horizontal="right" vertical="center"/>
    </xf>
    <xf numFmtId="0" fontId="6" fillId="0" borderId="103" xfId="0" applyFont="1" applyFill="1" applyBorder="1" applyAlignment="1">
      <alignment horizontal="center" vertical="center"/>
    </xf>
    <xf numFmtId="0" fontId="6" fillId="0" borderId="108" xfId="0" applyFont="1" applyFill="1" applyBorder="1" applyAlignment="1">
      <alignment horizontal="center" vertical="center"/>
    </xf>
    <xf numFmtId="0" fontId="6" fillId="0" borderId="35" xfId="0" applyFont="1" applyFill="1" applyBorder="1" applyAlignment="1">
      <alignment vertical="center"/>
    </xf>
    <xf numFmtId="0" fontId="6" fillId="0" borderId="76" xfId="0" applyFont="1" applyFill="1" applyBorder="1" applyAlignment="1">
      <alignment horizontal="right" vertical="center"/>
    </xf>
    <xf numFmtId="0" fontId="8" fillId="0" borderId="108" xfId="0" applyFont="1" applyFill="1" applyBorder="1" applyAlignment="1">
      <alignment horizontal="right" vertical="center"/>
    </xf>
    <xf numFmtId="0" fontId="8" fillId="0" borderId="113" xfId="0" applyFont="1" applyFill="1" applyBorder="1" applyAlignment="1">
      <alignment horizontal="right" vertical="center"/>
    </xf>
    <xf numFmtId="0" fontId="8" fillId="0" borderId="114" xfId="0" applyFont="1" applyFill="1" applyBorder="1" applyAlignment="1">
      <alignment horizontal="left" vertical="center"/>
    </xf>
    <xf numFmtId="3" fontId="8" fillId="0" borderId="103" xfId="0" applyNumberFormat="1" applyFont="1" applyFill="1" applyBorder="1" applyAlignment="1">
      <alignment horizontal="center" vertical="center"/>
    </xf>
    <xf numFmtId="0" fontId="8" fillId="0" borderId="0" xfId="0" applyFont="1" applyFill="1" applyBorder="1" applyAlignment="1">
      <alignment horizontal="left" vertical="center"/>
    </xf>
    <xf numFmtId="0" fontId="8" fillId="0" borderId="4" xfId="0" applyFont="1" applyFill="1" applyBorder="1" applyAlignment="1">
      <alignment horizontal="right" vertical="center"/>
    </xf>
    <xf numFmtId="0" fontId="6" fillId="0" borderId="0" xfId="0" applyFont="1" applyFill="1" applyBorder="1" applyAlignment="1">
      <alignment horizontal="left" indent="2"/>
    </xf>
    <xf numFmtId="0" fontId="8" fillId="0" borderId="115" xfId="0" applyFont="1" applyFill="1" applyBorder="1" applyAlignment="1">
      <alignment horizontal="left" vertical="center"/>
    </xf>
    <xf numFmtId="0" fontId="8" fillId="0" borderId="0" xfId="0" applyFont="1" applyFill="1" applyBorder="1" applyAlignment="1">
      <alignment horizontal="left" vertical="center" wrapText="1"/>
    </xf>
    <xf numFmtId="0" fontId="8" fillId="0" borderId="116" xfId="0" applyFont="1" applyFill="1" applyBorder="1" applyAlignment="1">
      <alignment horizontal="right" vertical="center"/>
    </xf>
    <xf numFmtId="0" fontId="8" fillId="0" borderId="10" xfId="0" applyFont="1" applyFill="1" applyBorder="1" applyAlignment="1">
      <alignment horizontal="left" vertical="center" wrapText="1"/>
    </xf>
    <xf numFmtId="3" fontId="8" fillId="0" borderId="117" xfId="0" applyNumberFormat="1" applyFont="1" applyFill="1" applyBorder="1" applyAlignment="1">
      <alignment horizontal="center" vertical="center"/>
    </xf>
    <xf numFmtId="0" fontId="8" fillId="0" borderId="10" xfId="0" applyFont="1" applyFill="1" applyBorder="1" applyAlignment="1">
      <alignment horizontal="left" vertical="center"/>
    </xf>
    <xf numFmtId="0" fontId="6" fillId="0" borderId="4" xfId="0" applyFont="1" applyFill="1" applyBorder="1" applyAlignment="1">
      <alignment horizontal="right"/>
    </xf>
    <xf numFmtId="0" fontId="6" fillId="0" borderId="103" xfId="0" applyFont="1" applyFill="1" applyBorder="1" applyAlignment="1">
      <alignment horizontal="right"/>
    </xf>
    <xf numFmtId="0" fontId="6" fillId="0" borderId="5" xfId="0" applyFont="1" applyFill="1" applyBorder="1" applyAlignment="1">
      <alignment horizontal="right"/>
    </xf>
    <xf numFmtId="0" fontId="6" fillId="0" borderId="6" xfId="0" applyFont="1" applyFill="1" applyBorder="1"/>
    <xf numFmtId="0" fontId="6" fillId="0" borderId="118" xfId="0" applyFont="1" applyFill="1" applyBorder="1" applyAlignment="1">
      <alignment horizontal="right"/>
    </xf>
    <xf numFmtId="3" fontId="8" fillId="0" borderId="102" xfId="0" applyNumberFormat="1" applyFont="1" applyFill="1" applyBorder="1" applyAlignment="1">
      <alignment horizontal="right"/>
    </xf>
    <xf numFmtId="3" fontId="8" fillId="0" borderId="119" xfId="0" applyNumberFormat="1" applyFont="1" applyFill="1" applyBorder="1" applyAlignment="1">
      <alignment horizontal="right" vertical="center"/>
    </xf>
    <xf numFmtId="3" fontId="6" fillId="0" borderId="102" xfId="0" applyNumberFormat="1" applyFont="1" applyFill="1" applyBorder="1" applyAlignment="1">
      <alignment horizontal="right" vertical="center"/>
    </xf>
    <xf numFmtId="3" fontId="6" fillId="0" borderId="119" xfId="0" applyNumberFormat="1" applyFont="1" applyFill="1" applyBorder="1" applyAlignment="1">
      <alignment horizontal="right" vertical="center"/>
    </xf>
    <xf numFmtId="3" fontId="8" fillId="0" borderId="120" xfId="0" applyNumberFormat="1" applyFont="1" applyFill="1" applyBorder="1" applyAlignment="1">
      <alignment horizontal="right" vertical="center"/>
    </xf>
    <xf numFmtId="3" fontId="8" fillId="0" borderId="102" xfId="0" applyNumberFormat="1" applyFont="1" applyFill="1" applyBorder="1" applyAlignment="1">
      <alignment horizontal="right" vertical="center"/>
    </xf>
    <xf numFmtId="3" fontId="8" fillId="0" borderId="121" xfId="0" applyNumberFormat="1" applyFont="1" applyFill="1" applyBorder="1" applyAlignment="1">
      <alignment horizontal="right" vertical="center"/>
    </xf>
    <xf numFmtId="165" fontId="6" fillId="0" borderId="102" xfId="22" applyNumberFormat="1" applyFont="1" applyFill="1" applyBorder="1" applyAlignment="1">
      <alignment horizontal="right"/>
    </xf>
    <xf numFmtId="165" fontId="6" fillId="0" borderId="122" xfId="22" applyNumberFormat="1" applyFont="1" applyFill="1" applyBorder="1" applyAlignment="1">
      <alignment horizontal="right"/>
    </xf>
    <xf numFmtId="3" fontId="6" fillId="0" borderId="107" xfId="0" applyNumberFormat="1" applyFont="1" applyFill="1" applyBorder="1" applyAlignment="1">
      <alignment horizontal="right" vertical="center" textRotation="180"/>
    </xf>
    <xf numFmtId="3" fontId="8" fillId="0" borderId="123" xfId="0" applyNumberFormat="1" applyFont="1" applyFill="1" applyBorder="1" applyAlignment="1">
      <alignment horizontal="right" vertical="center"/>
    </xf>
    <xf numFmtId="3" fontId="6" fillId="0" borderId="107" xfId="0" applyNumberFormat="1" applyFont="1" applyFill="1" applyBorder="1" applyAlignment="1">
      <alignment horizontal="right" vertical="center"/>
    </xf>
    <xf numFmtId="3" fontId="6" fillId="0" borderId="109" xfId="0" applyNumberFormat="1" applyFont="1" applyFill="1" applyBorder="1" applyAlignment="1">
      <alignment horizontal="right" vertical="center"/>
    </xf>
    <xf numFmtId="3" fontId="6" fillId="0" borderId="124" xfId="0" applyNumberFormat="1" applyFont="1" applyFill="1" applyBorder="1" applyAlignment="1">
      <alignment horizontal="right" vertical="center"/>
    </xf>
    <xf numFmtId="165" fontId="6" fillId="0" borderId="107" xfId="22" applyNumberFormat="1" applyFont="1" applyFill="1" applyBorder="1" applyAlignment="1">
      <alignment horizontal="right"/>
    </xf>
    <xf numFmtId="165" fontId="6" fillId="0" borderId="33" xfId="22" applyNumberFormat="1" applyFont="1" applyFill="1" applyBorder="1" applyAlignment="1">
      <alignment horizontal="right"/>
    </xf>
    <xf numFmtId="3" fontId="14" fillId="0" borderId="60" xfId="0" applyNumberFormat="1" applyFont="1" applyFill="1" applyBorder="1" applyAlignment="1">
      <alignment horizontal="right" vertical="center" wrapText="1"/>
    </xf>
    <xf numFmtId="3" fontId="20" fillId="0" borderId="82" xfId="0" applyNumberFormat="1" applyFont="1" applyFill="1" applyBorder="1" applyAlignment="1">
      <alignment vertical="center"/>
    </xf>
    <xf numFmtId="3" fontId="22" fillId="0" borderId="82" xfId="0" applyNumberFormat="1" applyFont="1" applyFill="1" applyBorder="1" applyAlignment="1">
      <alignment vertical="center"/>
    </xf>
    <xf numFmtId="3" fontId="20" fillId="0" borderId="125" xfId="0" applyNumberFormat="1" applyFont="1" applyFill="1" applyBorder="1" applyAlignment="1">
      <alignment vertical="center"/>
    </xf>
    <xf numFmtId="3" fontId="29" fillId="0" borderId="0" xfId="0" applyNumberFormat="1" applyFont="1" applyFill="1" applyBorder="1" applyAlignment="1">
      <alignment vertical="center"/>
    </xf>
    <xf numFmtId="3" fontId="6" fillId="0" borderId="96" xfId="20" applyNumberFormat="1" applyFont="1" applyFill="1" applyBorder="1" applyAlignment="1">
      <alignment horizontal="right" vertical="center"/>
    </xf>
    <xf numFmtId="3" fontId="8" fillId="0" borderId="48" xfId="20" applyNumberFormat="1" applyFont="1" applyFill="1" applyBorder="1" applyAlignment="1">
      <alignment horizontal="right" vertical="center"/>
    </xf>
    <xf numFmtId="3" fontId="8" fillId="0" borderId="47" xfId="20" applyNumberFormat="1" applyFont="1" applyFill="1" applyBorder="1" applyAlignment="1">
      <alignment horizontal="right" vertical="center"/>
    </xf>
    <xf numFmtId="3" fontId="8" fillId="0" borderId="47" xfId="16" applyNumberFormat="1" applyFont="1" applyFill="1" applyBorder="1" applyAlignment="1">
      <alignment horizontal="right" vertical="center" wrapText="1"/>
    </xf>
    <xf numFmtId="3" fontId="8" fillId="0" borderId="126" xfId="16" applyNumberFormat="1" applyFont="1" applyFill="1" applyBorder="1" applyAlignment="1">
      <alignment horizontal="right" vertical="center" wrapText="1"/>
    </xf>
    <xf numFmtId="0" fontId="6" fillId="0" borderId="127" xfId="0" applyFont="1" applyFill="1" applyBorder="1" applyAlignment="1">
      <alignment horizontal="center" vertical="center"/>
    </xf>
    <xf numFmtId="164" fontId="8" fillId="0" borderId="46" xfId="0" applyNumberFormat="1" applyFont="1" applyFill="1" applyBorder="1" applyAlignment="1">
      <alignment vertical="center" wrapText="1"/>
    </xf>
    <xf numFmtId="4" fontId="8" fillId="0" borderId="46" xfId="0" applyNumberFormat="1" applyFont="1" applyFill="1" applyBorder="1" applyAlignment="1">
      <alignment vertical="center"/>
    </xf>
    <xf numFmtId="4" fontId="15" fillId="0" borderId="128" xfId="0" applyNumberFormat="1" applyFont="1" applyFill="1" applyBorder="1" applyAlignment="1">
      <alignment horizontal="center" vertical="center"/>
    </xf>
    <xf numFmtId="164" fontId="6" fillId="0" borderId="0" xfId="18" applyNumberFormat="1" applyFont="1" applyFill="1" applyBorder="1" applyAlignment="1">
      <alignment wrapText="1"/>
    </xf>
    <xf numFmtId="0" fontId="6" fillId="0" borderId="129" xfId="0" applyFont="1" applyFill="1" applyBorder="1" applyAlignment="1">
      <alignment horizontal="center"/>
    </xf>
    <xf numFmtId="164" fontId="6" fillId="0" borderId="0" xfId="0" applyNumberFormat="1" applyFont="1" applyFill="1" applyBorder="1" applyAlignment="1">
      <alignment horizontal="left" vertical="top" wrapText="1"/>
    </xf>
    <xf numFmtId="164" fontId="6" fillId="0" borderId="0" xfId="18" applyNumberFormat="1" applyFont="1" applyFill="1" applyBorder="1" applyAlignment="1">
      <alignment vertical="top" wrapText="1"/>
    </xf>
    <xf numFmtId="0" fontId="6" fillId="0" borderId="0" xfId="0" applyFont="1" applyFill="1" applyBorder="1" applyAlignment="1">
      <alignment vertical="top" wrapText="1"/>
    </xf>
    <xf numFmtId="3" fontId="14" fillId="0" borderId="28" xfId="0" applyNumberFormat="1" applyFont="1" applyFill="1" applyBorder="1" applyAlignment="1">
      <alignment horizontal="center" vertical="top"/>
    </xf>
    <xf numFmtId="0" fontId="6" fillId="0" borderId="15" xfId="21" applyFont="1" applyFill="1" applyBorder="1" applyAlignment="1">
      <alignment horizontal="center" vertical="top"/>
    </xf>
    <xf numFmtId="0" fontId="6" fillId="0" borderId="22" xfId="20" applyFont="1" applyFill="1" applyBorder="1" applyAlignment="1">
      <alignment horizontal="center" wrapText="1"/>
    </xf>
    <xf numFmtId="3" fontId="17" fillId="0" borderId="93" xfId="15" applyNumberFormat="1" applyFont="1" applyFill="1" applyBorder="1" applyAlignment="1">
      <alignment horizontal="right"/>
    </xf>
    <xf numFmtId="3" fontId="17" fillId="0" borderId="131" xfId="15" applyNumberFormat="1" applyFont="1" applyFill="1" applyBorder="1" applyAlignment="1">
      <alignment horizontal="right"/>
    </xf>
    <xf numFmtId="3" fontId="17" fillId="0" borderId="131" xfId="15" applyNumberFormat="1" applyFont="1" applyFill="1" applyBorder="1" applyAlignment="1">
      <alignment horizontal="right" vertical="center"/>
    </xf>
    <xf numFmtId="3" fontId="20" fillId="0" borderId="131" xfId="15" applyNumberFormat="1" applyFont="1" applyFill="1" applyBorder="1" applyAlignment="1">
      <alignment horizontal="right"/>
    </xf>
    <xf numFmtId="3" fontId="20" fillId="0" borderId="131" xfId="15" applyNumberFormat="1" applyFont="1" applyFill="1" applyBorder="1" applyAlignment="1">
      <alignment horizontal="right" vertical="center"/>
    </xf>
    <xf numFmtId="3" fontId="14" fillId="0" borderId="131" xfId="0" applyNumberFormat="1" applyFont="1" applyFill="1" applyBorder="1" applyAlignment="1"/>
    <xf numFmtId="3" fontId="8" fillId="0" borderId="95" xfId="20" applyNumberFormat="1" applyFont="1" applyFill="1" applyBorder="1" applyAlignment="1">
      <alignment horizontal="right" vertical="center" wrapText="1"/>
    </xf>
    <xf numFmtId="3" fontId="6" fillId="0" borderId="95" xfId="20" applyNumberFormat="1" applyFont="1" applyFill="1" applyBorder="1" applyAlignment="1">
      <alignment horizontal="right" vertical="center"/>
    </xf>
    <xf numFmtId="3" fontId="6" fillId="0" borderId="95" xfId="20" applyNumberFormat="1" applyFont="1" applyFill="1" applyBorder="1" applyAlignment="1">
      <alignment horizontal="left" vertical="center"/>
    </xf>
    <xf numFmtId="3" fontId="6" fillId="0" borderId="96" xfId="20" applyNumberFormat="1" applyFont="1" applyFill="1" applyBorder="1" applyAlignment="1">
      <alignment horizontal="left" vertical="center"/>
    </xf>
    <xf numFmtId="3" fontId="6" fillId="0" borderId="135" xfId="20" applyNumberFormat="1" applyFont="1" applyFill="1" applyBorder="1" applyAlignment="1">
      <alignment horizontal="right" vertical="center"/>
    </xf>
    <xf numFmtId="3" fontId="6" fillId="0" borderId="0" xfId="20" applyNumberFormat="1" applyFont="1" applyFill="1" applyBorder="1" applyAlignment="1">
      <alignment horizontal="right" vertical="center"/>
    </xf>
    <xf numFmtId="0" fontId="23" fillId="0" borderId="16" xfId="20" applyFont="1" applyFill="1" applyBorder="1" applyAlignment="1">
      <alignment wrapText="1"/>
    </xf>
    <xf numFmtId="0" fontId="32" fillId="0" borderId="16" xfId="20" applyFont="1" applyFill="1" applyBorder="1" applyAlignment="1">
      <alignment horizontal="left" wrapText="1"/>
    </xf>
    <xf numFmtId="0" fontId="8" fillId="0" borderId="8" xfId="0" applyFont="1" applyFill="1" applyBorder="1" applyAlignment="1">
      <alignment vertical="center"/>
    </xf>
    <xf numFmtId="0" fontId="6" fillId="0" borderId="10" xfId="0" applyFont="1" applyFill="1" applyBorder="1" applyAlignment="1">
      <alignment horizontal="left" wrapText="1" indent="1"/>
    </xf>
    <xf numFmtId="0" fontId="6" fillId="0" borderId="0" xfId="11" applyFont="1" applyFill="1" applyBorder="1"/>
    <xf numFmtId="0" fontId="33" fillId="0" borderId="0" xfId="20" applyFont="1" applyFill="1" applyBorder="1" applyAlignment="1">
      <alignment horizontal="center" vertical="center"/>
    </xf>
    <xf numFmtId="3" fontId="32" fillId="0" borderId="16" xfId="18" applyNumberFormat="1" applyFont="1" applyFill="1" applyBorder="1" applyAlignment="1">
      <alignment wrapText="1"/>
    </xf>
    <xf numFmtId="0" fontId="33" fillId="0" borderId="0" xfId="11" applyFont="1" applyFill="1" applyBorder="1" applyAlignment="1">
      <alignment horizontal="center" vertical="top"/>
    </xf>
    <xf numFmtId="3" fontId="6" fillId="0" borderId="0" xfId="11" applyNumberFormat="1" applyFont="1" applyFill="1" applyBorder="1"/>
    <xf numFmtId="0" fontId="33" fillId="0" borderId="0" xfId="20" applyFont="1" applyFill="1" applyBorder="1" applyAlignment="1">
      <alignment horizontal="center" vertical="top"/>
    </xf>
    <xf numFmtId="0" fontId="6" fillId="0" borderId="0" xfId="20" applyFont="1" applyFill="1" applyBorder="1" applyAlignment="1">
      <alignment horizontal="center" vertical="center" wrapText="1"/>
    </xf>
    <xf numFmtId="0" fontId="6" fillId="0" borderId="61" xfId="20" applyFont="1" applyFill="1" applyBorder="1" applyAlignment="1">
      <alignment horizontal="center" vertical="center"/>
    </xf>
    <xf numFmtId="3" fontId="13" fillId="0" borderId="0" xfId="15" applyNumberFormat="1" applyFont="1" applyFill="1" applyBorder="1" applyAlignment="1">
      <alignment horizontal="center"/>
    </xf>
    <xf numFmtId="3" fontId="10" fillId="0" borderId="0" xfId="0" applyNumberFormat="1" applyFont="1" applyFill="1" applyBorder="1" applyAlignment="1">
      <alignment horizontal="center"/>
    </xf>
    <xf numFmtId="3" fontId="17" fillId="0" borderId="22" xfId="15" applyNumberFormat="1" applyFont="1" applyFill="1" applyBorder="1" applyAlignment="1">
      <alignment wrapText="1"/>
    </xf>
    <xf numFmtId="3" fontId="17" fillId="0" borderId="16" xfId="15" applyNumberFormat="1" applyFont="1" applyFill="1" applyBorder="1" applyAlignment="1">
      <alignment wrapText="1"/>
    </xf>
    <xf numFmtId="3" fontId="20" fillId="0" borderId="17" xfId="0" applyNumberFormat="1" applyFont="1" applyFill="1" applyBorder="1" applyAlignment="1">
      <alignment horizontal="right" vertical="center" wrapText="1"/>
    </xf>
    <xf numFmtId="3" fontId="20" fillId="0" borderId="17" xfId="0" applyNumberFormat="1" applyFont="1" applyFill="1" applyBorder="1" applyAlignment="1">
      <alignment horizontal="right" wrapText="1"/>
    </xf>
    <xf numFmtId="3" fontId="17" fillId="0" borderId="17" xfId="0" applyNumberFormat="1" applyFont="1" applyFill="1" applyBorder="1" applyAlignment="1">
      <alignment horizontal="right" vertical="center" wrapText="1"/>
    </xf>
    <xf numFmtId="3" fontId="8" fillId="0" borderId="16" xfId="15" applyNumberFormat="1" applyFont="1" applyFill="1" applyBorder="1" applyAlignment="1">
      <alignment shrinkToFit="1"/>
    </xf>
    <xf numFmtId="3" fontId="17" fillId="0" borderId="16" xfId="15" applyNumberFormat="1" applyFont="1" applyFill="1" applyBorder="1" applyAlignment="1">
      <alignment shrinkToFit="1"/>
    </xf>
    <xf numFmtId="3" fontId="17" fillId="0" borderId="16" xfId="15" applyNumberFormat="1" applyFont="1" applyFill="1" applyBorder="1" applyAlignment="1">
      <alignment horizontal="left" wrapText="1"/>
    </xf>
    <xf numFmtId="0" fontId="6" fillId="0" borderId="0" xfId="15" applyFont="1" applyFill="1" applyBorder="1" applyAlignment="1">
      <alignment horizontal="center"/>
    </xf>
    <xf numFmtId="1" fontId="24" fillId="0" borderId="0" xfId="15" applyNumberFormat="1" applyFont="1" applyFill="1" applyBorder="1" applyAlignment="1">
      <alignment horizontal="center" vertical="center"/>
    </xf>
    <xf numFmtId="1" fontId="24" fillId="0" borderId="0" xfId="15" applyNumberFormat="1" applyFont="1" applyFill="1" applyBorder="1" applyAlignment="1">
      <alignment horizontal="left" vertical="center"/>
    </xf>
    <xf numFmtId="3" fontId="6" fillId="0" borderId="0" xfId="20" applyNumberFormat="1" applyFont="1" applyFill="1" applyBorder="1" applyAlignment="1">
      <alignment vertical="center"/>
    </xf>
    <xf numFmtId="3" fontId="14" fillId="0" borderId="66" xfId="15" applyNumberFormat="1" applyFont="1" applyFill="1" applyBorder="1" applyAlignment="1">
      <alignment horizontal="center"/>
    </xf>
    <xf numFmtId="3" fontId="16" fillId="0" borderId="66" xfId="15" applyNumberFormat="1" applyFont="1" applyFill="1" applyBorder="1" applyAlignment="1">
      <alignment horizontal="center"/>
    </xf>
    <xf numFmtId="3" fontId="14" fillId="0" borderId="91" xfId="15" applyNumberFormat="1" applyFont="1" applyFill="1" applyBorder="1" applyAlignment="1">
      <alignment horizontal="center"/>
    </xf>
    <xf numFmtId="3" fontId="14" fillId="0" borderId="66" xfId="0" applyNumberFormat="1" applyFont="1" applyFill="1" applyBorder="1" applyAlignment="1">
      <alignment horizontal="center" wrapText="1"/>
    </xf>
    <xf numFmtId="3" fontId="6" fillId="0" borderId="0" xfId="14" applyNumberFormat="1" applyFont="1" applyFill="1" applyAlignment="1">
      <alignment horizontal="center" vertical="top"/>
    </xf>
    <xf numFmtId="3" fontId="14" fillId="0" borderId="16" xfId="18" applyNumberFormat="1" applyFont="1" applyFill="1" applyBorder="1" applyAlignment="1">
      <alignment horizontal="left" vertical="top" wrapText="1" indent="2"/>
    </xf>
    <xf numFmtId="3" fontId="0" fillId="0" borderId="0" xfId="0" applyNumberFormat="1" applyFont="1" applyFill="1"/>
    <xf numFmtId="3" fontId="14" fillId="0" borderId="16" xfId="18" applyNumberFormat="1" applyFont="1" applyFill="1" applyBorder="1" applyAlignment="1">
      <alignment horizontal="center" vertical="center" wrapText="1"/>
    </xf>
    <xf numFmtId="3" fontId="16" fillId="0" borderId="0" xfId="15" applyNumberFormat="1" applyFont="1" applyFill="1" applyAlignment="1">
      <alignment horizontal="center" vertical="center"/>
    </xf>
    <xf numFmtId="3" fontId="14" fillId="0" borderId="0" xfId="15" applyNumberFormat="1" applyFont="1" applyFill="1" applyAlignment="1">
      <alignment horizontal="center" vertical="center"/>
    </xf>
    <xf numFmtId="49" fontId="10" fillId="0" borderId="18" xfId="0" applyNumberFormat="1" applyFont="1" applyFill="1" applyBorder="1" applyAlignment="1">
      <alignment horizontal="center" wrapText="1"/>
    </xf>
    <xf numFmtId="0" fontId="6" fillId="0" borderId="15" xfId="20" applyFont="1" applyFill="1" applyBorder="1" applyAlignment="1">
      <alignment horizontal="center"/>
    </xf>
    <xf numFmtId="0" fontId="32" fillId="0" borderId="16" xfId="20" applyFont="1" applyFill="1" applyBorder="1" applyAlignment="1">
      <alignment horizontal="left" shrinkToFit="1"/>
    </xf>
    <xf numFmtId="0" fontId="35" fillId="0" borderId="16" xfId="20" applyFont="1" applyFill="1" applyBorder="1" applyAlignment="1">
      <alignment horizontal="left" wrapText="1" indent="1"/>
    </xf>
    <xf numFmtId="3" fontId="16" fillId="0" borderId="91" xfId="15" applyNumberFormat="1" applyFont="1" applyFill="1" applyBorder="1" applyAlignment="1">
      <alignment horizontal="center"/>
    </xf>
    <xf numFmtId="3" fontId="16" fillId="0" borderId="22" xfId="0" applyNumberFormat="1" applyFont="1" applyFill="1" applyBorder="1" applyAlignment="1">
      <alignment horizontal="right" wrapText="1"/>
    </xf>
    <xf numFmtId="3" fontId="16" fillId="0" borderId="26" xfId="0" applyNumberFormat="1" applyFont="1" applyFill="1" applyBorder="1" applyAlignment="1">
      <alignment horizontal="right" wrapText="1"/>
    </xf>
    <xf numFmtId="3" fontId="14" fillId="0" borderId="91" xfId="15" applyNumberFormat="1" applyFont="1" applyFill="1" applyBorder="1" applyAlignment="1">
      <alignment horizontal="center" vertical="center"/>
    </xf>
    <xf numFmtId="3" fontId="17" fillId="0" borderId="16" xfId="15" applyNumberFormat="1" applyFont="1" applyFill="1" applyBorder="1" applyAlignment="1">
      <alignment horizontal="right" vertical="center"/>
    </xf>
    <xf numFmtId="3" fontId="14" fillId="0" borderId="66" xfId="15" applyNumberFormat="1" applyFont="1" applyFill="1" applyBorder="1" applyAlignment="1">
      <alignment horizontal="center" vertical="center"/>
    </xf>
    <xf numFmtId="3" fontId="10" fillId="0" borderId="0" xfId="0" applyNumberFormat="1" applyFont="1" applyFill="1" applyBorder="1" applyAlignment="1">
      <alignment vertical="top"/>
    </xf>
    <xf numFmtId="3" fontId="6" fillId="0" borderId="0" xfId="0" applyNumberFormat="1" applyFont="1" applyFill="1" applyBorder="1" applyAlignment="1">
      <alignment vertical="top"/>
    </xf>
    <xf numFmtId="0" fontId="8" fillId="0" borderId="16" xfId="20" applyFont="1" applyFill="1" applyBorder="1" applyAlignment="1">
      <alignment wrapText="1"/>
    </xf>
    <xf numFmtId="0" fontId="32" fillId="0" borderId="16" xfId="20" applyFont="1" applyFill="1" applyBorder="1" applyAlignment="1"/>
    <xf numFmtId="0" fontId="32" fillId="0" borderId="16" xfId="20" applyFont="1" applyFill="1" applyBorder="1" applyAlignment="1">
      <alignment wrapText="1"/>
    </xf>
    <xf numFmtId="0" fontId="23" fillId="0" borderId="16" xfId="20" applyFont="1" applyFill="1" applyBorder="1" applyAlignment="1">
      <alignment shrinkToFit="1"/>
    </xf>
    <xf numFmtId="0" fontId="32" fillId="0" borderId="16" xfId="20" applyFont="1" applyFill="1" applyBorder="1" applyAlignment="1">
      <alignment horizontal="left"/>
    </xf>
    <xf numFmtId="0" fontId="33" fillId="0" borderId="0" xfId="25" applyFont="1" applyFill="1" applyBorder="1" applyAlignment="1">
      <alignment horizontal="center" vertical="center"/>
    </xf>
    <xf numFmtId="3" fontId="6" fillId="0" borderId="0" xfId="25" applyNumberFormat="1" applyFont="1" applyFill="1" applyBorder="1" applyAlignment="1">
      <alignment horizontal="center" vertical="center"/>
    </xf>
    <xf numFmtId="3" fontId="6" fillId="0" borderId="0" xfId="25" applyNumberFormat="1" applyFont="1" applyFill="1" applyBorder="1" applyAlignment="1">
      <alignment horizontal="right"/>
    </xf>
    <xf numFmtId="0" fontId="6" fillId="0" borderId="0" xfId="25" applyFont="1" applyFill="1" applyBorder="1"/>
    <xf numFmtId="0" fontId="6" fillId="0" borderId="136" xfId="16" applyFont="1" applyFill="1" applyBorder="1" applyAlignment="1">
      <alignment wrapText="1"/>
    </xf>
    <xf numFmtId="3" fontId="6" fillId="0" borderId="0" xfId="25" applyNumberFormat="1" applyFont="1" applyFill="1" applyBorder="1" applyAlignment="1">
      <alignment horizontal="left" vertical="top"/>
    </xf>
    <xf numFmtId="3" fontId="6" fillId="0" borderId="40" xfId="17" applyNumberFormat="1" applyFont="1" applyBorder="1" applyAlignment="1">
      <alignment horizontal="center" vertical="center" wrapText="1"/>
    </xf>
    <xf numFmtId="3" fontId="6" fillId="0" borderId="37" xfId="17" applyNumberFormat="1" applyFont="1" applyBorder="1" applyAlignment="1">
      <alignment horizontal="right" vertical="center" wrapText="1"/>
    </xf>
    <xf numFmtId="0" fontId="6" fillId="0" borderId="39" xfId="16" applyFont="1" applyFill="1" applyBorder="1" applyAlignment="1">
      <alignment wrapText="1"/>
    </xf>
    <xf numFmtId="3" fontId="23" fillId="0" borderId="86" xfId="20" applyNumberFormat="1" applyFont="1" applyFill="1" applyBorder="1" applyAlignment="1">
      <alignment horizontal="right" vertical="center" wrapText="1"/>
    </xf>
    <xf numFmtId="3" fontId="23" fillId="0" borderId="176" xfId="20" applyNumberFormat="1" applyFont="1" applyFill="1" applyBorder="1" applyAlignment="1">
      <alignment horizontal="right" vertical="center" wrapText="1"/>
    </xf>
    <xf numFmtId="14" fontId="6" fillId="0" borderId="38" xfId="17" applyNumberFormat="1" applyFont="1" applyBorder="1" applyAlignment="1">
      <alignment horizontal="center" vertical="center" wrapText="1"/>
    </xf>
    <xf numFmtId="3" fontId="6" fillId="0" borderId="93" xfId="16" applyNumberFormat="1" applyFont="1" applyFill="1" applyBorder="1" applyAlignment="1">
      <alignment wrapText="1"/>
    </xf>
    <xf numFmtId="3" fontId="6" fillId="0" borderId="93" xfId="16" applyNumberFormat="1" applyFont="1" applyFill="1" applyBorder="1" applyAlignment="1">
      <alignment vertical="center" wrapText="1"/>
    </xf>
    <xf numFmtId="0" fontId="6" fillId="0" borderId="53" xfId="20" applyFont="1" applyFill="1" applyBorder="1" applyAlignment="1">
      <alignment horizontal="center"/>
    </xf>
    <xf numFmtId="164" fontId="6" fillId="0" borderId="97" xfId="18" applyNumberFormat="1" applyFont="1" applyFill="1" applyBorder="1" applyAlignment="1">
      <alignment wrapText="1"/>
    </xf>
    <xf numFmtId="4" fontId="6" fillId="0" borderId="97" xfId="0" applyNumberFormat="1" applyFont="1" applyFill="1" applyBorder="1" applyAlignment="1">
      <alignment vertical="center"/>
    </xf>
    <xf numFmtId="4" fontId="10" fillId="0" borderId="19" xfId="0" applyNumberFormat="1" applyFont="1" applyFill="1" applyBorder="1" applyAlignment="1">
      <alignment horizontal="center" vertical="center"/>
    </xf>
    <xf numFmtId="3" fontId="6" fillId="0" borderId="0" xfId="14" applyNumberFormat="1" applyFont="1" applyFill="1" applyBorder="1" applyAlignment="1">
      <alignment horizontal="left" wrapText="1" indent="3"/>
    </xf>
    <xf numFmtId="3" fontId="6" fillId="0" borderId="0" xfId="14" applyNumberFormat="1" applyFont="1" applyFill="1" applyBorder="1" applyAlignment="1">
      <alignment vertical="center"/>
    </xf>
    <xf numFmtId="3" fontId="17" fillId="0" borderId="0" xfId="0" applyNumberFormat="1" applyFont="1" applyFill="1" applyBorder="1" applyAlignment="1">
      <alignment horizontal="right"/>
    </xf>
    <xf numFmtId="3" fontId="8" fillId="0" borderId="0" xfId="14" applyNumberFormat="1" applyFont="1" applyFill="1" applyAlignment="1">
      <alignment horizontal="center" vertical="center"/>
    </xf>
    <xf numFmtId="3" fontId="9" fillId="0" borderId="0" xfId="15" applyNumberFormat="1" applyFont="1" applyFill="1" applyAlignment="1">
      <alignment horizontal="center"/>
    </xf>
    <xf numFmtId="0" fontId="11" fillId="0" borderId="0" xfId="0" applyFont="1" applyFill="1" applyAlignment="1">
      <alignment horizontal="center" vertical="center"/>
    </xf>
    <xf numFmtId="0" fontId="10" fillId="0" borderId="0" xfId="15" applyNumberFormat="1" applyFont="1" applyFill="1" applyBorder="1" applyAlignment="1">
      <alignment horizontal="center" vertical="center"/>
    </xf>
    <xf numFmtId="0" fontId="11" fillId="0" borderId="0" xfId="0" applyFont="1" applyFill="1" applyAlignment="1">
      <alignment vertical="center"/>
    </xf>
    <xf numFmtId="3" fontId="33" fillId="0" borderId="0" xfId="20" applyNumberFormat="1" applyFont="1" applyFill="1" applyBorder="1" applyAlignment="1">
      <alignment horizontal="center" vertical="center"/>
    </xf>
    <xf numFmtId="0" fontId="6" fillId="0" borderId="16" xfId="16" applyFont="1" applyFill="1" applyBorder="1" applyAlignment="1">
      <alignment shrinkToFit="1"/>
    </xf>
    <xf numFmtId="0" fontId="6" fillId="0" borderId="16" xfId="20" applyFont="1" applyFill="1" applyBorder="1" applyAlignment="1">
      <alignment horizontal="left" indent="1" shrinkToFit="1"/>
    </xf>
    <xf numFmtId="3" fontId="14" fillId="0" borderId="59" xfId="15" applyNumberFormat="1" applyFont="1" applyFill="1" applyBorder="1" applyAlignment="1">
      <alignment horizontal="right"/>
    </xf>
    <xf numFmtId="0" fontId="31" fillId="0" borderId="16" xfId="20" applyFont="1" applyFill="1" applyBorder="1" applyAlignment="1">
      <alignment horizontal="left"/>
    </xf>
    <xf numFmtId="3" fontId="16" fillId="0" borderId="59" xfId="0" applyNumberFormat="1" applyFont="1" applyFill="1" applyBorder="1" applyAlignment="1">
      <alignment vertical="center"/>
    </xf>
    <xf numFmtId="3" fontId="14" fillId="0" borderId="90" xfId="0" applyNumberFormat="1" applyFont="1" applyFill="1" applyBorder="1" applyAlignment="1">
      <alignment horizontal="center" vertical="center"/>
    </xf>
    <xf numFmtId="3" fontId="14" fillId="0" borderId="131" xfId="18" applyNumberFormat="1" applyFont="1" applyFill="1" applyBorder="1" applyAlignment="1">
      <alignment horizontal="center"/>
    </xf>
    <xf numFmtId="3" fontId="17" fillId="0" borderId="58" xfId="0" applyNumberFormat="1" applyFont="1" applyFill="1" applyBorder="1" applyAlignment="1">
      <alignment horizontal="center" vertical="center"/>
    </xf>
    <xf numFmtId="3" fontId="16" fillId="0" borderId="5" xfId="0" applyNumberFormat="1" applyFont="1" applyFill="1" applyBorder="1" applyAlignment="1">
      <alignment horizontal="left" vertical="center" wrapText="1"/>
    </xf>
    <xf numFmtId="3" fontId="16" fillId="0" borderId="58" xfId="0" applyNumberFormat="1" applyFont="1" applyFill="1" applyBorder="1" applyAlignment="1">
      <alignment horizontal="left" vertical="center" wrapText="1"/>
    </xf>
    <xf numFmtId="3" fontId="16" fillId="0" borderId="53" xfId="0" applyNumberFormat="1" applyFont="1" applyFill="1" applyBorder="1" applyAlignment="1">
      <alignment horizontal="left" vertical="center" wrapText="1"/>
    </xf>
    <xf numFmtId="3" fontId="14" fillId="0" borderId="28" xfId="0" applyNumberFormat="1" applyFont="1" applyFill="1" applyBorder="1" applyAlignment="1">
      <alignment horizontal="center" vertical="center"/>
    </xf>
    <xf numFmtId="3" fontId="14" fillId="0" borderId="29" xfId="0" applyNumberFormat="1" applyFont="1" applyFill="1" applyBorder="1" applyAlignment="1">
      <alignment horizontal="center" vertical="center"/>
    </xf>
    <xf numFmtId="3" fontId="14" fillId="0" borderId="21" xfId="15" applyNumberFormat="1" applyFont="1" applyFill="1" applyBorder="1" applyAlignment="1">
      <alignment horizontal="center"/>
    </xf>
    <xf numFmtId="3" fontId="14" fillId="0" borderId="53" xfId="15" applyNumberFormat="1" applyFont="1" applyFill="1" applyBorder="1" applyAlignment="1">
      <alignment horizontal="right"/>
    </xf>
    <xf numFmtId="3" fontId="14" fillId="0" borderId="67" xfId="15" applyNumberFormat="1" applyFont="1" applyFill="1" applyBorder="1" applyAlignment="1">
      <alignment horizontal="right"/>
    </xf>
    <xf numFmtId="3" fontId="17" fillId="0" borderId="134" xfId="15" applyNumberFormat="1" applyFont="1" applyFill="1" applyBorder="1" applyAlignment="1">
      <alignment horizontal="right" vertical="center"/>
    </xf>
    <xf numFmtId="3" fontId="14" fillId="0" borderId="134" xfId="0" applyNumberFormat="1" applyFont="1" applyFill="1" applyBorder="1" applyAlignment="1">
      <alignment horizontal="right" vertical="center" wrapText="1"/>
    </xf>
    <xf numFmtId="3" fontId="14" fillId="0" borderId="186" xfId="0" applyNumberFormat="1" applyFont="1" applyFill="1" applyBorder="1" applyAlignment="1">
      <alignment horizontal="right" vertical="center" wrapText="1"/>
    </xf>
    <xf numFmtId="3" fontId="8" fillId="0" borderId="13" xfId="20" applyNumberFormat="1" applyFont="1" applyFill="1" applyBorder="1" applyAlignment="1">
      <alignment horizontal="center" vertical="center" wrapText="1"/>
    </xf>
    <xf numFmtId="3" fontId="6" fillId="0" borderId="175" xfId="20" applyNumberFormat="1" applyFont="1" applyFill="1" applyBorder="1" applyAlignment="1">
      <alignment horizontal="right" wrapText="1"/>
    </xf>
    <xf numFmtId="3" fontId="6" fillId="0" borderId="39" xfId="16" applyNumberFormat="1" applyFont="1" applyFill="1" applyBorder="1" applyAlignment="1">
      <alignment horizontal="right" vertical="center" wrapText="1"/>
    </xf>
    <xf numFmtId="3" fontId="23" fillId="0" borderId="8" xfId="20" applyNumberFormat="1" applyFont="1" applyFill="1" applyBorder="1" applyAlignment="1">
      <alignment horizontal="right" vertical="center"/>
    </xf>
    <xf numFmtId="3" fontId="6" fillId="0" borderId="175" xfId="20" applyNumberFormat="1" applyFont="1" applyFill="1" applyBorder="1" applyAlignment="1">
      <alignment horizontal="right"/>
    </xf>
    <xf numFmtId="3" fontId="6" fillId="0" borderId="175" xfId="20" applyNumberFormat="1" applyFont="1" applyFill="1" applyBorder="1" applyAlignment="1">
      <alignment horizontal="right" vertical="center"/>
    </xf>
    <xf numFmtId="3" fontId="6" fillId="0" borderId="175" xfId="20" applyNumberFormat="1" applyFont="1" applyFill="1" applyBorder="1" applyAlignment="1">
      <alignment horizontal="left"/>
    </xf>
    <xf numFmtId="3" fontId="8" fillId="0" borderId="13" xfId="16" applyNumberFormat="1" applyFont="1" applyFill="1" applyBorder="1" applyAlignment="1">
      <alignment horizontal="right" vertical="center" wrapText="1"/>
    </xf>
    <xf numFmtId="3" fontId="8" fillId="0" borderId="6" xfId="16" applyNumberFormat="1" applyFont="1" applyFill="1" applyBorder="1" applyAlignment="1">
      <alignment horizontal="right" vertical="center" wrapText="1"/>
    </xf>
    <xf numFmtId="3" fontId="8" fillId="0" borderId="42" xfId="20" applyNumberFormat="1" applyFont="1" applyFill="1" applyBorder="1" applyAlignment="1">
      <alignment horizontal="center" vertical="center" wrapText="1"/>
    </xf>
    <xf numFmtId="3" fontId="6" fillId="0" borderId="71" xfId="20" applyNumberFormat="1" applyFont="1" applyFill="1" applyBorder="1" applyAlignment="1">
      <alignment horizontal="right" wrapText="1"/>
    </xf>
    <xf numFmtId="3" fontId="6" fillId="0" borderId="187" xfId="16" applyNumberFormat="1" applyFont="1" applyFill="1" applyBorder="1" applyAlignment="1">
      <alignment horizontal="right" vertical="center" wrapText="1"/>
    </xf>
    <xf numFmtId="3" fontId="6" fillId="0" borderId="187" xfId="20" applyNumberFormat="1" applyFont="1" applyFill="1" applyBorder="1" applyAlignment="1">
      <alignment horizontal="right" vertical="center"/>
    </xf>
    <xf numFmtId="3" fontId="23" fillId="0" borderId="105" xfId="20" applyNumberFormat="1" applyFont="1" applyFill="1" applyBorder="1" applyAlignment="1">
      <alignment horizontal="right" vertical="center"/>
    </xf>
    <xf numFmtId="3" fontId="6" fillId="0" borderId="71" xfId="20" applyNumberFormat="1" applyFont="1" applyFill="1" applyBorder="1" applyAlignment="1">
      <alignment horizontal="right"/>
    </xf>
    <xf numFmtId="3" fontId="6" fillId="0" borderId="71" xfId="20" applyNumberFormat="1" applyFont="1" applyFill="1" applyBorder="1" applyAlignment="1">
      <alignment horizontal="right" vertical="center"/>
    </xf>
    <xf numFmtId="3" fontId="8" fillId="0" borderId="118" xfId="20" applyNumberFormat="1" applyFont="1" applyFill="1" applyBorder="1" applyAlignment="1">
      <alignment horizontal="right" vertical="center"/>
    </xf>
    <xf numFmtId="3" fontId="6" fillId="0" borderId="71" xfId="20" applyNumberFormat="1" applyFont="1" applyFill="1" applyBorder="1" applyAlignment="1">
      <alignment horizontal="left"/>
    </xf>
    <xf numFmtId="3" fontId="6" fillId="0" borderId="187" xfId="16" applyNumberFormat="1" applyFont="1" applyFill="1" applyBorder="1" applyAlignment="1">
      <alignment horizontal="left"/>
    </xf>
    <xf numFmtId="3" fontId="6" fillId="0" borderId="187" xfId="16" applyNumberFormat="1" applyFont="1" applyFill="1" applyBorder="1" applyAlignment="1">
      <alignment horizontal="right"/>
    </xf>
    <xf numFmtId="3" fontId="6" fillId="0" borderId="187" xfId="16" applyNumberFormat="1" applyFont="1" applyFill="1" applyBorder="1" applyAlignment="1">
      <alignment horizontal="right" vertical="center"/>
    </xf>
    <xf numFmtId="3" fontId="6" fillId="0" borderId="187" xfId="16" applyNumberFormat="1" applyFont="1" applyFill="1" applyBorder="1" applyAlignment="1">
      <alignment horizontal="right" vertical="top"/>
    </xf>
    <xf numFmtId="3" fontId="6" fillId="0" borderId="187" xfId="21" applyNumberFormat="1" applyFont="1" applyFill="1" applyBorder="1" applyAlignment="1">
      <alignment horizontal="left"/>
    </xf>
    <xf numFmtId="3" fontId="6" fillId="0" borderId="188" xfId="21" applyNumberFormat="1" applyFont="1" applyFill="1" applyBorder="1" applyAlignment="1">
      <alignment horizontal="right"/>
    </xf>
    <xf numFmtId="3" fontId="6" fillId="0" borderId="188" xfId="21" applyNumberFormat="1" applyFont="1" applyFill="1" applyBorder="1" applyAlignment="1">
      <alignment horizontal="right" vertical="center"/>
    </xf>
    <xf numFmtId="3" fontId="8" fillId="0" borderId="42" xfId="16" applyNumberFormat="1" applyFont="1" applyFill="1" applyBorder="1" applyAlignment="1">
      <alignment horizontal="right" vertical="center" wrapText="1"/>
    </xf>
    <xf numFmtId="3" fontId="8" fillId="0" borderId="118" xfId="16" applyNumberFormat="1" applyFont="1" applyFill="1" applyBorder="1" applyAlignment="1">
      <alignment horizontal="right" vertical="center" wrapText="1"/>
    </xf>
    <xf numFmtId="3" fontId="23" fillId="0" borderId="189" xfId="20" applyNumberFormat="1" applyFont="1" applyFill="1" applyBorder="1" applyAlignment="1">
      <alignment horizontal="right" vertical="center" wrapText="1"/>
    </xf>
    <xf numFmtId="3" fontId="9" fillId="0" borderId="61" xfId="20" applyNumberFormat="1" applyFont="1" applyFill="1" applyBorder="1" applyAlignment="1">
      <alignment horizontal="center" vertical="center" wrapText="1"/>
    </xf>
    <xf numFmtId="3" fontId="8" fillId="0" borderId="190" xfId="20" applyNumberFormat="1" applyFont="1" applyFill="1" applyBorder="1" applyAlignment="1">
      <alignment horizontal="right" vertical="center"/>
    </xf>
    <xf numFmtId="0" fontId="6" fillId="0" borderId="22" xfId="16" applyFont="1" applyFill="1" applyBorder="1" applyAlignment="1">
      <alignment vertical="center" wrapText="1"/>
    </xf>
    <xf numFmtId="3" fontId="6" fillId="0" borderId="22" xfId="16" applyNumberFormat="1" applyFont="1" applyFill="1" applyBorder="1" applyAlignment="1">
      <alignment horizontal="right" vertical="center"/>
    </xf>
    <xf numFmtId="0" fontId="6" fillId="0" borderId="16" xfId="16" applyFont="1" applyFill="1" applyBorder="1" applyAlignment="1">
      <alignment vertical="center" wrapText="1"/>
    </xf>
    <xf numFmtId="3" fontId="6" fillId="0" borderId="175" xfId="20" applyNumberFormat="1" applyFont="1" applyFill="1" applyBorder="1" applyAlignment="1">
      <alignment horizontal="center" wrapText="1"/>
    </xf>
    <xf numFmtId="3" fontId="6" fillId="0" borderId="39" xfId="20" applyNumberFormat="1" applyFont="1" applyFill="1" applyBorder="1" applyAlignment="1"/>
    <xf numFmtId="3" fontId="8" fillId="0" borderId="182" xfId="20" applyNumberFormat="1" applyFont="1" applyFill="1" applyBorder="1" applyAlignment="1">
      <alignment horizontal="center" vertical="center" wrapText="1"/>
    </xf>
    <xf numFmtId="3" fontId="9" fillId="0" borderId="144" xfId="20" applyNumberFormat="1" applyFont="1" applyFill="1" applyBorder="1" applyAlignment="1">
      <alignment horizontal="center" vertical="center" wrapText="1"/>
    </xf>
    <xf numFmtId="3" fontId="8" fillId="0" borderId="144" xfId="20" applyNumberFormat="1" applyFont="1" applyFill="1" applyBorder="1" applyAlignment="1">
      <alignment vertical="center"/>
    </xf>
    <xf numFmtId="3" fontId="8" fillId="0" borderId="42" xfId="20" applyNumberFormat="1" applyFont="1" applyFill="1" applyBorder="1" applyAlignment="1">
      <alignment vertical="center"/>
    </xf>
    <xf numFmtId="3" fontId="8" fillId="0" borderId="42" xfId="14" applyNumberFormat="1" applyFont="1" applyFill="1" applyBorder="1" applyAlignment="1">
      <alignment horizontal="center" vertical="center" wrapText="1"/>
    </xf>
    <xf numFmtId="3" fontId="8" fillId="0" borderId="100" xfId="14" applyNumberFormat="1" applyFont="1" applyFill="1" applyBorder="1" applyAlignment="1">
      <alignment horizontal="right" wrapText="1"/>
    </xf>
    <xf numFmtId="3" fontId="8" fillId="0" borderId="103" xfId="14" applyNumberFormat="1" applyFont="1" applyFill="1" applyBorder="1" applyAlignment="1">
      <alignment horizontal="right" wrapText="1"/>
    </xf>
    <xf numFmtId="3" fontId="8" fillId="0" borderId="103" xfId="0" applyNumberFormat="1" applyFont="1" applyFill="1" applyBorder="1" applyAlignment="1">
      <alignment horizontal="right"/>
    </xf>
    <xf numFmtId="3" fontId="8" fillId="0" borderId="105" xfId="0" applyNumberFormat="1" applyFont="1" applyFill="1" applyBorder="1" applyAlignment="1">
      <alignment horizontal="right" vertical="center"/>
    </xf>
    <xf numFmtId="3" fontId="8" fillId="0" borderId="108" xfId="0" applyNumberFormat="1" applyFont="1" applyFill="1" applyBorder="1" applyAlignment="1">
      <alignment horizontal="right" vertical="center"/>
    </xf>
    <xf numFmtId="3" fontId="8" fillId="0" borderId="191" xfId="0" applyNumberFormat="1" applyFont="1" applyFill="1" applyBorder="1" applyAlignment="1">
      <alignment horizontal="right" vertical="center"/>
    </xf>
    <xf numFmtId="3" fontId="8" fillId="0" borderId="103" xfId="0" applyNumberFormat="1" applyFont="1" applyFill="1" applyBorder="1" applyAlignment="1">
      <alignment horizontal="right" vertical="center"/>
    </xf>
    <xf numFmtId="3" fontId="8" fillId="0" borderId="189" xfId="0" applyNumberFormat="1" applyFont="1" applyFill="1" applyBorder="1" applyAlignment="1">
      <alignment horizontal="right" vertical="center"/>
    </xf>
    <xf numFmtId="3" fontId="8" fillId="0" borderId="105" xfId="14" applyNumberFormat="1" applyFont="1" applyFill="1" applyBorder="1" applyAlignment="1">
      <alignment horizontal="right" wrapText="1"/>
    </xf>
    <xf numFmtId="3" fontId="8" fillId="0" borderId="128" xfId="14" applyNumberFormat="1" applyFont="1" applyFill="1" applyBorder="1" applyAlignment="1">
      <alignment horizontal="center" vertical="center" wrapText="1"/>
    </xf>
    <xf numFmtId="3" fontId="8" fillId="0" borderId="192" xfId="14" applyNumberFormat="1" applyFont="1" applyFill="1" applyBorder="1" applyAlignment="1">
      <alignment horizontal="right" wrapText="1"/>
    </xf>
    <xf numFmtId="3" fontId="8" fillId="0" borderId="18" xfId="14" applyNumberFormat="1" applyFont="1" applyFill="1" applyBorder="1" applyAlignment="1">
      <alignment horizontal="right" wrapText="1"/>
    </xf>
    <xf numFmtId="3" fontId="8" fillId="0" borderId="18" xfId="0" applyNumberFormat="1" applyFont="1" applyFill="1" applyBorder="1" applyAlignment="1">
      <alignment horizontal="right"/>
    </xf>
    <xf numFmtId="3" fontId="6" fillId="0" borderId="18" xfId="0" applyNumberFormat="1" applyFont="1" applyFill="1" applyBorder="1"/>
    <xf numFmtId="0" fontId="6" fillId="0" borderId="18" xfId="0" applyFont="1" applyFill="1" applyBorder="1"/>
    <xf numFmtId="3" fontId="8" fillId="0" borderId="18" xfId="0" applyNumberFormat="1" applyFont="1" applyFill="1" applyBorder="1"/>
    <xf numFmtId="3" fontId="8" fillId="0" borderId="18" xfId="0" applyNumberFormat="1" applyFont="1" applyFill="1" applyBorder="1" applyAlignment="1"/>
    <xf numFmtId="0" fontId="8" fillId="0" borderId="18" xfId="0" applyFont="1" applyFill="1" applyBorder="1" applyAlignment="1"/>
    <xf numFmtId="0" fontId="8" fillId="0" borderId="18" xfId="0" applyFont="1" applyFill="1" applyBorder="1"/>
    <xf numFmtId="3" fontId="8" fillId="0" borderId="193" xfId="14" applyNumberFormat="1" applyFont="1" applyFill="1" applyBorder="1" applyAlignment="1">
      <alignment horizontal="right" wrapText="1"/>
    </xf>
    <xf numFmtId="3" fontId="8" fillId="0" borderId="193" xfId="0" applyNumberFormat="1" applyFont="1" applyFill="1" applyBorder="1" applyAlignment="1">
      <alignment horizontal="right" vertical="center"/>
    </xf>
    <xf numFmtId="3" fontId="8" fillId="0" borderId="194" xfId="0" applyNumberFormat="1" applyFont="1" applyFill="1" applyBorder="1" applyAlignment="1">
      <alignment horizontal="right" vertical="center"/>
    </xf>
    <xf numFmtId="3" fontId="8" fillId="0" borderId="195" xfId="0" applyNumberFormat="1" applyFont="1" applyFill="1" applyBorder="1" applyAlignment="1">
      <alignment horizontal="right" vertical="center"/>
    </xf>
    <xf numFmtId="3" fontId="8" fillId="0" borderId="18" xfId="0" applyNumberFormat="1" applyFont="1" applyFill="1" applyBorder="1" applyAlignment="1">
      <alignment horizontal="right" vertical="center"/>
    </xf>
    <xf numFmtId="0" fontId="8" fillId="0" borderId="18" xfId="0" applyFont="1" applyFill="1" applyBorder="1" applyAlignment="1">
      <alignment vertical="center"/>
    </xf>
    <xf numFmtId="3" fontId="8" fillId="0" borderId="196" xfId="0" applyNumberFormat="1" applyFont="1" applyFill="1" applyBorder="1" applyAlignment="1">
      <alignment horizontal="right" vertical="center"/>
    </xf>
    <xf numFmtId="3" fontId="8" fillId="0" borderId="100" xfId="14" applyNumberFormat="1" applyFont="1" applyFill="1" applyBorder="1"/>
    <xf numFmtId="3" fontId="6" fillId="0" borderId="103" xfId="14" applyNumberFormat="1" applyFont="1" applyFill="1" applyBorder="1"/>
    <xf numFmtId="3" fontId="8" fillId="0" borderId="105" xfId="14" applyNumberFormat="1" applyFont="1" applyFill="1" applyBorder="1"/>
    <xf numFmtId="3" fontId="8" fillId="0" borderId="103" xfId="14" applyNumberFormat="1" applyFont="1" applyFill="1" applyBorder="1"/>
    <xf numFmtId="3" fontId="9" fillId="0" borderId="103" xfId="14" applyNumberFormat="1" applyFont="1" applyFill="1" applyBorder="1"/>
    <xf numFmtId="3" fontId="6" fillId="0" borderId="103" xfId="14" applyNumberFormat="1" applyFont="1" applyFill="1" applyBorder="1" applyAlignment="1">
      <alignment vertical="center"/>
    </xf>
    <xf numFmtId="3" fontId="8" fillId="0" borderId="103" xfId="14" applyNumberFormat="1" applyFont="1" applyFill="1" applyBorder="1" applyAlignment="1">
      <alignment vertical="center"/>
    </xf>
    <xf numFmtId="3" fontId="6" fillId="0" borderId="103" xfId="14" applyNumberFormat="1" applyFont="1" applyFill="1" applyBorder="1" applyAlignment="1">
      <alignment vertical="top"/>
    </xf>
    <xf numFmtId="3" fontId="8" fillId="0" borderId="42" xfId="14" applyNumberFormat="1" applyFont="1" applyFill="1" applyBorder="1" applyAlignment="1">
      <alignment vertical="center"/>
    </xf>
    <xf numFmtId="3" fontId="6" fillId="0" borderId="103" xfId="14" applyNumberFormat="1" applyFont="1" applyFill="1" applyBorder="1" applyAlignment="1"/>
    <xf numFmtId="3" fontId="8" fillId="0" borderId="192" xfId="14" applyNumberFormat="1" applyFont="1" applyFill="1" applyBorder="1"/>
    <xf numFmtId="3" fontId="8" fillId="0" borderId="193" xfId="14" applyNumberFormat="1" applyFont="1" applyFill="1" applyBorder="1"/>
    <xf numFmtId="3" fontId="8" fillId="0" borderId="18" xfId="14" applyNumberFormat="1" applyFont="1" applyFill="1" applyBorder="1"/>
    <xf numFmtId="3" fontId="9" fillId="0" borderId="18" xfId="14" applyNumberFormat="1" applyFont="1" applyFill="1" applyBorder="1"/>
    <xf numFmtId="3" fontId="8" fillId="0" borderId="34" xfId="14" applyNumberFormat="1" applyFont="1" applyFill="1" applyBorder="1" applyAlignment="1">
      <alignment vertical="center"/>
    </xf>
    <xf numFmtId="3" fontId="6" fillId="0" borderId="18" xfId="14" applyNumberFormat="1" applyFont="1" applyFill="1" applyBorder="1"/>
    <xf numFmtId="3" fontId="8" fillId="0" borderId="18" xfId="14" applyNumberFormat="1" applyFont="1" applyFill="1" applyBorder="1" applyAlignment="1">
      <alignment horizontal="right" vertical="center"/>
    </xf>
    <xf numFmtId="3" fontId="6" fillId="0" borderId="18" xfId="14" applyNumberFormat="1" applyFont="1" applyFill="1" applyBorder="1" applyAlignment="1">
      <alignment vertical="top"/>
    </xf>
    <xf numFmtId="3" fontId="6" fillId="0" borderId="18" xfId="14" applyNumberFormat="1" applyFont="1" applyFill="1" applyBorder="1" applyAlignment="1"/>
    <xf numFmtId="3" fontId="20" fillId="0" borderId="59" xfId="0" applyNumberFormat="1" applyFont="1" applyFill="1" applyBorder="1" applyAlignment="1">
      <alignment vertical="center"/>
    </xf>
    <xf numFmtId="3" fontId="17" fillId="0" borderId="59" xfId="0" applyNumberFormat="1" applyFont="1" applyFill="1" applyBorder="1" applyAlignment="1">
      <alignment vertical="center"/>
    </xf>
    <xf numFmtId="3" fontId="20" fillId="0" borderId="16" xfId="0" applyNumberFormat="1" applyFont="1" applyFill="1" applyBorder="1" applyAlignment="1">
      <alignment vertical="center"/>
    </xf>
    <xf numFmtId="3" fontId="17" fillId="0" borderId="16" xfId="0" applyNumberFormat="1" applyFont="1" applyFill="1" applyBorder="1" applyAlignment="1">
      <alignment vertical="center"/>
    </xf>
    <xf numFmtId="3" fontId="20" fillId="0" borderId="29" xfId="0" applyNumberFormat="1" applyFont="1" applyFill="1" applyBorder="1" applyAlignment="1">
      <alignment vertical="center"/>
    </xf>
    <xf numFmtId="3" fontId="17" fillId="0" borderId="29" xfId="0" applyNumberFormat="1" applyFont="1" applyFill="1" applyBorder="1" applyAlignment="1">
      <alignment vertical="center"/>
    </xf>
    <xf numFmtId="3" fontId="17" fillId="0" borderId="180" xfId="0" applyNumberFormat="1" applyFont="1" applyFill="1" applyBorder="1" applyAlignment="1">
      <alignment vertical="center"/>
    </xf>
    <xf numFmtId="3" fontId="17" fillId="0" borderId="180" xfId="0" applyNumberFormat="1" applyFont="1" applyFill="1" applyBorder="1" applyAlignment="1"/>
    <xf numFmtId="3" fontId="14" fillId="0" borderId="16" xfId="18" applyNumberFormat="1" applyFont="1" applyFill="1" applyBorder="1" applyAlignment="1">
      <alignment vertical="top"/>
    </xf>
    <xf numFmtId="3" fontId="14" fillId="0" borderId="28" xfId="0" applyNumberFormat="1" applyFont="1" applyFill="1" applyBorder="1" applyAlignment="1">
      <alignment horizontal="right" vertical="center"/>
    </xf>
    <xf numFmtId="3" fontId="17" fillId="0" borderId="16" xfId="0" applyNumberFormat="1" applyFont="1" applyFill="1" applyBorder="1" applyAlignment="1">
      <alignment horizontal="right"/>
    </xf>
    <xf numFmtId="3" fontId="20" fillId="0" borderId="14" xfId="0" applyNumberFormat="1" applyFont="1" applyFill="1" applyBorder="1" applyAlignment="1">
      <alignment vertical="center"/>
    </xf>
    <xf numFmtId="3" fontId="14" fillId="0" borderId="25" xfId="0" applyNumberFormat="1" applyFont="1" applyFill="1" applyBorder="1" applyAlignment="1">
      <alignment horizontal="center" vertical="center"/>
    </xf>
    <xf numFmtId="3" fontId="17" fillId="0" borderId="133" xfId="0" applyNumberFormat="1" applyFont="1" applyFill="1" applyBorder="1" applyAlignment="1">
      <alignment vertical="center"/>
    </xf>
    <xf numFmtId="0" fontId="0" fillId="0" borderId="28" xfId="0" applyFont="1" applyFill="1" applyBorder="1"/>
    <xf numFmtId="0" fontId="0" fillId="0" borderId="22" xfId="0" applyFont="1" applyFill="1" applyBorder="1"/>
    <xf numFmtId="0" fontId="0" fillId="0" borderId="55" xfId="0" applyFont="1" applyFill="1" applyBorder="1"/>
    <xf numFmtId="0" fontId="0" fillId="0" borderId="56" xfId="0" applyFont="1" applyFill="1" applyBorder="1"/>
    <xf numFmtId="3" fontId="17" fillId="0" borderId="56" xfId="18" applyNumberFormat="1" applyFont="1" applyFill="1" applyBorder="1" applyAlignment="1">
      <alignment vertical="center"/>
    </xf>
    <xf numFmtId="3" fontId="17" fillId="0" borderId="6" xfId="0" applyNumberFormat="1" applyFont="1" applyFill="1" applyBorder="1"/>
    <xf numFmtId="3" fontId="17" fillId="0" borderId="56" xfId="0" applyNumberFormat="1" applyFont="1" applyFill="1" applyBorder="1"/>
    <xf numFmtId="3" fontId="17" fillId="0" borderId="136" xfId="0" applyNumberFormat="1" applyFont="1" applyFill="1" applyBorder="1" applyAlignment="1">
      <alignment horizontal="center" vertical="center"/>
    </xf>
    <xf numFmtId="3" fontId="17" fillId="0" borderId="27" xfId="0" applyNumberFormat="1" applyFont="1" applyFill="1" applyBorder="1" applyAlignment="1">
      <alignment horizontal="center" vertical="center"/>
    </xf>
    <xf numFmtId="3" fontId="14" fillId="0" borderId="51" xfId="0" applyNumberFormat="1" applyFont="1" applyFill="1" applyBorder="1" applyAlignment="1">
      <alignment vertical="center"/>
    </xf>
    <xf numFmtId="3" fontId="16" fillId="0" borderId="51" xfId="0" applyNumberFormat="1" applyFont="1" applyFill="1" applyBorder="1" applyAlignment="1">
      <alignment vertical="center"/>
    </xf>
    <xf numFmtId="3" fontId="17" fillId="0" borderId="88" xfId="0" applyNumberFormat="1" applyFont="1" applyFill="1" applyBorder="1" applyAlignment="1">
      <alignment horizontal="left" vertical="center"/>
    </xf>
    <xf numFmtId="3" fontId="20" fillId="0" borderId="28" xfId="0" applyNumberFormat="1" applyFont="1" applyFill="1" applyBorder="1" applyAlignment="1">
      <alignment horizontal="center" vertical="center"/>
    </xf>
    <xf numFmtId="3" fontId="20" fillId="0" borderId="53" xfId="0" applyNumberFormat="1" applyFont="1" applyFill="1" applyBorder="1" applyAlignment="1">
      <alignment vertical="center"/>
    </xf>
    <xf numFmtId="3" fontId="16" fillId="0" borderId="66" xfId="0" applyNumberFormat="1" applyFont="1" applyFill="1" applyBorder="1" applyAlignment="1"/>
    <xf numFmtId="3" fontId="17" fillId="0" borderId="179" xfId="0" applyNumberFormat="1" applyFont="1" applyFill="1" applyBorder="1" applyAlignment="1"/>
    <xf numFmtId="3" fontId="16" fillId="0" borderId="53" xfId="0" applyNumberFormat="1" applyFont="1" applyFill="1" applyBorder="1" applyAlignment="1"/>
    <xf numFmtId="3" fontId="17" fillId="0" borderId="29" xfId="0" applyNumberFormat="1" applyFont="1" applyFill="1" applyBorder="1" applyAlignment="1"/>
    <xf numFmtId="3" fontId="20" fillId="0" borderId="16" xfId="0" applyNumberFormat="1" applyFont="1" applyFill="1" applyBorder="1" applyAlignment="1">
      <alignment horizontal="center" vertical="center"/>
    </xf>
    <xf numFmtId="3" fontId="20" fillId="0" borderId="16" xfId="0" applyNumberFormat="1" applyFont="1" applyFill="1" applyBorder="1" applyAlignment="1">
      <alignment horizontal="right" vertical="center"/>
    </xf>
    <xf numFmtId="3" fontId="20" fillId="0" borderId="29" xfId="0" applyNumberFormat="1" applyFont="1" applyFill="1" applyBorder="1" applyAlignment="1">
      <alignment horizontal="center" vertical="center"/>
    </xf>
    <xf numFmtId="3" fontId="20" fillId="0" borderId="14" xfId="18" applyNumberFormat="1" applyFont="1" applyFill="1" applyBorder="1" applyAlignment="1">
      <alignment vertical="center"/>
    </xf>
    <xf numFmtId="3" fontId="20" fillId="0" borderId="16" xfId="18" applyNumberFormat="1" applyFont="1" applyFill="1" applyBorder="1" applyAlignment="1">
      <alignment horizontal="center" vertical="center"/>
    </xf>
    <xf numFmtId="3" fontId="20" fillId="0" borderId="29" xfId="18" applyNumberFormat="1" applyFont="1" applyFill="1" applyBorder="1" applyAlignment="1">
      <alignment horizontal="center" vertical="center"/>
    </xf>
    <xf numFmtId="3" fontId="14" fillId="0" borderId="62" xfId="0" applyNumberFormat="1" applyFont="1" applyFill="1" applyBorder="1" applyAlignment="1">
      <alignment horizontal="center"/>
    </xf>
    <xf numFmtId="3" fontId="17" fillId="0" borderId="136" xfId="18" applyNumberFormat="1" applyFont="1" applyFill="1" applyBorder="1" applyAlignment="1">
      <alignment horizontal="center" vertical="center"/>
    </xf>
    <xf numFmtId="3" fontId="17" fillId="0" borderId="59" xfId="18" applyNumberFormat="1" applyFont="1" applyFill="1" applyBorder="1" applyAlignment="1">
      <alignment horizontal="center"/>
    </xf>
    <xf numFmtId="3" fontId="17" fillId="0" borderId="25" xfId="18" applyNumberFormat="1" applyFont="1" applyFill="1" applyBorder="1" applyAlignment="1">
      <alignment horizontal="center" vertical="center"/>
    </xf>
    <xf numFmtId="3" fontId="17" fillId="0" borderId="16" xfId="18" applyNumberFormat="1" applyFont="1" applyFill="1" applyBorder="1" applyAlignment="1">
      <alignment horizontal="center"/>
    </xf>
    <xf numFmtId="3" fontId="17" fillId="0" borderId="59" xfId="0" applyNumberFormat="1" applyFont="1" applyFill="1" applyBorder="1" applyAlignment="1">
      <alignment horizontal="right"/>
    </xf>
    <xf numFmtId="3" fontId="17" fillId="0" borderId="17" xfId="0" applyNumberFormat="1" applyFont="1" applyFill="1" applyBorder="1" applyAlignment="1">
      <alignment horizontal="right"/>
    </xf>
    <xf numFmtId="3" fontId="14" fillId="0" borderId="15" xfId="0" applyNumberFormat="1" applyFont="1" applyFill="1" applyBorder="1" applyAlignment="1"/>
    <xf numFmtId="3" fontId="17" fillId="0" borderId="16" xfId="18" applyNumberFormat="1" applyFont="1" applyFill="1" applyBorder="1" applyAlignment="1">
      <alignment horizontal="center" vertical="center"/>
    </xf>
    <xf numFmtId="3" fontId="17" fillId="0" borderId="53" xfId="18" applyNumberFormat="1" applyFont="1" applyFill="1" applyBorder="1" applyAlignment="1">
      <alignment horizontal="center" vertical="center"/>
    </xf>
    <xf numFmtId="3" fontId="17" fillId="0" borderId="56" xfId="18" applyNumberFormat="1" applyFont="1" applyFill="1" applyBorder="1" applyAlignment="1">
      <alignment horizontal="center" vertical="center"/>
    </xf>
    <xf numFmtId="3" fontId="20" fillId="0" borderId="56" xfId="0" applyNumberFormat="1" applyFont="1" applyFill="1" applyBorder="1" applyAlignment="1">
      <alignment vertical="center"/>
    </xf>
    <xf numFmtId="3" fontId="17" fillId="0" borderId="198" xfId="0" applyNumberFormat="1" applyFont="1" applyFill="1" applyBorder="1" applyAlignment="1"/>
    <xf numFmtId="3" fontId="17" fillId="0" borderId="136" xfId="0" applyNumberFormat="1" applyFont="1" applyFill="1" applyBorder="1" applyAlignment="1">
      <alignment vertical="center"/>
    </xf>
    <xf numFmtId="3" fontId="17" fillId="0" borderId="25" xfId="0" applyNumberFormat="1" applyFont="1" applyFill="1" applyBorder="1" applyAlignment="1">
      <alignment vertical="center"/>
    </xf>
    <xf numFmtId="3" fontId="16" fillId="0" borderId="53" xfId="0" applyNumberFormat="1" applyFont="1" applyFill="1" applyBorder="1" applyAlignment="1">
      <alignment horizontal="right"/>
    </xf>
    <xf numFmtId="3" fontId="16" fillId="0" borderId="56" xfId="0" applyNumberFormat="1" applyFont="1" applyFill="1" applyBorder="1" applyAlignment="1">
      <alignment horizontal="left" vertical="center" wrapText="1"/>
    </xf>
    <xf numFmtId="3" fontId="16" fillId="0" borderId="56" xfId="0" applyNumberFormat="1" applyFont="1" applyFill="1" applyBorder="1" applyAlignment="1">
      <alignment horizontal="right" vertical="center"/>
    </xf>
    <xf numFmtId="3" fontId="17" fillId="0" borderId="198" xfId="0" applyNumberFormat="1" applyFont="1" applyFill="1" applyBorder="1" applyAlignment="1">
      <alignment horizontal="right" vertical="center"/>
    </xf>
    <xf numFmtId="3" fontId="9" fillId="0" borderId="46" xfId="14" applyNumberFormat="1" applyFont="1" applyFill="1" applyBorder="1" applyAlignment="1">
      <alignment horizontal="center" vertical="center"/>
    </xf>
    <xf numFmtId="0" fontId="8" fillId="0" borderId="0" xfId="0" applyFont="1" applyFill="1" applyBorder="1"/>
    <xf numFmtId="3" fontId="14" fillId="0" borderId="187" xfId="15" applyNumberFormat="1" applyFont="1" applyFill="1" applyBorder="1" applyAlignment="1">
      <alignment horizontal="center"/>
    </xf>
    <xf numFmtId="3" fontId="16" fillId="0" borderId="131" xfId="15" applyNumberFormat="1" applyFont="1" applyFill="1" applyBorder="1" applyAlignment="1">
      <alignment horizontal="right"/>
    </xf>
    <xf numFmtId="3" fontId="17" fillId="0" borderId="59" xfId="15" applyNumberFormat="1" applyFont="1" applyFill="1" applyBorder="1" applyAlignment="1">
      <alignment horizontal="right" vertical="center"/>
    </xf>
    <xf numFmtId="3" fontId="14" fillId="0" borderId="181" xfId="15" applyNumberFormat="1" applyFont="1" applyFill="1" applyBorder="1" applyAlignment="1">
      <alignment horizontal="center"/>
    </xf>
    <xf numFmtId="3" fontId="17" fillId="0" borderId="200" xfId="0" applyNumberFormat="1" applyFont="1" applyFill="1" applyBorder="1" applyAlignment="1">
      <alignment horizontal="right" vertical="center"/>
    </xf>
    <xf numFmtId="3" fontId="17" fillId="0" borderId="92" xfId="0" applyNumberFormat="1" applyFont="1" applyFill="1" applyBorder="1" applyAlignment="1">
      <alignment vertical="center"/>
    </xf>
    <xf numFmtId="3" fontId="17" fillId="0" borderId="14" xfId="15" applyNumberFormat="1" applyFont="1" applyFill="1" applyBorder="1" applyAlignment="1">
      <alignment horizontal="right" vertical="center"/>
    </xf>
    <xf numFmtId="3" fontId="14" fillId="0" borderId="138" xfId="15" applyNumberFormat="1" applyFont="1" applyFill="1" applyBorder="1" applyAlignment="1">
      <alignment horizontal="center"/>
    </xf>
    <xf numFmtId="3" fontId="17" fillId="0" borderId="201" xfId="0" applyNumberFormat="1" applyFont="1" applyFill="1" applyBorder="1" applyAlignment="1">
      <alignment vertical="center"/>
    </xf>
    <xf numFmtId="3" fontId="17" fillId="0" borderId="14" xfId="15" applyNumberFormat="1" applyFont="1" applyFill="1" applyBorder="1" applyAlignment="1">
      <alignment horizontal="center" wrapText="1"/>
    </xf>
    <xf numFmtId="3" fontId="20" fillId="0" borderId="16" xfId="15" applyNumberFormat="1" applyFont="1" applyFill="1" applyBorder="1" applyAlignment="1">
      <alignment horizontal="left" vertical="center" wrapText="1"/>
    </xf>
    <xf numFmtId="3" fontId="20" fillId="0" borderId="16" xfId="15" applyNumberFormat="1" applyFont="1" applyFill="1" applyBorder="1" applyAlignment="1">
      <alignment horizontal="right" vertical="center"/>
    </xf>
    <xf numFmtId="3" fontId="20" fillId="0" borderId="131" xfId="0" applyNumberFormat="1" applyFont="1" applyFill="1" applyBorder="1" applyAlignment="1">
      <alignment vertical="center"/>
    </xf>
    <xf numFmtId="3" fontId="23" fillId="0" borderId="0" xfId="15" applyNumberFormat="1" applyFont="1" applyFill="1" applyBorder="1" applyAlignment="1">
      <alignment horizontal="center" vertical="center"/>
    </xf>
    <xf numFmtId="3" fontId="23" fillId="0" borderId="0" xfId="15" applyNumberFormat="1" applyFont="1" applyFill="1" applyBorder="1" applyAlignment="1">
      <alignment horizontal="center"/>
    </xf>
    <xf numFmtId="0" fontId="14" fillId="0" borderId="0" xfId="0" applyFont="1" applyBorder="1" applyAlignment="1">
      <alignment horizontal="center" vertical="top"/>
    </xf>
    <xf numFmtId="0" fontId="6" fillId="0" borderId="0" xfId="0" applyFont="1" applyBorder="1" applyAlignment="1">
      <alignment vertical="top"/>
    </xf>
    <xf numFmtId="0" fontId="6" fillId="0" borderId="0" xfId="0" applyFont="1" applyBorder="1"/>
    <xf numFmtId="0" fontId="14" fillId="0" borderId="0" xfId="0" applyFont="1" applyBorder="1" applyAlignment="1">
      <alignment horizontal="center" vertical="center"/>
    </xf>
    <xf numFmtId="0" fontId="6" fillId="0" borderId="0" xfId="0" applyFont="1" applyBorder="1" applyAlignment="1">
      <alignment vertical="center"/>
    </xf>
    <xf numFmtId="0" fontId="14" fillId="0" borderId="0" xfId="0" applyFont="1" applyBorder="1" applyAlignment="1">
      <alignment horizontal="center"/>
    </xf>
    <xf numFmtId="0" fontId="8" fillId="0" borderId="0" xfId="0" applyFont="1" applyBorder="1"/>
    <xf numFmtId="0" fontId="6" fillId="0" borderId="0" xfId="0" applyFont="1" applyBorder="1" applyAlignment="1">
      <alignment horizontal="center"/>
    </xf>
    <xf numFmtId="0" fontId="8" fillId="0" borderId="46" xfId="0" applyFont="1" applyFill="1" applyBorder="1" applyAlignment="1">
      <alignment horizontal="center"/>
    </xf>
    <xf numFmtId="0" fontId="8" fillId="0" borderId="145" xfId="0" applyFont="1" applyFill="1" applyBorder="1" applyAlignment="1">
      <alignment horizontal="center"/>
    </xf>
    <xf numFmtId="0" fontId="8" fillId="0" borderId="6" xfId="0" applyFont="1" applyFill="1" applyBorder="1" applyAlignment="1">
      <alignment horizontal="center" vertical="top"/>
    </xf>
    <xf numFmtId="0" fontId="8" fillId="0" borderId="7" xfId="0" applyFont="1" applyFill="1" applyBorder="1" applyAlignment="1">
      <alignment horizontal="center" vertical="top"/>
    </xf>
    <xf numFmtId="0" fontId="8" fillId="0" borderId="202" xfId="0" applyFont="1" applyFill="1" applyBorder="1" applyAlignment="1">
      <alignment horizontal="center" vertical="center" wrapText="1"/>
    </xf>
    <xf numFmtId="0" fontId="14" fillId="0" borderId="0" xfId="0" applyFont="1" applyFill="1" applyBorder="1" applyAlignment="1">
      <alignment horizontal="center"/>
    </xf>
    <xf numFmtId="0" fontId="37" fillId="0" borderId="4" xfId="0" applyFont="1" applyBorder="1"/>
    <xf numFmtId="0" fontId="37" fillId="0" borderId="0" xfId="0" applyFont="1" applyFill="1" applyBorder="1"/>
    <xf numFmtId="3" fontId="37" fillId="0" borderId="0" xfId="0" applyNumberFormat="1" applyFont="1" applyFill="1" applyBorder="1" applyAlignment="1">
      <alignment horizontal="right"/>
    </xf>
    <xf numFmtId="3" fontId="37" fillId="0" borderId="18" xfId="0" applyNumberFormat="1" applyFont="1" applyFill="1" applyBorder="1" applyAlignment="1">
      <alignment horizontal="right"/>
    </xf>
    <xf numFmtId="0" fontId="37" fillId="0" borderId="0" xfId="0" applyFont="1" applyBorder="1"/>
    <xf numFmtId="0" fontId="23" fillId="0" borderId="4" xfId="0" applyFont="1" applyBorder="1"/>
    <xf numFmtId="0" fontId="9" fillId="0" borderId="0" xfId="0" applyFont="1" applyFill="1" applyBorder="1"/>
    <xf numFmtId="3" fontId="9" fillId="0" borderId="18" xfId="0" applyNumberFormat="1" applyFont="1" applyFill="1" applyBorder="1" applyAlignment="1">
      <alignment horizontal="right"/>
    </xf>
    <xf numFmtId="0" fontId="8" fillId="0" borderId="4" xfId="0" applyFont="1" applyBorder="1"/>
    <xf numFmtId="0" fontId="8" fillId="0" borderId="10" xfId="0" applyFont="1" applyBorder="1"/>
    <xf numFmtId="3" fontId="8" fillId="0" borderId="10" xfId="0" applyNumberFormat="1" applyFont="1" applyFill="1" applyBorder="1" applyAlignment="1">
      <alignment horizontal="right"/>
    </xf>
    <xf numFmtId="3" fontId="38" fillId="0" borderId="0" xfId="0" applyNumberFormat="1" applyFont="1" applyFill="1" applyBorder="1" applyAlignment="1">
      <alignment horizontal="right"/>
    </xf>
    <xf numFmtId="3" fontId="6" fillId="0" borderId="0" xfId="0" applyNumberFormat="1" applyFont="1" applyFill="1" applyBorder="1" applyAlignment="1">
      <alignment horizontal="right"/>
    </xf>
    <xf numFmtId="0" fontId="39" fillId="0" borderId="0" xfId="0" applyFont="1" applyFill="1" applyBorder="1"/>
    <xf numFmtId="3" fontId="8" fillId="0" borderId="10" xfId="0" applyNumberFormat="1" applyFont="1" applyBorder="1" applyAlignment="1">
      <alignment horizontal="right"/>
    </xf>
    <xf numFmtId="0" fontId="8" fillId="0" borderId="4" xfId="0" applyFont="1" applyBorder="1" applyAlignment="1">
      <alignment vertical="top"/>
    </xf>
    <xf numFmtId="0" fontId="8" fillId="0" borderId="0" xfId="0" applyFont="1" applyBorder="1" applyAlignment="1">
      <alignment vertical="top"/>
    </xf>
    <xf numFmtId="3" fontId="8" fillId="0" borderId="0" xfId="0" applyNumberFormat="1" applyFont="1" applyBorder="1" applyAlignment="1">
      <alignment horizontal="right" vertical="top"/>
    </xf>
    <xf numFmtId="0" fontId="37" fillId="0" borderId="127" xfId="0" applyFont="1" applyBorder="1" applyAlignment="1">
      <alignment vertical="center"/>
    </xf>
    <xf numFmtId="0" fontId="37" fillId="0" borderId="46" xfId="0" applyFont="1" applyFill="1" applyBorder="1" applyAlignment="1"/>
    <xf numFmtId="3" fontId="37" fillId="0" borderId="46" xfId="0" applyNumberFormat="1" applyFont="1" applyFill="1" applyBorder="1" applyAlignment="1">
      <alignment horizontal="right" vertical="center"/>
    </xf>
    <xf numFmtId="3" fontId="37" fillId="0" borderId="128" xfId="0" applyNumberFormat="1" applyFont="1" applyFill="1" applyBorder="1" applyAlignment="1">
      <alignment horizontal="right" vertical="center"/>
    </xf>
    <xf numFmtId="0" fontId="37" fillId="0" borderId="0" xfId="0" applyFont="1" applyFill="1" applyBorder="1" applyAlignment="1">
      <alignment vertical="center"/>
    </xf>
    <xf numFmtId="0" fontId="23" fillId="0" borderId="4" xfId="0" applyFont="1" applyBorder="1" applyAlignment="1">
      <alignment vertical="center"/>
    </xf>
    <xf numFmtId="0" fontId="9" fillId="0" borderId="0" xfId="0" applyFont="1" applyFill="1" applyBorder="1" applyAlignment="1">
      <alignment vertical="center"/>
    </xf>
    <xf numFmtId="3" fontId="9" fillId="0" borderId="18" xfId="0" applyNumberFormat="1" applyFont="1" applyFill="1" applyBorder="1" applyAlignment="1">
      <alignment horizontal="right" vertical="center"/>
    </xf>
    <xf numFmtId="0" fontId="8" fillId="0" borderId="5" xfId="0" applyFont="1" applyBorder="1" applyAlignment="1">
      <alignment vertical="center"/>
    </xf>
    <xf numFmtId="0" fontId="8" fillId="0" borderId="6" xfId="0" applyFont="1" applyBorder="1" applyAlignment="1">
      <alignment vertical="top"/>
    </xf>
    <xf numFmtId="3" fontId="8" fillId="0" borderId="6" xfId="0" applyNumberFormat="1" applyFont="1" applyBorder="1" applyAlignment="1">
      <alignment horizontal="right" vertical="center"/>
    </xf>
    <xf numFmtId="0" fontId="8" fillId="0" borderId="0" xfId="0" applyFont="1" applyBorder="1" applyAlignment="1">
      <alignment vertical="center"/>
    </xf>
    <xf numFmtId="3" fontId="6" fillId="0" borderId="0" xfId="0" applyNumberFormat="1" applyFont="1" applyBorder="1"/>
    <xf numFmtId="3" fontId="8" fillId="0" borderId="0" xfId="0" applyNumberFormat="1" applyFont="1" applyBorder="1" applyAlignment="1">
      <alignment horizontal="right"/>
    </xf>
    <xf numFmtId="3" fontId="6" fillId="0" borderId="0" xfId="0" applyNumberFormat="1" applyFont="1" applyBorder="1" applyAlignment="1">
      <alignment horizontal="right"/>
    </xf>
    <xf numFmtId="3" fontId="6" fillId="0" borderId="0" xfId="0" applyNumberFormat="1" applyFont="1"/>
    <xf numFmtId="0" fontId="6" fillId="0" borderId="0" xfId="0" applyFont="1" applyFill="1" applyAlignment="1">
      <alignment wrapText="1"/>
    </xf>
    <xf numFmtId="0" fontId="6" fillId="0" borderId="0" xfId="0" applyFont="1" applyFill="1" applyAlignment="1">
      <alignment horizontal="center" vertical="top"/>
    </xf>
    <xf numFmtId="0" fontId="6" fillId="0" borderId="0" xfId="0" applyFont="1" applyFill="1" applyAlignment="1">
      <alignment horizontal="center" wrapText="1"/>
    </xf>
    <xf numFmtId="3" fontId="6" fillId="0" borderId="0" xfId="0" applyNumberFormat="1" applyFont="1" applyFill="1" applyAlignment="1">
      <alignment horizontal="center"/>
    </xf>
    <xf numFmtId="0" fontId="8" fillId="0" borderId="12" xfId="0" applyFont="1" applyFill="1" applyBorder="1" applyAlignment="1">
      <alignment vertical="center"/>
    </xf>
    <xf numFmtId="0" fontId="8" fillId="0" borderId="13" xfId="0" applyFont="1" applyFill="1" applyBorder="1" applyAlignment="1">
      <alignment horizontal="center" vertical="top"/>
    </xf>
    <xf numFmtId="0" fontId="8" fillId="0" borderId="13" xfId="0" applyFont="1" applyFill="1" applyBorder="1" applyAlignment="1">
      <alignment horizontal="center" vertical="center" wrapText="1"/>
    </xf>
    <xf numFmtId="3" fontId="8" fillId="0" borderId="203" xfId="0" applyNumberFormat="1" applyFont="1" applyFill="1" applyBorder="1" applyAlignment="1">
      <alignment horizontal="center" vertical="center"/>
    </xf>
    <xf numFmtId="0" fontId="8" fillId="0" borderId="0" xfId="0" applyFont="1" applyFill="1" applyAlignment="1">
      <alignment vertical="top"/>
    </xf>
    <xf numFmtId="0" fontId="8" fillId="0" borderId="0" xfId="0" applyFont="1" applyFill="1" applyAlignment="1">
      <alignment wrapText="1"/>
    </xf>
    <xf numFmtId="0" fontId="23" fillId="0" borderId="0" xfId="0" applyFont="1" applyFill="1" applyAlignment="1"/>
    <xf numFmtId="0" fontId="20" fillId="0" borderId="0" xfId="0" applyFont="1" applyFill="1" applyAlignment="1">
      <alignment wrapText="1"/>
    </xf>
    <xf numFmtId="3" fontId="9" fillId="0" borderId="0" xfId="0" applyNumberFormat="1" applyFont="1" applyFill="1" applyAlignment="1"/>
    <xf numFmtId="0" fontId="6" fillId="0" borderId="0" xfId="0" applyFont="1" applyFill="1" applyAlignment="1">
      <alignment horizontal="left" wrapText="1" indent="2"/>
    </xf>
    <xf numFmtId="3" fontId="6" fillId="0" borderId="10" xfId="0" applyNumberFormat="1" applyFont="1" applyFill="1" applyBorder="1" applyAlignment="1">
      <alignment vertical="top"/>
    </xf>
    <xf numFmtId="0" fontId="23" fillId="0" borderId="0" xfId="0" applyFont="1" applyFill="1" applyAlignment="1">
      <alignment horizontal="right" wrapText="1" indent="2"/>
    </xf>
    <xf numFmtId="3" fontId="23" fillId="0" borderId="0" xfId="0" applyNumberFormat="1" applyFont="1" applyFill="1" applyBorder="1"/>
    <xf numFmtId="0" fontId="23" fillId="0" borderId="0" xfId="0" applyFont="1" applyFill="1" applyAlignment="1">
      <alignment wrapText="1"/>
    </xf>
    <xf numFmtId="3" fontId="6" fillId="0" borderId="0" xfId="0" applyNumberFormat="1" applyFont="1" applyFill="1" applyAlignment="1">
      <alignment vertical="top"/>
    </xf>
    <xf numFmtId="0" fontId="6" fillId="0" borderId="0" xfId="0" applyFont="1" applyFill="1" applyAlignment="1">
      <alignment shrinkToFit="1"/>
    </xf>
    <xf numFmtId="3" fontId="6" fillId="0" borderId="0" xfId="18" applyNumberFormat="1" applyFont="1" applyFill="1" applyBorder="1" applyAlignment="1">
      <alignment wrapText="1"/>
    </xf>
    <xf numFmtId="0" fontId="6" fillId="0" borderId="0" xfId="0" applyFont="1" applyFill="1" applyAlignment="1">
      <alignment horizontal="left" indent="2" shrinkToFit="1"/>
    </xf>
    <xf numFmtId="3" fontId="23" fillId="0" borderId="0" xfId="18" applyNumberFormat="1" applyFont="1" applyFill="1" applyBorder="1" applyAlignment="1">
      <alignment wrapText="1"/>
    </xf>
    <xf numFmtId="3" fontId="9" fillId="0" borderId="0" xfId="18" applyNumberFormat="1" applyFont="1" applyFill="1" applyBorder="1" applyAlignment="1">
      <alignment wrapText="1"/>
    </xf>
    <xf numFmtId="0" fontId="9" fillId="0" borderId="0" xfId="0" applyFont="1" applyFill="1" applyAlignment="1">
      <alignment vertical="top"/>
    </xf>
    <xf numFmtId="0" fontId="8" fillId="0" borderId="13" xfId="0" applyFont="1" applyFill="1" applyBorder="1" applyAlignment="1">
      <alignment vertical="top"/>
    </xf>
    <xf numFmtId="0" fontId="8" fillId="0" borderId="13" xfId="0" applyFont="1" applyFill="1" applyBorder="1" applyAlignment="1">
      <alignment vertical="center" wrapText="1"/>
    </xf>
    <xf numFmtId="3" fontId="8" fillId="0" borderId="34" xfId="0" applyNumberFormat="1" applyFont="1" applyFill="1" applyBorder="1" applyAlignment="1">
      <alignment vertical="center"/>
    </xf>
    <xf numFmtId="0" fontId="32" fillId="0" borderId="0" xfId="0" applyFont="1" applyFill="1" applyAlignment="1">
      <alignment wrapText="1"/>
    </xf>
    <xf numFmtId="0" fontId="40" fillId="0" borderId="0" xfId="0" applyFont="1" applyFill="1" applyAlignment="1">
      <alignment horizontal="left" shrinkToFit="1"/>
    </xf>
    <xf numFmtId="3" fontId="6" fillId="0" borderId="0" xfId="0" applyNumberFormat="1" applyFont="1" applyFill="1" applyBorder="1" applyAlignment="1"/>
    <xf numFmtId="0" fontId="40" fillId="0" borderId="0" xfId="0" applyFont="1" applyFill="1"/>
    <xf numFmtId="3" fontId="8" fillId="0" borderId="0" xfId="0" applyNumberFormat="1" applyFont="1" applyFill="1" applyAlignment="1">
      <alignment vertical="center"/>
    </xf>
    <xf numFmtId="0" fontId="9" fillId="0" borderId="35" xfId="0" applyFont="1" applyFill="1" applyBorder="1" applyAlignment="1">
      <alignment vertical="center"/>
    </xf>
    <xf numFmtId="0" fontId="23" fillId="0" borderId="35" xfId="0" applyFont="1" applyFill="1" applyBorder="1" applyAlignment="1">
      <alignment horizontal="right" vertical="center"/>
    </xf>
    <xf numFmtId="3" fontId="23" fillId="0" borderId="35" xfId="0" applyNumberFormat="1" applyFont="1" applyFill="1" applyBorder="1" applyAlignment="1">
      <alignment vertical="center"/>
    </xf>
    <xf numFmtId="0" fontId="9" fillId="0" borderId="0" xfId="0" applyFont="1" applyFill="1" applyAlignment="1">
      <alignment vertical="center"/>
    </xf>
    <xf numFmtId="0" fontId="9" fillId="0" borderId="0" xfId="0" applyFont="1" applyFill="1" applyAlignment="1"/>
    <xf numFmtId="0" fontId="41" fillId="0" borderId="0" xfId="0" applyFont="1" applyFill="1" applyAlignment="1">
      <alignment wrapText="1"/>
    </xf>
    <xf numFmtId="3" fontId="6" fillId="0" borderId="0" xfId="28" applyNumberFormat="1" applyFont="1" applyFill="1" applyBorder="1"/>
    <xf numFmtId="3" fontId="6" fillId="0" borderId="0" xfId="28" applyNumberFormat="1" applyFont="1" applyFill="1" applyBorder="1" applyAlignment="1">
      <alignment vertical="top"/>
    </xf>
    <xf numFmtId="3" fontId="23" fillId="0" borderId="0" xfId="28" applyNumberFormat="1" applyFont="1" applyFill="1" applyBorder="1"/>
    <xf numFmtId="0" fontId="9" fillId="0" borderId="0" xfId="0" applyFont="1" applyFill="1" applyBorder="1" applyAlignment="1"/>
    <xf numFmtId="0" fontId="23" fillId="0" borderId="35" xfId="28" applyFont="1" applyFill="1" applyBorder="1" applyAlignment="1">
      <alignment horizontal="right" vertical="center" wrapText="1"/>
    </xf>
    <xf numFmtId="3" fontId="23" fillId="0" borderId="35" xfId="28" applyNumberFormat="1" applyFont="1" applyFill="1" applyBorder="1" applyAlignment="1">
      <alignment vertical="center"/>
    </xf>
    <xf numFmtId="3" fontId="23" fillId="0" borderId="0" xfId="0" applyNumberFormat="1" applyFont="1" applyFill="1" applyAlignment="1">
      <alignment vertical="center"/>
    </xf>
    <xf numFmtId="0" fontId="32" fillId="0" borderId="0" xfId="28" applyFont="1" applyFill="1" applyBorder="1" applyAlignment="1">
      <alignment wrapText="1"/>
    </xf>
    <xf numFmtId="0" fontId="9" fillId="0" borderId="0" xfId="0" applyFont="1" applyFill="1" applyBorder="1" applyAlignment="1">
      <alignment vertical="top"/>
    </xf>
    <xf numFmtId="0" fontId="6" fillId="0" borderId="97" xfId="0" applyFont="1" applyFill="1" applyBorder="1" applyAlignment="1">
      <alignment vertical="center"/>
    </xf>
    <xf numFmtId="0" fontId="23" fillId="0" borderId="97" xfId="0" applyFont="1" applyFill="1" applyBorder="1" applyAlignment="1">
      <alignment horizontal="right" vertical="center" wrapText="1"/>
    </xf>
    <xf numFmtId="3" fontId="23" fillId="0" borderId="97" xfId="0" applyNumberFormat="1" applyFont="1" applyFill="1" applyBorder="1" applyAlignment="1">
      <alignment vertical="center"/>
    </xf>
    <xf numFmtId="0" fontId="41" fillId="0" borderId="0" xfId="0" applyFont="1" applyFill="1" applyBorder="1" applyAlignment="1">
      <alignment wrapText="1"/>
    </xf>
    <xf numFmtId="0" fontId="23" fillId="0" borderId="0" xfId="0" applyFont="1" applyFill="1" applyBorder="1" applyAlignment="1"/>
    <xf numFmtId="0" fontId="32" fillId="0" borderId="0" xfId="0" applyFont="1" applyFill="1"/>
    <xf numFmtId="0" fontId="23" fillId="0" borderId="35" xfId="0" applyFont="1" applyFill="1" applyBorder="1" applyAlignment="1">
      <alignment vertical="center"/>
    </xf>
    <xf numFmtId="0" fontId="23" fillId="0" borderId="35" xfId="0" applyFont="1" applyFill="1" applyBorder="1" applyAlignment="1">
      <alignment horizontal="right" vertical="center" wrapText="1"/>
    </xf>
    <xf numFmtId="3" fontId="9" fillId="0" borderId="0" xfId="0" applyNumberFormat="1" applyFont="1" applyFill="1"/>
    <xf numFmtId="0" fontId="8" fillId="0" borderId="0" xfId="0" applyFont="1" applyFill="1" applyBorder="1" applyAlignment="1">
      <alignment vertical="center" wrapText="1"/>
    </xf>
    <xf numFmtId="0" fontId="8" fillId="0" borderId="0" xfId="0" applyFont="1" applyFill="1" applyBorder="1" applyAlignment="1">
      <alignment vertical="top"/>
    </xf>
    <xf numFmtId="0" fontId="8" fillId="0" borderId="0" xfId="0" applyFont="1" applyFill="1" applyBorder="1" applyAlignment="1">
      <alignment wrapText="1"/>
    </xf>
    <xf numFmtId="0" fontId="6" fillId="0" borderId="0" xfId="0" applyFont="1" applyFill="1" applyBorder="1" applyAlignment="1">
      <alignment horizontal="center" wrapText="1"/>
    </xf>
    <xf numFmtId="0" fontId="35" fillId="0" borderId="0" xfId="0" applyFont="1" applyFill="1" applyBorder="1" applyAlignment="1">
      <alignment wrapText="1"/>
    </xf>
    <xf numFmtId="0" fontId="9" fillId="0" borderId="0" xfId="0" applyFont="1" applyFill="1" applyBorder="1" applyAlignment="1">
      <alignment wrapText="1"/>
    </xf>
    <xf numFmtId="3" fontId="9" fillId="0" borderId="0" xfId="0" applyNumberFormat="1" applyFont="1" applyFill="1" applyBorder="1"/>
    <xf numFmtId="3" fontId="35" fillId="0" borderId="0" xfId="0" applyNumberFormat="1" applyFont="1" applyFill="1" applyBorder="1"/>
    <xf numFmtId="0" fontId="35" fillId="0" borderId="0" xfId="0" applyFont="1" applyFill="1" applyAlignment="1">
      <alignment wrapText="1"/>
    </xf>
    <xf numFmtId="3" fontId="35" fillId="0" borderId="0" xfId="0" applyNumberFormat="1" applyFont="1" applyFill="1"/>
    <xf numFmtId="0" fontId="9" fillId="0" borderId="0" xfId="0" applyFont="1" applyFill="1" applyAlignment="1">
      <alignment wrapText="1"/>
    </xf>
    <xf numFmtId="3" fontId="8" fillId="0" borderId="0" xfId="0" applyNumberFormat="1" applyFont="1" applyFill="1"/>
    <xf numFmtId="0" fontId="35" fillId="0" borderId="53" xfId="20" applyFont="1" applyFill="1" applyBorder="1" applyAlignment="1">
      <alignment wrapText="1"/>
    </xf>
    <xf numFmtId="3" fontId="42" fillId="0" borderId="16" xfId="18" applyNumberFormat="1" applyFont="1" applyFill="1" applyBorder="1" applyAlignment="1">
      <alignment vertical="center"/>
    </xf>
    <xf numFmtId="3" fontId="42" fillId="0" borderId="16" xfId="0" applyNumberFormat="1" applyFont="1" applyFill="1" applyBorder="1" applyAlignment="1"/>
    <xf numFmtId="3" fontId="43" fillId="0" borderId="16" xfId="0" applyNumberFormat="1" applyFont="1" applyFill="1" applyBorder="1" applyAlignment="1"/>
    <xf numFmtId="3" fontId="44" fillId="0" borderId="17" xfId="0" applyNumberFormat="1" applyFont="1" applyFill="1" applyBorder="1" applyAlignment="1"/>
    <xf numFmtId="3" fontId="42" fillId="0" borderId="53" xfId="18" applyNumberFormat="1" applyFont="1" applyFill="1" applyBorder="1" applyAlignment="1">
      <alignment horizontal="left" vertical="top" indent="2"/>
    </xf>
    <xf numFmtId="3" fontId="42" fillId="0" borderId="16" xfId="0" applyNumberFormat="1" applyFont="1" applyFill="1" applyBorder="1" applyAlignment="1">
      <alignment vertical="top"/>
    </xf>
    <xf numFmtId="3" fontId="43" fillId="0" borderId="16" xfId="0" applyNumberFormat="1" applyFont="1" applyFill="1" applyBorder="1" applyAlignment="1">
      <alignment vertical="top"/>
    </xf>
    <xf numFmtId="3" fontId="44" fillId="0" borderId="17" xfId="0" applyNumberFormat="1" applyFont="1" applyFill="1" applyBorder="1" applyAlignment="1">
      <alignment vertical="top"/>
    </xf>
    <xf numFmtId="3" fontId="14" fillId="0" borderId="29" xfId="0" applyNumberFormat="1" applyFont="1" applyFill="1" applyBorder="1" applyAlignment="1">
      <alignment horizontal="center" vertical="top"/>
    </xf>
    <xf numFmtId="3" fontId="17" fillId="0" borderId="180" xfId="0" applyNumberFormat="1" applyFont="1" applyFill="1" applyBorder="1" applyAlignment="1">
      <alignment vertical="top"/>
    </xf>
    <xf numFmtId="3" fontId="45" fillId="0" borderId="59" xfId="0" applyNumberFormat="1" applyFont="1" applyFill="1" applyBorder="1" applyAlignment="1">
      <alignment vertical="center"/>
    </xf>
    <xf numFmtId="3" fontId="44" fillId="0" borderId="59" xfId="0" applyNumberFormat="1" applyFont="1" applyFill="1" applyBorder="1" applyAlignment="1">
      <alignment vertical="center"/>
    </xf>
    <xf numFmtId="3" fontId="14" fillId="0" borderId="14" xfId="0" applyNumberFormat="1" applyFont="1" applyFill="1" applyBorder="1" applyAlignment="1">
      <alignment horizontal="center" vertical="top"/>
    </xf>
    <xf numFmtId="3" fontId="14" fillId="0" borderId="14" xfId="0" applyNumberFormat="1" applyFont="1" applyFill="1" applyBorder="1" applyAlignment="1">
      <alignment vertical="top"/>
    </xf>
    <xf numFmtId="3" fontId="17" fillId="0" borderId="139" xfId="0" applyNumberFormat="1" applyFont="1" applyFill="1" applyBorder="1" applyAlignment="1">
      <alignment vertical="top"/>
    </xf>
    <xf numFmtId="3" fontId="14" fillId="0" borderId="139" xfId="0" applyNumberFormat="1" applyFont="1" applyFill="1" applyBorder="1" applyAlignment="1">
      <alignment vertical="top"/>
    </xf>
    <xf numFmtId="3" fontId="14" fillId="0" borderId="14" xfId="0" applyNumberFormat="1" applyFont="1" applyFill="1" applyBorder="1" applyAlignment="1">
      <alignment horizontal="center" vertical="center"/>
    </xf>
    <xf numFmtId="3" fontId="14" fillId="0" borderId="14" xfId="0" applyNumberFormat="1" applyFont="1" applyFill="1" applyBorder="1" applyAlignment="1">
      <alignment vertical="center"/>
    </xf>
    <xf numFmtId="3" fontId="17" fillId="0" borderId="139" xfId="0" applyNumberFormat="1" applyFont="1" applyFill="1" applyBorder="1" applyAlignment="1">
      <alignment vertical="center"/>
    </xf>
    <xf numFmtId="0" fontId="27" fillId="0" borderId="27" xfId="0" applyFont="1" applyFill="1" applyBorder="1"/>
    <xf numFmtId="3" fontId="17" fillId="0" borderId="27" xfId="0" applyNumberFormat="1" applyFont="1" applyFill="1" applyBorder="1" applyAlignment="1">
      <alignment vertical="center"/>
    </xf>
    <xf numFmtId="3" fontId="14" fillId="0" borderId="94" xfId="0" applyNumberFormat="1" applyFont="1" applyFill="1" applyBorder="1" applyAlignment="1">
      <alignment horizontal="center" vertical="center"/>
    </xf>
    <xf numFmtId="3" fontId="42" fillId="0" borderId="16" xfId="0" applyNumberFormat="1" applyFont="1" applyFill="1" applyBorder="1" applyAlignment="1">
      <alignment vertical="center"/>
    </xf>
    <xf numFmtId="3" fontId="44" fillId="0" borderId="17" xfId="0" applyNumberFormat="1" applyFont="1" applyFill="1" applyBorder="1" applyAlignment="1">
      <alignment vertical="center"/>
    </xf>
    <xf numFmtId="3" fontId="42" fillId="0" borderId="16" xfId="18" applyNumberFormat="1" applyFont="1" applyFill="1" applyBorder="1" applyAlignment="1">
      <alignment horizontal="left" vertical="top" indent="2"/>
    </xf>
    <xf numFmtId="3" fontId="43" fillId="0" borderId="16" xfId="0" applyNumberFormat="1" applyFont="1" applyFill="1" applyBorder="1" applyAlignment="1">
      <alignment vertical="center"/>
    </xf>
    <xf numFmtId="3" fontId="42" fillId="0" borderId="53" xfId="0" applyNumberFormat="1" applyFont="1" applyFill="1" applyBorder="1" applyAlignment="1">
      <alignment vertical="top"/>
    </xf>
    <xf numFmtId="3" fontId="43" fillId="0" borderId="53" xfId="0" applyNumberFormat="1" applyFont="1" applyFill="1" applyBorder="1" applyAlignment="1">
      <alignment vertical="top"/>
    </xf>
    <xf numFmtId="3" fontId="44" fillId="0" borderId="54" xfId="0" applyNumberFormat="1" applyFont="1" applyFill="1" applyBorder="1" applyAlignment="1">
      <alignment vertical="top"/>
    </xf>
    <xf numFmtId="3" fontId="42" fillId="0" borderId="22" xfId="0" applyNumberFormat="1" applyFont="1" applyFill="1" applyBorder="1" applyAlignment="1">
      <alignment vertical="center"/>
    </xf>
    <xf numFmtId="3" fontId="43" fillId="0" borderId="22" xfId="0" applyNumberFormat="1" applyFont="1" applyFill="1" applyBorder="1" applyAlignment="1">
      <alignment vertical="center"/>
    </xf>
    <xf numFmtId="3" fontId="44" fillId="0" borderId="26" xfId="0" applyNumberFormat="1" applyFont="1" applyFill="1" applyBorder="1" applyAlignment="1">
      <alignment vertical="center"/>
    </xf>
    <xf numFmtId="3" fontId="42" fillId="0" borderId="53" xfId="18" applyNumberFormat="1" applyFont="1" applyFill="1" applyBorder="1" applyAlignment="1">
      <alignment vertical="center"/>
    </xf>
    <xf numFmtId="3" fontId="42" fillId="0" borderId="53" xfId="0" applyNumberFormat="1" applyFont="1" applyFill="1" applyBorder="1" applyAlignment="1">
      <alignment vertical="center"/>
    </xf>
    <xf numFmtId="3" fontId="43" fillId="0" borderId="53" xfId="0" applyNumberFormat="1" applyFont="1" applyFill="1" applyBorder="1" applyAlignment="1">
      <alignment vertical="center"/>
    </xf>
    <xf numFmtId="3" fontId="44" fillId="0" borderId="54" xfId="0" applyNumberFormat="1" applyFont="1" applyFill="1" applyBorder="1" applyAlignment="1">
      <alignment vertical="center"/>
    </xf>
    <xf numFmtId="3" fontId="17" fillId="0" borderId="27" xfId="18" applyNumberFormat="1" applyFont="1" applyFill="1" applyBorder="1" applyAlignment="1">
      <alignment vertical="center"/>
    </xf>
    <xf numFmtId="3" fontId="44" fillId="0" borderId="27" xfId="18" applyNumberFormat="1" applyFont="1" applyFill="1" applyBorder="1" applyAlignment="1">
      <alignment vertical="center"/>
    </xf>
    <xf numFmtId="3" fontId="44" fillId="0" borderId="22" xfId="0" applyNumberFormat="1" applyFont="1" applyFill="1" applyBorder="1" applyAlignment="1">
      <alignment vertical="center"/>
    </xf>
    <xf numFmtId="3" fontId="17" fillId="0" borderId="16" xfId="18" applyNumberFormat="1" applyFont="1" applyFill="1" applyBorder="1" applyAlignment="1">
      <alignment vertical="center"/>
    </xf>
    <xf numFmtId="3" fontId="17" fillId="0" borderId="16" xfId="0" applyNumberFormat="1" applyFont="1" applyFill="1" applyBorder="1" applyAlignment="1"/>
    <xf numFmtId="3" fontId="17" fillId="0" borderId="29" xfId="18" applyNumberFormat="1" applyFont="1" applyFill="1" applyBorder="1" applyAlignment="1">
      <alignment horizontal="left" vertical="top" indent="2"/>
    </xf>
    <xf numFmtId="3" fontId="17" fillId="0" borderId="29" xfId="0" applyNumberFormat="1" applyFont="1" applyFill="1" applyBorder="1" applyAlignment="1">
      <alignment vertical="top"/>
    </xf>
    <xf numFmtId="3" fontId="17" fillId="0" borderId="29" xfId="18" applyNumberFormat="1" applyFont="1" applyFill="1" applyBorder="1" applyAlignment="1">
      <alignment vertical="top"/>
    </xf>
    <xf numFmtId="3" fontId="17" fillId="0" borderId="16" xfId="18" applyNumberFormat="1" applyFont="1" applyFill="1" applyBorder="1" applyAlignment="1">
      <alignment horizontal="left" vertical="top" indent="2"/>
    </xf>
    <xf numFmtId="3" fontId="17" fillId="0" borderId="16" xfId="0" applyNumberFormat="1" applyFont="1" applyFill="1" applyBorder="1" applyAlignment="1">
      <alignment vertical="top"/>
    </xf>
    <xf numFmtId="3" fontId="17" fillId="0" borderId="53" xfId="0" applyNumberFormat="1" applyFont="1" applyFill="1" applyBorder="1" applyAlignment="1">
      <alignment vertical="top"/>
    </xf>
    <xf numFmtId="3" fontId="20" fillId="0" borderId="53" xfId="0" applyNumberFormat="1" applyFont="1" applyFill="1" applyBorder="1" applyAlignment="1">
      <alignment vertical="top"/>
    </xf>
    <xf numFmtId="3" fontId="20" fillId="0" borderId="16" xfId="0" applyNumberFormat="1" applyFont="1" applyFill="1" applyBorder="1" applyAlignment="1">
      <alignment vertical="top"/>
    </xf>
    <xf numFmtId="3" fontId="20" fillId="0" borderId="16" xfId="0" applyNumberFormat="1" applyFont="1" applyFill="1" applyBorder="1" applyAlignment="1"/>
    <xf numFmtId="3" fontId="17" fillId="0" borderId="29" xfId="18" applyNumberFormat="1" applyFont="1" applyFill="1" applyBorder="1" applyAlignment="1">
      <alignment vertical="center"/>
    </xf>
    <xf numFmtId="3" fontId="17" fillId="0" borderId="56" xfId="0" applyNumberFormat="1" applyFont="1" applyFill="1" applyBorder="1" applyAlignment="1">
      <alignment vertical="center"/>
    </xf>
    <xf numFmtId="3" fontId="17" fillId="0" borderId="91" xfId="0" applyNumberFormat="1" applyFont="1" applyFill="1" applyBorder="1" applyAlignment="1">
      <alignment horizontal="right"/>
    </xf>
    <xf numFmtId="3" fontId="44" fillId="0" borderId="66" xfId="0" applyNumberFormat="1" applyFont="1" applyFill="1" applyBorder="1" applyAlignment="1"/>
    <xf numFmtId="3" fontId="42" fillId="0" borderId="16" xfId="0" applyNumberFormat="1" applyFont="1" applyFill="1" applyBorder="1" applyAlignment="1">
      <alignment horizontal="right"/>
    </xf>
    <xf numFmtId="3" fontId="44" fillId="0" borderId="131" xfId="0" applyNumberFormat="1" applyFont="1" applyFill="1" applyBorder="1" applyAlignment="1"/>
    <xf numFmtId="3" fontId="17" fillId="0" borderId="138" xfId="0" applyNumberFormat="1" applyFont="1" applyFill="1" applyBorder="1" applyAlignment="1"/>
    <xf numFmtId="3" fontId="14" fillId="0" borderId="14" xfId="0" applyNumberFormat="1" applyFont="1" applyFill="1" applyBorder="1" applyAlignment="1">
      <alignment horizontal="right"/>
    </xf>
    <xf numFmtId="3" fontId="42" fillId="0" borderId="16" xfId="18" applyNumberFormat="1" applyFont="1" applyFill="1" applyBorder="1" applyAlignment="1">
      <alignment vertical="top"/>
    </xf>
    <xf numFmtId="3" fontId="42" fillId="0" borderId="16" xfId="18" applyNumberFormat="1" applyFont="1" applyFill="1" applyBorder="1" applyAlignment="1">
      <alignment horizontal="center" vertical="center"/>
    </xf>
    <xf numFmtId="3" fontId="42" fillId="0" borderId="53" xfId="18" applyNumberFormat="1" applyFont="1" applyFill="1" applyBorder="1" applyAlignment="1">
      <alignment horizontal="center" vertical="center"/>
    </xf>
    <xf numFmtId="3" fontId="44" fillId="0" borderId="21" xfId="0" applyNumberFormat="1" applyFont="1" applyFill="1" applyBorder="1" applyAlignment="1"/>
    <xf numFmtId="3" fontId="17" fillId="0" borderId="53" xfId="0" applyNumberFormat="1" applyFont="1" applyFill="1" applyBorder="1" applyAlignment="1">
      <alignment vertical="center"/>
    </xf>
    <xf numFmtId="3" fontId="17" fillId="0" borderId="53" xfId="18" applyNumberFormat="1" applyFont="1" applyFill="1" applyBorder="1" applyAlignment="1">
      <alignment vertical="center"/>
    </xf>
    <xf numFmtId="3" fontId="17" fillId="0" borderId="53" xfId="0" applyNumberFormat="1" applyFont="1" applyFill="1" applyBorder="1" applyAlignment="1">
      <alignment horizontal="right"/>
    </xf>
    <xf numFmtId="3" fontId="20" fillId="0" borderId="22" xfId="0" applyNumberFormat="1" applyFont="1" applyFill="1" applyBorder="1" applyAlignment="1">
      <alignment horizontal="center" vertical="center"/>
    </xf>
    <xf numFmtId="3" fontId="20" fillId="0" borderId="22" xfId="18" applyNumberFormat="1" applyFont="1" applyFill="1" applyBorder="1" applyAlignment="1">
      <alignment horizontal="center" vertical="center"/>
    </xf>
    <xf numFmtId="3" fontId="17" fillId="0" borderId="14" xfId="18" applyNumberFormat="1" applyFont="1" applyFill="1" applyBorder="1" applyAlignment="1">
      <alignment vertical="center"/>
    </xf>
    <xf numFmtId="3" fontId="17" fillId="0" borderId="14" xfId="0" applyNumberFormat="1" applyFont="1" applyFill="1" applyBorder="1" applyAlignment="1">
      <alignment vertical="center"/>
    </xf>
    <xf numFmtId="3" fontId="17" fillId="0" borderId="133" xfId="0" applyNumberFormat="1" applyFont="1" applyFill="1" applyBorder="1" applyAlignment="1"/>
    <xf numFmtId="3" fontId="17" fillId="0" borderId="14" xfId="0" applyNumberFormat="1" applyFont="1" applyFill="1" applyBorder="1" applyAlignment="1">
      <alignment horizontal="right"/>
    </xf>
    <xf numFmtId="3" fontId="14" fillId="0" borderId="139" xfId="0" applyNumberFormat="1" applyFont="1" applyFill="1" applyBorder="1" applyAlignment="1">
      <alignment horizontal="right"/>
    </xf>
    <xf numFmtId="3" fontId="14" fillId="0" borderId="51" xfId="0" applyNumberFormat="1" applyFont="1" applyFill="1" applyBorder="1" applyAlignment="1">
      <alignment horizontal="right"/>
    </xf>
    <xf numFmtId="3" fontId="14" fillId="0" borderId="52" xfId="0" applyNumberFormat="1" applyFont="1" applyFill="1" applyBorder="1" applyAlignment="1">
      <alignment horizontal="right"/>
    </xf>
    <xf numFmtId="3" fontId="17" fillId="0" borderId="51" xfId="18" applyNumberFormat="1" applyFont="1" applyFill="1" applyBorder="1" applyAlignment="1">
      <alignment vertical="center"/>
    </xf>
    <xf numFmtId="3" fontId="17" fillId="0" borderId="14" xfId="0" applyNumberFormat="1" applyFont="1" applyFill="1" applyBorder="1" applyAlignment="1">
      <alignment horizontal="right" vertical="center"/>
    </xf>
    <xf numFmtId="3" fontId="17" fillId="0" borderId="139" xfId="0" applyNumberFormat="1" applyFont="1" applyFill="1" applyBorder="1" applyAlignment="1">
      <alignment horizontal="right" vertical="center"/>
    </xf>
    <xf numFmtId="3" fontId="14" fillId="0" borderId="14" xfId="18" applyNumberFormat="1" applyFont="1" applyFill="1" applyBorder="1" applyAlignment="1">
      <alignment horizontal="left" vertical="top" wrapText="1"/>
    </xf>
    <xf numFmtId="3" fontId="17" fillId="0" borderId="51" xfId="18" applyNumberFormat="1" applyFont="1" applyFill="1" applyBorder="1" applyAlignment="1">
      <alignment horizontal="center" vertical="center"/>
    </xf>
    <xf numFmtId="3" fontId="20" fillId="0" borderId="51" xfId="0" applyNumberFormat="1" applyFont="1" applyFill="1" applyBorder="1" applyAlignment="1">
      <alignment vertical="center"/>
    </xf>
    <xf numFmtId="3" fontId="20" fillId="0" borderId="51" xfId="0" applyNumberFormat="1" applyFont="1" applyFill="1" applyBorder="1" applyAlignment="1">
      <alignment horizontal="right" vertical="center"/>
    </xf>
    <xf numFmtId="3" fontId="43" fillId="0" borderId="16" xfId="0" applyNumberFormat="1" applyFont="1" applyFill="1" applyBorder="1" applyAlignment="1">
      <alignment horizontal="left" vertical="center" wrapText="1"/>
    </xf>
    <xf numFmtId="3" fontId="43" fillId="0" borderId="16" xfId="0" applyNumberFormat="1" applyFont="1" applyFill="1" applyBorder="1" applyAlignment="1">
      <alignment horizontal="right" vertical="center"/>
    </xf>
    <xf numFmtId="3" fontId="44" fillId="0" borderId="66" xfId="0" applyNumberFormat="1" applyFont="1" applyFill="1" applyBorder="1" applyAlignment="1">
      <alignment horizontal="right" vertical="center"/>
    </xf>
    <xf numFmtId="3" fontId="43" fillId="0" borderId="53" xfId="0" applyNumberFormat="1" applyFont="1" applyFill="1" applyBorder="1" applyAlignment="1">
      <alignment horizontal="left" vertical="center" wrapText="1"/>
    </xf>
    <xf numFmtId="3" fontId="43" fillId="0" borderId="53" xfId="0" applyNumberFormat="1" applyFont="1" applyFill="1" applyBorder="1" applyAlignment="1">
      <alignment horizontal="right" vertical="center"/>
    </xf>
    <xf numFmtId="3" fontId="44" fillId="0" borderId="21" xfId="0" applyNumberFormat="1" applyFont="1" applyFill="1" applyBorder="1" applyAlignment="1">
      <alignment horizontal="right" vertical="center"/>
    </xf>
    <xf numFmtId="3" fontId="42" fillId="0" borderId="16" xfId="18" applyNumberFormat="1" applyFont="1" applyFill="1" applyBorder="1" applyAlignment="1"/>
    <xf numFmtId="3" fontId="42" fillId="0" borderId="59" xfId="18" applyNumberFormat="1" applyFont="1" applyFill="1" applyBorder="1" applyAlignment="1">
      <alignment horizontal="center" vertical="center"/>
    </xf>
    <xf numFmtId="3" fontId="44" fillId="0" borderId="59" xfId="18" applyNumberFormat="1" applyFont="1" applyFill="1" applyBorder="1" applyAlignment="1">
      <alignment horizontal="center" vertical="center"/>
    </xf>
    <xf numFmtId="3" fontId="42" fillId="0" borderId="53" xfId="0" applyNumberFormat="1" applyFont="1" applyFill="1" applyBorder="1" applyAlignment="1">
      <alignment horizontal="right"/>
    </xf>
    <xf numFmtId="3" fontId="44" fillId="0" borderId="59" xfId="18" applyNumberFormat="1" applyFont="1" applyFill="1" applyBorder="1" applyAlignment="1">
      <alignment horizontal="center"/>
    </xf>
    <xf numFmtId="3" fontId="42" fillId="0" borderId="16" xfId="18" applyNumberFormat="1" applyFont="1" applyFill="1" applyBorder="1" applyAlignment="1">
      <alignment horizontal="center"/>
    </xf>
    <xf numFmtId="3" fontId="17" fillId="0" borderId="56" xfId="0" applyNumberFormat="1" applyFont="1" applyFill="1" applyBorder="1" applyAlignment="1">
      <alignment horizontal="right" vertical="center"/>
    </xf>
    <xf numFmtId="0" fontId="23" fillId="0" borderId="0" xfId="0" applyFont="1" applyFill="1" applyAlignment="1">
      <alignment horizontal="left" shrinkToFit="1"/>
    </xf>
    <xf numFmtId="0" fontId="6" fillId="0" borderId="53" xfId="20" applyFont="1" applyFill="1" applyBorder="1" applyAlignment="1">
      <alignment horizontal="left" wrapText="1"/>
    </xf>
    <xf numFmtId="3" fontId="6" fillId="0" borderId="16" xfId="20" applyNumberFormat="1" applyFont="1" applyFill="1" applyBorder="1" applyAlignment="1">
      <alignment vertical="center"/>
    </xf>
    <xf numFmtId="0" fontId="8" fillId="0" borderId="0" xfId="0" applyFont="1" applyFill="1" applyBorder="1" applyAlignment="1">
      <alignment horizontal="center" vertical="center"/>
    </xf>
    <xf numFmtId="3" fontId="16" fillId="0" borderId="22" xfId="15" applyNumberFormat="1" applyFont="1" applyFill="1" applyBorder="1" applyAlignment="1">
      <alignment wrapText="1"/>
    </xf>
    <xf numFmtId="3" fontId="16" fillId="0" borderId="22" xfId="15" applyNumberFormat="1" applyFont="1" applyFill="1" applyBorder="1" applyAlignment="1">
      <alignment horizontal="left" wrapText="1" indent="2"/>
    </xf>
    <xf numFmtId="3" fontId="8" fillId="0" borderId="207" xfId="0" applyNumberFormat="1" applyFont="1" applyFill="1" applyBorder="1" applyAlignment="1">
      <alignment horizontal="right" vertical="center"/>
    </xf>
    <xf numFmtId="3" fontId="6" fillId="0" borderId="208" xfId="0" applyNumberFormat="1" applyFont="1" applyFill="1" applyBorder="1"/>
    <xf numFmtId="3" fontId="8" fillId="0" borderId="208" xfId="0" applyNumberFormat="1" applyFont="1" applyFill="1" applyBorder="1" applyAlignment="1">
      <alignment horizontal="right"/>
    </xf>
    <xf numFmtId="3" fontId="6" fillId="0" borderId="208" xfId="0" applyNumberFormat="1" applyFont="1" applyFill="1" applyBorder="1" applyAlignment="1">
      <alignment horizontal="right"/>
    </xf>
    <xf numFmtId="3" fontId="6" fillId="0" borderId="208" xfId="0" applyNumberFormat="1" applyFont="1" applyFill="1" applyBorder="1" applyAlignment="1">
      <alignment horizontal="right" vertical="center"/>
    </xf>
    <xf numFmtId="3" fontId="8" fillId="0" borderId="104" xfId="0" applyNumberFormat="1" applyFont="1" applyFill="1" applyBorder="1" applyAlignment="1">
      <alignment horizontal="right" vertical="center"/>
    </xf>
    <xf numFmtId="3" fontId="6" fillId="0" borderId="102" xfId="0" applyNumberFormat="1" applyFont="1" applyFill="1" applyBorder="1" applyAlignment="1">
      <alignment horizontal="right" vertical="center" textRotation="180"/>
    </xf>
    <xf numFmtId="3" fontId="8" fillId="0" borderId="209" xfId="0" applyNumberFormat="1" applyFont="1" applyFill="1" applyBorder="1" applyAlignment="1">
      <alignment horizontal="right" vertical="center"/>
    </xf>
    <xf numFmtId="3" fontId="6" fillId="0" borderId="121" xfId="0" applyNumberFormat="1" applyFont="1" applyFill="1" applyBorder="1" applyAlignment="1">
      <alignment horizontal="right" vertical="center"/>
    </xf>
    <xf numFmtId="3" fontId="8" fillId="0" borderId="99" xfId="0" applyNumberFormat="1" applyFont="1" applyFill="1" applyBorder="1" applyAlignment="1">
      <alignment horizontal="center" vertical="top" wrapText="1"/>
    </xf>
    <xf numFmtId="3" fontId="8" fillId="0" borderId="166" xfId="0" applyNumberFormat="1" applyFont="1" applyFill="1" applyBorder="1" applyAlignment="1">
      <alignment horizontal="center" vertical="top" wrapText="1"/>
    </xf>
    <xf numFmtId="3" fontId="8" fillId="0" borderId="101" xfId="0" applyNumberFormat="1" applyFont="1" applyFill="1" applyBorder="1" applyAlignment="1">
      <alignment horizontal="center" vertical="top" wrapText="1"/>
    </xf>
    <xf numFmtId="3" fontId="23" fillId="0" borderId="196" xfId="20" applyNumberFormat="1" applyFont="1" applyFill="1" applyBorder="1" applyAlignment="1">
      <alignment horizontal="right" vertical="center" wrapText="1"/>
    </xf>
    <xf numFmtId="3" fontId="6" fillId="0" borderId="13" xfId="14" applyNumberFormat="1" applyFont="1" applyFill="1" applyBorder="1" applyAlignment="1">
      <alignment horizontal="center" vertical="center" wrapText="1"/>
    </xf>
    <xf numFmtId="3" fontId="17" fillId="0" borderId="16" xfId="0" applyNumberFormat="1" applyFont="1" applyFill="1" applyBorder="1" applyAlignment="1">
      <alignment horizontal="center" vertical="center"/>
    </xf>
    <xf numFmtId="3" fontId="16" fillId="0" borderId="16" xfId="18" applyNumberFormat="1" applyFont="1" applyFill="1" applyBorder="1" applyAlignment="1">
      <alignment vertical="center"/>
    </xf>
    <xf numFmtId="3" fontId="17" fillId="0" borderId="16" xfId="18" applyNumberFormat="1" applyFont="1" applyFill="1" applyBorder="1" applyAlignment="1">
      <alignment vertical="top"/>
    </xf>
    <xf numFmtId="3" fontId="16" fillId="0" borderId="17" xfId="0" applyNumberFormat="1" applyFont="1" applyFill="1" applyBorder="1" applyAlignment="1"/>
    <xf numFmtId="3" fontId="17" fillId="0" borderId="54" xfId="0" applyNumberFormat="1" applyFont="1" applyFill="1" applyBorder="1" applyAlignment="1"/>
    <xf numFmtId="3" fontId="14" fillId="0" borderId="94" xfId="0" applyNumberFormat="1" applyFont="1" applyFill="1" applyBorder="1" applyAlignment="1"/>
    <xf numFmtId="3" fontId="14" fillId="0" borderId="25" xfId="0" applyNumberFormat="1" applyFont="1" applyFill="1" applyBorder="1" applyAlignment="1"/>
    <xf numFmtId="3" fontId="42" fillId="0" borderId="25" xfId="0" applyNumberFormat="1" applyFont="1" applyFill="1" applyBorder="1" applyAlignment="1">
      <alignment vertical="center"/>
    </xf>
    <xf numFmtId="3" fontId="14" fillId="0" borderId="25" xfId="0" applyNumberFormat="1" applyFont="1" applyFill="1" applyBorder="1" applyAlignment="1">
      <alignment vertical="center"/>
    </xf>
    <xf numFmtId="3" fontId="42" fillId="0" borderId="184" xfId="0" applyNumberFormat="1" applyFont="1" applyFill="1" applyBorder="1" applyAlignment="1">
      <alignment vertical="center"/>
    </xf>
    <xf numFmtId="3" fontId="14" fillId="0" borderId="184" xfId="0" applyNumberFormat="1" applyFont="1" applyFill="1" applyBorder="1" applyAlignment="1">
      <alignment vertical="center"/>
    </xf>
    <xf numFmtId="3" fontId="14" fillId="0" borderId="130" xfId="0" applyNumberFormat="1" applyFont="1" applyFill="1" applyBorder="1" applyAlignment="1">
      <alignment vertical="center"/>
    </xf>
    <xf numFmtId="3" fontId="20" fillId="0" borderId="136" xfId="0" applyNumberFormat="1" applyFont="1" applyFill="1" applyBorder="1" applyAlignment="1">
      <alignment vertical="center"/>
    </xf>
    <xf numFmtId="3" fontId="20" fillId="0" borderId="67" xfId="0" applyNumberFormat="1" applyFont="1" applyFill="1" applyBorder="1" applyAlignment="1">
      <alignment vertical="center"/>
    </xf>
    <xf numFmtId="3" fontId="20" fillId="0" borderId="178" xfId="0" applyNumberFormat="1" applyFont="1" applyFill="1" applyBorder="1" applyAlignment="1">
      <alignment vertical="center"/>
    </xf>
    <xf numFmtId="3" fontId="14" fillId="0" borderId="27" xfId="0" applyNumberFormat="1" applyFont="1" applyFill="1" applyBorder="1" applyAlignment="1"/>
    <xf numFmtId="3" fontId="42" fillId="0" borderId="67" xfId="0" applyNumberFormat="1" applyFont="1" applyFill="1" applyBorder="1" applyAlignment="1">
      <alignment vertical="center"/>
    </xf>
    <xf numFmtId="3" fontId="14" fillId="0" borderId="67" xfId="0" applyNumberFormat="1" applyFont="1" applyFill="1" applyBorder="1" applyAlignment="1">
      <alignment vertical="center"/>
    </xf>
    <xf numFmtId="3" fontId="17" fillId="0" borderId="67" xfId="0" applyNumberFormat="1" applyFont="1" applyFill="1" applyBorder="1" applyAlignment="1">
      <alignment vertical="center"/>
    </xf>
    <xf numFmtId="3" fontId="20" fillId="0" borderId="25" xfId="0" applyNumberFormat="1" applyFont="1" applyFill="1" applyBorder="1" applyAlignment="1">
      <alignment vertical="center"/>
    </xf>
    <xf numFmtId="3" fontId="14" fillId="0" borderId="25" xfId="0" applyNumberFormat="1" applyFont="1" applyFill="1" applyBorder="1" applyAlignment="1">
      <alignment vertical="top"/>
    </xf>
    <xf numFmtId="3" fontId="14" fillId="0" borderId="199" xfId="0" applyNumberFormat="1" applyFont="1" applyFill="1" applyBorder="1" applyAlignment="1">
      <alignment vertical="center"/>
    </xf>
    <xf numFmtId="3" fontId="17" fillId="0" borderId="199" xfId="0" applyNumberFormat="1" applyFont="1" applyFill="1" applyBorder="1" applyAlignment="1">
      <alignment vertical="center"/>
    </xf>
    <xf numFmtId="3" fontId="17" fillId="0" borderId="197" xfId="0" applyNumberFormat="1" applyFont="1" applyFill="1" applyBorder="1" applyAlignment="1">
      <alignment vertical="center"/>
    </xf>
    <xf numFmtId="3" fontId="20" fillId="0" borderId="205" xfId="0" applyNumberFormat="1" applyFont="1" applyFill="1" applyBorder="1" applyAlignment="1">
      <alignment vertical="center"/>
    </xf>
    <xf numFmtId="3" fontId="20" fillId="0" borderId="184" xfId="0" applyNumberFormat="1" applyFont="1" applyFill="1" applyBorder="1" applyAlignment="1">
      <alignment vertical="center"/>
    </xf>
    <xf numFmtId="3" fontId="20" fillId="0" borderId="183" xfId="0" applyNumberFormat="1" applyFont="1" applyFill="1" applyBorder="1" applyAlignment="1">
      <alignment vertical="center"/>
    </xf>
    <xf numFmtId="3" fontId="14" fillId="0" borderId="94" xfId="0" applyNumberFormat="1" applyFont="1" applyFill="1" applyBorder="1" applyAlignment="1">
      <alignment vertical="center"/>
    </xf>
    <xf numFmtId="3" fontId="44" fillId="0" borderId="136" xfId="0" applyNumberFormat="1" applyFont="1" applyFill="1" applyBorder="1" applyAlignment="1">
      <alignment vertical="center"/>
    </xf>
    <xf numFmtId="3" fontId="17" fillId="0" borderId="94" xfId="0" applyNumberFormat="1" applyFont="1" applyFill="1" applyBorder="1" applyAlignment="1">
      <alignment horizontal="right"/>
    </xf>
    <xf numFmtId="3" fontId="45" fillId="0" borderId="136" xfId="0" applyNumberFormat="1" applyFont="1" applyFill="1" applyBorder="1" applyAlignment="1">
      <alignment vertical="center"/>
    </xf>
    <xf numFmtId="3" fontId="20" fillId="0" borderId="68" xfId="0" applyNumberFormat="1" applyFont="1" applyFill="1" applyBorder="1" applyAlignment="1">
      <alignment vertical="center"/>
    </xf>
    <xf numFmtId="3" fontId="20" fillId="0" borderId="94" xfId="0" applyNumberFormat="1" applyFont="1" applyFill="1" applyBorder="1" applyAlignment="1">
      <alignment vertical="center"/>
    </xf>
    <xf numFmtId="3" fontId="20" fillId="0" borderId="27" xfId="0" applyNumberFormat="1" applyFont="1" applyFill="1" applyBorder="1" applyAlignment="1">
      <alignment vertical="center"/>
    </xf>
    <xf numFmtId="3" fontId="17" fillId="0" borderId="94" xfId="0" applyNumberFormat="1" applyFont="1" applyFill="1" applyBorder="1" applyAlignment="1">
      <alignment horizontal="right" vertical="center"/>
    </xf>
    <xf numFmtId="3" fontId="14" fillId="0" borderId="25" xfId="0" applyNumberFormat="1" applyFont="1" applyFill="1" applyBorder="1" applyAlignment="1">
      <alignment horizontal="right" vertical="center"/>
    </xf>
    <xf numFmtId="3" fontId="43" fillId="0" borderId="25" xfId="0" applyNumberFormat="1" applyFont="1" applyFill="1" applyBorder="1" applyAlignment="1">
      <alignment horizontal="right" vertical="center"/>
    </xf>
    <xf numFmtId="3" fontId="16" fillId="0" borderId="25" xfId="0" applyNumberFormat="1" applyFont="1" applyFill="1" applyBorder="1" applyAlignment="1">
      <alignment horizontal="right" vertical="center"/>
    </xf>
    <xf numFmtId="3" fontId="14" fillId="0" borderId="25" xfId="0" applyNumberFormat="1" applyFont="1" applyFill="1" applyBorder="1" applyAlignment="1">
      <alignment horizontal="right" vertical="top"/>
    </xf>
    <xf numFmtId="3" fontId="43" fillId="0" borderId="67" xfId="0" applyNumberFormat="1" applyFont="1" applyFill="1" applyBorder="1" applyAlignment="1">
      <alignment horizontal="right" vertical="center"/>
    </xf>
    <xf numFmtId="3" fontId="16" fillId="0" borderId="15" xfId="0" applyNumberFormat="1" applyFont="1" applyFill="1" applyBorder="1" applyAlignment="1"/>
    <xf numFmtId="3" fontId="20" fillId="0" borderId="53" xfId="18" applyNumberFormat="1" applyFont="1" applyFill="1" applyBorder="1" applyAlignment="1">
      <alignment horizontal="center" vertical="center"/>
    </xf>
    <xf numFmtId="3" fontId="20" fillId="0" borderId="0" xfId="0" applyNumberFormat="1" applyFont="1" applyFill="1" applyAlignment="1">
      <alignment horizontal="right" vertical="center"/>
    </xf>
    <xf numFmtId="3" fontId="16" fillId="0" borderId="28" xfId="0" applyNumberFormat="1" applyFont="1" applyFill="1" applyBorder="1" applyAlignment="1"/>
    <xf numFmtId="3" fontId="16" fillId="0" borderId="16" xfId="18" applyNumberFormat="1" applyFont="1" applyFill="1" applyBorder="1" applyAlignment="1">
      <alignment horizontal="center" vertical="center"/>
    </xf>
    <xf numFmtId="3" fontId="20" fillId="0" borderId="52" xfId="0" applyNumberFormat="1" applyFont="1" applyFill="1" applyBorder="1" applyAlignment="1">
      <alignment horizontal="right" vertical="center"/>
    </xf>
    <xf numFmtId="3" fontId="16" fillId="0" borderId="17" xfId="0" applyNumberFormat="1" applyFont="1" applyFill="1" applyBorder="1" applyAlignment="1">
      <alignment horizontal="right" vertical="center"/>
    </xf>
    <xf numFmtId="3" fontId="16" fillId="0" borderId="6" xfId="0" applyNumberFormat="1" applyFont="1" applyFill="1" applyBorder="1" applyAlignment="1">
      <alignment horizontal="left" vertical="center" wrapText="1"/>
    </xf>
    <xf numFmtId="3" fontId="17" fillId="0" borderId="57" xfId="0" applyNumberFormat="1" applyFont="1" applyFill="1" applyBorder="1" applyAlignment="1">
      <alignment horizontal="right" vertical="center"/>
    </xf>
    <xf numFmtId="3" fontId="17" fillId="0" borderId="0" xfId="0" applyNumberFormat="1" applyFont="1" applyFill="1" applyBorder="1" applyAlignment="1"/>
    <xf numFmtId="3" fontId="17" fillId="0" borderId="28" xfId="0" applyNumberFormat="1" applyFont="1" applyFill="1" applyBorder="1" applyAlignment="1">
      <alignment horizontal="center" vertical="center"/>
    </xf>
    <xf numFmtId="3" fontId="17" fillId="0" borderId="59" xfId="0" applyNumberFormat="1" applyFont="1" applyFill="1" applyBorder="1" applyAlignment="1">
      <alignment horizontal="center" vertical="center"/>
    </xf>
    <xf numFmtId="3" fontId="17" fillId="0" borderId="53" xfId="18" applyNumberFormat="1" applyFont="1" applyFill="1" applyBorder="1" applyAlignment="1">
      <alignment horizontal="left" vertical="top" indent="2"/>
    </xf>
    <xf numFmtId="3" fontId="17" fillId="0" borderId="60" xfId="0" applyNumberFormat="1" applyFont="1" applyFill="1" applyBorder="1" applyAlignment="1">
      <alignment horizontal="right"/>
    </xf>
    <xf numFmtId="3" fontId="16" fillId="0" borderId="16" xfId="18" applyNumberFormat="1" applyFont="1" applyFill="1" applyBorder="1" applyAlignment="1">
      <alignment horizontal="left" vertical="top" indent="2"/>
    </xf>
    <xf numFmtId="3" fontId="16" fillId="0" borderId="53" xfId="18" applyNumberFormat="1" applyFont="1" applyFill="1" applyBorder="1" applyAlignment="1">
      <alignment vertical="center"/>
    </xf>
    <xf numFmtId="3" fontId="6" fillId="0" borderId="0" xfId="17" applyNumberFormat="1" applyFont="1" applyAlignment="1">
      <alignment horizontal="left" wrapText="1"/>
    </xf>
    <xf numFmtId="3" fontId="6" fillId="0" borderId="0" xfId="17" applyNumberFormat="1" applyFont="1" applyBorder="1" applyAlignment="1">
      <alignment horizontal="left" wrapText="1"/>
    </xf>
    <xf numFmtId="0" fontId="6" fillId="0" borderId="0" xfId="0" applyFont="1" applyFill="1" applyBorder="1" applyAlignment="1">
      <alignment horizontal="left" vertical="top"/>
    </xf>
    <xf numFmtId="3" fontId="16" fillId="0" borderId="16" xfId="18" applyNumberFormat="1" applyFont="1" applyFill="1" applyBorder="1" applyAlignment="1">
      <alignment horizontal="left" vertical="center"/>
    </xf>
    <xf numFmtId="3" fontId="16" fillId="0" borderId="16" xfId="18" applyNumberFormat="1" applyFont="1" applyFill="1" applyBorder="1" applyAlignment="1">
      <alignment vertical="top"/>
    </xf>
    <xf numFmtId="3" fontId="16" fillId="0" borderId="17" xfId="0" applyNumberFormat="1" applyFont="1" applyFill="1" applyBorder="1" applyAlignment="1">
      <alignment vertical="center"/>
    </xf>
    <xf numFmtId="3" fontId="16" fillId="0" borderId="16" xfId="0" applyNumberFormat="1" applyFont="1" applyFill="1" applyBorder="1" applyAlignment="1">
      <alignment horizontal="left" vertical="center"/>
    </xf>
    <xf numFmtId="3" fontId="16" fillId="0" borderId="22" xfId="18" applyNumberFormat="1" applyFont="1" applyFill="1" applyBorder="1" applyAlignment="1">
      <alignment vertical="center"/>
    </xf>
    <xf numFmtId="3" fontId="16" fillId="0" borderId="27" xfId="0" applyNumberFormat="1" applyFont="1" applyFill="1" applyBorder="1"/>
    <xf numFmtId="3" fontId="42" fillId="0" borderId="22" xfId="15" applyNumberFormat="1" applyFont="1" applyFill="1" applyBorder="1" applyAlignment="1">
      <alignment wrapText="1"/>
    </xf>
    <xf numFmtId="3" fontId="42" fillId="0" borderId="16" xfId="15" applyNumberFormat="1" applyFont="1" applyFill="1" applyBorder="1" applyAlignment="1">
      <alignment horizontal="right"/>
    </xf>
    <xf numFmtId="3" fontId="42" fillId="0" borderId="66" xfId="15" applyNumberFormat="1" applyFont="1" applyFill="1" applyBorder="1" applyAlignment="1">
      <alignment horizontal="center"/>
    </xf>
    <xf numFmtId="3" fontId="44" fillId="0" borderId="131" xfId="15" applyNumberFormat="1" applyFont="1" applyFill="1" applyBorder="1" applyAlignment="1">
      <alignment horizontal="right"/>
    </xf>
    <xf numFmtId="3" fontId="42" fillId="0" borderId="16" xfId="0" applyNumberFormat="1" applyFont="1" applyFill="1" applyBorder="1" applyAlignment="1">
      <alignment horizontal="right" wrapText="1"/>
    </xf>
    <xf numFmtId="3" fontId="42" fillId="0" borderId="17" xfId="0" applyNumberFormat="1" applyFont="1" applyFill="1" applyBorder="1" applyAlignment="1">
      <alignment horizontal="right" wrapText="1"/>
    </xf>
    <xf numFmtId="3" fontId="46" fillId="0" borderId="0" xfId="15" applyNumberFormat="1" applyFont="1" applyFill="1" applyAlignment="1">
      <alignment horizontal="center" vertical="center"/>
    </xf>
    <xf numFmtId="3" fontId="44" fillId="0" borderId="16" xfId="0" applyNumberFormat="1" applyFont="1" applyFill="1" applyBorder="1" applyAlignment="1">
      <alignment horizontal="right" wrapText="1"/>
    </xf>
    <xf numFmtId="3" fontId="44" fillId="0" borderId="17" xfId="0" applyNumberFormat="1" applyFont="1" applyFill="1" applyBorder="1" applyAlignment="1">
      <alignment horizontal="right" wrapText="1"/>
    </xf>
    <xf numFmtId="3" fontId="43" fillId="0" borderId="22" xfId="15" applyNumberFormat="1" applyFont="1" applyFill="1" applyBorder="1" applyAlignment="1">
      <alignment horizontal="left" vertical="top" wrapText="1" indent="4"/>
    </xf>
    <xf numFmtId="3" fontId="43" fillId="0" borderId="16" xfId="15" applyNumberFormat="1" applyFont="1" applyFill="1" applyBorder="1" applyAlignment="1">
      <alignment horizontal="right"/>
    </xf>
    <xf numFmtId="3" fontId="43" fillId="0" borderId="66" xfId="15" applyNumberFormat="1" applyFont="1" applyFill="1" applyBorder="1" applyAlignment="1">
      <alignment horizontal="center"/>
    </xf>
    <xf numFmtId="3" fontId="45" fillId="0" borderId="131" xfId="15" applyNumberFormat="1" applyFont="1" applyFill="1" applyBorder="1" applyAlignment="1">
      <alignment horizontal="right"/>
    </xf>
    <xf numFmtId="3" fontId="43" fillId="0" borderId="16" xfId="0" applyNumberFormat="1" applyFont="1" applyFill="1" applyBorder="1" applyAlignment="1">
      <alignment horizontal="right" wrapText="1"/>
    </xf>
    <xf numFmtId="3" fontId="43" fillId="0" borderId="17" xfId="0" applyNumberFormat="1" applyFont="1" applyFill="1" applyBorder="1" applyAlignment="1">
      <alignment horizontal="right" wrapText="1"/>
    </xf>
    <xf numFmtId="3" fontId="47" fillId="0" borderId="0" xfId="15" applyNumberFormat="1" applyFont="1" applyFill="1" applyAlignment="1">
      <alignment horizontal="center" vertical="center"/>
    </xf>
    <xf numFmtId="3" fontId="42" fillId="0" borderId="22" xfId="15" applyNumberFormat="1" applyFont="1" applyFill="1" applyBorder="1" applyAlignment="1">
      <alignment horizontal="right"/>
    </xf>
    <xf numFmtId="3" fontId="42" fillId="0" borderId="91" xfId="15" applyNumberFormat="1" applyFont="1" applyFill="1" applyBorder="1" applyAlignment="1">
      <alignment horizontal="center"/>
    </xf>
    <xf numFmtId="3" fontId="42" fillId="0" borderId="22" xfId="0" applyNumberFormat="1" applyFont="1" applyFill="1" applyBorder="1" applyAlignment="1">
      <alignment horizontal="right" wrapText="1"/>
    </xf>
    <xf numFmtId="3" fontId="42" fillId="0" borderId="26" xfId="0" applyNumberFormat="1" applyFont="1" applyFill="1" applyBorder="1" applyAlignment="1">
      <alignment horizontal="right" wrapText="1"/>
    </xf>
    <xf numFmtId="3" fontId="46" fillId="0" borderId="0" xfId="15" applyNumberFormat="1" applyFont="1" applyFill="1" applyAlignment="1">
      <alignment horizontal="center"/>
    </xf>
    <xf numFmtId="3" fontId="43" fillId="0" borderId="22" xfId="15" applyNumberFormat="1" applyFont="1" applyFill="1" applyBorder="1" applyAlignment="1">
      <alignment horizontal="left" wrapText="1" indent="4"/>
    </xf>
    <xf numFmtId="49" fontId="43" fillId="0" borderId="22" xfId="15" applyNumberFormat="1" applyFont="1" applyFill="1" applyBorder="1" applyAlignment="1">
      <alignment horizontal="left" wrapText="1" indent="4"/>
    </xf>
    <xf numFmtId="3" fontId="44" fillId="0" borderId="16" xfId="0" applyNumberFormat="1" applyFont="1" applyFill="1" applyBorder="1" applyAlignment="1">
      <alignment horizontal="right" vertical="center" wrapText="1"/>
    </xf>
    <xf numFmtId="3" fontId="43" fillId="0" borderId="22" xfId="15" applyNumberFormat="1" applyFont="1" applyFill="1" applyBorder="1" applyAlignment="1">
      <alignment horizontal="right"/>
    </xf>
    <xf numFmtId="3" fontId="44" fillId="0" borderId="22" xfId="0" applyNumberFormat="1" applyFont="1" applyFill="1" applyBorder="1" applyAlignment="1">
      <alignment horizontal="right" wrapText="1"/>
    </xf>
    <xf numFmtId="3" fontId="48" fillId="0" borderId="0" xfId="15" applyNumberFormat="1" applyFont="1" applyFill="1" applyAlignment="1">
      <alignment horizontal="center" vertical="center"/>
    </xf>
    <xf numFmtId="3" fontId="48" fillId="0" borderId="0" xfId="15" applyNumberFormat="1" applyFont="1" applyFill="1" applyAlignment="1">
      <alignment horizontal="center"/>
    </xf>
    <xf numFmtId="3" fontId="43" fillId="0" borderId="0" xfId="15" applyNumberFormat="1" applyFont="1" applyFill="1" applyAlignment="1">
      <alignment horizontal="center" vertical="center"/>
    </xf>
    <xf numFmtId="3" fontId="42" fillId="0" borderId="0" xfId="15" applyNumberFormat="1" applyFont="1" applyFill="1" applyAlignment="1">
      <alignment horizontal="center" vertical="center"/>
    </xf>
    <xf numFmtId="3" fontId="42" fillId="0" borderId="22" xfId="15" applyNumberFormat="1" applyFont="1" applyFill="1" applyBorder="1" applyAlignment="1">
      <alignment horizontal="left" wrapText="1" indent="2"/>
    </xf>
    <xf numFmtId="3" fontId="45" fillId="0" borderId="16" xfId="0" applyNumberFormat="1" applyFont="1" applyFill="1" applyBorder="1" applyAlignment="1">
      <alignment horizontal="right" wrapText="1"/>
    </xf>
    <xf numFmtId="3" fontId="14" fillId="0" borderId="136" xfId="0" applyNumberFormat="1" applyFont="1" applyFill="1" applyBorder="1" applyAlignment="1">
      <alignment horizontal="center" vertical="center"/>
    </xf>
    <xf numFmtId="3" fontId="16" fillId="0" borderId="25" xfId="15" applyNumberFormat="1" applyFont="1" applyFill="1" applyBorder="1" applyAlignment="1">
      <alignment horizontal="right"/>
    </xf>
    <xf numFmtId="3" fontId="23" fillId="0" borderId="11" xfId="14" applyNumberFormat="1" applyFont="1" applyFill="1" applyBorder="1" applyAlignment="1">
      <alignment horizontal="right" wrapText="1"/>
    </xf>
    <xf numFmtId="3" fontId="23" fillId="0" borderId="0" xfId="14" applyNumberFormat="1" applyFont="1" applyFill="1" applyBorder="1" applyAlignment="1">
      <alignment horizontal="right" wrapText="1"/>
    </xf>
    <xf numFmtId="3" fontId="23" fillId="0" borderId="0" xfId="0" applyNumberFormat="1" applyFont="1" applyFill="1" applyBorder="1" applyAlignment="1">
      <alignment horizontal="right"/>
    </xf>
    <xf numFmtId="3" fontId="9" fillId="0" borderId="0" xfId="0" applyNumberFormat="1" applyFont="1" applyFill="1" applyBorder="1" applyAlignment="1"/>
    <xf numFmtId="3" fontId="23" fillId="0" borderId="8" xfId="14" applyNumberFormat="1" applyFont="1" applyFill="1" applyBorder="1" applyAlignment="1">
      <alignment horizontal="right" wrapText="1"/>
    </xf>
    <xf numFmtId="3" fontId="23" fillId="0" borderId="8" xfId="0" applyNumberFormat="1" applyFont="1" applyFill="1" applyBorder="1" applyAlignment="1">
      <alignment horizontal="right" vertical="center"/>
    </xf>
    <xf numFmtId="3" fontId="23" fillId="0" borderId="35" xfId="0" applyNumberFormat="1" applyFont="1" applyFill="1" applyBorder="1" applyAlignment="1">
      <alignment horizontal="right" vertical="center"/>
    </xf>
    <xf numFmtId="3" fontId="23" fillId="0" borderId="9" xfId="0" applyNumberFormat="1" applyFont="1" applyFill="1" applyBorder="1" applyAlignment="1">
      <alignment horizontal="right" vertical="center"/>
    </xf>
    <xf numFmtId="3" fontId="23" fillId="0" borderId="0" xfId="0" applyNumberFormat="1" applyFont="1" applyFill="1" applyBorder="1" applyAlignment="1">
      <alignment horizontal="right" vertical="center"/>
    </xf>
    <xf numFmtId="3" fontId="23" fillId="0" borderId="36" xfId="0" applyNumberFormat="1" applyFont="1" applyFill="1" applyBorder="1" applyAlignment="1">
      <alignment horizontal="right" vertical="center"/>
    </xf>
    <xf numFmtId="3" fontId="16" fillId="0" borderId="27" xfId="15" applyNumberFormat="1" applyFont="1" applyFill="1" applyBorder="1" applyAlignment="1">
      <alignment horizontal="right"/>
    </xf>
    <xf numFmtId="3" fontId="14" fillId="0" borderId="27" xfId="15" applyNumberFormat="1" applyFont="1" applyFill="1" applyBorder="1" applyAlignment="1">
      <alignment horizontal="right"/>
    </xf>
    <xf numFmtId="3" fontId="14" fillId="0" borderId="25" xfId="15" applyNumberFormat="1" applyFont="1" applyFill="1" applyBorder="1" applyAlignment="1">
      <alignment horizontal="right"/>
    </xf>
    <xf numFmtId="3" fontId="14" fillId="0" borderId="136" xfId="15" applyNumberFormat="1" applyFont="1" applyFill="1" applyBorder="1" applyAlignment="1">
      <alignment horizontal="right"/>
    </xf>
    <xf numFmtId="3" fontId="17" fillId="0" borderId="136" xfId="15" applyNumberFormat="1" applyFont="1" applyFill="1" applyBorder="1" applyAlignment="1">
      <alignment horizontal="right" vertical="center"/>
    </xf>
    <xf numFmtId="3" fontId="20" fillId="0" borderId="25" xfId="15" applyNumberFormat="1" applyFont="1" applyFill="1" applyBorder="1" applyAlignment="1">
      <alignment horizontal="right" vertical="center"/>
    </xf>
    <xf numFmtId="3" fontId="14" fillId="0" borderId="25" xfId="15" applyNumberFormat="1" applyFont="1" applyFill="1" applyBorder="1" applyAlignment="1"/>
    <xf numFmtId="3" fontId="14" fillId="0" borderId="40" xfId="15" applyNumberFormat="1" applyFont="1" applyFill="1" applyBorder="1" applyAlignment="1">
      <alignment horizontal="center"/>
    </xf>
    <xf numFmtId="3" fontId="42" fillId="0" borderId="40" xfId="15" applyNumberFormat="1" applyFont="1" applyFill="1" applyBorder="1" applyAlignment="1">
      <alignment horizontal="center" vertical="center"/>
    </xf>
    <xf numFmtId="3" fontId="14" fillId="0" borderId="40" xfId="15" applyNumberFormat="1" applyFont="1" applyFill="1" applyBorder="1" applyAlignment="1">
      <alignment horizontal="center" vertical="center"/>
    </xf>
    <xf numFmtId="3" fontId="16" fillId="0" borderId="40" xfId="15" applyNumberFormat="1" applyFont="1" applyFill="1" applyBorder="1" applyAlignment="1">
      <alignment horizontal="center" vertical="center"/>
    </xf>
    <xf numFmtId="3" fontId="43" fillId="0" borderId="40" xfId="15" applyNumberFormat="1" applyFont="1" applyFill="1" applyBorder="1" applyAlignment="1">
      <alignment horizontal="center" vertical="center"/>
    </xf>
    <xf numFmtId="3" fontId="42" fillId="0" borderId="70" xfId="15" applyNumberFormat="1" applyFont="1" applyFill="1" applyBorder="1" applyAlignment="1">
      <alignment horizontal="center"/>
    </xf>
    <xf numFmtId="3" fontId="14" fillId="0" borderId="70" xfId="15" applyNumberFormat="1" applyFont="1" applyFill="1" applyBorder="1" applyAlignment="1">
      <alignment horizontal="center"/>
    </xf>
    <xf numFmtId="3" fontId="14" fillId="0" borderId="70" xfId="15" applyNumberFormat="1" applyFont="1" applyFill="1" applyBorder="1" applyAlignment="1">
      <alignment horizontal="center" vertical="center"/>
    </xf>
    <xf numFmtId="3" fontId="42" fillId="0" borderId="70" xfId="15" applyNumberFormat="1" applyFont="1" applyFill="1" applyBorder="1" applyAlignment="1">
      <alignment horizontal="center" vertical="center"/>
    </xf>
    <xf numFmtId="3" fontId="20" fillId="0" borderId="70" xfId="15" applyNumberFormat="1" applyFont="1" applyFill="1" applyBorder="1" applyAlignment="1">
      <alignment horizontal="center"/>
    </xf>
    <xf numFmtId="3" fontId="45" fillId="0" borderId="70" xfId="15" applyNumberFormat="1" applyFont="1" applyFill="1" applyBorder="1" applyAlignment="1">
      <alignment horizontal="center"/>
    </xf>
    <xf numFmtId="3" fontId="17" fillId="0" borderId="40" xfId="15" applyNumberFormat="1" applyFont="1" applyFill="1" applyBorder="1" applyAlignment="1">
      <alignment horizontal="center"/>
    </xf>
    <xf numFmtId="3" fontId="20" fillId="0" borderId="40" xfId="15" applyNumberFormat="1" applyFont="1" applyFill="1" applyBorder="1" applyAlignment="1">
      <alignment horizontal="center" vertical="center"/>
    </xf>
    <xf numFmtId="3" fontId="17" fillId="0" borderId="40" xfId="15" applyNumberFormat="1" applyFont="1" applyFill="1" applyBorder="1" applyAlignment="1">
      <alignment horizontal="center" vertical="center"/>
    </xf>
    <xf numFmtId="3" fontId="14" fillId="0" borderId="40" xfId="15" applyNumberFormat="1" applyFont="1" applyFill="1" applyBorder="1" applyAlignment="1">
      <alignment horizontal="center" vertical="top"/>
    </xf>
    <xf numFmtId="3" fontId="16" fillId="0" borderId="70" xfId="15" applyNumberFormat="1" applyFont="1" applyFill="1" applyBorder="1" applyAlignment="1">
      <alignment horizontal="center" vertical="center"/>
    </xf>
    <xf numFmtId="3" fontId="16" fillId="0" borderId="70" xfId="15" applyNumberFormat="1" applyFont="1" applyFill="1" applyBorder="1" applyAlignment="1">
      <alignment horizontal="center"/>
    </xf>
    <xf numFmtId="3" fontId="14" fillId="0" borderId="4" xfId="15" applyNumberFormat="1" applyFont="1" applyFill="1" applyBorder="1" applyAlignment="1">
      <alignment horizontal="center" vertical="center"/>
    </xf>
    <xf numFmtId="3" fontId="14" fillId="0" borderId="212" xfId="15" applyNumberFormat="1" applyFont="1" applyFill="1" applyBorder="1" applyAlignment="1">
      <alignment horizontal="center" vertical="center"/>
    </xf>
    <xf numFmtId="3" fontId="17" fillId="0" borderId="213" xfId="15" applyNumberFormat="1" applyFont="1" applyFill="1" applyBorder="1" applyAlignment="1">
      <alignment horizontal="center" vertical="center"/>
    </xf>
    <xf numFmtId="3" fontId="17" fillId="0" borderId="4" xfId="15" applyNumberFormat="1" applyFont="1" applyFill="1" applyBorder="1" applyAlignment="1">
      <alignment horizontal="center" vertical="center"/>
    </xf>
    <xf numFmtId="3" fontId="17" fillId="0" borderId="70" xfId="15" applyNumberFormat="1" applyFont="1" applyFill="1" applyBorder="1" applyAlignment="1">
      <alignment horizontal="center" vertical="center"/>
    </xf>
    <xf numFmtId="3" fontId="14" fillId="0" borderId="40" xfId="0" applyNumberFormat="1" applyFont="1" applyFill="1" applyBorder="1" applyAlignment="1">
      <alignment horizontal="center" wrapText="1"/>
    </xf>
    <xf numFmtId="3" fontId="17" fillId="0" borderId="16" xfId="15" applyNumberFormat="1" applyFont="1" applyFill="1" applyBorder="1" applyAlignment="1">
      <alignment horizontal="right"/>
    </xf>
    <xf numFmtId="3" fontId="17" fillId="0" borderId="25" xfId="15" applyNumberFormat="1" applyFont="1" applyFill="1" applyBorder="1" applyAlignment="1">
      <alignment horizontal="right"/>
    </xf>
    <xf numFmtId="3" fontId="17" fillId="0" borderId="70" xfId="15" applyNumberFormat="1" applyFont="1" applyFill="1" applyBorder="1" applyAlignment="1">
      <alignment horizontal="center"/>
    </xf>
    <xf numFmtId="3" fontId="17" fillId="0" borderId="22" xfId="15" applyNumberFormat="1" applyFont="1" applyFill="1" applyBorder="1" applyAlignment="1">
      <alignment horizontal="right"/>
    </xf>
    <xf numFmtId="3" fontId="17" fillId="0" borderId="27" xfId="15" applyNumberFormat="1" applyFont="1" applyFill="1" applyBorder="1" applyAlignment="1">
      <alignment horizontal="right"/>
    </xf>
    <xf numFmtId="3" fontId="20" fillId="0" borderId="16" xfId="15" applyNumberFormat="1" applyFont="1" applyFill="1" applyBorder="1" applyAlignment="1">
      <alignment horizontal="right"/>
    </xf>
    <xf numFmtId="3" fontId="20" fillId="0" borderId="25" xfId="15" applyNumberFormat="1" applyFont="1" applyFill="1" applyBorder="1" applyAlignment="1">
      <alignment horizontal="right"/>
    </xf>
    <xf numFmtId="3" fontId="17" fillId="0" borderId="22" xfId="15" applyNumberFormat="1" applyFont="1" applyFill="1" applyBorder="1" applyAlignment="1">
      <alignment horizontal="left" wrapText="1" indent="2"/>
    </xf>
    <xf numFmtId="3" fontId="20" fillId="0" borderId="70" xfId="15" applyNumberFormat="1" applyFont="1" applyFill="1" applyBorder="1" applyAlignment="1">
      <alignment horizontal="center" vertical="center"/>
    </xf>
    <xf numFmtId="3" fontId="20" fillId="0" borderId="22" xfId="15" applyNumberFormat="1" applyFont="1" applyFill="1" applyBorder="1" applyAlignment="1">
      <alignment horizontal="right"/>
    </xf>
    <xf numFmtId="3" fontId="20" fillId="0" borderId="27" xfId="15" applyNumberFormat="1" applyFont="1" applyFill="1" applyBorder="1" applyAlignment="1">
      <alignment horizontal="right"/>
    </xf>
    <xf numFmtId="3" fontId="20" fillId="0" borderId="22" xfId="0" applyNumberFormat="1" applyFont="1" applyFill="1" applyBorder="1" applyAlignment="1">
      <alignment horizontal="right" wrapText="1"/>
    </xf>
    <xf numFmtId="3" fontId="20" fillId="0" borderId="26" xfId="0" applyNumberFormat="1" applyFont="1" applyFill="1" applyBorder="1" applyAlignment="1">
      <alignment horizontal="right" wrapText="1"/>
    </xf>
    <xf numFmtId="3" fontId="16" fillId="0" borderId="25" xfId="0" applyNumberFormat="1" applyFont="1" applyFill="1" applyBorder="1" applyAlignment="1"/>
    <xf numFmtId="3" fontId="9" fillId="0" borderId="0" xfId="15" applyNumberFormat="1" applyFont="1" applyFill="1" applyAlignment="1"/>
    <xf numFmtId="3" fontId="21" fillId="0" borderId="0" xfId="15" applyNumberFormat="1" applyFont="1" applyFill="1" applyAlignment="1">
      <alignment horizontal="center" vertical="center"/>
    </xf>
    <xf numFmtId="3" fontId="21" fillId="0" borderId="0" xfId="15" applyNumberFormat="1" applyFont="1" applyFill="1" applyBorder="1"/>
    <xf numFmtId="3" fontId="42" fillId="0" borderId="25" xfId="0" applyNumberFormat="1" applyFont="1" applyFill="1" applyBorder="1" applyAlignment="1"/>
    <xf numFmtId="3" fontId="46" fillId="0" borderId="0" xfId="15" applyNumberFormat="1" applyFont="1" applyFill="1" applyAlignment="1"/>
    <xf numFmtId="3" fontId="17" fillId="0" borderId="93" xfId="0" applyNumberFormat="1" applyFont="1" applyFill="1" applyBorder="1" applyAlignment="1"/>
    <xf numFmtId="3" fontId="17" fillId="0" borderId="56" xfId="15" applyNumberFormat="1" applyFont="1" applyFill="1" applyBorder="1" applyAlignment="1">
      <alignment wrapText="1"/>
    </xf>
    <xf numFmtId="3" fontId="6" fillId="0" borderId="39" xfId="17" applyNumberFormat="1" applyFont="1" applyFill="1" applyBorder="1" applyAlignment="1">
      <alignment horizontal="right" vertical="center" wrapText="1"/>
    </xf>
    <xf numFmtId="3" fontId="6" fillId="0" borderId="0" xfId="17" applyNumberFormat="1" applyFont="1" applyBorder="1" applyAlignment="1">
      <alignment horizontal="left" vertical="center" wrapText="1"/>
    </xf>
    <xf numFmtId="14" fontId="6" fillId="0" borderId="0" xfId="17" applyNumberFormat="1" applyFont="1" applyBorder="1" applyAlignment="1">
      <alignment horizontal="center" vertical="center" wrapText="1"/>
    </xf>
    <xf numFmtId="3" fontId="6" fillId="0" borderId="0" xfId="17" applyNumberFormat="1" applyFont="1" applyBorder="1" applyAlignment="1">
      <alignment horizontal="right" vertical="center" wrapText="1"/>
    </xf>
    <xf numFmtId="0" fontId="6" fillId="0" borderId="15" xfId="20" applyFont="1" applyFill="1" applyBorder="1" applyAlignment="1">
      <alignment horizontal="right" vertical="center"/>
    </xf>
    <xf numFmtId="0" fontId="6" fillId="0" borderId="16" xfId="20" applyFont="1" applyFill="1" applyBorder="1" applyAlignment="1">
      <alignment horizontal="left" vertical="center" wrapText="1"/>
    </xf>
    <xf numFmtId="3" fontId="6" fillId="0" borderId="96" xfId="20" applyNumberFormat="1" applyFont="1" applyFill="1" applyBorder="1" applyAlignment="1">
      <alignment horizontal="right" vertical="center" wrapText="1"/>
    </xf>
    <xf numFmtId="0" fontId="6" fillId="0" borderId="0" xfId="20" applyFont="1" applyFill="1" applyBorder="1" applyAlignment="1">
      <alignment horizontal="right" vertical="center"/>
    </xf>
    <xf numFmtId="0" fontId="29" fillId="0" borderId="0" xfId="0" applyFont="1" applyFill="1" applyAlignment="1">
      <alignment horizontal="right" vertical="center"/>
    </xf>
    <xf numFmtId="3" fontId="6" fillId="0" borderId="96" xfId="20" applyNumberFormat="1" applyFont="1" applyFill="1" applyBorder="1" applyAlignment="1">
      <alignment vertical="center"/>
    </xf>
    <xf numFmtId="3" fontId="8" fillId="0" borderId="81" xfId="20" applyNumberFormat="1" applyFont="1" applyFill="1" applyBorder="1" applyAlignment="1">
      <alignment horizontal="center" vertical="center" wrapText="1"/>
    </xf>
    <xf numFmtId="3" fontId="8" fillId="0" borderId="27" xfId="20" applyNumberFormat="1" applyFont="1" applyFill="1" applyBorder="1" applyAlignment="1">
      <alignment horizontal="center" wrapText="1"/>
    </xf>
    <xf numFmtId="3" fontId="6" fillId="0" borderId="25" xfId="20" applyNumberFormat="1" applyFont="1" applyFill="1" applyBorder="1" applyAlignment="1"/>
    <xf numFmtId="3" fontId="6" fillId="0" borderId="25" xfId="20" applyNumberFormat="1" applyFont="1" applyFill="1" applyBorder="1" applyAlignment="1">
      <alignment vertical="center"/>
    </xf>
    <xf numFmtId="3" fontId="6" fillId="0" borderId="25" xfId="20" applyNumberFormat="1" applyFont="1" applyFill="1" applyBorder="1"/>
    <xf numFmtId="3" fontId="6" fillId="0" borderId="25" xfId="20" applyNumberFormat="1" applyFont="1" applyFill="1" applyBorder="1" applyAlignment="1">
      <alignment vertical="top"/>
    </xf>
    <xf numFmtId="3" fontId="8" fillId="0" borderId="81" xfId="20" applyNumberFormat="1" applyFont="1" applyFill="1" applyBorder="1" applyAlignment="1">
      <alignment vertical="center"/>
    </xf>
    <xf numFmtId="3" fontId="6" fillId="0" borderId="25" xfId="20" applyNumberFormat="1" applyFont="1" applyFill="1" applyBorder="1" applyAlignment="1">
      <alignment horizontal="right" vertical="center"/>
    </xf>
    <xf numFmtId="0" fontId="6" fillId="0" borderId="53" xfId="20" applyFont="1" applyFill="1" applyBorder="1" applyAlignment="1">
      <alignment horizontal="center" vertical="top"/>
    </xf>
    <xf numFmtId="3" fontId="8" fillId="0" borderId="27" xfId="20" applyNumberFormat="1" applyFont="1" applyFill="1" applyBorder="1" applyAlignment="1">
      <alignment horizontal="right" wrapText="1"/>
    </xf>
    <xf numFmtId="3" fontId="23" fillId="0" borderId="83" xfId="20" applyNumberFormat="1" applyFont="1" applyFill="1" applyBorder="1" applyAlignment="1">
      <alignment horizontal="right" vertical="center"/>
    </xf>
    <xf numFmtId="3" fontId="6" fillId="0" borderId="27" xfId="20" applyNumberFormat="1" applyFont="1" applyFill="1" applyBorder="1" applyAlignment="1">
      <alignment horizontal="right"/>
    </xf>
    <xf numFmtId="3" fontId="6" fillId="0" borderId="27" xfId="20" applyNumberFormat="1" applyFont="1" applyFill="1" applyBorder="1" applyAlignment="1">
      <alignment horizontal="right" vertical="center"/>
    </xf>
    <xf numFmtId="3" fontId="23" fillId="0" borderId="36" xfId="20" applyNumberFormat="1" applyFont="1" applyFill="1" applyBorder="1" applyAlignment="1">
      <alignment horizontal="right" vertical="center" wrapText="1"/>
    </xf>
    <xf numFmtId="3" fontId="8" fillId="0" borderId="81" xfId="20" applyNumberFormat="1" applyFont="1" applyFill="1" applyBorder="1" applyAlignment="1">
      <alignment horizontal="right" vertical="center"/>
    </xf>
    <xf numFmtId="3" fontId="6" fillId="0" borderId="27" xfId="20" applyNumberFormat="1" applyFont="1" applyFill="1" applyBorder="1" applyAlignment="1">
      <alignment horizontal="left"/>
    </xf>
    <xf numFmtId="3" fontId="6" fillId="0" borderId="25" xfId="20" applyNumberFormat="1" applyFont="1" applyFill="1" applyBorder="1" applyAlignment="1">
      <alignment horizontal="left"/>
    </xf>
    <xf numFmtId="3" fontId="6" fillId="0" borderId="25" xfId="20" applyNumberFormat="1" applyFont="1" applyFill="1" applyBorder="1" applyAlignment="1">
      <alignment horizontal="right"/>
    </xf>
    <xf numFmtId="3" fontId="6" fillId="0" borderId="67" xfId="20" applyNumberFormat="1" applyFont="1" applyFill="1" applyBorder="1" applyAlignment="1">
      <alignment horizontal="right"/>
    </xf>
    <xf numFmtId="3" fontId="6" fillId="0" borderId="67" xfId="20" applyNumberFormat="1" applyFont="1" applyFill="1" applyBorder="1" applyAlignment="1">
      <alignment horizontal="right" vertical="center"/>
    </xf>
    <xf numFmtId="3" fontId="8" fillId="0" borderId="81" xfId="16" applyNumberFormat="1" applyFont="1" applyFill="1" applyBorder="1" applyAlignment="1">
      <alignment horizontal="right" vertical="center" wrapText="1"/>
    </xf>
    <xf numFmtId="3" fontId="8" fillId="0" borderId="90" xfId="16" applyNumberFormat="1" applyFont="1" applyFill="1" applyBorder="1" applyAlignment="1">
      <alignment horizontal="right" vertical="center" wrapText="1"/>
    </xf>
    <xf numFmtId="3" fontId="8" fillId="0" borderId="206" xfId="20" applyNumberFormat="1" applyFont="1" applyFill="1" applyBorder="1" applyAlignment="1">
      <alignment horizontal="right" vertical="center"/>
    </xf>
    <xf numFmtId="3" fontId="9" fillId="0" borderId="22" xfId="20" applyNumberFormat="1" applyFont="1" applyFill="1" applyBorder="1" applyAlignment="1">
      <alignment horizontal="right" wrapText="1"/>
    </xf>
    <xf numFmtId="3" fontId="9" fillId="0" borderId="16" xfId="16" applyNumberFormat="1" applyFont="1" applyFill="1" applyBorder="1" applyAlignment="1">
      <alignment horizontal="right" vertical="center" wrapText="1"/>
    </xf>
    <xf numFmtId="3" fontId="9" fillId="0" borderId="16" xfId="20" applyNumberFormat="1" applyFont="1" applyFill="1" applyBorder="1" applyAlignment="1">
      <alignment horizontal="right" vertical="center"/>
    </xf>
    <xf numFmtId="3" fontId="9" fillId="0" borderId="22" xfId="20" applyNumberFormat="1" applyFont="1" applyFill="1" applyBorder="1" applyAlignment="1">
      <alignment horizontal="right"/>
    </xf>
    <xf numFmtId="3" fontId="9" fillId="0" borderId="22" xfId="20" applyNumberFormat="1" applyFont="1" applyFill="1" applyBorder="1" applyAlignment="1">
      <alignment horizontal="right" vertical="center"/>
    </xf>
    <xf numFmtId="3" fontId="23" fillId="0" borderId="88" xfId="20" applyNumberFormat="1" applyFont="1" applyFill="1" applyBorder="1" applyAlignment="1">
      <alignment horizontal="right" vertical="center"/>
    </xf>
    <xf numFmtId="3" fontId="9" fillId="0" borderId="22" xfId="20" applyNumberFormat="1" applyFont="1" applyFill="1" applyBorder="1" applyAlignment="1">
      <alignment horizontal="left"/>
    </xf>
    <xf numFmtId="3" fontId="9" fillId="0" borderId="16" xfId="16" applyNumberFormat="1" applyFont="1" applyFill="1" applyBorder="1" applyAlignment="1">
      <alignment horizontal="left"/>
    </xf>
    <xf numFmtId="3" fontId="9" fillId="0" borderId="16" xfId="16" applyNumberFormat="1" applyFont="1" applyFill="1" applyBorder="1" applyAlignment="1">
      <alignment horizontal="right"/>
    </xf>
    <xf numFmtId="3" fontId="9" fillId="0" borderId="16" xfId="16" applyNumberFormat="1" applyFont="1" applyFill="1" applyBorder="1" applyAlignment="1">
      <alignment horizontal="right" vertical="center"/>
    </xf>
    <xf numFmtId="3" fontId="9" fillId="0" borderId="16" xfId="16" applyNumberFormat="1" applyFont="1" applyFill="1" applyBorder="1" applyAlignment="1">
      <alignment horizontal="right" vertical="top"/>
    </xf>
    <xf numFmtId="3" fontId="9" fillId="0" borderId="16" xfId="21" applyNumberFormat="1" applyFont="1" applyFill="1" applyBorder="1" applyAlignment="1">
      <alignment horizontal="left"/>
    </xf>
    <xf numFmtId="3" fontId="9" fillId="0" borderId="53" xfId="21" applyNumberFormat="1" applyFont="1" applyFill="1" applyBorder="1" applyAlignment="1">
      <alignment horizontal="right"/>
    </xf>
    <xf numFmtId="3" fontId="9" fillId="0" borderId="53" xfId="21" applyNumberFormat="1" applyFont="1" applyFill="1" applyBorder="1" applyAlignment="1">
      <alignment horizontal="right" vertical="center"/>
    </xf>
    <xf numFmtId="3" fontId="23" fillId="0" borderId="61" xfId="16" applyNumberFormat="1" applyFont="1" applyFill="1" applyBorder="1" applyAlignment="1">
      <alignment horizontal="right" vertical="center" wrapText="1"/>
    </xf>
    <xf numFmtId="3" fontId="23" fillId="0" borderId="88" xfId="16" applyNumberFormat="1" applyFont="1" applyFill="1" applyBorder="1" applyAlignment="1">
      <alignment horizontal="right" vertical="center" wrapText="1"/>
    </xf>
    <xf numFmtId="3" fontId="9" fillId="0" borderId="0" xfId="21" applyNumberFormat="1" applyFont="1" applyFill="1" applyBorder="1" applyAlignment="1">
      <alignment horizontal="right"/>
    </xf>
    <xf numFmtId="3" fontId="17" fillId="0" borderId="215" xfId="15" applyNumberFormat="1" applyFont="1" applyFill="1" applyBorder="1" applyAlignment="1">
      <alignment horizontal="center" vertical="center"/>
    </xf>
    <xf numFmtId="3" fontId="17" fillId="0" borderId="29" xfId="15" applyNumberFormat="1" applyFont="1" applyFill="1" applyBorder="1" applyAlignment="1">
      <alignment horizontal="left" vertical="center" wrapText="1"/>
    </xf>
    <xf numFmtId="3" fontId="17" fillId="0" borderId="29" xfId="15" applyNumberFormat="1" applyFont="1" applyFill="1" applyBorder="1" applyAlignment="1">
      <alignment horizontal="right" vertical="center"/>
    </xf>
    <xf numFmtId="3" fontId="17" fillId="0" borderId="178" xfId="15" applyNumberFormat="1" applyFont="1" applyFill="1" applyBorder="1" applyAlignment="1">
      <alignment horizontal="right" vertical="center"/>
    </xf>
    <xf numFmtId="3" fontId="14" fillId="0" borderId="179" xfId="15" applyNumberFormat="1" applyFont="1" applyFill="1" applyBorder="1" applyAlignment="1">
      <alignment horizontal="center"/>
    </xf>
    <xf numFmtId="3" fontId="17" fillId="0" borderId="216" xfId="0" applyNumberFormat="1" applyFont="1" applyFill="1" applyBorder="1" applyAlignment="1">
      <alignment horizontal="right" vertical="center"/>
    </xf>
    <xf numFmtId="3" fontId="17" fillId="0" borderId="216" xfId="0" applyNumberFormat="1" applyFont="1" applyFill="1" applyBorder="1" applyAlignment="1">
      <alignment vertical="center"/>
    </xf>
    <xf numFmtId="3" fontId="14" fillId="0" borderId="70" xfId="0" applyNumberFormat="1" applyFont="1" applyFill="1" applyBorder="1" applyAlignment="1">
      <alignment horizontal="center" wrapText="1"/>
    </xf>
    <xf numFmtId="3" fontId="16" fillId="0" borderId="22" xfId="0" applyNumberFormat="1" applyFont="1" applyFill="1" applyBorder="1" applyAlignment="1">
      <alignment wrapText="1"/>
    </xf>
    <xf numFmtId="3" fontId="14" fillId="0" borderId="91" xfId="0" applyNumberFormat="1" applyFont="1" applyFill="1" applyBorder="1" applyAlignment="1">
      <alignment horizontal="center" wrapText="1"/>
    </xf>
    <xf numFmtId="3" fontId="17" fillId="0" borderId="133" xfId="0" applyNumberFormat="1" applyFont="1" applyFill="1" applyBorder="1" applyAlignment="1">
      <alignment horizontal="right" vertical="center"/>
    </xf>
    <xf numFmtId="3" fontId="14" fillId="0" borderId="16" xfId="15" applyNumberFormat="1" applyFont="1" applyFill="1" applyBorder="1" applyAlignment="1">
      <alignment horizontal="center"/>
    </xf>
    <xf numFmtId="3" fontId="42" fillId="0" borderId="16" xfId="15" applyNumberFormat="1" applyFont="1" applyFill="1" applyBorder="1" applyAlignment="1">
      <alignment horizontal="center" vertical="center"/>
    </xf>
    <xf numFmtId="3" fontId="14" fillId="0" borderId="16" xfId="15" applyNumberFormat="1" applyFont="1" applyFill="1" applyBorder="1" applyAlignment="1">
      <alignment horizontal="center" vertical="center"/>
    </xf>
    <xf numFmtId="3" fontId="17" fillId="0" borderId="16" xfId="15" applyNumberFormat="1" applyFont="1" applyFill="1" applyBorder="1" applyAlignment="1">
      <alignment horizontal="center" vertical="center"/>
    </xf>
    <xf numFmtId="3" fontId="16" fillId="0" borderId="16" xfId="15" applyNumberFormat="1" applyFont="1" applyFill="1" applyBorder="1" applyAlignment="1">
      <alignment horizontal="center" vertical="top"/>
    </xf>
    <xf numFmtId="3" fontId="43" fillId="0" borderId="16" xfId="15" applyNumberFormat="1" applyFont="1" applyFill="1" applyBorder="1" applyAlignment="1">
      <alignment horizontal="center" vertical="center"/>
    </xf>
    <xf numFmtId="3" fontId="16" fillId="0" borderId="16" xfId="15" applyNumberFormat="1" applyFont="1" applyFill="1" applyBorder="1" applyAlignment="1">
      <alignment horizontal="center" vertical="center"/>
    </xf>
    <xf numFmtId="3" fontId="20" fillId="0" borderId="16" xfId="15" applyNumberFormat="1" applyFont="1" applyFill="1" applyBorder="1" applyAlignment="1">
      <alignment horizontal="center" vertical="center"/>
    </xf>
    <xf numFmtId="3" fontId="14" fillId="0" borderId="16" xfId="15" applyNumberFormat="1" applyFont="1" applyFill="1" applyBorder="1" applyAlignment="1">
      <alignment horizontal="center" vertical="top"/>
    </xf>
    <xf numFmtId="3" fontId="17" fillId="0" borderId="16" xfId="15" applyNumberFormat="1" applyFont="1" applyFill="1" applyBorder="1" applyAlignment="1">
      <alignment horizontal="center"/>
    </xf>
    <xf numFmtId="3" fontId="17" fillId="0" borderId="16" xfId="15" applyNumberFormat="1" applyFont="1" applyFill="1" applyBorder="1" applyAlignment="1">
      <alignment horizontal="center" vertical="top"/>
    </xf>
    <xf numFmtId="3" fontId="14" fillId="0" borderId="14" xfId="15" applyNumberFormat="1" applyFont="1" applyFill="1" applyBorder="1" applyAlignment="1">
      <alignment horizontal="center" vertical="center" wrapText="1"/>
    </xf>
    <xf numFmtId="3" fontId="14" fillId="0" borderId="59" xfId="15" applyNumberFormat="1" applyFont="1" applyFill="1" applyBorder="1" applyAlignment="1">
      <alignment horizontal="center" vertical="center" wrapText="1"/>
    </xf>
    <xf numFmtId="3" fontId="20" fillId="0" borderId="16" xfId="15" applyNumberFormat="1" applyFont="1" applyFill="1" applyBorder="1" applyAlignment="1">
      <alignment horizontal="center" vertical="center" wrapText="1"/>
    </xf>
    <xf numFmtId="3" fontId="14" fillId="0" borderId="29" xfId="15" applyNumberFormat="1" applyFont="1" applyFill="1" applyBorder="1" applyAlignment="1">
      <alignment horizontal="center" vertical="center" wrapText="1"/>
    </xf>
    <xf numFmtId="3" fontId="14" fillId="0" borderId="22" xfId="0" applyNumberFormat="1" applyFont="1" applyFill="1" applyBorder="1" applyAlignment="1">
      <alignment horizontal="center" wrapText="1"/>
    </xf>
    <xf numFmtId="3" fontId="14" fillId="0" borderId="16" xfId="0" applyNumberFormat="1" applyFont="1" applyFill="1" applyBorder="1" applyAlignment="1">
      <alignment horizontal="center" wrapText="1"/>
    </xf>
    <xf numFmtId="3" fontId="43" fillId="0" borderId="212" xfId="15" applyNumberFormat="1" applyFont="1" applyFill="1" applyBorder="1" applyAlignment="1">
      <alignment horizontal="center" vertical="center"/>
    </xf>
    <xf numFmtId="3" fontId="43" fillId="0" borderId="53" xfId="15" applyNumberFormat="1" applyFont="1" applyFill="1" applyBorder="1" applyAlignment="1">
      <alignment horizontal="center" vertical="center"/>
    </xf>
    <xf numFmtId="3" fontId="43" fillId="0" borderId="53" xfId="0" applyNumberFormat="1" applyFont="1" applyFill="1" applyBorder="1" applyAlignment="1"/>
    <xf numFmtId="3" fontId="43" fillId="0" borderId="67" xfId="0" applyNumberFormat="1" applyFont="1" applyFill="1" applyBorder="1" applyAlignment="1"/>
    <xf numFmtId="3" fontId="43" fillId="0" borderId="21" xfId="15" applyNumberFormat="1" applyFont="1" applyFill="1" applyBorder="1" applyAlignment="1">
      <alignment horizontal="center"/>
    </xf>
    <xf numFmtId="3" fontId="16" fillId="0" borderId="53" xfId="0" applyNumberFormat="1" applyFont="1" applyFill="1" applyBorder="1" applyAlignment="1">
      <alignment horizontal="right" wrapText="1"/>
    </xf>
    <xf numFmtId="3" fontId="49" fillId="0" borderId="0" xfId="15" applyNumberFormat="1" applyFont="1" applyFill="1" applyAlignment="1">
      <alignment horizontal="center" vertical="center"/>
    </xf>
    <xf numFmtId="3" fontId="49" fillId="0" borderId="0" xfId="15" applyNumberFormat="1" applyFont="1" applyFill="1" applyBorder="1"/>
    <xf numFmtId="3" fontId="14" fillId="0" borderId="16" xfId="15" applyNumberFormat="1" applyFont="1" applyFill="1" applyBorder="1" applyAlignment="1">
      <alignment shrinkToFit="1"/>
    </xf>
    <xf numFmtId="3" fontId="16" fillId="0" borderId="214" xfId="15" applyNumberFormat="1" applyFont="1" applyFill="1" applyBorder="1" applyAlignment="1">
      <alignment horizontal="center" vertical="center"/>
    </xf>
    <xf numFmtId="3" fontId="16" fillId="0" borderId="56" xfId="15" applyNumberFormat="1" applyFont="1" applyFill="1" applyBorder="1" applyAlignment="1">
      <alignment horizontal="center" vertical="center"/>
    </xf>
    <xf numFmtId="3" fontId="16" fillId="0" borderId="56" xfId="0" applyNumberFormat="1" applyFont="1" applyFill="1" applyBorder="1" applyAlignment="1"/>
    <xf numFmtId="3" fontId="16" fillId="0" borderId="185" xfId="0" applyNumberFormat="1" applyFont="1" applyFill="1" applyBorder="1" applyAlignment="1"/>
    <xf numFmtId="3" fontId="16" fillId="0" borderId="132" xfId="15" applyNumberFormat="1" applyFont="1" applyFill="1" applyBorder="1" applyAlignment="1">
      <alignment horizontal="center"/>
    </xf>
    <xf numFmtId="0" fontId="6" fillId="0" borderId="22" xfId="16" applyFont="1" applyFill="1" applyBorder="1" applyAlignment="1">
      <alignment vertical="center" shrinkToFit="1"/>
    </xf>
    <xf numFmtId="0" fontId="6" fillId="0" borderId="0" xfId="0" applyFont="1" applyFill="1" applyBorder="1" applyAlignment="1">
      <alignment shrinkToFit="1"/>
    </xf>
    <xf numFmtId="3" fontId="6" fillId="0" borderId="17" xfId="0" applyNumberFormat="1" applyFont="1" applyFill="1" applyBorder="1" applyAlignment="1">
      <alignment horizontal="right" vertical="top" wrapText="1"/>
    </xf>
    <xf numFmtId="3" fontId="6" fillId="0" borderId="10" xfId="0" applyNumberFormat="1" applyFont="1" applyFill="1" applyBorder="1" applyAlignment="1"/>
    <xf numFmtId="3" fontId="24" fillId="0" borderId="0" xfId="0" applyNumberFormat="1" applyFont="1" applyFill="1" applyAlignment="1">
      <alignment horizontal="center" vertical="top"/>
    </xf>
    <xf numFmtId="3" fontId="14" fillId="0" borderId="0" xfId="0" applyNumberFormat="1" applyFont="1" applyFill="1" applyBorder="1" applyAlignment="1">
      <alignment horizontal="center" vertical="top"/>
    </xf>
    <xf numFmtId="3" fontId="6" fillId="0" borderId="39" xfId="17" applyNumberFormat="1" applyFont="1" applyFill="1" applyBorder="1" applyAlignment="1">
      <alignment horizontal="left" vertical="center" wrapText="1"/>
    </xf>
    <xf numFmtId="3" fontId="44" fillId="0" borderId="53" xfId="18" applyNumberFormat="1" applyFont="1" applyFill="1" applyBorder="1" applyAlignment="1">
      <alignment vertical="top"/>
    </xf>
    <xf numFmtId="3" fontId="23" fillId="0" borderId="0" xfId="0" applyNumberFormat="1" applyFont="1" applyFill="1" applyBorder="1" applyAlignment="1"/>
    <xf numFmtId="3" fontId="23" fillId="0" borderId="0" xfId="0" applyNumberFormat="1" applyFont="1" applyFill="1" applyBorder="1" applyAlignment="1">
      <alignment vertical="center"/>
    </xf>
    <xf numFmtId="0" fontId="14" fillId="0" borderId="0" xfId="0" applyFont="1" applyFill="1" applyBorder="1" applyAlignment="1">
      <alignment horizontal="center"/>
    </xf>
    <xf numFmtId="3" fontId="44" fillId="0" borderId="16" xfId="18" applyNumberFormat="1" applyFont="1" applyFill="1" applyBorder="1" applyAlignment="1">
      <alignment horizontal="left" vertical="top"/>
    </xf>
    <xf numFmtId="3" fontId="44" fillId="0" borderId="16" xfId="0" applyNumberFormat="1" applyFont="1" applyFill="1" applyBorder="1" applyAlignment="1">
      <alignment vertical="center"/>
    </xf>
    <xf numFmtId="3" fontId="45" fillId="0" borderId="16" xfId="0" applyNumberFormat="1" applyFont="1" applyFill="1" applyBorder="1" applyAlignment="1">
      <alignment vertical="center"/>
    </xf>
    <xf numFmtId="3" fontId="44" fillId="0" borderId="25" xfId="0" applyNumberFormat="1" applyFont="1" applyFill="1" applyBorder="1" applyAlignment="1">
      <alignment vertical="center"/>
    </xf>
    <xf numFmtId="3" fontId="17" fillId="0" borderId="22" xfId="0" applyNumberFormat="1" applyFont="1" applyFill="1" applyBorder="1" applyAlignment="1">
      <alignment vertical="center"/>
    </xf>
    <xf numFmtId="3" fontId="16" fillId="0" borderId="26" xfId="0" applyNumberFormat="1" applyFont="1" applyFill="1" applyBorder="1" applyAlignment="1"/>
    <xf numFmtId="3" fontId="16" fillId="0" borderId="22" xfId="18" applyNumberFormat="1" applyFont="1" applyFill="1" applyBorder="1" applyAlignment="1">
      <alignment horizontal="left" vertical="top" indent="2"/>
    </xf>
    <xf numFmtId="3" fontId="8" fillId="0" borderId="144" xfId="20" applyNumberFormat="1" applyFont="1" applyFill="1" applyBorder="1" applyAlignment="1">
      <alignment horizontal="center" vertical="center" wrapText="1"/>
    </xf>
    <xf numFmtId="3" fontId="6" fillId="0" borderId="71" xfId="20" applyNumberFormat="1" applyFont="1" applyFill="1" applyBorder="1" applyAlignment="1">
      <alignment horizontal="center" wrapText="1"/>
    </xf>
    <xf numFmtId="3" fontId="6" fillId="0" borderId="187" xfId="20" applyNumberFormat="1" applyFont="1" applyFill="1" applyBorder="1" applyAlignment="1"/>
    <xf numFmtId="3" fontId="6" fillId="0" borderId="187" xfId="20" applyNumberFormat="1" applyFont="1" applyFill="1" applyBorder="1" applyAlignment="1">
      <alignment vertical="center"/>
    </xf>
    <xf numFmtId="3" fontId="6" fillId="0" borderId="187" xfId="20" applyNumberFormat="1" applyFont="1" applyFill="1" applyBorder="1"/>
    <xf numFmtId="3" fontId="6" fillId="0" borderId="187" xfId="20" applyNumberFormat="1" applyFont="1" applyFill="1" applyBorder="1" applyAlignment="1">
      <alignment vertical="top"/>
    </xf>
    <xf numFmtId="3" fontId="6" fillId="0" borderId="51" xfId="20" applyNumberFormat="1" applyFont="1" applyFill="1" applyBorder="1" applyAlignment="1">
      <alignment horizontal="center" wrapText="1"/>
    </xf>
    <xf numFmtId="3" fontId="6" fillId="0" borderId="16" xfId="20" applyNumberFormat="1" applyFont="1" applyFill="1" applyBorder="1"/>
    <xf numFmtId="3" fontId="6" fillId="0" borderId="16" xfId="20" applyNumberFormat="1" applyFont="1" applyFill="1" applyBorder="1" applyAlignment="1">
      <alignment vertical="top"/>
    </xf>
    <xf numFmtId="3" fontId="6" fillId="0" borderId="22" xfId="20" applyNumberFormat="1" applyFont="1" applyFill="1" applyBorder="1" applyAlignment="1">
      <alignment horizontal="right" wrapText="1"/>
    </xf>
    <xf numFmtId="3" fontId="6" fillId="0" borderId="16" xfId="16" applyNumberFormat="1" applyFont="1" applyFill="1" applyBorder="1" applyAlignment="1">
      <alignment horizontal="right" vertical="center" wrapText="1"/>
    </xf>
    <xf numFmtId="3" fontId="6" fillId="0" borderId="16" xfId="16" applyNumberFormat="1" applyFont="1" applyFill="1" applyBorder="1" applyAlignment="1">
      <alignment horizontal="left"/>
    </xf>
    <xf numFmtId="3" fontId="6" fillId="0" borderId="16" xfId="16" applyNumberFormat="1" applyFont="1" applyFill="1" applyBorder="1" applyAlignment="1">
      <alignment horizontal="right"/>
    </xf>
    <xf numFmtId="3" fontId="6" fillId="0" borderId="16" xfId="16" applyNumberFormat="1" applyFont="1" applyFill="1" applyBorder="1" applyAlignment="1">
      <alignment horizontal="right" vertical="top"/>
    </xf>
    <xf numFmtId="3" fontId="6" fillId="0" borderId="16" xfId="21" applyNumberFormat="1" applyFont="1" applyFill="1" applyBorder="1" applyAlignment="1">
      <alignment horizontal="left"/>
    </xf>
    <xf numFmtId="3" fontId="6" fillId="0" borderId="53" xfId="21" applyNumberFormat="1" applyFont="1" applyFill="1" applyBorder="1" applyAlignment="1">
      <alignment horizontal="right"/>
    </xf>
    <xf numFmtId="3" fontId="6" fillId="0" borderId="53" xfId="21" applyNumberFormat="1" applyFont="1" applyFill="1" applyBorder="1" applyAlignment="1">
      <alignment horizontal="right" vertical="center"/>
    </xf>
    <xf numFmtId="3" fontId="8" fillId="0" borderId="0" xfId="0" applyNumberFormat="1" applyFont="1" applyFill="1" applyBorder="1" applyAlignment="1">
      <alignment horizontal="right"/>
    </xf>
    <xf numFmtId="0" fontId="26" fillId="0" borderId="0" xfId="0" applyFont="1" applyFill="1" applyBorder="1"/>
    <xf numFmtId="0" fontId="17" fillId="0" borderId="0" xfId="0" applyFont="1" applyFill="1" applyBorder="1" applyAlignment="1">
      <alignment horizontal="center"/>
    </xf>
    <xf numFmtId="0" fontId="8" fillId="0" borderId="4" xfId="0" applyFont="1" applyBorder="1" applyAlignment="1">
      <alignment vertical="center"/>
    </xf>
    <xf numFmtId="3" fontId="8" fillId="0" borderId="0" xfId="0" applyNumberFormat="1" applyFont="1" applyFill="1" applyBorder="1" applyAlignment="1">
      <alignment horizontal="right" vertical="center"/>
    </xf>
    <xf numFmtId="3" fontId="17" fillId="0" borderId="91" xfId="0" applyNumberFormat="1" applyFont="1" applyFill="1" applyBorder="1" applyAlignment="1"/>
    <xf numFmtId="3" fontId="45" fillId="0" borderId="25" xfId="0" applyNumberFormat="1" applyFont="1" applyFill="1" applyBorder="1" applyAlignment="1">
      <alignment vertical="center"/>
    </xf>
    <xf numFmtId="3" fontId="45" fillId="0" borderId="66" xfId="0" applyNumberFormat="1" applyFont="1" applyFill="1" applyBorder="1" applyAlignment="1">
      <alignment vertical="center"/>
    </xf>
    <xf numFmtId="3" fontId="45" fillId="0" borderId="17" xfId="0" applyNumberFormat="1" applyFont="1" applyFill="1" applyBorder="1" applyAlignment="1">
      <alignment vertical="center"/>
    </xf>
    <xf numFmtId="3" fontId="17" fillId="0" borderId="59" xfId="0" applyNumberFormat="1" applyFont="1" applyFill="1" applyBorder="1" applyAlignment="1"/>
    <xf numFmtId="3" fontId="20" fillId="0" borderId="59" xfId="0" applyNumberFormat="1" applyFont="1" applyFill="1" applyBorder="1" applyAlignment="1">
      <alignment horizontal="center" vertical="center"/>
    </xf>
    <xf numFmtId="3" fontId="17" fillId="0" borderId="29" xfId="18" applyNumberFormat="1" applyFont="1" applyFill="1" applyBorder="1" applyAlignment="1">
      <alignment horizontal="center" vertical="center"/>
    </xf>
    <xf numFmtId="3" fontId="17" fillId="0" borderId="178" xfId="0" applyNumberFormat="1" applyFont="1" applyFill="1" applyBorder="1" applyAlignment="1">
      <alignment vertical="center"/>
    </xf>
    <xf numFmtId="3" fontId="14" fillId="0" borderId="29" xfId="0" applyNumberFormat="1" applyFont="1" applyFill="1" applyBorder="1" applyAlignment="1">
      <alignment horizontal="right"/>
    </xf>
    <xf numFmtId="3" fontId="14" fillId="0" borderId="180" xfId="0" applyNumberFormat="1" applyFont="1" applyFill="1" applyBorder="1" applyAlignment="1">
      <alignment horizontal="right"/>
    </xf>
    <xf numFmtId="3" fontId="17" fillId="0" borderId="14" xfId="18" applyNumberFormat="1" applyFont="1" applyFill="1" applyBorder="1" applyAlignment="1">
      <alignment horizontal="center" vertical="center"/>
    </xf>
    <xf numFmtId="3" fontId="17" fillId="0" borderId="130" xfId="0" applyNumberFormat="1" applyFont="1" applyFill="1" applyBorder="1" applyAlignment="1">
      <alignment vertical="center"/>
    </xf>
    <xf numFmtId="3" fontId="17" fillId="0" borderId="217" xfId="0" applyNumberFormat="1" applyFont="1" applyFill="1" applyBorder="1" applyAlignment="1"/>
    <xf numFmtId="3" fontId="17" fillId="0" borderId="14" xfId="0" applyNumberFormat="1" applyFont="1" applyFill="1" applyBorder="1" applyAlignment="1"/>
    <xf numFmtId="3" fontId="45" fillId="0" borderId="22" xfId="0" applyNumberFormat="1" applyFont="1" applyFill="1" applyBorder="1" applyAlignment="1">
      <alignment vertical="center"/>
    </xf>
    <xf numFmtId="3" fontId="45" fillId="0" borderId="27" xfId="0" applyNumberFormat="1" applyFont="1" applyFill="1" applyBorder="1" applyAlignment="1">
      <alignment vertical="center"/>
    </xf>
    <xf numFmtId="3" fontId="45" fillId="0" borderId="91" xfId="0" applyNumberFormat="1" applyFont="1" applyFill="1" applyBorder="1" applyAlignment="1">
      <alignment vertical="center"/>
    </xf>
    <xf numFmtId="3" fontId="45" fillId="0" borderId="22" xfId="0" applyNumberFormat="1" applyFont="1" applyFill="1" applyBorder="1" applyAlignment="1">
      <alignment horizontal="right" vertical="center"/>
    </xf>
    <xf numFmtId="3" fontId="45" fillId="0" borderId="26" xfId="0" applyNumberFormat="1" applyFont="1" applyFill="1" applyBorder="1" applyAlignment="1">
      <alignment horizontal="right" vertical="center"/>
    </xf>
    <xf numFmtId="3" fontId="17" fillId="0" borderId="29" xfId="0" applyNumberFormat="1" applyFont="1" applyFill="1" applyBorder="1" applyAlignment="1">
      <alignment horizontal="right" vertical="center"/>
    </xf>
    <xf numFmtId="3" fontId="17" fillId="0" borderId="29" xfId="0" applyNumberFormat="1" applyFont="1" applyFill="1" applyBorder="1" applyAlignment="1">
      <alignment horizontal="right"/>
    </xf>
    <xf numFmtId="3" fontId="17" fillId="0" borderId="22" xfId="0" applyNumberFormat="1" applyFont="1" applyFill="1" applyBorder="1" applyAlignment="1">
      <alignment horizontal="right"/>
    </xf>
    <xf numFmtId="3" fontId="44" fillId="0" borderId="93" xfId="0" applyNumberFormat="1" applyFont="1" applyFill="1" applyBorder="1" applyAlignment="1">
      <alignment horizontal="right" vertical="center"/>
    </xf>
    <xf numFmtId="3" fontId="44" fillId="0" borderId="22" xfId="0" applyNumberFormat="1" applyFont="1" applyFill="1" applyBorder="1" applyAlignment="1">
      <alignment horizontal="right" vertical="center"/>
    </xf>
    <xf numFmtId="3" fontId="44" fillId="0" borderId="26" xfId="0" applyNumberFormat="1" applyFont="1" applyFill="1" applyBorder="1" applyAlignment="1">
      <alignment horizontal="right" vertical="center"/>
    </xf>
    <xf numFmtId="3" fontId="17" fillId="0" borderId="22" xfId="18" applyNumberFormat="1" applyFont="1" applyFill="1" applyBorder="1" applyAlignment="1">
      <alignment vertical="top"/>
    </xf>
    <xf numFmtId="3" fontId="17" fillId="0" borderId="25" xfId="0" applyNumberFormat="1" applyFont="1" applyFill="1" applyBorder="1" applyAlignment="1">
      <alignment vertical="top"/>
    </xf>
    <xf numFmtId="3" fontId="44" fillId="0" borderId="16" xfId="18" applyNumberFormat="1" applyFont="1" applyFill="1" applyBorder="1" applyAlignment="1">
      <alignment horizontal="center"/>
    </xf>
    <xf numFmtId="3" fontId="44" fillId="0" borderId="66" xfId="0" applyNumberFormat="1" applyFont="1" applyFill="1" applyBorder="1" applyAlignment="1">
      <alignment vertical="center"/>
    </xf>
    <xf numFmtId="3" fontId="44" fillId="0" borderId="16" xfId="0" applyNumberFormat="1" applyFont="1" applyFill="1" applyBorder="1" applyAlignment="1">
      <alignment horizontal="right" vertical="center"/>
    </xf>
    <xf numFmtId="3" fontId="42" fillId="0" borderId="131" xfId="0" applyNumberFormat="1" applyFont="1" applyFill="1" applyBorder="1" applyAlignment="1"/>
    <xf numFmtId="3" fontId="44" fillId="0" borderId="16" xfId="18" applyNumberFormat="1" applyFont="1" applyFill="1" applyBorder="1" applyAlignment="1">
      <alignment horizontal="center" vertical="center"/>
    </xf>
    <xf numFmtId="3" fontId="45" fillId="0" borderId="16" xfId="0" applyNumberFormat="1" applyFont="1" applyFill="1" applyBorder="1" applyAlignment="1">
      <alignment horizontal="right" vertical="center"/>
    </xf>
    <xf numFmtId="3" fontId="45" fillId="0" borderId="17" xfId="0" applyNumberFormat="1" applyFont="1" applyFill="1" applyBorder="1" applyAlignment="1">
      <alignment horizontal="right" vertical="center"/>
    </xf>
    <xf numFmtId="3" fontId="17" fillId="0" borderId="22" xfId="18" applyNumberFormat="1" applyFont="1" applyFill="1" applyBorder="1" applyAlignment="1">
      <alignment vertical="center"/>
    </xf>
    <xf numFmtId="3" fontId="17" fillId="0" borderId="22" xfId="0" applyNumberFormat="1" applyFont="1" applyFill="1" applyBorder="1" applyAlignment="1"/>
    <xf numFmtId="3" fontId="17" fillId="0" borderId="60" xfId="0" applyNumberFormat="1" applyFont="1" applyFill="1" applyBorder="1" applyAlignment="1"/>
    <xf numFmtId="3" fontId="17" fillId="0" borderId="180" xfId="0" applyNumberFormat="1" applyFont="1" applyFill="1" applyBorder="1" applyAlignment="1">
      <alignment horizontal="right"/>
    </xf>
    <xf numFmtId="3" fontId="17" fillId="0" borderId="26" xfId="0" applyNumberFormat="1" applyFont="1" applyFill="1" applyBorder="1" applyAlignment="1">
      <alignment horizontal="right"/>
    </xf>
    <xf numFmtId="3" fontId="17" fillId="0" borderId="180" xfId="0" applyNumberFormat="1" applyFont="1" applyFill="1" applyBorder="1" applyAlignment="1">
      <alignment horizontal="right" vertical="center"/>
    </xf>
    <xf numFmtId="3" fontId="43" fillId="0" borderId="70" xfId="15" applyNumberFormat="1" applyFont="1" applyFill="1" applyBorder="1" applyAlignment="1">
      <alignment horizontal="center" vertical="center"/>
    </xf>
    <xf numFmtId="3" fontId="43" fillId="0" borderId="91" xfId="15" applyNumberFormat="1" applyFont="1" applyFill="1" applyBorder="1" applyAlignment="1">
      <alignment horizontal="center"/>
    </xf>
    <xf numFmtId="3" fontId="43" fillId="0" borderId="22" xfId="0" applyNumberFormat="1" applyFont="1" applyFill="1" applyBorder="1" applyAlignment="1">
      <alignment horizontal="right" wrapText="1"/>
    </xf>
    <xf numFmtId="3" fontId="43" fillId="0" borderId="26" xfId="0" applyNumberFormat="1" applyFont="1" applyFill="1" applyBorder="1" applyAlignment="1">
      <alignment horizontal="right" wrapText="1"/>
    </xf>
    <xf numFmtId="3" fontId="43" fillId="0" borderId="27" xfId="15" applyNumberFormat="1" applyFont="1" applyFill="1" applyBorder="1" applyAlignment="1">
      <alignment horizontal="right"/>
    </xf>
    <xf numFmtId="3" fontId="42" fillId="0" borderId="16" xfId="15" applyNumberFormat="1" applyFont="1" applyFill="1" applyBorder="1" applyAlignment="1">
      <alignment horizontal="center"/>
    </xf>
    <xf numFmtId="3" fontId="42" fillId="0" borderId="27" xfId="15" applyNumberFormat="1" applyFont="1" applyFill="1" applyBorder="1" applyAlignment="1">
      <alignment horizontal="right"/>
    </xf>
    <xf numFmtId="3" fontId="44" fillId="0" borderId="26" xfId="0" applyNumberFormat="1" applyFont="1" applyFill="1" applyBorder="1" applyAlignment="1">
      <alignment horizontal="right" wrapText="1"/>
    </xf>
    <xf numFmtId="3" fontId="14" fillId="0" borderId="212" xfId="0" applyNumberFormat="1" applyFont="1" applyFill="1" applyBorder="1" applyAlignment="1">
      <alignment horizontal="center" wrapText="1"/>
    </xf>
    <xf numFmtId="3" fontId="14" fillId="0" borderId="53" xfId="0" applyNumberFormat="1" applyFont="1" applyFill="1" applyBorder="1" applyAlignment="1">
      <alignment horizontal="center" wrapText="1"/>
    </xf>
    <xf numFmtId="3" fontId="14" fillId="0" borderId="53" xfId="0" applyNumberFormat="1" applyFont="1" applyFill="1" applyBorder="1" applyAlignment="1"/>
    <xf numFmtId="3" fontId="14" fillId="0" borderId="67" xfId="0" applyNumberFormat="1" applyFont="1" applyFill="1" applyBorder="1" applyAlignment="1"/>
    <xf numFmtId="3" fontId="14" fillId="0" borderId="21" xfId="0" applyNumberFormat="1" applyFont="1" applyFill="1" applyBorder="1" applyAlignment="1">
      <alignment horizontal="center" wrapText="1"/>
    </xf>
    <xf numFmtId="3" fontId="44" fillId="0" borderId="16" xfId="0" applyNumberFormat="1" applyFont="1" applyFill="1" applyBorder="1" applyAlignment="1">
      <alignment horizontal="right"/>
    </xf>
    <xf numFmtId="3" fontId="17" fillId="0" borderId="25" xfId="15" applyNumberFormat="1" applyFont="1" applyFill="1" applyBorder="1" applyAlignment="1">
      <alignment horizontal="right" vertical="center"/>
    </xf>
    <xf numFmtId="3" fontId="17" fillId="0" borderId="131" xfId="0" applyNumberFormat="1" applyFont="1" applyFill="1" applyBorder="1" applyAlignment="1">
      <alignment vertical="center"/>
    </xf>
    <xf numFmtId="3" fontId="17" fillId="0" borderId="45" xfId="0" applyNumberFormat="1" applyFont="1" applyFill="1" applyBorder="1" applyAlignment="1">
      <alignment vertical="center"/>
    </xf>
    <xf numFmtId="3" fontId="17" fillId="0" borderId="131" xfId="15" applyNumberFormat="1" applyFont="1" applyFill="1" applyBorder="1" applyAlignment="1">
      <alignment horizontal="left" vertical="center" wrapText="1"/>
    </xf>
    <xf numFmtId="3" fontId="14" fillId="0" borderId="16" xfId="15" applyNumberFormat="1" applyFont="1" applyFill="1" applyBorder="1" applyAlignment="1">
      <alignment horizontal="center" vertical="center" wrapText="1"/>
    </xf>
    <xf numFmtId="3" fontId="6" fillId="0" borderId="10" xfId="18" applyNumberFormat="1" applyFont="1" applyFill="1" applyBorder="1" applyAlignment="1">
      <alignment wrapText="1"/>
    </xf>
    <xf numFmtId="3" fontId="9" fillId="0" borderId="0" xfId="18" applyNumberFormat="1" applyFont="1" applyFill="1" applyBorder="1" applyAlignment="1">
      <alignment vertical="center" wrapText="1"/>
    </xf>
    <xf numFmtId="3" fontId="6" fillId="0" borderId="218" xfId="20" applyNumberFormat="1" applyFont="1" applyFill="1" applyBorder="1" applyAlignment="1">
      <alignment horizontal="right" vertical="center"/>
    </xf>
    <xf numFmtId="3" fontId="9" fillId="0" borderId="16" xfId="20" applyNumberFormat="1" applyFont="1" applyFill="1" applyBorder="1" applyAlignment="1">
      <alignment horizontal="right"/>
    </xf>
    <xf numFmtId="3" fontId="32" fillId="0" borderId="15" xfId="15" applyNumberFormat="1" applyFont="1" applyFill="1" applyBorder="1" applyAlignment="1">
      <alignment wrapText="1"/>
    </xf>
    <xf numFmtId="3" fontId="40" fillId="0" borderId="15" xfId="15" applyNumberFormat="1" applyFont="1" applyFill="1" applyBorder="1" applyAlignment="1">
      <alignment vertical="center" wrapText="1"/>
    </xf>
    <xf numFmtId="0" fontId="6" fillId="0" borderId="0" xfId="0" applyFont="1" applyFill="1" applyAlignment="1">
      <alignment horizontal="left" wrapText="1" indent="2" shrinkToFit="1"/>
    </xf>
    <xf numFmtId="0" fontId="40" fillId="0" borderId="0" xfId="0" applyFont="1" applyFill="1" applyAlignment="1">
      <alignment horizontal="left" wrapText="1" indent="2" shrinkToFit="1"/>
    </xf>
    <xf numFmtId="0" fontId="6" fillId="0" borderId="62" xfId="20" applyFont="1" applyFill="1" applyBorder="1" applyAlignment="1">
      <alignment horizontal="center"/>
    </xf>
    <xf numFmtId="0" fontId="6" fillId="0" borderId="59" xfId="20" applyFont="1" applyFill="1" applyBorder="1" applyAlignment="1">
      <alignment horizontal="center"/>
    </xf>
    <xf numFmtId="0" fontId="6" fillId="0" borderId="59" xfId="20" applyFont="1" applyFill="1" applyBorder="1" applyAlignment="1">
      <alignment horizontal="center" vertical="center" wrapText="1"/>
    </xf>
    <xf numFmtId="3" fontId="6" fillId="0" borderId="218" xfId="20" applyNumberFormat="1" applyFont="1" applyFill="1" applyBorder="1"/>
    <xf numFmtId="0" fontId="23" fillId="0" borderId="22" xfId="20" applyFont="1" applyFill="1" applyBorder="1" applyAlignment="1">
      <alignment horizontal="right" wrapText="1"/>
    </xf>
    <xf numFmtId="3" fontId="6" fillId="0" borderId="22" xfId="20" applyNumberFormat="1" applyFont="1" applyFill="1" applyBorder="1" applyAlignment="1"/>
    <xf numFmtId="3" fontId="6" fillId="0" borderId="27" xfId="20" applyNumberFormat="1" applyFont="1" applyFill="1" applyBorder="1" applyAlignment="1"/>
    <xf numFmtId="3" fontId="6" fillId="0" borderId="71" xfId="20" applyNumberFormat="1" applyFont="1" applyFill="1" applyBorder="1" applyAlignment="1"/>
    <xf numFmtId="3" fontId="6" fillId="0" borderId="175" xfId="20" applyNumberFormat="1" applyFont="1" applyFill="1" applyBorder="1" applyAlignment="1"/>
    <xf numFmtId="3" fontId="6" fillId="0" borderId="95" xfId="20" applyNumberFormat="1" applyFont="1" applyFill="1" applyBorder="1"/>
    <xf numFmtId="0" fontId="6" fillId="0" borderId="219" xfId="20" applyFont="1" applyFill="1" applyBorder="1" applyAlignment="1">
      <alignment horizontal="center"/>
    </xf>
    <xf numFmtId="0" fontId="6" fillId="0" borderId="219" xfId="20" applyFont="1" applyFill="1" applyBorder="1" applyAlignment="1">
      <alignment horizontal="left" wrapText="1" indent="1"/>
    </xf>
    <xf numFmtId="0" fontId="6" fillId="0" borderId="219" xfId="20" applyFont="1" applyFill="1" applyBorder="1" applyAlignment="1">
      <alignment horizontal="center" vertical="center" wrapText="1"/>
    </xf>
    <xf numFmtId="3" fontId="6" fillId="0" borderId="219" xfId="20" applyNumberFormat="1" applyFont="1" applyFill="1" applyBorder="1" applyAlignment="1"/>
    <xf numFmtId="3" fontId="6" fillId="0" borderId="220" xfId="20" applyNumberFormat="1" applyFont="1" applyFill="1" applyBorder="1" applyAlignment="1"/>
    <xf numFmtId="3" fontId="6" fillId="0" borderId="221" xfId="20" applyNumberFormat="1" applyFont="1" applyFill="1" applyBorder="1" applyAlignment="1"/>
    <xf numFmtId="3" fontId="6" fillId="0" borderId="223" xfId="20" applyNumberFormat="1" applyFont="1" applyFill="1" applyBorder="1" applyAlignment="1"/>
    <xf numFmtId="3" fontId="6" fillId="0" borderId="224" xfId="20" applyNumberFormat="1" applyFont="1" applyFill="1" applyBorder="1"/>
    <xf numFmtId="3" fontId="9" fillId="0" borderId="222" xfId="20" applyNumberFormat="1" applyFont="1" applyFill="1" applyBorder="1" applyAlignment="1"/>
    <xf numFmtId="0" fontId="6" fillId="0" borderId="82" xfId="20" applyFont="1" applyFill="1" applyBorder="1" applyAlignment="1">
      <alignment horizontal="center"/>
    </xf>
    <xf numFmtId="0" fontId="23" fillId="0" borderId="82" xfId="20" applyFont="1" applyFill="1" applyBorder="1" applyAlignment="1">
      <alignment horizontal="right" wrapText="1"/>
    </xf>
    <xf numFmtId="0" fontId="6" fillId="0" borderId="225" xfId="20" applyFont="1" applyFill="1" applyBorder="1" applyAlignment="1">
      <alignment horizontal="center" vertical="center" wrapText="1"/>
    </xf>
    <xf numFmtId="3" fontId="6" fillId="0" borderId="48" xfId="20" applyNumberFormat="1" applyFont="1" applyFill="1" applyBorder="1"/>
    <xf numFmtId="3" fontId="8" fillId="0" borderId="82" xfId="20" applyNumberFormat="1" applyFont="1" applyFill="1" applyBorder="1" applyAlignment="1"/>
    <xf numFmtId="3" fontId="8" fillId="0" borderId="105" xfId="20" applyNumberFormat="1" applyFont="1" applyFill="1" applyBorder="1" applyAlignment="1"/>
    <xf numFmtId="3" fontId="8" fillId="0" borderId="8" xfId="20" applyNumberFormat="1" applyFont="1" applyFill="1" applyBorder="1" applyAlignment="1"/>
    <xf numFmtId="3" fontId="8" fillId="0" borderId="59" xfId="20" applyNumberFormat="1" applyFont="1" applyFill="1" applyBorder="1" applyAlignment="1"/>
    <xf numFmtId="3" fontId="8" fillId="0" borderId="136" xfId="20" applyNumberFormat="1" applyFont="1" applyFill="1" applyBorder="1" applyAlignment="1"/>
    <xf numFmtId="3" fontId="8" fillId="0" borderId="103" xfId="20" applyNumberFormat="1" applyFont="1" applyFill="1" applyBorder="1" applyAlignment="1"/>
    <xf numFmtId="3" fontId="8" fillId="0" borderId="0" xfId="20" applyNumberFormat="1" applyFont="1" applyFill="1" applyBorder="1" applyAlignment="1"/>
    <xf numFmtId="3" fontId="6" fillId="0" borderId="45" xfId="15" applyNumberFormat="1" applyFont="1" applyFill="1" applyBorder="1" applyAlignment="1">
      <alignment vertical="top" wrapText="1"/>
    </xf>
    <xf numFmtId="3" fontId="6" fillId="0" borderId="45" xfId="15" applyNumberFormat="1" applyFont="1" applyFill="1" applyBorder="1" applyAlignment="1">
      <alignment vertical="center" wrapText="1"/>
    </xf>
    <xf numFmtId="3" fontId="6" fillId="0" borderId="45" xfId="0" applyNumberFormat="1" applyFont="1" applyFill="1" applyBorder="1" applyAlignment="1">
      <alignment horizontal="right" vertical="center" wrapText="1"/>
    </xf>
    <xf numFmtId="3" fontId="23" fillId="0" borderId="0" xfId="0" applyNumberFormat="1" applyFont="1" applyFill="1" applyAlignment="1"/>
    <xf numFmtId="3" fontId="17" fillId="0" borderId="22" xfId="0" applyNumberFormat="1" applyFont="1" applyFill="1" applyBorder="1" applyAlignment="1">
      <alignment horizontal="right" vertical="center" wrapText="1"/>
    </xf>
    <xf numFmtId="3" fontId="17" fillId="0" borderId="26" xfId="0" applyNumberFormat="1" applyFont="1" applyFill="1" applyBorder="1" applyAlignment="1">
      <alignment horizontal="right" vertical="center" wrapText="1"/>
    </xf>
    <xf numFmtId="3" fontId="16" fillId="0" borderId="22" xfId="0" applyNumberFormat="1" applyFont="1" applyFill="1" applyBorder="1" applyAlignment="1">
      <alignment horizontal="right" vertical="center" wrapText="1"/>
    </xf>
    <xf numFmtId="3" fontId="44" fillId="0" borderId="0" xfId="0" applyNumberFormat="1" applyFont="1" applyFill="1" applyBorder="1" applyAlignment="1">
      <alignment horizontal="right" wrapText="1"/>
    </xf>
    <xf numFmtId="3" fontId="17" fillId="0" borderId="59" xfId="0" applyNumberFormat="1" applyFont="1" applyFill="1" applyBorder="1" applyAlignment="1">
      <alignment horizontal="right" wrapText="1"/>
    </xf>
    <xf numFmtId="3" fontId="17" fillId="0" borderId="17" xfId="18" applyNumberFormat="1" applyFont="1" applyFill="1" applyBorder="1" applyAlignment="1">
      <alignment vertical="center"/>
    </xf>
    <xf numFmtId="3" fontId="44" fillId="0" borderId="45" xfId="0" applyNumberFormat="1" applyFont="1" applyFill="1" applyBorder="1" applyAlignment="1">
      <alignment vertical="center"/>
    </xf>
    <xf numFmtId="3" fontId="17" fillId="0" borderId="45" xfId="15" applyNumberFormat="1" applyFont="1" applyFill="1" applyBorder="1" applyAlignment="1">
      <alignment horizontal="right"/>
    </xf>
    <xf numFmtId="3" fontId="17" fillId="0" borderId="226" xfId="0" applyNumberFormat="1" applyFont="1" applyFill="1" applyBorder="1" applyAlignment="1">
      <alignment vertical="center"/>
    </xf>
    <xf numFmtId="0" fontId="6" fillId="0" borderId="39" xfId="0" applyFont="1" applyFill="1" applyBorder="1" applyAlignment="1">
      <alignment wrapText="1"/>
    </xf>
    <xf numFmtId="3" fontId="6" fillId="0" borderId="0" xfId="0" applyNumberFormat="1" applyFont="1" applyFill="1" applyAlignment="1"/>
    <xf numFmtId="3" fontId="23" fillId="0" borderId="17" xfId="0" applyNumberFormat="1" applyFont="1" applyFill="1" applyBorder="1" applyAlignment="1">
      <alignment vertical="top"/>
    </xf>
    <xf numFmtId="0" fontId="8" fillId="0" borderId="15" xfId="0" applyFont="1" applyFill="1" applyBorder="1" applyAlignment="1">
      <alignment wrapText="1"/>
    </xf>
    <xf numFmtId="0" fontId="6" fillId="0" borderId="17" xfId="0" applyFont="1" applyFill="1" applyBorder="1" applyAlignment="1">
      <alignment wrapText="1"/>
    </xf>
    <xf numFmtId="0" fontId="6" fillId="0" borderId="15" xfId="0" applyFont="1" applyFill="1" applyBorder="1" applyAlignment="1">
      <alignment wrapText="1"/>
    </xf>
    <xf numFmtId="0" fontId="6" fillId="0" borderId="17" xfId="0" applyFont="1" applyFill="1" applyBorder="1" applyAlignment="1">
      <alignment vertical="top" wrapText="1"/>
    </xf>
    <xf numFmtId="0" fontId="6" fillId="0" borderId="15" xfId="0" applyFont="1" applyFill="1" applyBorder="1" applyAlignment="1">
      <alignment shrinkToFit="1"/>
    </xf>
    <xf numFmtId="3" fontId="6" fillId="0" borderId="89" xfId="15" applyNumberFormat="1" applyFont="1" applyFill="1" applyBorder="1" applyAlignment="1">
      <alignment vertical="center" wrapText="1"/>
    </xf>
    <xf numFmtId="3" fontId="6" fillId="0" borderId="177" xfId="0" applyNumberFormat="1" applyFont="1" applyFill="1" applyBorder="1" applyAlignment="1">
      <alignment horizontal="right" wrapText="1"/>
    </xf>
    <xf numFmtId="4" fontId="10" fillId="0" borderId="18" xfId="0" applyNumberFormat="1" applyFont="1" applyFill="1" applyBorder="1" applyAlignment="1">
      <alignment horizontal="center" wrapText="1"/>
    </xf>
    <xf numFmtId="3" fontId="6" fillId="0" borderId="39" xfId="20" applyNumberFormat="1" applyFont="1" applyFill="1" applyBorder="1" applyAlignment="1">
      <alignment vertical="center"/>
    </xf>
    <xf numFmtId="3" fontId="9" fillId="0" borderId="0" xfId="20" applyNumberFormat="1" applyFont="1" applyFill="1" applyBorder="1" applyAlignment="1">
      <alignment horizontal="center"/>
    </xf>
    <xf numFmtId="3" fontId="9" fillId="0" borderId="93" xfId="20" applyNumberFormat="1" applyFont="1" applyFill="1" applyBorder="1" applyAlignment="1">
      <alignment horizontal="center" wrapText="1"/>
    </xf>
    <xf numFmtId="3" fontId="9" fillId="0" borderId="131" xfId="20" applyNumberFormat="1" applyFont="1" applyFill="1" applyBorder="1" applyAlignment="1"/>
    <xf numFmtId="3" fontId="9" fillId="0" borderId="131" xfId="20" applyNumberFormat="1" applyFont="1" applyFill="1" applyBorder="1" applyAlignment="1">
      <alignment horizontal="right" vertical="center"/>
    </xf>
    <xf numFmtId="3" fontId="9" fillId="0" borderId="131" xfId="20" applyNumberFormat="1" applyFont="1" applyFill="1" applyBorder="1" applyAlignment="1">
      <alignment vertical="center"/>
    </xf>
    <xf numFmtId="3" fontId="9" fillId="0" borderId="131" xfId="20" applyNumberFormat="1" applyFont="1" applyFill="1" applyBorder="1"/>
    <xf numFmtId="3" fontId="9" fillId="0" borderId="131" xfId="20" applyNumberFormat="1" applyFont="1" applyFill="1" applyBorder="1" applyAlignment="1">
      <alignment vertical="top"/>
    </xf>
    <xf numFmtId="3" fontId="23" fillId="0" borderId="82" xfId="20" applyNumberFormat="1" applyFont="1" applyFill="1" applyBorder="1" applyAlignment="1"/>
    <xf numFmtId="3" fontId="9" fillId="0" borderId="93" xfId="20" applyNumberFormat="1" applyFont="1" applyFill="1" applyBorder="1" applyAlignment="1"/>
    <xf numFmtId="3" fontId="23" fillId="0" borderId="92" xfId="20" applyNumberFormat="1" applyFont="1" applyFill="1" applyBorder="1" applyAlignment="1"/>
    <xf numFmtId="3" fontId="23" fillId="0" borderId="61" xfId="20" applyNumberFormat="1" applyFont="1" applyFill="1" applyBorder="1" applyAlignment="1">
      <alignment vertical="center"/>
    </xf>
    <xf numFmtId="3" fontId="9" fillId="0" borderId="0" xfId="20" applyNumberFormat="1" applyFont="1" applyFill="1" applyBorder="1"/>
    <xf numFmtId="3" fontId="14" fillId="0" borderId="22" xfId="15" applyNumberFormat="1" applyFont="1" applyFill="1" applyBorder="1" applyAlignment="1">
      <alignment shrinkToFit="1"/>
    </xf>
    <xf numFmtId="0" fontId="6" fillId="0" borderId="62" xfId="21" applyFont="1" applyFill="1" applyBorder="1" applyAlignment="1">
      <alignment horizontal="center"/>
    </xf>
    <xf numFmtId="0" fontId="6" fillId="0" borderId="136" xfId="21" applyFont="1" applyFill="1" applyBorder="1" applyAlignment="1">
      <alignment horizontal="center"/>
    </xf>
    <xf numFmtId="0" fontId="6" fillId="0" borderId="92" xfId="20" applyFont="1" applyFill="1" applyBorder="1" applyAlignment="1">
      <alignment horizontal="center" wrapText="1"/>
    </xf>
    <xf numFmtId="3" fontId="6" fillId="0" borderId="59" xfId="20" applyNumberFormat="1" applyFont="1" applyFill="1" applyBorder="1" applyAlignment="1">
      <alignment horizontal="right"/>
    </xf>
    <xf numFmtId="3" fontId="6" fillId="0" borderId="136" xfId="20" applyNumberFormat="1" applyFont="1" applyFill="1" applyBorder="1" applyAlignment="1">
      <alignment horizontal="right"/>
    </xf>
    <xf numFmtId="3" fontId="6" fillId="0" borderId="103" xfId="21" applyNumberFormat="1" applyFont="1" applyFill="1" applyBorder="1" applyAlignment="1">
      <alignment horizontal="right"/>
    </xf>
    <xf numFmtId="3" fontId="6" fillId="0" borderId="59" xfId="21" applyNumberFormat="1" applyFont="1" applyFill="1" applyBorder="1" applyAlignment="1">
      <alignment horizontal="right"/>
    </xf>
    <xf numFmtId="3" fontId="9" fillId="0" borderId="59" xfId="21" applyNumberFormat="1" applyFont="1" applyFill="1" applyBorder="1" applyAlignment="1">
      <alignment horizontal="right"/>
    </xf>
    <xf numFmtId="3" fontId="6" fillId="0" borderId="16" xfId="21" applyNumberFormat="1" applyFont="1" applyFill="1" applyBorder="1" applyAlignment="1">
      <alignment horizontal="right" vertical="center"/>
    </xf>
    <xf numFmtId="3" fontId="6" fillId="0" borderId="187" xfId="21" applyNumberFormat="1" applyFont="1" applyFill="1" applyBorder="1" applyAlignment="1">
      <alignment horizontal="right"/>
    </xf>
    <xf numFmtId="3" fontId="6" fillId="0" borderId="16" xfId="21" applyNumberFormat="1" applyFont="1" applyFill="1" applyBorder="1" applyAlignment="1">
      <alignment horizontal="right"/>
    </xf>
    <xf numFmtId="3" fontId="9" fillId="0" borderId="16" xfId="21" applyNumberFormat="1" applyFont="1" applyFill="1" applyBorder="1" applyAlignment="1">
      <alignment horizontal="right"/>
    </xf>
    <xf numFmtId="3" fontId="6" fillId="0" borderId="39" xfId="20" applyNumberFormat="1" applyFont="1" applyFill="1" applyBorder="1" applyAlignment="1">
      <alignment horizontal="right" vertical="center"/>
    </xf>
    <xf numFmtId="0" fontId="6" fillId="0" borderId="0" xfId="29" applyFont="1" applyFill="1" applyBorder="1" applyAlignment="1">
      <alignment horizontal="center" vertical="top"/>
    </xf>
    <xf numFmtId="0" fontId="8" fillId="0" borderId="0" xfId="29" applyFont="1" applyFill="1" applyBorder="1" applyAlignment="1">
      <alignment vertical="top"/>
    </xf>
    <xf numFmtId="0" fontId="6" fillId="0" borderId="0" xfId="29" applyFont="1" applyFill="1" applyBorder="1" applyAlignment="1">
      <alignment vertical="top"/>
    </xf>
    <xf numFmtId="0" fontId="6" fillId="0" borderId="0" xfId="29" applyFont="1" applyFill="1" applyBorder="1" applyAlignment="1"/>
    <xf numFmtId="0" fontId="6" fillId="0" borderId="0" xfId="29" applyFont="1" applyFill="1" applyBorder="1" applyAlignment="1">
      <alignment vertical="center"/>
    </xf>
    <xf numFmtId="3" fontId="6" fillId="0" borderId="0" xfId="29" applyNumberFormat="1" applyFont="1" applyFill="1" applyBorder="1" applyAlignment="1">
      <alignment horizontal="center"/>
    </xf>
    <xf numFmtId="0" fontId="6" fillId="0" borderId="0" xfId="29" applyFont="1" applyFill="1" applyBorder="1" applyAlignment="1">
      <alignment horizontal="center" vertical="center"/>
    </xf>
    <xf numFmtId="0" fontId="8" fillId="0" borderId="0" xfId="29" applyFont="1" applyFill="1" applyBorder="1" applyAlignment="1">
      <alignment horizontal="right" vertical="center"/>
    </xf>
    <xf numFmtId="0" fontId="8" fillId="0" borderId="0" xfId="29" applyFont="1" applyFill="1" applyBorder="1" applyAlignment="1">
      <alignment vertical="center"/>
    </xf>
    <xf numFmtId="3" fontId="23" fillId="0" borderId="0" xfId="18" applyNumberFormat="1" applyFont="1" applyFill="1" applyBorder="1" applyAlignment="1">
      <alignment vertical="center" wrapText="1"/>
    </xf>
    <xf numFmtId="3" fontId="8" fillId="0" borderId="13" xfId="14" applyNumberFormat="1" applyFont="1" applyFill="1" applyBorder="1" applyAlignment="1">
      <alignment horizontal="center" vertical="center" wrapText="1"/>
    </xf>
    <xf numFmtId="3" fontId="8" fillId="0" borderId="8" xfId="14" applyNumberFormat="1" applyFont="1" applyFill="1" applyBorder="1" applyAlignment="1">
      <alignment horizontal="right" wrapText="1"/>
    </xf>
    <xf numFmtId="3" fontId="8" fillId="0" borderId="8" xfId="0" applyNumberFormat="1" applyFont="1" applyFill="1" applyBorder="1" applyAlignment="1">
      <alignment horizontal="right" vertical="center"/>
    </xf>
    <xf numFmtId="3" fontId="6" fillId="0" borderId="10" xfId="0" applyNumberFormat="1" applyFont="1" applyFill="1" applyBorder="1" applyAlignment="1">
      <alignment horizontal="right"/>
    </xf>
    <xf numFmtId="3" fontId="8" fillId="0" borderId="35" xfId="0" applyNumberFormat="1" applyFont="1" applyFill="1" applyBorder="1" applyAlignment="1">
      <alignment horizontal="right" vertical="center"/>
    </xf>
    <xf numFmtId="3" fontId="8" fillId="0" borderId="9" xfId="0" applyNumberFormat="1" applyFont="1" applyFill="1" applyBorder="1" applyAlignment="1">
      <alignment horizontal="right" vertical="center"/>
    </xf>
    <xf numFmtId="3" fontId="8" fillId="0" borderId="36" xfId="0" applyNumberFormat="1" applyFont="1" applyFill="1" applyBorder="1" applyAlignment="1">
      <alignment horizontal="right" vertical="center"/>
    </xf>
    <xf numFmtId="3" fontId="8" fillId="0" borderId="103" xfId="0" applyNumberFormat="1" applyFont="1" applyFill="1" applyBorder="1"/>
    <xf numFmtId="3" fontId="6" fillId="0" borderId="103" xfId="0" applyNumberFormat="1" applyFont="1" applyFill="1" applyBorder="1"/>
    <xf numFmtId="3" fontId="8" fillId="0" borderId="103" xfId="0" applyNumberFormat="1" applyFont="1" applyFill="1" applyBorder="1" applyAlignment="1"/>
    <xf numFmtId="3" fontId="6" fillId="0" borderId="117" xfId="0" applyNumberFormat="1" applyFont="1" applyFill="1" applyBorder="1" applyAlignment="1">
      <alignment vertical="top"/>
    </xf>
    <xf numFmtId="3" fontId="8" fillId="0" borderId="103" xfId="0" applyNumberFormat="1" applyFont="1" applyFill="1" applyBorder="1" applyAlignment="1">
      <alignment vertical="center"/>
    </xf>
    <xf numFmtId="3" fontId="23" fillId="0" borderId="11" xfId="14" applyNumberFormat="1" applyFont="1" applyFill="1" applyBorder="1"/>
    <xf numFmtId="3" fontId="23" fillId="0" borderId="8" xfId="14" applyNumberFormat="1" applyFont="1" applyFill="1" applyBorder="1"/>
    <xf numFmtId="3" fontId="23" fillId="0" borderId="0" xfId="14" applyNumberFormat="1" applyFont="1" applyFill="1" applyBorder="1"/>
    <xf numFmtId="3" fontId="9" fillId="0" borderId="0" xfId="14" applyNumberFormat="1" applyFont="1" applyFill="1" applyBorder="1" applyAlignment="1">
      <alignment vertical="center"/>
    </xf>
    <xf numFmtId="3" fontId="9" fillId="0" borderId="0" xfId="14" applyNumberFormat="1" applyFont="1" applyFill="1" applyBorder="1" applyAlignment="1">
      <alignment vertical="top"/>
    </xf>
    <xf numFmtId="3" fontId="23" fillId="0" borderId="13" xfId="14" applyNumberFormat="1" applyFont="1" applyFill="1" applyBorder="1" applyAlignment="1">
      <alignment vertical="center"/>
    </xf>
    <xf numFmtId="3" fontId="9" fillId="0" borderId="0" xfId="14" applyNumberFormat="1" applyFont="1" applyFill="1" applyBorder="1" applyAlignment="1"/>
    <xf numFmtId="3" fontId="23" fillId="0" borderId="0" xfId="14" applyNumberFormat="1" applyFont="1" applyFill="1"/>
    <xf numFmtId="0" fontId="8" fillId="0" borderId="0" xfId="29" applyFont="1" applyFill="1" applyBorder="1" applyAlignment="1">
      <alignment horizontal="center" vertical="center"/>
    </xf>
    <xf numFmtId="0" fontId="6" fillId="0" borderId="0" xfId="29" applyFont="1" applyFill="1" applyBorder="1" applyAlignment="1">
      <alignment horizontal="center"/>
    </xf>
    <xf numFmtId="0" fontId="6" fillId="0" borderId="0" xfId="0" applyFont="1" applyFill="1" applyAlignment="1">
      <alignment horizontal="center" vertical="center"/>
    </xf>
    <xf numFmtId="0" fontId="8" fillId="0" borderId="0" xfId="0" applyFont="1" applyFill="1" applyAlignment="1">
      <alignment horizontal="center" vertical="center"/>
    </xf>
    <xf numFmtId="3" fontId="8" fillId="0" borderId="227" xfId="0" applyNumberFormat="1" applyFont="1" applyFill="1" applyBorder="1" applyAlignment="1">
      <alignment horizontal="right"/>
    </xf>
    <xf numFmtId="3" fontId="8" fillId="0" borderId="227" xfId="0" applyNumberFormat="1" applyFont="1" applyBorder="1" applyAlignment="1">
      <alignment horizontal="right"/>
    </xf>
    <xf numFmtId="3" fontId="8" fillId="0" borderId="18" xfId="0" applyNumberFormat="1" applyFont="1" applyBorder="1" applyAlignment="1">
      <alignment horizontal="right" vertical="top"/>
    </xf>
    <xf numFmtId="3" fontId="8" fillId="0" borderId="20" xfId="0" applyNumberFormat="1" applyFont="1" applyBorder="1" applyAlignment="1">
      <alignment horizontal="right" vertical="center"/>
    </xf>
    <xf numFmtId="3" fontId="44" fillId="0" borderId="17" xfId="0" applyNumberFormat="1" applyFont="1" applyFill="1" applyBorder="1" applyAlignment="1">
      <alignment horizontal="right" vertical="center"/>
    </xf>
    <xf numFmtId="3" fontId="44" fillId="0" borderId="53" xfId="0" applyNumberFormat="1" applyFont="1" applyFill="1" applyBorder="1" applyAlignment="1">
      <alignment horizontal="right" vertical="center"/>
    </xf>
    <xf numFmtId="3" fontId="44" fillId="0" borderId="54" xfId="0" applyNumberFormat="1" applyFont="1" applyFill="1" applyBorder="1" applyAlignment="1">
      <alignment horizontal="right" vertical="center"/>
    </xf>
    <xf numFmtId="3" fontId="17" fillId="0" borderId="93" xfId="0" applyNumberFormat="1" applyFont="1" applyFill="1" applyBorder="1" applyAlignment="1">
      <alignment horizontal="right" vertical="center"/>
    </xf>
    <xf numFmtId="3" fontId="17" fillId="0" borderId="132" xfId="0" applyNumberFormat="1" applyFont="1" applyFill="1" applyBorder="1" applyAlignment="1">
      <alignment horizontal="right" vertical="center"/>
    </xf>
    <xf numFmtId="3" fontId="17" fillId="0" borderId="56" xfId="0" applyNumberFormat="1" applyFont="1" applyFill="1" applyBorder="1" applyAlignment="1">
      <alignment horizontal="right" wrapText="1"/>
    </xf>
    <xf numFmtId="0" fontId="6" fillId="0" borderId="0" xfId="32" applyFont="1" applyAlignment="1">
      <alignment vertical="top"/>
    </xf>
    <xf numFmtId="0" fontId="6" fillId="0" borderId="0" xfId="32" applyFont="1"/>
    <xf numFmtId="0" fontId="6" fillId="0" borderId="0" xfId="32" applyFont="1" applyFill="1" applyBorder="1" applyAlignment="1">
      <alignment horizontal="left" vertical="center"/>
    </xf>
    <xf numFmtId="0" fontId="6" fillId="0" borderId="0" xfId="32" applyFont="1" applyAlignment="1"/>
    <xf numFmtId="0" fontId="50" fillId="0" borderId="0" xfId="32" applyFont="1" applyAlignment="1">
      <alignment horizontal="center" vertical="center"/>
    </xf>
    <xf numFmtId="0" fontId="52" fillId="0" borderId="34" xfId="32" applyFont="1" applyBorder="1" applyAlignment="1">
      <alignment horizontal="center" vertical="center" wrapText="1"/>
    </xf>
    <xf numFmtId="0" fontId="50" fillId="0" borderId="136" xfId="32" applyFont="1" applyBorder="1" applyAlignment="1">
      <alignment horizontal="left" vertical="center" wrapText="1"/>
    </xf>
    <xf numFmtId="0" fontId="50" fillId="0" borderId="229" xfId="32" applyFont="1" applyBorder="1" applyAlignment="1">
      <alignment horizontal="left" vertical="center" wrapText="1"/>
    </xf>
    <xf numFmtId="0" fontId="50" fillId="0" borderId="0" xfId="32" applyFont="1" applyBorder="1" applyAlignment="1">
      <alignment horizontal="left" vertical="center" wrapText="1"/>
    </xf>
    <xf numFmtId="0" fontId="53" fillId="0" borderId="0" xfId="32" applyFont="1" applyBorder="1" applyAlignment="1">
      <alignment horizontal="left" vertical="center" wrapText="1"/>
    </xf>
    <xf numFmtId="0" fontId="53" fillId="0" borderId="6" xfId="32" applyFont="1" applyBorder="1" applyAlignment="1">
      <alignment horizontal="left" vertical="center" wrapText="1"/>
    </xf>
    <xf numFmtId="0" fontId="52" fillId="0" borderId="61" xfId="32" applyFont="1" applyBorder="1" applyAlignment="1">
      <alignment horizontal="center" vertical="center" wrapText="1"/>
    </xf>
    <xf numFmtId="3" fontId="52" fillId="0" borderId="61" xfId="32" applyNumberFormat="1" applyFont="1" applyBorder="1" applyAlignment="1">
      <alignment horizontal="right" vertical="center" wrapText="1"/>
    </xf>
    <xf numFmtId="0" fontId="50" fillId="0" borderId="10" xfId="32" applyFont="1" applyBorder="1" applyAlignment="1">
      <alignment horizontal="left" vertical="center" wrapText="1"/>
    </xf>
    <xf numFmtId="0" fontId="6" fillId="0" borderId="16" xfId="16" applyFont="1" applyFill="1" applyBorder="1" applyAlignment="1">
      <alignment wrapText="1" shrinkToFit="1"/>
    </xf>
    <xf numFmtId="3" fontId="16" fillId="0" borderId="0" xfId="15" applyNumberFormat="1" applyFont="1" applyFill="1" applyBorder="1"/>
    <xf numFmtId="3" fontId="16" fillId="0" borderId="0" xfId="15" applyNumberFormat="1" applyFont="1" applyFill="1" applyBorder="1" applyAlignment="1">
      <alignment horizontal="center"/>
    </xf>
    <xf numFmtId="0" fontId="6" fillId="0" borderId="53" xfId="20" applyFont="1" applyFill="1" applyBorder="1" applyAlignment="1">
      <alignment horizontal="left" wrapText="1" indent="1"/>
    </xf>
    <xf numFmtId="0" fontId="6" fillId="0" borderId="53" xfId="20" applyFont="1" applyFill="1" applyBorder="1" applyAlignment="1">
      <alignment horizontal="center" vertical="center" wrapText="1"/>
    </xf>
    <xf numFmtId="3" fontId="6" fillId="0" borderId="53" xfId="20" applyNumberFormat="1" applyFont="1" applyFill="1" applyBorder="1" applyAlignment="1"/>
    <xf numFmtId="3" fontId="6" fillId="0" borderId="67" xfId="20" applyNumberFormat="1" applyFont="1" applyFill="1" applyBorder="1" applyAlignment="1"/>
    <xf numFmtId="3" fontId="6" fillId="0" borderId="188" xfId="20" applyNumberFormat="1" applyFont="1" applyFill="1" applyBorder="1" applyAlignment="1"/>
    <xf numFmtId="3" fontId="9" fillId="0" borderId="134" xfId="20" applyNumberFormat="1" applyFont="1" applyFill="1" applyBorder="1" applyAlignment="1"/>
    <xf numFmtId="3" fontId="6" fillId="0" borderId="186" xfId="20" applyNumberFormat="1" applyFont="1" applyFill="1" applyBorder="1"/>
    <xf numFmtId="3" fontId="6" fillId="0" borderId="199" xfId="20" applyNumberFormat="1" applyFont="1" applyFill="1" applyBorder="1" applyAlignment="1"/>
    <xf numFmtId="3" fontId="16" fillId="0" borderId="26" xfId="0" applyNumberFormat="1" applyFont="1" applyFill="1" applyBorder="1" applyAlignment="1">
      <alignment horizontal="right" vertical="center" wrapText="1"/>
    </xf>
    <xf numFmtId="0" fontId="6" fillId="0" borderId="25" xfId="21" applyFont="1" applyFill="1" applyBorder="1" applyAlignment="1">
      <alignment horizontal="center"/>
    </xf>
    <xf numFmtId="0" fontId="6" fillId="0" borderId="131" xfId="20" applyFont="1" applyFill="1" applyBorder="1" applyAlignment="1">
      <alignment horizontal="center" wrapText="1"/>
    </xf>
    <xf numFmtId="3" fontId="17" fillId="0" borderId="57" xfId="0" applyNumberFormat="1" applyFont="1" applyFill="1" applyBorder="1" applyAlignment="1">
      <alignment horizontal="right" wrapText="1"/>
    </xf>
    <xf numFmtId="0" fontId="8" fillId="0" borderId="0" xfId="0" applyFont="1" applyFill="1" applyBorder="1" applyAlignment="1">
      <alignment horizontal="center" vertical="center"/>
    </xf>
    <xf numFmtId="3" fontId="17" fillId="0" borderId="26" xfId="18" applyNumberFormat="1" applyFont="1" applyFill="1" applyBorder="1" applyAlignment="1">
      <alignment vertical="center"/>
    </xf>
    <xf numFmtId="3" fontId="14" fillId="0" borderId="27" xfId="0" applyNumberFormat="1" applyFont="1" applyFill="1" applyBorder="1" applyAlignment="1">
      <alignment horizontal="center" vertical="center"/>
    </xf>
    <xf numFmtId="3" fontId="16" fillId="0" borderId="56" xfId="18" applyNumberFormat="1" applyFont="1" applyFill="1" applyBorder="1" applyAlignment="1">
      <alignment vertical="center"/>
    </xf>
    <xf numFmtId="3" fontId="6" fillId="0" borderId="4" xfId="20" applyNumberFormat="1" applyFont="1" applyFill="1" applyBorder="1" applyAlignment="1">
      <alignment horizontal="right" vertical="center"/>
    </xf>
    <xf numFmtId="3" fontId="14" fillId="0" borderId="0" xfId="18" applyNumberFormat="1" applyFont="1" applyFill="1" applyBorder="1" applyAlignment="1">
      <alignment vertical="center"/>
    </xf>
    <xf numFmtId="0" fontId="6" fillId="0" borderId="0" xfId="0" applyFont="1" applyFill="1" applyBorder="1" applyAlignment="1"/>
    <xf numFmtId="0" fontId="23" fillId="0" borderId="0" xfId="0" applyFont="1" applyFill="1" applyAlignment="1">
      <alignment horizontal="right" vertical="center" wrapText="1"/>
    </xf>
    <xf numFmtId="0" fontId="23" fillId="0" borderId="0" xfId="0" applyFont="1" applyFill="1" applyAlignment="1">
      <alignment horizontal="right" vertical="center"/>
    </xf>
    <xf numFmtId="3" fontId="16" fillId="0" borderId="54" xfId="0" applyNumberFormat="1" applyFont="1" applyFill="1" applyBorder="1" applyAlignment="1">
      <alignment horizontal="right"/>
    </xf>
    <xf numFmtId="0" fontId="6" fillId="0" borderId="16" xfId="20" applyFont="1" applyFill="1" applyBorder="1" applyAlignment="1">
      <alignment horizontal="left" vertical="center" wrapText="1" indent="1"/>
    </xf>
    <xf numFmtId="0" fontId="13" fillId="0" borderId="0" xfId="0" applyFont="1" applyFill="1" applyAlignment="1">
      <alignment horizontal="center" vertical="center"/>
    </xf>
    <xf numFmtId="3" fontId="17" fillId="0" borderId="54" xfId="0" applyNumberFormat="1" applyFont="1" applyFill="1" applyBorder="1" applyAlignment="1">
      <alignment vertical="top"/>
    </xf>
    <xf numFmtId="3" fontId="14" fillId="0" borderId="0" xfId="0" applyNumberFormat="1" applyFont="1" applyFill="1" applyBorder="1" applyAlignment="1">
      <alignment horizontal="center"/>
    </xf>
    <xf numFmtId="0" fontId="6" fillId="0" borderId="0" xfId="0" applyFont="1" applyFill="1" applyAlignment="1">
      <alignment horizontal="left" vertical="top" wrapText="1" indent="2"/>
    </xf>
    <xf numFmtId="3" fontId="14" fillId="0" borderId="67" xfId="0" applyNumberFormat="1" applyFont="1" applyFill="1" applyBorder="1" applyAlignment="1">
      <alignment horizontal="center" vertical="center"/>
    </xf>
    <xf numFmtId="0" fontId="23" fillId="0" borderId="0" xfId="0" applyFont="1" applyFill="1" applyBorder="1" applyAlignment="1">
      <alignment vertical="center"/>
    </xf>
    <xf numFmtId="0" fontId="23" fillId="0" borderId="0" xfId="0" applyFont="1" applyFill="1" applyBorder="1" applyAlignment="1">
      <alignment horizontal="right" vertical="center" wrapText="1"/>
    </xf>
    <xf numFmtId="0" fontId="6" fillId="0" borderId="16" xfId="20" applyFont="1" applyFill="1" applyBorder="1" applyAlignment="1">
      <alignment shrinkToFit="1"/>
    </xf>
    <xf numFmtId="3" fontId="14" fillId="0" borderId="0" xfId="15" applyNumberFormat="1" applyFont="1" applyFill="1" applyAlignment="1">
      <alignment horizontal="right"/>
    </xf>
    <xf numFmtId="3" fontId="8" fillId="0" borderId="0" xfId="15" applyNumberFormat="1" applyFont="1" applyFill="1" applyAlignment="1">
      <alignment horizontal="center" vertical="center"/>
    </xf>
    <xf numFmtId="3" fontId="17" fillId="0" borderId="0" xfId="15" applyNumberFormat="1" applyFont="1" applyFill="1" applyBorder="1" applyAlignment="1">
      <alignment wrapText="1"/>
    </xf>
    <xf numFmtId="0" fontId="35" fillId="0" borderId="0" xfId="0" applyFont="1" applyFill="1" applyAlignment="1">
      <alignment wrapText="1" shrinkToFit="1"/>
    </xf>
    <xf numFmtId="0" fontId="6" fillId="0" borderId="45" xfId="0" applyFont="1" applyFill="1" applyBorder="1" applyAlignment="1">
      <alignment wrapText="1"/>
    </xf>
    <xf numFmtId="3" fontId="6" fillId="0" borderId="0" xfId="20" applyNumberFormat="1" applyFont="1" applyFill="1" applyBorder="1" applyAlignment="1">
      <alignment horizontal="right"/>
    </xf>
    <xf numFmtId="3" fontId="9" fillId="0" borderId="0" xfId="20" applyNumberFormat="1" applyFont="1" applyFill="1" applyBorder="1" applyAlignment="1">
      <alignment horizontal="right"/>
    </xf>
    <xf numFmtId="3" fontId="16" fillId="0" borderId="54" xfId="0" applyNumberFormat="1" applyFont="1" applyFill="1" applyBorder="1" applyAlignment="1"/>
    <xf numFmtId="0" fontId="33" fillId="0" borderId="16" xfId="20" applyFont="1" applyFill="1" applyBorder="1" applyAlignment="1">
      <alignment horizontal="left" wrapText="1" indent="1"/>
    </xf>
    <xf numFmtId="3" fontId="8" fillId="0" borderId="0" xfId="15" applyNumberFormat="1" applyFont="1" applyFill="1" applyAlignment="1">
      <alignment horizontal="center" vertical="center"/>
    </xf>
    <xf numFmtId="3" fontId="8" fillId="0" borderId="0" xfId="15" applyNumberFormat="1" applyFont="1" applyFill="1" applyAlignment="1">
      <alignment horizontal="center" vertical="center"/>
    </xf>
    <xf numFmtId="3" fontId="14" fillId="0" borderId="62" xfId="0" applyNumberFormat="1" applyFont="1" applyFill="1" applyBorder="1" applyAlignment="1">
      <alignment horizontal="center" vertical="center"/>
    </xf>
    <xf numFmtId="0" fontId="6" fillId="0" borderId="16" xfId="0" applyFont="1" applyFill="1" applyBorder="1" applyAlignment="1">
      <alignment shrinkToFit="1"/>
    </xf>
    <xf numFmtId="3" fontId="14" fillId="0" borderId="91" xfId="15" applyNumberFormat="1" applyFont="1" applyFill="1" applyBorder="1" applyAlignment="1">
      <alignment horizontal="center" vertical="top"/>
    </xf>
    <xf numFmtId="0" fontId="6" fillId="0" borderId="22" xfId="20" applyFont="1" applyFill="1" applyBorder="1" applyAlignment="1">
      <alignment horizontal="center" vertical="center" wrapText="1"/>
    </xf>
    <xf numFmtId="3" fontId="6" fillId="0" borderId="237" xfId="20" applyNumberFormat="1" applyFont="1" applyFill="1" applyBorder="1"/>
    <xf numFmtId="3" fontId="6" fillId="0" borderId="45" xfId="20" applyNumberFormat="1" applyFont="1" applyFill="1" applyBorder="1"/>
    <xf numFmtId="3" fontId="6" fillId="0" borderId="184" xfId="20" applyNumberFormat="1" applyFont="1" applyFill="1" applyBorder="1" applyAlignment="1"/>
    <xf numFmtId="3" fontId="6" fillId="0" borderId="10" xfId="18" applyNumberFormat="1" applyFont="1" applyFill="1" applyBorder="1" applyAlignment="1">
      <alignment vertical="center" wrapText="1"/>
    </xf>
    <xf numFmtId="3" fontId="8" fillId="0" borderId="0" xfId="15" applyNumberFormat="1" applyFont="1" applyFill="1" applyAlignment="1">
      <alignment horizontal="center" vertical="center"/>
    </xf>
    <xf numFmtId="0" fontId="8" fillId="0" borderId="0" xfId="0" applyFont="1" applyFill="1" applyAlignment="1">
      <alignment shrinkToFit="1"/>
    </xf>
    <xf numFmtId="0" fontId="8" fillId="0" borderId="0" xfId="0" applyFont="1" applyFill="1" applyAlignment="1">
      <alignment wrapText="1" shrinkToFit="1"/>
    </xf>
    <xf numFmtId="3" fontId="17" fillId="0" borderId="18" xfId="0" applyNumberFormat="1" applyFont="1" applyFill="1" applyBorder="1" applyAlignment="1">
      <alignment vertical="center"/>
    </xf>
    <xf numFmtId="3" fontId="17" fillId="0" borderId="60" xfId="0" applyNumberFormat="1" applyFont="1" applyFill="1" applyBorder="1" applyAlignment="1">
      <alignment horizontal="right" wrapText="1"/>
    </xf>
    <xf numFmtId="3" fontId="16" fillId="0" borderId="54" xfId="0" applyNumberFormat="1" applyFont="1" applyFill="1" applyBorder="1" applyAlignment="1">
      <alignment horizontal="right" wrapText="1"/>
    </xf>
    <xf numFmtId="3" fontId="6" fillId="0" borderId="10" xfId="28" applyNumberFormat="1" applyFont="1" applyFill="1" applyBorder="1" applyAlignment="1">
      <alignment vertical="top"/>
    </xf>
    <xf numFmtId="3" fontId="14" fillId="0" borderId="7" xfId="0" applyNumberFormat="1" applyFont="1" applyFill="1" applyBorder="1" applyAlignment="1">
      <alignment horizontal="center" vertical="center" wrapText="1"/>
    </xf>
    <xf numFmtId="3" fontId="17" fillId="0" borderId="39" xfId="15" applyNumberFormat="1" applyFont="1" applyFill="1" applyBorder="1" applyAlignment="1">
      <alignment horizontal="left" wrapText="1"/>
    </xf>
    <xf numFmtId="3" fontId="17" fillId="0" borderId="131" xfId="15" applyNumberFormat="1" applyFont="1" applyFill="1" applyBorder="1" applyAlignment="1">
      <alignment horizontal="left" wrapText="1"/>
    </xf>
    <xf numFmtId="3" fontId="14" fillId="0" borderId="51" xfId="0" applyNumberFormat="1" applyFont="1" applyFill="1" applyBorder="1" applyAlignment="1">
      <alignment horizontal="center" vertical="center"/>
    </xf>
    <xf numFmtId="3" fontId="6" fillId="0" borderId="10" xfId="28" applyNumberFormat="1" applyFont="1" applyFill="1" applyBorder="1"/>
    <xf numFmtId="3" fontId="20" fillId="0" borderId="45" xfId="0" applyNumberFormat="1" applyFont="1" applyFill="1" applyBorder="1" applyAlignment="1">
      <alignment vertical="center"/>
    </xf>
    <xf numFmtId="3" fontId="14" fillId="0" borderId="7" xfId="0" applyNumberFormat="1" applyFont="1" applyFill="1" applyBorder="1" applyAlignment="1">
      <alignment horizontal="center" vertical="center" wrapText="1"/>
    </xf>
    <xf numFmtId="3" fontId="17" fillId="0" borderId="39" xfId="15" applyNumberFormat="1" applyFont="1" applyFill="1" applyBorder="1" applyAlignment="1">
      <alignment horizontal="left" wrapText="1"/>
    </xf>
    <xf numFmtId="3" fontId="17" fillId="0" borderId="131" xfId="15" applyNumberFormat="1" applyFont="1" applyFill="1" applyBorder="1" applyAlignment="1">
      <alignment horizontal="left" wrapText="1"/>
    </xf>
    <xf numFmtId="3" fontId="14" fillId="0" borderId="131" xfId="18" applyNumberFormat="1" applyFont="1" applyFill="1" applyBorder="1" applyAlignment="1">
      <alignment horizontal="left" vertical="top" wrapText="1"/>
    </xf>
    <xf numFmtId="3" fontId="16" fillId="0" borderId="15" xfId="0" applyNumberFormat="1" applyFont="1" applyFill="1" applyBorder="1" applyAlignment="1">
      <alignment horizontal="left" vertical="center" wrapText="1"/>
    </xf>
    <xf numFmtId="3" fontId="16" fillId="0" borderId="16" xfId="0" applyNumberFormat="1" applyFont="1" applyFill="1" applyBorder="1" applyAlignment="1">
      <alignment horizontal="left" vertical="center" wrapText="1"/>
    </xf>
    <xf numFmtId="3" fontId="14" fillId="0" borderId="131" xfId="18" applyNumberFormat="1" applyFont="1" applyFill="1" applyBorder="1" applyAlignment="1">
      <alignment horizontal="left" wrapText="1"/>
    </xf>
    <xf numFmtId="3" fontId="14" fillId="0" borderId="39" xfId="18" applyNumberFormat="1" applyFont="1" applyFill="1" applyBorder="1" applyAlignment="1">
      <alignment horizontal="left" wrapText="1"/>
    </xf>
    <xf numFmtId="3" fontId="14" fillId="0" borderId="46" xfId="0" applyNumberFormat="1" applyFont="1" applyFill="1" applyBorder="1" applyAlignment="1">
      <alignment horizontal="center"/>
    </xf>
    <xf numFmtId="3" fontId="14" fillId="0" borderId="46" xfId="0" applyNumberFormat="1" applyFont="1" applyFill="1" applyBorder="1" applyAlignment="1">
      <alignment horizontal="right"/>
    </xf>
    <xf numFmtId="3" fontId="17" fillId="0" borderId="46" xfId="0" applyNumberFormat="1" applyFont="1" applyFill="1" applyBorder="1" applyAlignment="1">
      <alignment horizontal="right"/>
    </xf>
    <xf numFmtId="0" fontId="13" fillId="0" borderId="0" xfId="15" applyNumberFormat="1" applyFont="1" applyFill="1" applyBorder="1" applyAlignment="1">
      <alignment horizontal="center" vertical="top"/>
    </xf>
    <xf numFmtId="0" fontId="41" fillId="0" borderId="0" xfId="16" applyFont="1" applyFill="1" applyBorder="1" applyAlignment="1">
      <alignment horizontal="left" wrapText="1"/>
    </xf>
    <xf numFmtId="0" fontId="8" fillId="0" borderId="0" xfId="0" applyFont="1" applyFill="1" applyAlignment="1">
      <alignment horizontal="center"/>
    </xf>
    <xf numFmtId="0" fontId="6" fillId="0" borderId="0" xfId="0" applyFont="1" applyFill="1" applyAlignment="1">
      <alignment horizontal="center" vertical="center"/>
    </xf>
    <xf numFmtId="0" fontId="6" fillId="0" borderId="0" xfId="0" applyFont="1" applyAlignment="1">
      <alignment horizontal="left"/>
    </xf>
    <xf numFmtId="0" fontId="8" fillId="0" borderId="0" xfId="0" applyFont="1" applyFill="1" applyAlignment="1">
      <alignment horizontal="center" vertical="center"/>
    </xf>
    <xf numFmtId="0" fontId="8" fillId="0" borderId="0" xfId="0" applyFont="1" applyFill="1" applyBorder="1" applyAlignment="1">
      <alignment horizontal="center" vertical="center"/>
    </xf>
    <xf numFmtId="3" fontId="6" fillId="0" borderId="0" xfId="14" applyNumberFormat="1" applyFont="1" applyFill="1" applyAlignment="1">
      <alignment horizontal="left"/>
    </xf>
    <xf numFmtId="3" fontId="8" fillId="0" borderId="0" xfId="14" applyNumberFormat="1" applyFont="1" applyFill="1" applyAlignment="1">
      <alignment horizontal="center" vertical="center"/>
    </xf>
    <xf numFmtId="3" fontId="17" fillId="0" borderId="32" xfId="0" applyNumberFormat="1" applyFont="1" applyFill="1" applyBorder="1" applyAlignment="1">
      <alignment horizontal="center" vertical="center" wrapText="1"/>
    </xf>
    <xf numFmtId="3" fontId="17" fillId="0" borderId="33" xfId="0" applyNumberFormat="1" applyFont="1" applyFill="1" applyBorder="1" applyAlignment="1">
      <alignment horizontal="center" vertical="center" wrapText="1"/>
    </xf>
    <xf numFmtId="3" fontId="17" fillId="0" borderId="51" xfId="18" applyNumberFormat="1" applyFont="1" applyFill="1" applyBorder="1" applyAlignment="1">
      <alignment horizontal="left" wrapText="1"/>
    </xf>
    <xf numFmtId="3" fontId="14" fillId="0" borderId="0" xfId="0" applyNumberFormat="1" applyFont="1" applyFill="1" applyAlignment="1">
      <alignment horizontal="left" vertical="center"/>
    </xf>
    <xf numFmtId="3" fontId="17" fillId="0" borderId="0" xfId="0" applyNumberFormat="1" applyFont="1" applyFill="1" applyAlignment="1">
      <alignment horizontal="center" vertical="center"/>
    </xf>
    <xf numFmtId="3" fontId="16" fillId="0" borderId="0" xfId="0" applyNumberFormat="1" applyFont="1" applyFill="1" applyAlignment="1">
      <alignment horizontal="right" vertical="center"/>
    </xf>
    <xf numFmtId="3" fontId="10" fillId="0" borderId="140" xfId="0" applyNumberFormat="1" applyFont="1" applyFill="1" applyBorder="1" applyAlignment="1">
      <alignment horizontal="center" vertical="center" textRotation="90"/>
    </xf>
    <xf numFmtId="3" fontId="10" fillId="0" borderId="141" xfId="0" applyNumberFormat="1" applyFont="1" applyFill="1" applyBorder="1" applyAlignment="1">
      <alignment horizontal="center" vertical="center" textRotation="90"/>
    </xf>
    <xf numFmtId="3" fontId="10" fillId="0" borderId="142" xfId="0" applyNumberFormat="1" applyFont="1" applyFill="1" applyBorder="1" applyAlignment="1">
      <alignment horizontal="center" vertical="center" textRotation="90"/>
    </xf>
    <xf numFmtId="0" fontId="18" fillId="0" borderId="143" xfId="0" applyFont="1" applyFill="1" applyBorder="1" applyAlignment="1">
      <alignment horizontal="center" vertical="center"/>
    </xf>
    <xf numFmtId="3" fontId="15" fillId="0" borderId="142" xfId="0" applyNumberFormat="1" applyFont="1" applyFill="1" applyBorder="1" applyAlignment="1">
      <alignment horizontal="center" vertical="center"/>
    </xf>
    <xf numFmtId="3" fontId="15" fillId="0" borderId="143" xfId="0" applyNumberFormat="1" applyFont="1" applyFill="1" applyBorder="1" applyAlignment="1">
      <alignment horizontal="center" vertical="center"/>
    </xf>
    <xf numFmtId="3" fontId="14" fillId="0" borderId="145" xfId="0" applyNumberFormat="1" applyFont="1" applyFill="1" applyBorder="1" applyAlignment="1">
      <alignment horizontal="center" vertical="center"/>
    </xf>
    <xf numFmtId="3" fontId="14" fillId="0" borderId="145" xfId="0" applyNumberFormat="1" applyFont="1" applyFill="1" applyBorder="1" applyAlignment="1">
      <alignment horizontal="center" vertical="center" wrapText="1"/>
    </xf>
    <xf numFmtId="3" fontId="14" fillId="0" borderId="7" xfId="0" applyNumberFormat="1" applyFont="1" applyFill="1" applyBorder="1" applyAlignment="1">
      <alignment horizontal="center" vertical="center" wrapText="1"/>
    </xf>
    <xf numFmtId="3" fontId="17" fillId="0" borderId="25" xfId="15" applyNumberFormat="1" applyFont="1" applyFill="1" applyBorder="1" applyAlignment="1">
      <alignment horizontal="left" wrapText="1"/>
    </xf>
    <xf numFmtId="3" fontId="17" fillId="0" borderId="39" xfId="15" applyNumberFormat="1" applyFont="1" applyFill="1" applyBorder="1" applyAlignment="1">
      <alignment horizontal="left" wrapText="1"/>
    </xf>
    <xf numFmtId="3" fontId="17" fillId="0" borderId="131" xfId="15" applyNumberFormat="1" applyFont="1" applyFill="1" applyBorder="1" applyAlignment="1">
      <alignment horizontal="left" wrapText="1"/>
    </xf>
    <xf numFmtId="3" fontId="14" fillId="0" borderId="59" xfId="0" applyNumberFormat="1" applyFont="1" applyFill="1" applyBorder="1" applyAlignment="1">
      <alignment horizontal="left" vertical="center" wrapText="1"/>
    </xf>
    <xf numFmtId="3" fontId="17" fillId="0" borderId="146" xfId="0" applyNumberFormat="1" applyFont="1" applyFill="1" applyBorder="1" applyAlignment="1">
      <alignment horizontal="center" vertical="center"/>
    </xf>
    <xf numFmtId="3" fontId="17" fillId="0" borderId="147" xfId="0" applyNumberFormat="1" applyFont="1" applyFill="1" applyBorder="1" applyAlignment="1">
      <alignment horizontal="center" vertical="center"/>
    </xf>
    <xf numFmtId="3" fontId="14" fillId="0" borderId="0" xfId="0" applyNumberFormat="1" applyFont="1" applyAlignment="1">
      <alignment horizontal="left" vertical="center"/>
    </xf>
    <xf numFmtId="3" fontId="10" fillId="0" borderId="142" xfId="0" applyNumberFormat="1" applyFont="1" applyFill="1" applyBorder="1" applyAlignment="1">
      <alignment horizontal="center" vertical="center" wrapText="1"/>
    </xf>
    <xf numFmtId="3" fontId="10" fillId="0" borderId="143" xfId="0" applyNumberFormat="1" applyFont="1" applyFill="1" applyBorder="1" applyAlignment="1">
      <alignment horizontal="center" vertical="center" wrapText="1"/>
    </xf>
    <xf numFmtId="3" fontId="10" fillId="0" borderId="148" xfId="0" applyNumberFormat="1" applyFont="1" applyFill="1" applyBorder="1" applyAlignment="1">
      <alignment horizontal="center" vertical="center" wrapText="1"/>
    </xf>
    <xf numFmtId="3" fontId="10" fillId="0" borderId="122" xfId="0" applyNumberFormat="1" applyFont="1" applyFill="1" applyBorder="1" applyAlignment="1">
      <alignment horizontal="center" vertical="center" wrapText="1"/>
    </xf>
    <xf numFmtId="3" fontId="17" fillId="0" borderId="81" xfId="0" applyNumberFormat="1" applyFont="1" applyFill="1" applyBorder="1" applyAlignment="1">
      <alignment horizontal="center" vertical="center"/>
    </xf>
    <xf numFmtId="3" fontId="17" fillId="0" borderId="144" xfId="0" applyNumberFormat="1" applyFont="1" applyFill="1" applyBorder="1" applyAlignment="1">
      <alignment horizontal="center" vertical="center"/>
    </xf>
    <xf numFmtId="3" fontId="14" fillId="0" borderId="127" xfId="0" applyNumberFormat="1" applyFont="1" applyFill="1" applyBorder="1" applyAlignment="1">
      <alignment horizontal="center" vertical="center"/>
    </xf>
    <xf numFmtId="3" fontId="14" fillId="0" borderId="46" xfId="0" applyNumberFormat="1" applyFont="1" applyFill="1" applyBorder="1" applyAlignment="1">
      <alignment horizontal="center" vertical="center"/>
    </xf>
    <xf numFmtId="3" fontId="14" fillId="0" borderId="128" xfId="0" applyNumberFormat="1" applyFont="1" applyFill="1" applyBorder="1" applyAlignment="1">
      <alignment horizontal="center" vertical="center"/>
    </xf>
    <xf numFmtId="3" fontId="14" fillId="0" borderId="145" xfId="14" applyNumberFormat="1" applyFont="1" applyFill="1" applyBorder="1" applyAlignment="1">
      <alignment horizontal="center" vertical="center" wrapText="1"/>
    </xf>
    <xf numFmtId="3" fontId="6" fillId="0" borderId="0" xfId="0" applyNumberFormat="1" applyFont="1" applyAlignment="1">
      <alignment horizontal="left" vertical="center"/>
    </xf>
    <xf numFmtId="3" fontId="8" fillId="0" borderId="0" xfId="0" applyNumberFormat="1" applyFont="1" applyFill="1" applyAlignment="1">
      <alignment horizontal="center" vertical="center"/>
    </xf>
    <xf numFmtId="3" fontId="16" fillId="0" borderId="0" xfId="0" applyNumberFormat="1" applyFont="1" applyFill="1" applyAlignment="1">
      <alignment horizontal="right"/>
    </xf>
    <xf numFmtId="3" fontId="14" fillId="0" borderId="145" xfId="0" applyNumberFormat="1" applyFont="1" applyFill="1" applyBorder="1" applyAlignment="1">
      <alignment horizontal="center" vertical="center" textRotation="90"/>
    </xf>
    <xf numFmtId="3" fontId="14" fillId="0" borderId="7" xfId="0" applyNumberFormat="1" applyFont="1" applyFill="1" applyBorder="1" applyAlignment="1">
      <alignment horizontal="center" vertical="center" textRotation="90"/>
    </xf>
    <xf numFmtId="3" fontId="17" fillId="0" borderId="150" xfId="0" applyNumberFormat="1" applyFont="1" applyFill="1" applyBorder="1" applyAlignment="1">
      <alignment horizontal="center" vertical="center" wrapText="1"/>
    </xf>
    <xf numFmtId="3" fontId="17" fillId="0" borderId="126" xfId="0" applyNumberFormat="1" applyFont="1" applyFill="1" applyBorder="1" applyAlignment="1">
      <alignment horizontal="center" vertical="center" wrapText="1"/>
    </xf>
    <xf numFmtId="3" fontId="17" fillId="0" borderId="145" xfId="0" applyNumberFormat="1" applyFont="1" applyFill="1" applyBorder="1" applyAlignment="1">
      <alignment horizontal="center" vertical="center"/>
    </xf>
    <xf numFmtId="3" fontId="17" fillId="0" borderId="7" xfId="0" applyNumberFormat="1" applyFont="1" applyFill="1" applyBorder="1" applyAlignment="1">
      <alignment horizontal="center" vertical="center"/>
    </xf>
    <xf numFmtId="3" fontId="14" fillId="0" borderId="145" xfId="0" applyNumberFormat="1" applyFont="1" applyFill="1" applyBorder="1" applyAlignment="1">
      <alignment horizontal="center" vertical="center" textRotation="90" wrapText="1"/>
    </xf>
    <xf numFmtId="0" fontId="0" fillId="0" borderId="7" xfId="0" applyFont="1" applyFill="1" applyBorder="1" applyAlignment="1">
      <alignment horizontal="center" vertical="center" textRotation="90" wrapText="1"/>
    </xf>
    <xf numFmtId="3" fontId="14" fillId="0" borderId="127" xfId="0" applyNumberFormat="1" applyFont="1" applyFill="1" applyBorder="1" applyAlignment="1">
      <alignment horizontal="center" vertical="center" wrapText="1"/>
    </xf>
    <xf numFmtId="3" fontId="14" fillId="0" borderId="5" xfId="0" applyNumberFormat="1" applyFont="1" applyFill="1" applyBorder="1" applyAlignment="1">
      <alignment horizontal="center" vertical="center" wrapText="1"/>
    </xf>
    <xf numFmtId="3" fontId="14" fillId="0" borderId="0" xfId="0" applyNumberFormat="1" applyFont="1" applyFill="1" applyBorder="1" applyAlignment="1">
      <alignment horizontal="left" vertical="top"/>
    </xf>
    <xf numFmtId="3" fontId="14" fillId="0" borderId="25" xfId="18" applyNumberFormat="1" applyFont="1" applyFill="1" applyBorder="1" applyAlignment="1">
      <alignment horizontal="left" vertical="top" wrapText="1"/>
    </xf>
    <xf numFmtId="3" fontId="14" fillId="0" borderId="131" xfId="18" applyNumberFormat="1" applyFont="1" applyFill="1" applyBorder="1" applyAlignment="1">
      <alignment horizontal="left" vertical="top" wrapText="1"/>
    </xf>
    <xf numFmtId="3" fontId="16" fillId="0" borderId="15" xfId="0" applyNumberFormat="1" applyFont="1" applyFill="1" applyBorder="1" applyAlignment="1">
      <alignment horizontal="left" vertical="center" wrapText="1"/>
    </xf>
    <xf numFmtId="3" fontId="16" fillId="0" borderId="16" xfId="0" applyNumberFormat="1" applyFont="1" applyFill="1" applyBorder="1" applyAlignment="1">
      <alignment horizontal="left" vertical="center" wrapText="1"/>
    </xf>
    <xf numFmtId="3" fontId="16" fillId="0" borderId="15" xfId="0" applyNumberFormat="1" applyFont="1" applyFill="1" applyBorder="1" applyAlignment="1">
      <alignment horizontal="left" vertical="top" wrapText="1"/>
    </xf>
    <xf numFmtId="3" fontId="16" fillId="0" borderId="16" xfId="0" applyNumberFormat="1" applyFont="1" applyFill="1" applyBorder="1" applyAlignment="1">
      <alignment horizontal="left" vertical="top" wrapText="1"/>
    </xf>
    <xf numFmtId="3" fontId="14" fillId="0" borderId="46" xfId="0" applyNumberFormat="1" applyFont="1" applyFill="1" applyBorder="1" applyAlignment="1">
      <alignment horizontal="left" vertical="top"/>
    </xf>
    <xf numFmtId="3" fontId="14" fillId="0" borderId="25" xfId="18" applyNumberFormat="1" applyFont="1" applyFill="1" applyBorder="1" applyAlignment="1">
      <alignment horizontal="left" wrapText="1"/>
    </xf>
    <xf numFmtId="3" fontId="14" fillId="0" borderId="131" xfId="18" applyNumberFormat="1" applyFont="1" applyFill="1" applyBorder="1" applyAlignment="1">
      <alignment horizontal="left" wrapText="1"/>
    </xf>
    <xf numFmtId="3" fontId="17" fillId="0" borderId="51" xfId="0" applyNumberFormat="1" applyFont="1" applyFill="1" applyBorder="1" applyAlignment="1">
      <alignment horizontal="left"/>
    </xf>
    <xf numFmtId="3" fontId="16" fillId="0" borderId="50" xfId="0" applyNumberFormat="1" applyFont="1" applyFill="1" applyBorder="1" applyAlignment="1">
      <alignment horizontal="left" vertical="center"/>
    </xf>
    <xf numFmtId="3" fontId="16" fillId="0" borderId="51" xfId="0" applyNumberFormat="1" applyFont="1" applyFill="1" applyBorder="1" applyAlignment="1">
      <alignment horizontal="left" vertical="center"/>
    </xf>
    <xf numFmtId="3" fontId="14" fillId="0" borderId="39" xfId="18" applyNumberFormat="1" applyFont="1" applyFill="1" applyBorder="1" applyAlignment="1">
      <alignment horizontal="left" wrapText="1"/>
    </xf>
    <xf numFmtId="3" fontId="10" fillId="0" borderId="0" xfId="0" applyNumberFormat="1" applyFont="1" applyFill="1" applyBorder="1" applyAlignment="1">
      <alignment horizontal="left" vertical="top"/>
    </xf>
    <xf numFmtId="3" fontId="16" fillId="0" borderId="25" xfId="15" applyNumberFormat="1" applyFont="1" applyFill="1" applyBorder="1" applyAlignment="1">
      <alignment horizontal="left" wrapText="1"/>
    </xf>
    <xf numFmtId="3" fontId="16" fillId="0" borderId="39" xfId="15" applyNumberFormat="1" applyFont="1" applyFill="1" applyBorder="1" applyAlignment="1">
      <alignment horizontal="left" wrapText="1"/>
    </xf>
    <xf numFmtId="3" fontId="16" fillId="0" borderId="131" xfId="15" applyNumberFormat="1" applyFont="1" applyFill="1" applyBorder="1" applyAlignment="1">
      <alignment horizontal="left" wrapText="1"/>
    </xf>
    <xf numFmtId="3" fontId="17" fillId="0" borderId="153" xfId="15" applyNumberFormat="1" applyFont="1" applyFill="1" applyBorder="1" applyAlignment="1">
      <alignment horizontal="center" vertical="center" wrapText="1"/>
    </xf>
    <xf numFmtId="3" fontId="17" fillId="0" borderId="154" xfId="15" applyNumberFormat="1" applyFont="1" applyFill="1" applyBorder="1" applyAlignment="1">
      <alignment horizontal="center" vertical="center" wrapText="1"/>
    </xf>
    <xf numFmtId="3" fontId="14" fillId="0" borderId="51" xfId="0" applyNumberFormat="1" applyFont="1" applyFill="1" applyBorder="1" applyAlignment="1">
      <alignment horizontal="center" vertical="center"/>
    </xf>
    <xf numFmtId="3" fontId="14" fillId="0" borderId="52" xfId="0" applyNumberFormat="1" applyFont="1" applyFill="1" applyBorder="1" applyAlignment="1">
      <alignment horizontal="center" vertical="center"/>
    </xf>
    <xf numFmtId="3" fontId="14" fillId="0" borderId="155" xfId="15" applyNumberFormat="1" applyFont="1" applyFill="1" applyBorder="1" applyAlignment="1">
      <alignment horizontal="center" vertical="center" wrapText="1"/>
    </xf>
    <xf numFmtId="3" fontId="14" fillId="0" borderId="156" xfId="15" applyNumberFormat="1" applyFont="1" applyFill="1" applyBorder="1" applyAlignment="1">
      <alignment horizontal="center" vertical="center" wrapText="1"/>
    </xf>
    <xf numFmtId="3" fontId="14" fillId="0" borderId="210" xfId="15" applyNumberFormat="1" applyFont="1" applyFill="1" applyBorder="1" applyAlignment="1">
      <alignment horizontal="center" vertical="center" textRotation="90"/>
    </xf>
    <xf numFmtId="3" fontId="14" fillId="0" borderId="211" xfId="15" applyNumberFormat="1" applyFont="1" applyFill="1" applyBorder="1" applyAlignment="1">
      <alignment horizontal="center" vertical="center" textRotation="90"/>
    </xf>
    <xf numFmtId="3" fontId="14" fillId="0" borderId="155" xfId="15" applyNumberFormat="1" applyFont="1" applyFill="1" applyBorder="1" applyAlignment="1">
      <alignment horizontal="center" vertical="center" textRotation="90"/>
    </xf>
    <xf numFmtId="3" fontId="14" fillId="0" borderId="156" xfId="15" applyNumberFormat="1" applyFont="1" applyFill="1" applyBorder="1" applyAlignment="1">
      <alignment horizontal="center" vertical="center" textRotation="90"/>
    </xf>
    <xf numFmtId="3" fontId="14" fillId="0" borderId="151" xfId="15" applyNumberFormat="1" applyFont="1" applyFill="1" applyBorder="1" applyAlignment="1">
      <alignment horizontal="center" vertical="center" wrapText="1"/>
    </xf>
    <xf numFmtId="3" fontId="14" fillId="0" borderId="152" xfId="15" applyNumberFormat="1" applyFont="1" applyFill="1" applyBorder="1" applyAlignment="1">
      <alignment horizontal="center" vertical="center" wrapText="1"/>
    </xf>
    <xf numFmtId="0" fontId="17" fillId="0" borderId="155" xfId="15" applyFont="1" applyFill="1" applyBorder="1" applyAlignment="1">
      <alignment horizontal="center" vertical="center" wrapText="1"/>
    </xf>
    <xf numFmtId="0" fontId="17" fillId="0" borderId="156" xfId="15" applyFont="1" applyFill="1" applyBorder="1" applyAlignment="1">
      <alignment horizontal="center" vertical="center" wrapText="1"/>
    </xf>
    <xf numFmtId="3" fontId="14" fillId="0" borderId="159" xfId="0" applyNumberFormat="1" applyFont="1" applyFill="1" applyBorder="1" applyAlignment="1">
      <alignment horizontal="center" vertical="center" textRotation="90" wrapText="1"/>
    </xf>
    <xf numFmtId="0" fontId="14" fillId="0" borderId="160" xfId="0" applyFont="1" applyFill="1" applyBorder="1" applyAlignment="1">
      <alignment horizontal="center" vertical="center" textRotation="90" wrapText="1"/>
    </xf>
    <xf numFmtId="3" fontId="14" fillId="0" borderId="0" xfId="15" applyNumberFormat="1" applyFont="1" applyFill="1" applyAlignment="1">
      <alignment horizontal="left"/>
    </xf>
    <xf numFmtId="3" fontId="14" fillId="0" borderId="0" xfId="15" applyNumberFormat="1" applyFont="1" applyFill="1" applyAlignment="1">
      <alignment horizontal="right"/>
    </xf>
    <xf numFmtId="3" fontId="17" fillId="0" borderId="0" xfId="15" applyNumberFormat="1" applyFont="1" applyFill="1" applyAlignment="1">
      <alignment horizontal="center"/>
    </xf>
    <xf numFmtId="3" fontId="17" fillId="0" borderId="0" xfId="15" applyNumberFormat="1" applyFont="1" applyFill="1" applyAlignment="1">
      <alignment horizontal="center" vertical="center"/>
    </xf>
    <xf numFmtId="3" fontId="9" fillId="0" borderId="0" xfId="15" applyNumberFormat="1" applyFont="1" applyFill="1" applyAlignment="1">
      <alignment horizontal="right"/>
    </xf>
    <xf numFmtId="3" fontId="8" fillId="0" borderId="0" xfId="15" applyNumberFormat="1" applyFont="1" applyFill="1" applyAlignment="1">
      <alignment horizontal="center" vertical="center"/>
    </xf>
    <xf numFmtId="3" fontId="8" fillId="0" borderId="0" xfId="15" applyNumberFormat="1" applyFont="1" applyFill="1" applyAlignment="1">
      <alignment horizontal="center" vertical="center" wrapText="1"/>
    </xf>
    <xf numFmtId="0" fontId="21" fillId="0" borderId="0" xfId="15" applyFont="1" applyFill="1" applyBorder="1" applyAlignment="1">
      <alignment horizontal="right" wrapText="1"/>
    </xf>
    <xf numFmtId="0" fontId="8" fillId="0" borderId="157" xfId="15" applyFont="1" applyFill="1" applyBorder="1" applyAlignment="1">
      <alignment horizontal="center" vertical="center" wrapText="1"/>
    </xf>
    <xf numFmtId="0" fontId="8" fillId="0" borderId="158" xfId="15" applyFont="1" applyFill="1" applyBorder="1" applyAlignment="1">
      <alignment horizontal="center" vertical="center" wrapText="1"/>
    </xf>
    <xf numFmtId="3" fontId="6" fillId="0" borderId="137" xfId="0" applyNumberFormat="1" applyFont="1" applyFill="1" applyBorder="1" applyAlignment="1">
      <alignment horizontal="center" vertical="center" wrapText="1"/>
    </xf>
    <xf numFmtId="3" fontId="6" fillId="0" borderId="24" xfId="0" applyNumberFormat="1" applyFont="1" applyFill="1" applyBorder="1" applyAlignment="1">
      <alignment horizontal="center" vertical="center" wrapText="1"/>
    </xf>
    <xf numFmtId="3" fontId="6" fillId="0" borderId="0" xfId="20" applyNumberFormat="1" applyFont="1" applyFill="1" applyBorder="1" applyAlignment="1">
      <alignment horizontal="right"/>
    </xf>
    <xf numFmtId="0" fontId="8" fillId="0" borderId="0" xfId="20" applyFont="1" applyFill="1" applyBorder="1" applyAlignment="1">
      <alignment horizontal="center"/>
    </xf>
    <xf numFmtId="0" fontId="8" fillId="0" borderId="0" xfId="21" applyFont="1" applyFill="1" applyBorder="1" applyAlignment="1">
      <alignment horizontal="center" vertical="center"/>
    </xf>
    <xf numFmtId="0" fontId="32" fillId="0" borderId="94" xfId="21" applyFont="1" applyFill="1" applyBorder="1" applyAlignment="1">
      <alignment horizontal="left" wrapText="1"/>
    </xf>
    <xf numFmtId="0" fontId="32" fillId="0" borderId="149" xfId="21" applyFont="1" applyFill="1" applyBorder="1" applyAlignment="1">
      <alignment horizontal="left" wrapText="1"/>
    </xf>
    <xf numFmtId="0" fontId="32" fillId="0" borderId="161" xfId="16" applyFont="1" applyFill="1" applyBorder="1" applyAlignment="1">
      <alignment horizontal="left" wrapText="1"/>
    </xf>
    <xf numFmtId="0" fontId="32" fillId="0" borderId="84" xfId="16" applyFont="1" applyFill="1" applyBorder="1" applyAlignment="1">
      <alignment horizontal="left" wrapText="1"/>
    </xf>
    <xf numFmtId="0" fontId="8" fillId="0" borderId="81" xfId="16" applyFont="1" applyFill="1" applyBorder="1" applyAlignment="1">
      <alignment horizontal="center" vertical="center" wrapText="1"/>
    </xf>
    <xf numFmtId="0" fontId="8" fillId="0" borderId="13" xfId="16" applyFont="1" applyFill="1" applyBorder="1" applyAlignment="1">
      <alignment horizontal="center" vertical="center" wrapText="1"/>
    </xf>
    <xf numFmtId="0" fontId="8" fillId="0" borderId="144" xfId="16" applyFont="1" applyFill="1" applyBorder="1" applyAlignment="1">
      <alignment horizontal="center" vertical="center" wrapText="1"/>
    </xf>
    <xf numFmtId="0" fontId="32" fillId="0" borderId="94" xfId="21" applyFont="1" applyFill="1" applyBorder="1" applyAlignment="1">
      <alignment horizontal="left"/>
    </xf>
    <xf numFmtId="0" fontId="32" fillId="0" borderId="149" xfId="21" applyFont="1" applyFill="1" applyBorder="1" applyAlignment="1">
      <alignment horizontal="left"/>
    </xf>
    <xf numFmtId="3" fontId="8" fillId="0" borderId="81" xfId="16" applyNumberFormat="1" applyFont="1" applyFill="1" applyBorder="1" applyAlignment="1">
      <alignment horizontal="center" vertical="center" wrapText="1"/>
    </xf>
    <xf numFmtId="3" fontId="8" fillId="0" borderId="13" xfId="16" applyNumberFormat="1" applyFont="1" applyFill="1" applyBorder="1" applyAlignment="1">
      <alignment horizontal="center" vertical="center" wrapText="1"/>
    </xf>
    <xf numFmtId="3" fontId="8" fillId="0" borderId="144" xfId="16" applyNumberFormat="1" applyFont="1" applyFill="1" applyBorder="1" applyAlignment="1">
      <alignment horizontal="center" vertical="center" wrapText="1"/>
    </xf>
    <xf numFmtId="0" fontId="6" fillId="0" borderId="0" xfId="21" applyFont="1" applyFill="1" applyBorder="1" applyAlignment="1">
      <alignment horizontal="left" vertical="center"/>
    </xf>
    <xf numFmtId="3" fontId="6" fillId="0" borderId="46" xfId="0" applyNumberFormat="1" applyFont="1" applyFill="1" applyBorder="1" applyAlignment="1">
      <alignment horizontal="left"/>
    </xf>
    <xf numFmtId="3" fontId="6" fillId="0" borderId="0" xfId="0" applyNumberFormat="1" applyFont="1" applyFill="1" applyBorder="1" applyAlignment="1">
      <alignment horizontal="left" vertical="top"/>
    </xf>
    <xf numFmtId="0" fontId="6" fillId="0" borderId="0" xfId="20" applyFont="1" applyFill="1" applyBorder="1" applyAlignment="1">
      <alignment horizontal="left" vertical="top"/>
    </xf>
    <xf numFmtId="0" fontId="8" fillId="0" borderId="0" xfId="20" applyFont="1" applyFill="1" applyBorder="1" applyAlignment="1">
      <alignment horizontal="center" vertical="top"/>
    </xf>
    <xf numFmtId="3" fontId="9" fillId="0" borderId="0" xfId="20" applyNumberFormat="1" applyFont="1" applyFill="1" applyBorder="1" applyAlignment="1">
      <alignment horizontal="right"/>
    </xf>
    <xf numFmtId="0" fontId="32" fillId="0" borderId="27" xfId="21" applyFont="1" applyFill="1" applyBorder="1" applyAlignment="1">
      <alignment horizontal="left"/>
    </xf>
    <xf numFmtId="0" fontId="32" fillId="0" borderId="93" xfId="21" applyFont="1" applyFill="1" applyBorder="1" applyAlignment="1">
      <alignment horizontal="left"/>
    </xf>
    <xf numFmtId="0" fontId="6" fillId="0" borderId="0" xfId="0" applyFont="1" applyBorder="1" applyAlignment="1">
      <alignment horizontal="left" vertical="center"/>
    </xf>
    <xf numFmtId="0" fontId="6" fillId="0" borderId="0" xfId="0" applyFont="1" applyFill="1" applyBorder="1" applyAlignment="1">
      <alignment horizontal="left" vertical="center"/>
    </xf>
    <xf numFmtId="0" fontId="17" fillId="0" borderId="0" xfId="0" applyFont="1" applyFill="1" applyAlignment="1">
      <alignment horizontal="center" vertical="center"/>
    </xf>
    <xf numFmtId="0" fontId="52" fillId="0" borderId="12" xfId="32" applyFont="1" applyBorder="1" applyAlignment="1">
      <alignment horizontal="center" vertical="center" wrapText="1"/>
    </xf>
    <xf numFmtId="0" fontId="52" fillId="0" borderId="13" xfId="32" applyFont="1" applyBorder="1" applyAlignment="1">
      <alignment horizontal="center" vertical="center" wrapText="1"/>
    </xf>
    <xf numFmtId="0" fontId="51" fillId="0" borderId="13" xfId="32" applyFont="1" applyBorder="1" applyAlignment="1">
      <alignment horizontal="center" vertical="center" wrapText="1"/>
    </xf>
    <xf numFmtId="0" fontId="6" fillId="0" borderId="0" xfId="32" applyFont="1" applyFill="1" applyBorder="1" applyAlignment="1">
      <alignment horizontal="left" vertical="center"/>
    </xf>
    <xf numFmtId="0" fontId="1" fillId="0" borderId="0" xfId="32" applyAlignment="1">
      <alignment horizontal="left" vertical="center"/>
    </xf>
    <xf numFmtId="0" fontId="8" fillId="0" borderId="0" xfId="29" applyFont="1" applyFill="1" applyBorder="1" applyAlignment="1">
      <alignment horizontal="center"/>
    </xf>
    <xf numFmtId="0" fontId="8" fillId="0" borderId="0" xfId="29" applyFont="1" applyFill="1" applyBorder="1" applyAlignment="1">
      <alignment horizontal="center" vertical="center"/>
    </xf>
    <xf numFmtId="0" fontId="6" fillId="0" borderId="0" xfId="29" applyFont="1" applyFill="1" applyBorder="1" applyAlignment="1">
      <alignment horizontal="center" vertical="center" wrapText="1"/>
    </xf>
    <xf numFmtId="0" fontId="6" fillId="0" borderId="0" xfId="29" applyFont="1" applyFill="1" applyBorder="1" applyAlignment="1">
      <alignment horizontal="center"/>
    </xf>
    <xf numFmtId="0" fontId="50" fillId="0" borderId="0" xfId="32" applyFont="1" applyBorder="1" applyAlignment="1">
      <alignment horizontal="center" vertical="center"/>
    </xf>
    <xf numFmtId="0" fontId="50" fillId="0" borderId="234" xfId="32" applyFont="1" applyBorder="1" applyAlignment="1">
      <alignment horizontal="center" vertical="center"/>
    </xf>
    <xf numFmtId="0" fontId="50" fillId="0" borderId="62" xfId="32" applyFont="1" applyBorder="1" applyAlignment="1">
      <alignment horizontal="center" vertical="center"/>
    </xf>
    <xf numFmtId="0" fontId="50" fillId="0" borderId="233" xfId="32" applyFont="1" applyBorder="1" applyAlignment="1">
      <alignment horizontal="center" vertical="center"/>
    </xf>
    <xf numFmtId="0" fontId="53" fillId="0" borderId="230" xfId="32" applyFont="1" applyBorder="1" applyAlignment="1">
      <alignment horizontal="left" vertical="center" wrapText="1"/>
    </xf>
    <xf numFmtId="0" fontId="1" fillId="0" borderId="204" xfId="32" applyBorder="1" applyAlignment="1">
      <alignment horizontal="left" vertical="center" wrapText="1"/>
    </xf>
    <xf numFmtId="3" fontId="52" fillId="0" borderId="235" xfId="32" applyNumberFormat="1" applyFont="1" applyBorder="1" applyAlignment="1">
      <alignment horizontal="right" vertical="center"/>
    </xf>
    <xf numFmtId="3" fontId="52" fillId="0" borderId="59" xfId="32" applyNumberFormat="1" applyFont="1" applyBorder="1" applyAlignment="1">
      <alignment horizontal="right" vertical="center"/>
    </xf>
    <xf numFmtId="3" fontId="52" fillId="0" borderId="232" xfId="32" applyNumberFormat="1" applyFont="1" applyBorder="1" applyAlignment="1">
      <alignment horizontal="right" vertical="center"/>
    </xf>
    <xf numFmtId="3" fontId="52" fillId="0" borderId="236" xfId="32" applyNumberFormat="1" applyFont="1" applyBorder="1" applyAlignment="1">
      <alignment horizontal="right" vertical="center"/>
    </xf>
    <xf numFmtId="3" fontId="52" fillId="0" borderId="18" xfId="32" applyNumberFormat="1" applyFont="1" applyBorder="1" applyAlignment="1">
      <alignment horizontal="right" vertical="center"/>
    </xf>
    <xf numFmtId="3" fontId="52" fillId="0" borderId="227" xfId="32" applyNumberFormat="1" applyFont="1" applyBorder="1" applyAlignment="1">
      <alignment horizontal="right" vertical="center"/>
    </xf>
    <xf numFmtId="0" fontId="50" fillId="0" borderId="127" xfId="32" applyFont="1" applyBorder="1" applyAlignment="1">
      <alignment horizontal="center" vertical="center"/>
    </xf>
    <xf numFmtId="0" fontId="50" fillId="0" borderId="4" xfId="32" applyFont="1" applyBorder="1" applyAlignment="1">
      <alignment horizontal="center" vertical="center"/>
    </xf>
    <xf numFmtId="0" fontId="53" fillId="0" borderId="228" xfId="32" applyFont="1" applyBorder="1" applyAlignment="1">
      <alignment horizontal="left" vertical="center" wrapText="1"/>
    </xf>
    <xf numFmtId="0" fontId="1" fillId="0" borderId="46" xfId="32" applyBorder="1" applyAlignment="1">
      <alignment horizontal="left" vertical="center" wrapText="1"/>
    </xf>
    <xf numFmtId="3" fontId="52" fillId="0" borderId="231" xfId="32" applyNumberFormat="1" applyFont="1" applyBorder="1" applyAlignment="1">
      <alignment horizontal="right" vertical="center"/>
    </xf>
    <xf numFmtId="0" fontId="50" fillId="0" borderId="128" xfId="32" applyFont="1" applyBorder="1" applyAlignment="1">
      <alignment vertical="center"/>
    </xf>
    <xf numFmtId="0" fontId="50" fillId="0" borderId="18" xfId="32" applyFont="1" applyBorder="1" applyAlignment="1">
      <alignment vertical="center"/>
    </xf>
    <xf numFmtId="0" fontId="50" fillId="0" borderId="0" xfId="32" applyFont="1" applyBorder="1" applyAlignment="1">
      <alignment horizontal="left" vertical="center" wrapText="1"/>
    </xf>
    <xf numFmtId="0" fontId="1" fillId="0" borderId="0" xfId="32" applyBorder="1" applyAlignment="1">
      <alignment horizontal="left" vertical="center" wrapText="1"/>
    </xf>
    <xf numFmtId="0" fontId="52" fillId="0" borderId="59" xfId="32" applyFont="1" applyBorder="1" applyAlignment="1">
      <alignment vertical="center"/>
    </xf>
    <xf numFmtId="0" fontId="52" fillId="0" borderId="232" xfId="32" applyFont="1" applyBorder="1" applyAlignment="1">
      <alignment vertical="center"/>
    </xf>
    <xf numFmtId="0" fontId="50" fillId="0" borderId="136" xfId="32" applyFont="1" applyBorder="1" applyAlignment="1">
      <alignment horizontal="left" vertical="center" wrapText="1"/>
    </xf>
    <xf numFmtId="0" fontId="1" fillId="0" borderId="13" xfId="32" applyBorder="1" applyAlignment="1">
      <alignment horizontal="center" vertical="center" wrapText="1"/>
    </xf>
    <xf numFmtId="3" fontId="52" fillId="0" borderId="81" xfId="32" applyNumberFormat="1" applyFont="1" applyBorder="1" applyAlignment="1">
      <alignment horizontal="center" vertical="center"/>
    </xf>
    <xf numFmtId="0" fontId="52" fillId="0" borderId="34" xfId="32" applyFont="1" applyBorder="1" applyAlignment="1">
      <alignment horizontal="center" vertical="center"/>
    </xf>
    <xf numFmtId="0" fontId="50" fillId="0" borderId="89" xfId="32" applyFont="1" applyBorder="1" applyAlignment="1">
      <alignment horizontal="center" vertical="center"/>
    </xf>
    <xf numFmtId="0" fontId="53" fillId="0" borderId="0" xfId="32" applyFont="1" applyBorder="1" applyAlignment="1">
      <alignment horizontal="left" vertical="center" wrapText="1"/>
    </xf>
    <xf numFmtId="3" fontId="52" fillId="0" borderId="88" xfId="32" applyNumberFormat="1" applyFont="1" applyBorder="1" applyAlignment="1">
      <alignment horizontal="right" vertical="center"/>
    </xf>
    <xf numFmtId="3" fontId="52" fillId="0" borderId="20" xfId="32" applyNumberFormat="1" applyFont="1" applyBorder="1" applyAlignment="1">
      <alignment horizontal="right" vertical="center"/>
    </xf>
    <xf numFmtId="0" fontId="52" fillId="0" borderId="5" xfId="32" applyFont="1" applyBorder="1" applyAlignment="1">
      <alignment horizontal="center" vertical="center" wrapText="1"/>
    </xf>
    <xf numFmtId="0" fontId="1" fillId="0" borderId="6" xfId="32" applyBorder="1" applyAlignment="1">
      <alignment horizontal="center" vertical="center" wrapText="1"/>
    </xf>
    <xf numFmtId="0" fontId="6" fillId="0" borderId="0" xfId="0" applyFont="1" applyFill="1" applyBorder="1" applyAlignment="1">
      <alignment horizontal="left" vertical="top"/>
    </xf>
    <xf numFmtId="3" fontId="8" fillId="0" borderId="0" xfId="17" applyNumberFormat="1" applyFont="1" applyAlignment="1">
      <alignment horizontal="center"/>
    </xf>
    <xf numFmtId="3" fontId="9" fillId="0" borderId="0" xfId="17" applyNumberFormat="1" applyFont="1" applyBorder="1" applyAlignment="1">
      <alignment horizontal="right"/>
    </xf>
    <xf numFmtId="3" fontId="6" fillId="0" borderId="0" xfId="17" applyNumberFormat="1" applyFont="1" applyAlignment="1">
      <alignment horizontal="left" wrapText="1"/>
    </xf>
    <xf numFmtId="0" fontId="6" fillId="0" borderId="169" xfId="17" applyNumberFormat="1" applyFont="1" applyBorder="1" applyAlignment="1">
      <alignment horizontal="center" vertical="center" wrapText="1"/>
    </xf>
    <xf numFmtId="3" fontId="6" fillId="0" borderId="173" xfId="17" applyNumberFormat="1" applyFont="1" applyBorder="1" applyAlignment="1">
      <alignment horizontal="center" vertical="center" wrapText="1"/>
    </xf>
    <xf numFmtId="3" fontId="6" fillId="0" borderId="174" xfId="17" applyNumberFormat="1" applyFont="1" applyBorder="1" applyAlignment="1">
      <alignment horizontal="center" vertical="center" wrapText="1"/>
    </xf>
    <xf numFmtId="3" fontId="8" fillId="0" borderId="12" xfId="17" applyNumberFormat="1" applyFont="1" applyBorder="1" applyAlignment="1">
      <alignment horizontal="center" vertical="center"/>
    </xf>
    <xf numFmtId="3" fontId="8" fillId="0" borderId="13" xfId="17" applyNumberFormat="1" applyFont="1" applyBorder="1" applyAlignment="1">
      <alignment horizontal="center" vertical="center"/>
    </xf>
    <xf numFmtId="3" fontId="6" fillId="0" borderId="46" xfId="17" applyNumberFormat="1" applyFont="1" applyBorder="1" applyAlignment="1">
      <alignment horizontal="left" wrapText="1"/>
    </xf>
    <xf numFmtId="3" fontId="6" fillId="0" borderId="140" xfId="17" applyNumberFormat="1" applyFont="1" applyBorder="1" applyAlignment="1">
      <alignment horizontal="center" vertical="center" textRotation="90" wrapText="1"/>
    </xf>
    <xf numFmtId="3" fontId="6" fillId="0" borderId="162" xfId="17" applyNumberFormat="1" applyFont="1" applyBorder="1" applyAlignment="1">
      <alignment horizontal="center" vertical="center" textRotation="90" wrapText="1"/>
    </xf>
    <xf numFmtId="3" fontId="6" fillId="0" borderId="141" xfId="17" applyNumberFormat="1" applyFont="1" applyBorder="1" applyAlignment="1">
      <alignment horizontal="center" vertical="center" textRotation="90" wrapText="1"/>
    </xf>
    <xf numFmtId="3" fontId="6" fillId="0" borderId="142" xfId="17" applyNumberFormat="1" applyFont="1" applyBorder="1" applyAlignment="1">
      <alignment horizontal="center" vertical="center" wrapText="1"/>
    </xf>
    <xf numFmtId="3" fontId="6" fillId="0" borderId="163" xfId="17" applyNumberFormat="1" applyFont="1" applyBorder="1" applyAlignment="1">
      <alignment horizontal="center" vertical="center" wrapText="1"/>
    </xf>
    <xf numFmtId="3" fontId="6" fillId="0" borderId="143" xfId="17" applyNumberFormat="1" applyFont="1" applyBorder="1" applyAlignment="1">
      <alignment horizontal="center" vertical="center" wrapText="1"/>
    </xf>
    <xf numFmtId="14" fontId="6" fillId="0" borderId="32" xfId="17" applyNumberFormat="1" applyFont="1" applyBorder="1" applyAlignment="1">
      <alignment horizontal="center" vertical="center" wrapText="1"/>
    </xf>
    <xf numFmtId="14" fontId="6" fillId="0" borderId="107" xfId="17" applyNumberFormat="1" applyFont="1" applyBorder="1" applyAlignment="1">
      <alignment horizontal="center" vertical="center" wrapText="1"/>
    </xf>
    <xf numFmtId="14" fontId="6" fillId="0" borderId="33" xfId="17" applyNumberFormat="1" applyFont="1" applyBorder="1" applyAlignment="1">
      <alignment horizontal="center" vertical="center" wrapText="1"/>
    </xf>
    <xf numFmtId="3" fontId="6" fillId="0" borderId="164" xfId="17" applyNumberFormat="1" applyFont="1" applyBorder="1" applyAlignment="1">
      <alignment horizontal="center" vertical="center" wrapText="1"/>
    </xf>
    <xf numFmtId="3" fontId="6" fillId="0" borderId="165" xfId="17" applyNumberFormat="1" applyFont="1" applyBorder="1" applyAlignment="1">
      <alignment horizontal="center" vertical="center" wrapText="1"/>
    </xf>
    <xf numFmtId="3" fontId="6" fillId="0" borderId="166" xfId="17" applyNumberFormat="1" applyFont="1" applyBorder="1" applyAlignment="1">
      <alignment horizontal="center" vertical="center" wrapText="1"/>
    </xf>
    <xf numFmtId="3" fontId="6" fillId="0" borderId="167" xfId="17" applyNumberFormat="1" applyFont="1" applyBorder="1" applyAlignment="1">
      <alignment horizontal="center" vertical="center" wrapText="1"/>
    </xf>
    <xf numFmtId="3" fontId="6" fillId="0" borderId="168" xfId="17" applyNumberFormat="1" applyFont="1" applyBorder="1" applyAlignment="1">
      <alignment horizontal="center" vertical="center" wrapText="1"/>
    </xf>
    <xf numFmtId="3" fontId="6" fillId="0" borderId="169" xfId="17" applyNumberFormat="1" applyFont="1" applyBorder="1" applyAlignment="1">
      <alignment horizontal="center" vertical="center" wrapText="1"/>
    </xf>
    <xf numFmtId="3" fontId="6" fillId="0" borderId="101" xfId="17" applyNumberFormat="1" applyFont="1" applyBorder="1" applyAlignment="1">
      <alignment horizontal="center" vertical="center" wrapText="1"/>
    </xf>
    <xf numFmtId="3" fontId="6" fillId="0" borderId="106" xfId="17" applyNumberFormat="1" applyFont="1" applyBorder="1" applyAlignment="1">
      <alignment horizontal="center" vertical="center" wrapText="1"/>
    </xf>
    <xf numFmtId="3" fontId="6" fillId="0" borderId="170" xfId="17" applyNumberFormat="1" applyFont="1" applyBorder="1" applyAlignment="1">
      <alignment horizontal="center" vertical="center" wrapText="1"/>
    </xf>
    <xf numFmtId="3" fontId="6" fillId="0" borderId="171" xfId="17" applyNumberFormat="1" applyFont="1" applyBorder="1" applyAlignment="1">
      <alignment horizontal="center" vertical="center" wrapText="1"/>
    </xf>
    <xf numFmtId="3" fontId="6" fillId="0" borderId="172" xfId="17" applyNumberFormat="1" applyFont="1" applyBorder="1" applyAlignment="1">
      <alignment horizontal="center" vertical="center" wrapText="1"/>
    </xf>
    <xf numFmtId="3" fontId="6" fillId="0" borderId="0" xfId="17" applyNumberFormat="1" applyFont="1" applyBorder="1" applyAlignment="1">
      <alignment horizontal="left" wrapText="1"/>
    </xf>
    <xf numFmtId="0" fontId="14" fillId="0" borderId="0" xfId="0" applyFont="1" applyFill="1" applyBorder="1" applyAlignment="1">
      <alignment horizontal="center"/>
    </xf>
    <xf numFmtId="0" fontId="8" fillId="0" borderId="127" xfId="0" applyFont="1" applyFill="1" applyBorder="1" applyAlignment="1">
      <alignment horizontal="center" vertical="center"/>
    </xf>
    <xf numFmtId="0" fontId="8" fillId="0" borderId="128"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20" xfId="0" applyFont="1" applyFill="1" applyBorder="1" applyAlignment="1">
      <alignment horizontal="center" vertical="center"/>
    </xf>
    <xf numFmtId="0" fontId="8" fillId="0" borderId="145" xfId="0" applyFont="1" applyFill="1" applyBorder="1" applyAlignment="1">
      <alignment horizontal="center" vertical="center"/>
    </xf>
    <xf numFmtId="0" fontId="8" fillId="0" borderId="7" xfId="0" applyFont="1" applyFill="1" applyBorder="1" applyAlignment="1">
      <alignment horizontal="center" vertical="center"/>
    </xf>
    <xf numFmtId="0" fontId="15" fillId="0" borderId="145"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8" fillId="0" borderId="12" xfId="0" applyFont="1" applyFill="1" applyBorder="1" applyAlignment="1">
      <alignment horizontal="center"/>
    </xf>
    <xf numFmtId="0" fontId="8" fillId="0" borderId="34" xfId="0" applyFont="1" applyFill="1" applyBorder="1" applyAlignment="1">
      <alignment horizontal="center"/>
    </xf>
    <xf numFmtId="0" fontId="36" fillId="0" borderId="0" xfId="0" applyFont="1" applyBorder="1" applyAlignment="1">
      <alignment horizontal="center"/>
    </xf>
    <xf numFmtId="0" fontId="36" fillId="0" borderId="0" xfId="0" applyFont="1" applyBorder="1" applyAlignment="1">
      <alignment horizontal="center" vertical="top"/>
    </xf>
    <xf numFmtId="0" fontId="9" fillId="0" borderId="0" xfId="0" applyFont="1" applyBorder="1" applyAlignment="1">
      <alignment horizontal="right"/>
    </xf>
    <xf numFmtId="0" fontId="6" fillId="0" borderId="6" xfId="0" applyFont="1" applyBorder="1" applyAlignment="1">
      <alignment horizontal="center"/>
    </xf>
  </cellXfs>
  <cellStyles count="33">
    <cellStyle name="Ezres 2" xfId="1"/>
    <cellStyle name="Ezres 3" xfId="2"/>
    <cellStyle name="Ezres 4" xfId="3"/>
    <cellStyle name="Ezres 4 2" xfId="4"/>
    <cellStyle name="Ezres 4 2 2" xfId="31"/>
    <cellStyle name="Normál" xfId="0" builtinId="0"/>
    <cellStyle name="Normál 10" xfId="30"/>
    <cellStyle name="Normál 10 2" xfId="32"/>
    <cellStyle name="Normál 2" xfId="5"/>
    <cellStyle name="Normál 3" xfId="6"/>
    <cellStyle name="Normál 4" xfId="7"/>
    <cellStyle name="Normál 5" xfId="8"/>
    <cellStyle name="Normál 6" xfId="9"/>
    <cellStyle name="Normál 6 2" xfId="10"/>
    <cellStyle name="Normál 6 3" xfId="11"/>
    <cellStyle name="Normál 6 3 2" xfId="25"/>
    <cellStyle name="Normál 7" xfId="12"/>
    <cellStyle name="Normál 8" xfId="13"/>
    <cellStyle name="Normál 8 2" xfId="27"/>
    <cellStyle name="Normál 9" xfId="26"/>
    <cellStyle name="Normál_2007.évi konc. összefoglaló bevétel" xfId="14"/>
    <cellStyle name="Normál_2007.évi konc. összefoglaló bevétel 2" xfId="15"/>
    <cellStyle name="Normál_Beruházási tábla 2007" xfId="16"/>
    <cellStyle name="Normál_EU-s tábla kv-hez_EU projektek tábla" xfId="17"/>
    <cellStyle name="Normál_fejlesztesi hitel" xfId="29"/>
    <cellStyle name="Normál_Intézményi bevétel-kiadás" xfId="18"/>
    <cellStyle name="Normál_Intézményi bevétel-kiadás 2" xfId="19"/>
    <cellStyle name="Normál_Városfejlesztési Iroda - 2008. kv. tervezés" xfId="20"/>
    <cellStyle name="Normál_Városfejlesztési Iroda - 2008. kv. tervezés_2014.évi eredeti előirányzat 2" xfId="21"/>
    <cellStyle name="Normál_Városfejlesztési Iroda - 2008. kv. tervezés_Koltsegvetes_modositas_aprilis_tablazatai" xfId="28"/>
    <cellStyle name="Százalék" xfId="22" builtinId="5"/>
    <cellStyle name="Százalék 2" xfId="23"/>
    <cellStyle name="Százalék 3" xfId="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66"/>
  <sheetViews>
    <sheetView view="pageBreakPreview" zoomScaleNormal="100" zoomScaleSheetLayoutView="100" workbookViewId="0">
      <selection activeCell="J15" sqref="J15"/>
    </sheetView>
  </sheetViews>
  <sheetFormatPr defaultRowHeight="16.5" x14ac:dyDescent="0.3"/>
  <cols>
    <col min="1" max="1" width="3.5703125" style="1690" bestFit="1" customWidth="1"/>
    <col min="2" max="2" width="3.7109375" style="145" customWidth="1"/>
    <col min="3" max="3" width="4.140625" style="121" customWidth="1"/>
    <col min="4" max="4" width="81.28515625" style="982" bestFit="1" customWidth="1"/>
    <col min="5" max="5" width="15.28515625" style="65" customWidth="1"/>
    <col min="6" max="6" width="10.28515625" style="145" customWidth="1"/>
    <col min="7" max="7" width="9.140625" style="145" customWidth="1"/>
    <col min="8" max="8" width="11.28515625" style="145" customWidth="1"/>
    <col min="9" max="10" width="9.140625" style="145" customWidth="1"/>
    <col min="11" max="11" width="7.140625" style="145" customWidth="1"/>
    <col min="12" max="12" width="10.140625" style="145" bestFit="1" customWidth="1"/>
    <col min="13" max="13" width="9.7109375" style="145" bestFit="1" customWidth="1"/>
    <col min="14" max="256" width="9.140625" style="145"/>
    <col min="257" max="257" width="3.5703125" style="145" bestFit="1" customWidth="1"/>
    <col min="258" max="258" width="3.7109375" style="145" customWidth="1"/>
    <col min="259" max="259" width="4.140625" style="145" customWidth="1"/>
    <col min="260" max="260" width="81.28515625" style="145" bestFit="1" customWidth="1"/>
    <col min="261" max="261" width="15.28515625" style="145" customWidth="1"/>
    <col min="262" max="266" width="0" style="145" hidden="1" customWidth="1"/>
    <col min="267" max="267" width="7.140625" style="145" customWidth="1"/>
    <col min="268" max="268" width="10.140625" style="145" bestFit="1" customWidth="1"/>
    <col min="269" max="269" width="9.7109375" style="145" bestFit="1" customWidth="1"/>
    <col min="270" max="512" width="9.140625" style="145"/>
    <col min="513" max="513" width="3.5703125" style="145" bestFit="1" customWidth="1"/>
    <col min="514" max="514" width="3.7109375" style="145" customWidth="1"/>
    <col min="515" max="515" width="4.140625" style="145" customWidth="1"/>
    <col min="516" max="516" width="81.28515625" style="145" bestFit="1" customWidth="1"/>
    <col min="517" max="517" width="15.28515625" style="145" customWidth="1"/>
    <col min="518" max="522" width="0" style="145" hidden="1" customWidth="1"/>
    <col min="523" max="523" width="7.140625" style="145" customWidth="1"/>
    <col min="524" max="524" width="10.140625" style="145" bestFit="1" customWidth="1"/>
    <col min="525" max="525" width="9.7109375" style="145" bestFit="1" customWidth="1"/>
    <col min="526" max="768" width="9.140625" style="145"/>
    <col min="769" max="769" width="3.5703125" style="145" bestFit="1" customWidth="1"/>
    <col min="770" max="770" width="3.7109375" style="145" customWidth="1"/>
    <col min="771" max="771" width="4.140625" style="145" customWidth="1"/>
    <col min="772" max="772" width="81.28515625" style="145" bestFit="1" customWidth="1"/>
    <col min="773" max="773" width="15.28515625" style="145" customWidth="1"/>
    <col min="774" max="778" width="0" style="145" hidden="1" customWidth="1"/>
    <col min="779" max="779" width="7.140625" style="145" customWidth="1"/>
    <col min="780" max="780" width="10.140625" style="145" bestFit="1" customWidth="1"/>
    <col min="781" max="781" width="9.7109375" style="145" bestFit="1" customWidth="1"/>
    <col min="782" max="1024" width="9.140625" style="145"/>
    <col min="1025" max="1025" width="3.5703125" style="145" bestFit="1" customWidth="1"/>
    <col min="1026" max="1026" width="3.7109375" style="145" customWidth="1"/>
    <col min="1027" max="1027" width="4.140625" style="145" customWidth="1"/>
    <col min="1028" max="1028" width="81.28515625" style="145" bestFit="1" customWidth="1"/>
    <col min="1029" max="1029" width="15.28515625" style="145" customWidth="1"/>
    <col min="1030" max="1034" width="0" style="145" hidden="1" customWidth="1"/>
    <col min="1035" max="1035" width="7.140625" style="145" customWidth="1"/>
    <col min="1036" max="1036" width="10.140625" style="145" bestFit="1" customWidth="1"/>
    <col min="1037" max="1037" width="9.7109375" style="145" bestFit="1" customWidth="1"/>
    <col min="1038" max="1280" width="9.140625" style="145"/>
    <col min="1281" max="1281" width="3.5703125" style="145" bestFit="1" customWidth="1"/>
    <col min="1282" max="1282" width="3.7109375" style="145" customWidth="1"/>
    <col min="1283" max="1283" width="4.140625" style="145" customWidth="1"/>
    <col min="1284" max="1284" width="81.28515625" style="145" bestFit="1" customWidth="1"/>
    <col min="1285" max="1285" width="15.28515625" style="145" customWidth="1"/>
    <col min="1286" max="1290" width="0" style="145" hidden="1" customWidth="1"/>
    <col min="1291" max="1291" width="7.140625" style="145" customWidth="1"/>
    <col min="1292" max="1292" width="10.140625" style="145" bestFit="1" customWidth="1"/>
    <col min="1293" max="1293" width="9.7109375" style="145" bestFit="1" customWidth="1"/>
    <col min="1294" max="1536" width="9.140625" style="145"/>
    <col min="1537" max="1537" width="3.5703125" style="145" bestFit="1" customWidth="1"/>
    <col min="1538" max="1538" width="3.7109375" style="145" customWidth="1"/>
    <col min="1539" max="1539" width="4.140625" style="145" customWidth="1"/>
    <col min="1540" max="1540" width="81.28515625" style="145" bestFit="1" customWidth="1"/>
    <col min="1541" max="1541" width="15.28515625" style="145" customWidth="1"/>
    <col min="1542" max="1546" width="0" style="145" hidden="1" customWidth="1"/>
    <col min="1547" max="1547" width="7.140625" style="145" customWidth="1"/>
    <col min="1548" max="1548" width="10.140625" style="145" bestFit="1" customWidth="1"/>
    <col min="1549" max="1549" width="9.7109375" style="145" bestFit="1" customWidth="1"/>
    <col min="1550" max="1792" width="9.140625" style="145"/>
    <col min="1793" max="1793" width="3.5703125" style="145" bestFit="1" customWidth="1"/>
    <col min="1794" max="1794" width="3.7109375" style="145" customWidth="1"/>
    <col min="1795" max="1795" width="4.140625" style="145" customWidth="1"/>
    <col min="1796" max="1796" width="81.28515625" style="145" bestFit="1" customWidth="1"/>
    <col min="1797" max="1797" width="15.28515625" style="145" customWidth="1"/>
    <col min="1798" max="1802" width="0" style="145" hidden="1" customWidth="1"/>
    <col min="1803" max="1803" width="7.140625" style="145" customWidth="1"/>
    <col min="1804" max="1804" width="10.140625" style="145" bestFit="1" customWidth="1"/>
    <col min="1805" max="1805" width="9.7109375" style="145" bestFit="1" customWidth="1"/>
    <col min="1806" max="2048" width="9.140625" style="145"/>
    <col min="2049" max="2049" width="3.5703125" style="145" bestFit="1" customWidth="1"/>
    <col min="2050" max="2050" width="3.7109375" style="145" customWidth="1"/>
    <col min="2051" max="2051" width="4.140625" style="145" customWidth="1"/>
    <col min="2052" max="2052" width="81.28515625" style="145" bestFit="1" customWidth="1"/>
    <col min="2053" max="2053" width="15.28515625" style="145" customWidth="1"/>
    <col min="2054" max="2058" width="0" style="145" hidden="1" customWidth="1"/>
    <col min="2059" max="2059" width="7.140625" style="145" customWidth="1"/>
    <col min="2060" max="2060" width="10.140625" style="145" bestFit="1" customWidth="1"/>
    <col min="2061" max="2061" width="9.7109375" style="145" bestFit="1" customWidth="1"/>
    <col min="2062" max="2304" width="9.140625" style="145"/>
    <col min="2305" max="2305" width="3.5703125" style="145" bestFit="1" customWidth="1"/>
    <col min="2306" max="2306" width="3.7109375" style="145" customWidth="1"/>
    <col min="2307" max="2307" width="4.140625" style="145" customWidth="1"/>
    <col min="2308" max="2308" width="81.28515625" style="145" bestFit="1" customWidth="1"/>
    <col min="2309" max="2309" width="15.28515625" style="145" customWidth="1"/>
    <col min="2310" max="2314" width="0" style="145" hidden="1" customWidth="1"/>
    <col min="2315" max="2315" width="7.140625" style="145" customWidth="1"/>
    <col min="2316" max="2316" width="10.140625" style="145" bestFit="1" customWidth="1"/>
    <col min="2317" max="2317" width="9.7109375" style="145" bestFit="1" customWidth="1"/>
    <col min="2318" max="2560" width="9.140625" style="145"/>
    <col min="2561" max="2561" width="3.5703125" style="145" bestFit="1" customWidth="1"/>
    <col min="2562" max="2562" width="3.7109375" style="145" customWidth="1"/>
    <col min="2563" max="2563" width="4.140625" style="145" customWidth="1"/>
    <col min="2564" max="2564" width="81.28515625" style="145" bestFit="1" customWidth="1"/>
    <col min="2565" max="2565" width="15.28515625" style="145" customWidth="1"/>
    <col min="2566" max="2570" width="0" style="145" hidden="1" customWidth="1"/>
    <col min="2571" max="2571" width="7.140625" style="145" customWidth="1"/>
    <col min="2572" max="2572" width="10.140625" style="145" bestFit="1" customWidth="1"/>
    <col min="2573" max="2573" width="9.7109375" style="145" bestFit="1" customWidth="1"/>
    <col min="2574" max="2816" width="9.140625" style="145"/>
    <col min="2817" max="2817" width="3.5703125" style="145" bestFit="1" customWidth="1"/>
    <col min="2818" max="2818" width="3.7109375" style="145" customWidth="1"/>
    <col min="2819" max="2819" width="4.140625" style="145" customWidth="1"/>
    <col min="2820" max="2820" width="81.28515625" style="145" bestFit="1" customWidth="1"/>
    <col min="2821" max="2821" width="15.28515625" style="145" customWidth="1"/>
    <col min="2822" max="2826" width="0" style="145" hidden="1" customWidth="1"/>
    <col min="2827" max="2827" width="7.140625" style="145" customWidth="1"/>
    <col min="2828" max="2828" width="10.140625" style="145" bestFit="1" customWidth="1"/>
    <col min="2829" max="2829" width="9.7109375" style="145" bestFit="1" customWidth="1"/>
    <col min="2830" max="3072" width="9.140625" style="145"/>
    <col min="3073" max="3073" width="3.5703125" style="145" bestFit="1" customWidth="1"/>
    <col min="3074" max="3074" width="3.7109375" style="145" customWidth="1"/>
    <col min="3075" max="3075" width="4.140625" style="145" customWidth="1"/>
    <col min="3076" max="3076" width="81.28515625" style="145" bestFit="1" customWidth="1"/>
    <col min="3077" max="3077" width="15.28515625" style="145" customWidth="1"/>
    <col min="3078" max="3082" width="0" style="145" hidden="1" customWidth="1"/>
    <col min="3083" max="3083" width="7.140625" style="145" customWidth="1"/>
    <col min="3084" max="3084" width="10.140625" style="145" bestFit="1" customWidth="1"/>
    <col min="3085" max="3085" width="9.7109375" style="145" bestFit="1" customWidth="1"/>
    <col min="3086" max="3328" width="9.140625" style="145"/>
    <col min="3329" max="3329" width="3.5703125" style="145" bestFit="1" customWidth="1"/>
    <col min="3330" max="3330" width="3.7109375" style="145" customWidth="1"/>
    <col min="3331" max="3331" width="4.140625" style="145" customWidth="1"/>
    <col min="3332" max="3332" width="81.28515625" style="145" bestFit="1" customWidth="1"/>
    <col min="3333" max="3333" width="15.28515625" style="145" customWidth="1"/>
    <col min="3334" max="3338" width="0" style="145" hidden="1" customWidth="1"/>
    <col min="3339" max="3339" width="7.140625" style="145" customWidth="1"/>
    <col min="3340" max="3340" width="10.140625" style="145" bestFit="1" customWidth="1"/>
    <col min="3341" max="3341" width="9.7109375" style="145" bestFit="1" customWidth="1"/>
    <col min="3342" max="3584" width="9.140625" style="145"/>
    <col min="3585" max="3585" width="3.5703125" style="145" bestFit="1" customWidth="1"/>
    <col min="3586" max="3586" width="3.7109375" style="145" customWidth="1"/>
    <col min="3587" max="3587" width="4.140625" style="145" customWidth="1"/>
    <col min="3588" max="3588" width="81.28515625" style="145" bestFit="1" customWidth="1"/>
    <col min="3589" max="3589" width="15.28515625" style="145" customWidth="1"/>
    <col min="3590" max="3594" width="0" style="145" hidden="1" customWidth="1"/>
    <col min="3595" max="3595" width="7.140625" style="145" customWidth="1"/>
    <col min="3596" max="3596" width="10.140625" style="145" bestFit="1" customWidth="1"/>
    <col min="3597" max="3597" width="9.7109375" style="145" bestFit="1" customWidth="1"/>
    <col min="3598" max="3840" width="9.140625" style="145"/>
    <col min="3841" max="3841" width="3.5703125" style="145" bestFit="1" customWidth="1"/>
    <col min="3842" max="3842" width="3.7109375" style="145" customWidth="1"/>
    <col min="3843" max="3843" width="4.140625" style="145" customWidth="1"/>
    <col min="3844" max="3844" width="81.28515625" style="145" bestFit="1" customWidth="1"/>
    <col min="3845" max="3845" width="15.28515625" style="145" customWidth="1"/>
    <col min="3846" max="3850" width="0" style="145" hidden="1" customWidth="1"/>
    <col min="3851" max="3851" width="7.140625" style="145" customWidth="1"/>
    <col min="3852" max="3852" width="10.140625" style="145" bestFit="1" customWidth="1"/>
    <col min="3853" max="3853" width="9.7109375" style="145" bestFit="1" customWidth="1"/>
    <col min="3854" max="4096" width="9.140625" style="145"/>
    <col min="4097" max="4097" width="3.5703125" style="145" bestFit="1" customWidth="1"/>
    <col min="4098" max="4098" width="3.7109375" style="145" customWidth="1"/>
    <col min="4099" max="4099" width="4.140625" style="145" customWidth="1"/>
    <col min="4100" max="4100" width="81.28515625" style="145" bestFit="1" customWidth="1"/>
    <col min="4101" max="4101" width="15.28515625" style="145" customWidth="1"/>
    <col min="4102" max="4106" width="0" style="145" hidden="1" customWidth="1"/>
    <col min="4107" max="4107" width="7.140625" style="145" customWidth="1"/>
    <col min="4108" max="4108" width="10.140625" style="145" bestFit="1" customWidth="1"/>
    <col min="4109" max="4109" width="9.7109375" style="145" bestFit="1" customWidth="1"/>
    <col min="4110" max="4352" width="9.140625" style="145"/>
    <col min="4353" max="4353" width="3.5703125" style="145" bestFit="1" customWidth="1"/>
    <col min="4354" max="4354" width="3.7109375" style="145" customWidth="1"/>
    <col min="4355" max="4355" width="4.140625" style="145" customWidth="1"/>
    <col min="4356" max="4356" width="81.28515625" style="145" bestFit="1" customWidth="1"/>
    <col min="4357" max="4357" width="15.28515625" style="145" customWidth="1"/>
    <col min="4358" max="4362" width="0" style="145" hidden="1" customWidth="1"/>
    <col min="4363" max="4363" width="7.140625" style="145" customWidth="1"/>
    <col min="4364" max="4364" width="10.140625" style="145" bestFit="1" customWidth="1"/>
    <col min="4365" max="4365" width="9.7109375" style="145" bestFit="1" customWidth="1"/>
    <col min="4366" max="4608" width="9.140625" style="145"/>
    <col min="4609" max="4609" width="3.5703125" style="145" bestFit="1" customWidth="1"/>
    <col min="4610" max="4610" width="3.7109375" style="145" customWidth="1"/>
    <col min="4611" max="4611" width="4.140625" style="145" customWidth="1"/>
    <col min="4612" max="4612" width="81.28515625" style="145" bestFit="1" customWidth="1"/>
    <col min="4613" max="4613" width="15.28515625" style="145" customWidth="1"/>
    <col min="4614" max="4618" width="0" style="145" hidden="1" customWidth="1"/>
    <col min="4619" max="4619" width="7.140625" style="145" customWidth="1"/>
    <col min="4620" max="4620" width="10.140625" style="145" bestFit="1" customWidth="1"/>
    <col min="4621" max="4621" width="9.7109375" style="145" bestFit="1" customWidth="1"/>
    <col min="4622" max="4864" width="9.140625" style="145"/>
    <col min="4865" max="4865" width="3.5703125" style="145" bestFit="1" customWidth="1"/>
    <col min="4866" max="4866" width="3.7109375" style="145" customWidth="1"/>
    <col min="4867" max="4867" width="4.140625" style="145" customWidth="1"/>
    <col min="4868" max="4868" width="81.28515625" style="145" bestFit="1" customWidth="1"/>
    <col min="4869" max="4869" width="15.28515625" style="145" customWidth="1"/>
    <col min="4870" max="4874" width="0" style="145" hidden="1" customWidth="1"/>
    <col min="4875" max="4875" width="7.140625" style="145" customWidth="1"/>
    <col min="4876" max="4876" width="10.140625" style="145" bestFit="1" customWidth="1"/>
    <col min="4877" max="4877" width="9.7109375" style="145" bestFit="1" customWidth="1"/>
    <col min="4878" max="5120" width="9.140625" style="145"/>
    <col min="5121" max="5121" width="3.5703125" style="145" bestFit="1" customWidth="1"/>
    <col min="5122" max="5122" width="3.7109375" style="145" customWidth="1"/>
    <col min="5123" max="5123" width="4.140625" style="145" customWidth="1"/>
    <col min="5124" max="5124" width="81.28515625" style="145" bestFit="1" customWidth="1"/>
    <col min="5125" max="5125" width="15.28515625" style="145" customWidth="1"/>
    <col min="5126" max="5130" width="0" style="145" hidden="1" customWidth="1"/>
    <col min="5131" max="5131" width="7.140625" style="145" customWidth="1"/>
    <col min="5132" max="5132" width="10.140625" style="145" bestFit="1" customWidth="1"/>
    <col min="5133" max="5133" width="9.7109375" style="145" bestFit="1" customWidth="1"/>
    <col min="5134" max="5376" width="9.140625" style="145"/>
    <col min="5377" max="5377" width="3.5703125" style="145" bestFit="1" customWidth="1"/>
    <col min="5378" max="5378" width="3.7109375" style="145" customWidth="1"/>
    <col min="5379" max="5379" width="4.140625" style="145" customWidth="1"/>
    <col min="5380" max="5380" width="81.28515625" style="145" bestFit="1" customWidth="1"/>
    <col min="5381" max="5381" width="15.28515625" style="145" customWidth="1"/>
    <col min="5382" max="5386" width="0" style="145" hidden="1" customWidth="1"/>
    <col min="5387" max="5387" width="7.140625" style="145" customWidth="1"/>
    <col min="5388" max="5388" width="10.140625" style="145" bestFit="1" customWidth="1"/>
    <col min="5389" max="5389" width="9.7109375" style="145" bestFit="1" customWidth="1"/>
    <col min="5390" max="5632" width="9.140625" style="145"/>
    <col min="5633" max="5633" width="3.5703125" style="145" bestFit="1" customWidth="1"/>
    <col min="5634" max="5634" width="3.7109375" style="145" customWidth="1"/>
    <col min="5635" max="5635" width="4.140625" style="145" customWidth="1"/>
    <col min="5636" max="5636" width="81.28515625" style="145" bestFit="1" customWidth="1"/>
    <col min="5637" max="5637" width="15.28515625" style="145" customWidth="1"/>
    <col min="5638" max="5642" width="0" style="145" hidden="1" customWidth="1"/>
    <col min="5643" max="5643" width="7.140625" style="145" customWidth="1"/>
    <col min="5644" max="5644" width="10.140625" style="145" bestFit="1" customWidth="1"/>
    <col min="5645" max="5645" width="9.7109375" style="145" bestFit="1" customWidth="1"/>
    <col min="5646" max="5888" width="9.140625" style="145"/>
    <col min="5889" max="5889" width="3.5703125" style="145" bestFit="1" customWidth="1"/>
    <col min="5890" max="5890" width="3.7109375" style="145" customWidth="1"/>
    <col min="5891" max="5891" width="4.140625" style="145" customWidth="1"/>
    <col min="5892" max="5892" width="81.28515625" style="145" bestFit="1" customWidth="1"/>
    <col min="5893" max="5893" width="15.28515625" style="145" customWidth="1"/>
    <col min="5894" max="5898" width="0" style="145" hidden="1" customWidth="1"/>
    <col min="5899" max="5899" width="7.140625" style="145" customWidth="1"/>
    <col min="5900" max="5900" width="10.140625" style="145" bestFit="1" customWidth="1"/>
    <col min="5901" max="5901" width="9.7109375" style="145" bestFit="1" customWidth="1"/>
    <col min="5902" max="6144" width="9.140625" style="145"/>
    <col min="6145" max="6145" width="3.5703125" style="145" bestFit="1" customWidth="1"/>
    <col min="6146" max="6146" width="3.7109375" style="145" customWidth="1"/>
    <col min="6147" max="6147" width="4.140625" style="145" customWidth="1"/>
    <col min="6148" max="6148" width="81.28515625" style="145" bestFit="1" customWidth="1"/>
    <col min="6149" max="6149" width="15.28515625" style="145" customWidth="1"/>
    <col min="6150" max="6154" width="0" style="145" hidden="1" customWidth="1"/>
    <col min="6155" max="6155" width="7.140625" style="145" customWidth="1"/>
    <col min="6156" max="6156" width="10.140625" style="145" bestFit="1" customWidth="1"/>
    <col min="6157" max="6157" width="9.7109375" style="145" bestFit="1" customWidth="1"/>
    <col min="6158" max="6400" width="9.140625" style="145"/>
    <col min="6401" max="6401" width="3.5703125" style="145" bestFit="1" customWidth="1"/>
    <col min="6402" max="6402" width="3.7109375" style="145" customWidth="1"/>
    <col min="6403" max="6403" width="4.140625" style="145" customWidth="1"/>
    <col min="6404" max="6404" width="81.28515625" style="145" bestFit="1" customWidth="1"/>
    <col min="6405" max="6405" width="15.28515625" style="145" customWidth="1"/>
    <col min="6406" max="6410" width="0" style="145" hidden="1" customWidth="1"/>
    <col min="6411" max="6411" width="7.140625" style="145" customWidth="1"/>
    <col min="6412" max="6412" width="10.140625" style="145" bestFit="1" customWidth="1"/>
    <col min="6413" max="6413" width="9.7109375" style="145" bestFit="1" customWidth="1"/>
    <col min="6414" max="6656" width="9.140625" style="145"/>
    <col min="6657" max="6657" width="3.5703125" style="145" bestFit="1" customWidth="1"/>
    <col min="6658" max="6658" width="3.7109375" style="145" customWidth="1"/>
    <col min="6659" max="6659" width="4.140625" style="145" customWidth="1"/>
    <col min="6660" max="6660" width="81.28515625" style="145" bestFit="1" customWidth="1"/>
    <col min="6661" max="6661" width="15.28515625" style="145" customWidth="1"/>
    <col min="6662" max="6666" width="0" style="145" hidden="1" customWidth="1"/>
    <col min="6667" max="6667" width="7.140625" style="145" customWidth="1"/>
    <col min="6668" max="6668" width="10.140625" style="145" bestFit="1" customWidth="1"/>
    <col min="6669" max="6669" width="9.7109375" style="145" bestFit="1" customWidth="1"/>
    <col min="6670" max="6912" width="9.140625" style="145"/>
    <col min="6913" max="6913" width="3.5703125" style="145" bestFit="1" customWidth="1"/>
    <col min="6914" max="6914" width="3.7109375" style="145" customWidth="1"/>
    <col min="6915" max="6915" width="4.140625" style="145" customWidth="1"/>
    <col min="6916" max="6916" width="81.28515625" style="145" bestFit="1" customWidth="1"/>
    <col min="6917" max="6917" width="15.28515625" style="145" customWidth="1"/>
    <col min="6918" max="6922" width="0" style="145" hidden="1" customWidth="1"/>
    <col min="6923" max="6923" width="7.140625" style="145" customWidth="1"/>
    <col min="6924" max="6924" width="10.140625" style="145" bestFit="1" customWidth="1"/>
    <col min="6925" max="6925" width="9.7109375" style="145" bestFit="1" customWidth="1"/>
    <col min="6926" max="7168" width="9.140625" style="145"/>
    <col min="7169" max="7169" width="3.5703125" style="145" bestFit="1" customWidth="1"/>
    <col min="7170" max="7170" width="3.7109375" style="145" customWidth="1"/>
    <col min="7171" max="7171" width="4.140625" style="145" customWidth="1"/>
    <col min="7172" max="7172" width="81.28515625" style="145" bestFit="1" customWidth="1"/>
    <col min="7173" max="7173" width="15.28515625" style="145" customWidth="1"/>
    <col min="7174" max="7178" width="0" style="145" hidden="1" customWidth="1"/>
    <col min="7179" max="7179" width="7.140625" style="145" customWidth="1"/>
    <col min="7180" max="7180" width="10.140625" style="145" bestFit="1" customWidth="1"/>
    <col min="7181" max="7181" width="9.7109375" style="145" bestFit="1" customWidth="1"/>
    <col min="7182" max="7424" width="9.140625" style="145"/>
    <col min="7425" max="7425" width="3.5703125" style="145" bestFit="1" customWidth="1"/>
    <col min="7426" max="7426" width="3.7109375" style="145" customWidth="1"/>
    <col min="7427" max="7427" width="4.140625" style="145" customWidth="1"/>
    <col min="7428" max="7428" width="81.28515625" style="145" bestFit="1" customWidth="1"/>
    <col min="7429" max="7429" width="15.28515625" style="145" customWidth="1"/>
    <col min="7430" max="7434" width="0" style="145" hidden="1" customWidth="1"/>
    <col min="7435" max="7435" width="7.140625" style="145" customWidth="1"/>
    <col min="7436" max="7436" width="10.140625" style="145" bestFit="1" customWidth="1"/>
    <col min="7437" max="7437" width="9.7109375" style="145" bestFit="1" customWidth="1"/>
    <col min="7438" max="7680" width="9.140625" style="145"/>
    <col min="7681" max="7681" width="3.5703125" style="145" bestFit="1" customWidth="1"/>
    <col min="7682" max="7682" width="3.7109375" style="145" customWidth="1"/>
    <col min="7683" max="7683" width="4.140625" style="145" customWidth="1"/>
    <col min="7684" max="7684" width="81.28515625" style="145" bestFit="1" customWidth="1"/>
    <col min="7685" max="7685" width="15.28515625" style="145" customWidth="1"/>
    <col min="7686" max="7690" width="0" style="145" hidden="1" customWidth="1"/>
    <col min="7691" max="7691" width="7.140625" style="145" customWidth="1"/>
    <col min="7692" max="7692" width="10.140625" style="145" bestFit="1" customWidth="1"/>
    <col min="7693" max="7693" width="9.7109375" style="145" bestFit="1" customWidth="1"/>
    <col min="7694" max="7936" width="9.140625" style="145"/>
    <col min="7937" max="7937" width="3.5703125" style="145" bestFit="1" customWidth="1"/>
    <col min="7938" max="7938" width="3.7109375" style="145" customWidth="1"/>
    <col min="7939" max="7939" width="4.140625" style="145" customWidth="1"/>
    <col min="7940" max="7940" width="81.28515625" style="145" bestFit="1" customWidth="1"/>
    <col min="7941" max="7941" width="15.28515625" style="145" customWidth="1"/>
    <col min="7942" max="7946" width="0" style="145" hidden="1" customWidth="1"/>
    <col min="7947" max="7947" width="7.140625" style="145" customWidth="1"/>
    <col min="7948" max="7948" width="10.140625" style="145" bestFit="1" customWidth="1"/>
    <col min="7949" max="7949" width="9.7109375" style="145" bestFit="1" customWidth="1"/>
    <col min="7950" max="8192" width="9.140625" style="145"/>
    <col min="8193" max="8193" width="3.5703125" style="145" bestFit="1" customWidth="1"/>
    <col min="8194" max="8194" width="3.7109375" style="145" customWidth="1"/>
    <col min="8195" max="8195" width="4.140625" style="145" customWidth="1"/>
    <col min="8196" max="8196" width="81.28515625" style="145" bestFit="1" customWidth="1"/>
    <col min="8197" max="8197" width="15.28515625" style="145" customWidth="1"/>
    <col min="8198" max="8202" width="0" style="145" hidden="1" customWidth="1"/>
    <col min="8203" max="8203" width="7.140625" style="145" customWidth="1"/>
    <col min="8204" max="8204" width="10.140625" style="145" bestFit="1" customWidth="1"/>
    <col min="8205" max="8205" width="9.7109375" style="145" bestFit="1" customWidth="1"/>
    <col min="8206" max="8448" width="9.140625" style="145"/>
    <col min="8449" max="8449" width="3.5703125" style="145" bestFit="1" customWidth="1"/>
    <col min="8450" max="8450" width="3.7109375" style="145" customWidth="1"/>
    <col min="8451" max="8451" width="4.140625" style="145" customWidth="1"/>
    <col min="8452" max="8452" width="81.28515625" style="145" bestFit="1" customWidth="1"/>
    <col min="8453" max="8453" width="15.28515625" style="145" customWidth="1"/>
    <col min="8454" max="8458" width="0" style="145" hidden="1" customWidth="1"/>
    <col min="8459" max="8459" width="7.140625" style="145" customWidth="1"/>
    <col min="8460" max="8460" width="10.140625" style="145" bestFit="1" customWidth="1"/>
    <col min="8461" max="8461" width="9.7109375" style="145" bestFit="1" customWidth="1"/>
    <col min="8462" max="8704" width="9.140625" style="145"/>
    <col min="8705" max="8705" width="3.5703125" style="145" bestFit="1" customWidth="1"/>
    <col min="8706" max="8706" width="3.7109375" style="145" customWidth="1"/>
    <col min="8707" max="8707" width="4.140625" style="145" customWidth="1"/>
    <col min="8708" max="8708" width="81.28515625" style="145" bestFit="1" customWidth="1"/>
    <col min="8709" max="8709" width="15.28515625" style="145" customWidth="1"/>
    <col min="8710" max="8714" width="0" style="145" hidden="1" customWidth="1"/>
    <col min="8715" max="8715" width="7.140625" style="145" customWidth="1"/>
    <col min="8716" max="8716" width="10.140625" style="145" bestFit="1" customWidth="1"/>
    <col min="8717" max="8717" width="9.7109375" style="145" bestFit="1" customWidth="1"/>
    <col min="8718" max="8960" width="9.140625" style="145"/>
    <col min="8961" max="8961" width="3.5703125" style="145" bestFit="1" customWidth="1"/>
    <col min="8962" max="8962" width="3.7109375" style="145" customWidth="1"/>
    <col min="8963" max="8963" width="4.140625" style="145" customWidth="1"/>
    <col min="8964" max="8964" width="81.28515625" style="145" bestFit="1" customWidth="1"/>
    <col min="8965" max="8965" width="15.28515625" style="145" customWidth="1"/>
    <col min="8966" max="8970" width="0" style="145" hidden="1" customWidth="1"/>
    <col min="8971" max="8971" width="7.140625" style="145" customWidth="1"/>
    <col min="8972" max="8972" width="10.140625" style="145" bestFit="1" customWidth="1"/>
    <col min="8973" max="8973" width="9.7109375" style="145" bestFit="1" customWidth="1"/>
    <col min="8974" max="9216" width="9.140625" style="145"/>
    <col min="9217" max="9217" width="3.5703125" style="145" bestFit="1" customWidth="1"/>
    <col min="9218" max="9218" width="3.7109375" style="145" customWidth="1"/>
    <col min="9219" max="9219" width="4.140625" style="145" customWidth="1"/>
    <col min="9220" max="9220" width="81.28515625" style="145" bestFit="1" customWidth="1"/>
    <col min="9221" max="9221" width="15.28515625" style="145" customWidth="1"/>
    <col min="9222" max="9226" width="0" style="145" hidden="1" customWidth="1"/>
    <col min="9227" max="9227" width="7.140625" style="145" customWidth="1"/>
    <col min="9228" max="9228" width="10.140625" style="145" bestFit="1" customWidth="1"/>
    <col min="9229" max="9229" width="9.7109375" style="145" bestFit="1" customWidth="1"/>
    <col min="9230" max="9472" width="9.140625" style="145"/>
    <col min="9473" max="9473" width="3.5703125" style="145" bestFit="1" customWidth="1"/>
    <col min="9474" max="9474" width="3.7109375" style="145" customWidth="1"/>
    <col min="9475" max="9475" width="4.140625" style="145" customWidth="1"/>
    <col min="9476" max="9476" width="81.28515625" style="145" bestFit="1" customWidth="1"/>
    <col min="9477" max="9477" width="15.28515625" style="145" customWidth="1"/>
    <col min="9478" max="9482" width="0" style="145" hidden="1" customWidth="1"/>
    <col min="9483" max="9483" width="7.140625" style="145" customWidth="1"/>
    <col min="9484" max="9484" width="10.140625" style="145" bestFit="1" customWidth="1"/>
    <col min="9485" max="9485" width="9.7109375" style="145" bestFit="1" customWidth="1"/>
    <col min="9486" max="9728" width="9.140625" style="145"/>
    <col min="9729" max="9729" width="3.5703125" style="145" bestFit="1" customWidth="1"/>
    <col min="9730" max="9730" width="3.7109375" style="145" customWidth="1"/>
    <col min="9731" max="9731" width="4.140625" style="145" customWidth="1"/>
    <col min="9732" max="9732" width="81.28515625" style="145" bestFit="1" customWidth="1"/>
    <col min="9733" max="9733" width="15.28515625" style="145" customWidth="1"/>
    <col min="9734" max="9738" width="0" style="145" hidden="1" customWidth="1"/>
    <col min="9739" max="9739" width="7.140625" style="145" customWidth="1"/>
    <col min="9740" max="9740" width="10.140625" style="145" bestFit="1" customWidth="1"/>
    <col min="9741" max="9741" width="9.7109375" style="145" bestFit="1" customWidth="1"/>
    <col min="9742" max="9984" width="9.140625" style="145"/>
    <col min="9985" max="9985" width="3.5703125" style="145" bestFit="1" customWidth="1"/>
    <col min="9986" max="9986" width="3.7109375" style="145" customWidth="1"/>
    <col min="9987" max="9987" width="4.140625" style="145" customWidth="1"/>
    <col min="9988" max="9988" width="81.28515625" style="145" bestFit="1" customWidth="1"/>
    <col min="9989" max="9989" width="15.28515625" style="145" customWidth="1"/>
    <col min="9990" max="9994" width="0" style="145" hidden="1" customWidth="1"/>
    <col min="9995" max="9995" width="7.140625" style="145" customWidth="1"/>
    <col min="9996" max="9996" width="10.140625" style="145" bestFit="1" customWidth="1"/>
    <col min="9997" max="9997" width="9.7109375" style="145" bestFit="1" customWidth="1"/>
    <col min="9998" max="10240" width="9.140625" style="145"/>
    <col min="10241" max="10241" width="3.5703125" style="145" bestFit="1" customWidth="1"/>
    <col min="10242" max="10242" width="3.7109375" style="145" customWidth="1"/>
    <col min="10243" max="10243" width="4.140625" style="145" customWidth="1"/>
    <col min="10244" max="10244" width="81.28515625" style="145" bestFit="1" customWidth="1"/>
    <col min="10245" max="10245" width="15.28515625" style="145" customWidth="1"/>
    <col min="10246" max="10250" width="0" style="145" hidden="1" customWidth="1"/>
    <col min="10251" max="10251" width="7.140625" style="145" customWidth="1"/>
    <col min="10252" max="10252" width="10.140625" style="145" bestFit="1" customWidth="1"/>
    <col min="10253" max="10253" width="9.7109375" style="145" bestFit="1" customWidth="1"/>
    <col min="10254" max="10496" width="9.140625" style="145"/>
    <col min="10497" max="10497" width="3.5703125" style="145" bestFit="1" customWidth="1"/>
    <col min="10498" max="10498" width="3.7109375" style="145" customWidth="1"/>
    <col min="10499" max="10499" width="4.140625" style="145" customWidth="1"/>
    <col min="10500" max="10500" width="81.28515625" style="145" bestFit="1" customWidth="1"/>
    <col min="10501" max="10501" width="15.28515625" style="145" customWidth="1"/>
    <col min="10502" max="10506" width="0" style="145" hidden="1" customWidth="1"/>
    <col min="10507" max="10507" width="7.140625" style="145" customWidth="1"/>
    <col min="10508" max="10508" width="10.140625" style="145" bestFit="1" customWidth="1"/>
    <col min="10509" max="10509" width="9.7109375" style="145" bestFit="1" customWidth="1"/>
    <col min="10510" max="10752" width="9.140625" style="145"/>
    <col min="10753" max="10753" width="3.5703125" style="145" bestFit="1" customWidth="1"/>
    <col min="10754" max="10754" width="3.7109375" style="145" customWidth="1"/>
    <col min="10755" max="10755" width="4.140625" style="145" customWidth="1"/>
    <col min="10756" max="10756" width="81.28515625" style="145" bestFit="1" customWidth="1"/>
    <col min="10757" max="10757" width="15.28515625" style="145" customWidth="1"/>
    <col min="10758" max="10762" width="0" style="145" hidden="1" customWidth="1"/>
    <col min="10763" max="10763" width="7.140625" style="145" customWidth="1"/>
    <col min="10764" max="10764" width="10.140625" style="145" bestFit="1" customWidth="1"/>
    <col min="10765" max="10765" width="9.7109375" style="145" bestFit="1" customWidth="1"/>
    <col min="10766" max="11008" width="9.140625" style="145"/>
    <col min="11009" max="11009" width="3.5703125" style="145" bestFit="1" customWidth="1"/>
    <col min="11010" max="11010" width="3.7109375" style="145" customWidth="1"/>
    <col min="11011" max="11011" width="4.140625" style="145" customWidth="1"/>
    <col min="11012" max="11012" width="81.28515625" style="145" bestFit="1" customWidth="1"/>
    <col min="11013" max="11013" width="15.28515625" style="145" customWidth="1"/>
    <col min="11014" max="11018" width="0" style="145" hidden="1" customWidth="1"/>
    <col min="11019" max="11019" width="7.140625" style="145" customWidth="1"/>
    <col min="11020" max="11020" width="10.140625" style="145" bestFit="1" customWidth="1"/>
    <col min="11021" max="11021" width="9.7109375" style="145" bestFit="1" customWidth="1"/>
    <col min="11022" max="11264" width="9.140625" style="145"/>
    <col min="11265" max="11265" width="3.5703125" style="145" bestFit="1" customWidth="1"/>
    <col min="11266" max="11266" width="3.7109375" style="145" customWidth="1"/>
    <col min="11267" max="11267" width="4.140625" style="145" customWidth="1"/>
    <col min="11268" max="11268" width="81.28515625" style="145" bestFit="1" customWidth="1"/>
    <col min="11269" max="11269" width="15.28515625" style="145" customWidth="1"/>
    <col min="11270" max="11274" width="0" style="145" hidden="1" customWidth="1"/>
    <col min="11275" max="11275" width="7.140625" style="145" customWidth="1"/>
    <col min="11276" max="11276" width="10.140625" style="145" bestFit="1" customWidth="1"/>
    <col min="11277" max="11277" width="9.7109375" style="145" bestFit="1" customWidth="1"/>
    <col min="11278" max="11520" width="9.140625" style="145"/>
    <col min="11521" max="11521" width="3.5703125" style="145" bestFit="1" customWidth="1"/>
    <col min="11522" max="11522" width="3.7109375" style="145" customWidth="1"/>
    <col min="11523" max="11523" width="4.140625" style="145" customWidth="1"/>
    <col min="11524" max="11524" width="81.28515625" style="145" bestFit="1" customWidth="1"/>
    <col min="11525" max="11525" width="15.28515625" style="145" customWidth="1"/>
    <col min="11526" max="11530" width="0" style="145" hidden="1" customWidth="1"/>
    <col min="11531" max="11531" width="7.140625" style="145" customWidth="1"/>
    <col min="11532" max="11532" width="10.140625" style="145" bestFit="1" customWidth="1"/>
    <col min="11533" max="11533" width="9.7109375" style="145" bestFit="1" customWidth="1"/>
    <col min="11534" max="11776" width="9.140625" style="145"/>
    <col min="11777" max="11777" width="3.5703125" style="145" bestFit="1" customWidth="1"/>
    <col min="11778" max="11778" width="3.7109375" style="145" customWidth="1"/>
    <col min="11779" max="11779" width="4.140625" style="145" customWidth="1"/>
    <col min="11780" max="11780" width="81.28515625" style="145" bestFit="1" customWidth="1"/>
    <col min="11781" max="11781" width="15.28515625" style="145" customWidth="1"/>
    <col min="11782" max="11786" width="0" style="145" hidden="1" customWidth="1"/>
    <col min="11787" max="11787" width="7.140625" style="145" customWidth="1"/>
    <col min="11788" max="11788" width="10.140625" style="145" bestFit="1" customWidth="1"/>
    <col min="11789" max="11789" width="9.7109375" style="145" bestFit="1" customWidth="1"/>
    <col min="11790" max="12032" width="9.140625" style="145"/>
    <col min="12033" max="12033" width="3.5703125" style="145" bestFit="1" customWidth="1"/>
    <col min="12034" max="12034" width="3.7109375" style="145" customWidth="1"/>
    <col min="12035" max="12035" width="4.140625" style="145" customWidth="1"/>
    <col min="12036" max="12036" width="81.28515625" style="145" bestFit="1" customWidth="1"/>
    <col min="12037" max="12037" width="15.28515625" style="145" customWidth="1"/>
    <col min="12038" max="12042" width="0" style="145" hidden="1" customWidth="1"/>
    <col min="12043" max="12043" width="7.140625" style="145" customWidth="1"/>
    <col min="12044" max="12044" width="10.140625" style="145" bestFit="1" customWidth="1"/>
    <col min="12045" max="12045" width="9.7109375" style="145" bestFit="1" customWidth="1"/>
    <col min="12046" max="12288" width="9.140625" style="145"/>
    <col min="12289" max="12289" width="3.5703125" style="145" bestFit="1" customWidth="1"/>
    <col min="12290" max="12290" width="3.7109375" style="145" customWidth="1"/>
    <col min="12291" max="12291" width="4.140625" style="145" customWidth="1"/>
    <col min="12292" max="12292" width="81.28515625" style="145" bestFit="1" customWidth="1"/>
    <col min="12293" max="12293" width="15.28515625" style="145" customWidth="1"/>
    <col min="12294" max="12298" width="0" style="145" hidden="1" customWidth="1"/>
    <col min="12299" max="12299" width="7.140625" style="145" customWidth="1"/>
    <col min="12300" max="12300" width="10.140625" style="145" bestFit="1" customWidth="1"/>
    <col min="12301" max="12301" width="9.7109375" style="145" bestFit="1" customWidth="1"/>
    <col min="12302" max="12544" width="9.140625" style="145"/>
    <col min="12545" max="12545" width="3.5703125" style="145" bestFit="1" customWidth="1"/>
    <col min="12546" max="12546" width="3.7109375" style="145" customWidth="1"/>
    <col min="12547" max="12547" width="4.140625" style="145" customWidth="1"/>
    <col min="12548" max="12548" width="81.28515625" style="145" bestFit="1" customWidth="1"/>
    <col min="12549" max="12549" width="15.28515625" style="145" customWidth="1"/>
    <col min="12550" max="12554" width="0" style="145" hidden="1" customWidth="1"/>
    <col min="12555" max="12555" width="7.140625" style="145" customWidth="1"/>
    <col min="12556" max="12556" width="10.140625" style="145" bestFit="1" customWidth="1"/>
    <col min="12557" max="12557" width="9.7109375" style="145" bestFit="1" customWidth="1"/>
    <col min="12558" max="12800" width="9.140625" style="145"/>
    <col min="12801" max="12801" width="3.5703125" style="145" bestFit="1" customWidth="1"/>
    <col min="12802" max="12802" width="3.7109375" style="145" customWidth="1"/>
    <col min="12803" max="12803" width="4.140625" style="145" customWidth="1"/>
    <col min="12804" max="12804" width="81.28515625" style="145" bestFit="1" customWidth="1"/>
    <col min="12805" max="12805" width="15.28515625" style="145" customWidth="1"/>
    <col min="12806" max="12810" width="0" style="145" hidden="1" customWidth="1"/>
    <col min="12811" max="12811" width="7.140625" style="145" customWidth="1"/>
    <col min="12812" max="12812" width="10.140625" style="145" bestFit="1" customWidth="1"/>
    <col min="12813" max="12813" width="9.7109375" style="145" bestFit="1" customWidth="1"/>
    <col min="12814" max="13056" width="9.140625" style="145"/>
    <col min="13057" max="13057" width="3.5703125" style="145" bestFit="1" customWidth="1"/>
    <col min="13058" max="13058" width="3.7109375" style="145" customWidth="1"/>
    <col min="13059" max="13059" width="4.140625" style="145" customWidth="1"/>
    <col min="13060" max="13060" width="81.28515625" style="145" bestFit="1" customWidth="1"/>
    <col min="13061" max="13061" width="15.28515625" style="145" customWidth="1"/>
    <col min="13062" max="13066" width="0" style="145" hidden="1" customWidth="1"/>
    <col min="13067" max="13067" width="7.140625" style="145" customWidth="1"/>
    <col min="13068" max="13068" width="10.140625" style="145" bestFit="1" customWidth="1"/>
    <col min="13069" max="13069" width="9.7109375" style="145" bestFit="1" customWidth="1"/>
    <col min="13070" max="13312" width="9.140625" style="145"/>
    <col min="13313" max="13313" width="3.5703125" style="145" bestFit="1" customWidth="1"/>
    <col min="13314" max="13314" width="3.7109375" style="145" customWidth="1"/>
    <col min="13315" max="13315" width="4.140625" style="145" customWidth="1"/>
    <col min="13316" max="13316" width="81.28515625" style="145" bestFit="1" customWidth="1"/>
    <col min="13317" max="13317" width="15.28515625" style="145" customWidth="1"/>
    <col min="13318" max="13322" width="0" style="145" hidden="1" customWidth="1"/>
    <col min="13323" max="13323" width="7.140625" style="145" customWidth="1"/>
    <col min="13324" max="13324" width="10.140625" style="145" bestFit="1" customWidth="1"/>
    <col min="13325" max="13325" width="9.7109375" style="145" bestFit="1" customWidth="1"/>
    <col min="13326" max="13568" width="9.140625" style="145"/>
    <col min="13569" max="13569" width="3.5703125" style="145" bestFit="1" customWidth="1"/>
    <col min="13570" max="13570" width="3.7109375" style="145" customWidth="1"/>
    <col min="13571" max="13571" width="4.140625" style="145" customWidth="1"/>
    <col min="13572" max="13572" width="81.28515625" style="145" bestFit="1" customWidth="1"/>
    <col min="13573" max="13573" width="15.28515625" style="145" customWidth="1"/>
    <col min="13574" max="13578" width="0" style="145" hidden="1" customWidth="1"/>
    <col min="13579" max="13579" width="7.140625" style="145" customWidth="1"/>
    <col min="13580" max="13580" width="10.140625" style="145" bestFit="1" customWidth="1"/>
    <col min="13581" max="13581" width="9.7109375" style="145" bestFit="1" customWidth="1"/>
    <col min="13582" max="13824" width="9.140625" style="145"/>
    <col min="13825" max="13825" width="3.5703125" style="145" bestFit="1" customWidth="1"/>
    <col min="13826" max="13826" width="3.7109375" style="145" customWidth="1"/>
    <col min="13827" max="13827" width="4.140625" style="145" customWidth="1"/>
    <col min="13828" max="13828" width="81.28515625" style="145" bestFit="1" customWidth="1"/>
    <col min="13829" max="13829" width="15.28515625" style="145" customWidth="1"/>
    <col min="13830" max="13834" width="0" style="145" hidden="1" customWidth="1"/>
    <col min="13835" max="13835" width="7.140625" style="145" customWidth="1"/>
    <col min="13836" max="13836" width="10.140625" style="145" bestFit="1" customWidth="1"/>
    <col min="13837" max="13837" width="9.7109375" style="145" bestFit="1" customWidth="1"/>
    <col min="13838" max="14080" width="9.140625" style="145"/>
    <col min="14081" max="14081" width="3.5703125" style="145" bestFit="1" customWidth="1"/>
    <col min="14082" max="14082" width="3.7109375" style="145" customWidth="1"/>
    <col min="14083" max="14083" width="4.140625" style="145" customWidth="1"/>
    <col min="14084" max="14084" width="81.28515625" style="145" bestFit="1" customWidth="1"/>
    <col min="14085" max="14085" width="15.28515625" style="145" customWidth="1"/>
    <col min="14086" max="14090" width="0" style="145" hidden="1" customWidth="1"/>
    <col min="14091" max="14091" width="7.140625" style="145" customWidth="1"/>
    <col min="14092" max="14092" width="10.140625" style="145" bestFit="1" customWidth="1"/>
    <col min="14093" max="14093" width="9.7109375" style="145" bestFit="1" customWidth="1"/>
    <col min="14094" max="14336" width="9.140625" style="145"/>
    <col min="14337" max="14337" width="3.5703125" style="145" bestFit="1" customWidth="1"/>
    <col min="14338" max="14338" width="3.7109375" style="145" customWidth="1"/>
    <col min="14339" max="14339" width="4.140625" style="145" customWidth="1"/>
    <col min="14340" max="14340" width="81.28515625" style="145" bestFit="1" customWidth="1"/>
    <col min="14341" max="14341" width="15.28515625" style="145" customWidth="1"/>
    <col min="14342" max="14346" width="0" style="145" hidden="1" customWidth="1"/>
    <col min="14347" max="14347" width="7.140625" style="145" customWidth="1"/>
    <col min="14348" max="14348" width="10.140625" style="145" bestFit="1" customWidth="1"/>
    <col min="14349" max="14349" width="9.7109375" style="145" bestFit="1" customWidth="1"/>
    <col min="14350" max="14592" width="9.140625" style="145"/>
    <col min="14593" max="14593" width="3.5703125" style="145" bestFit="1" customWidth="1"/>
    <col min="14594" max="14594" width="3.7109375" style="145" customWidth="1"/>
    <col min="14595" max="14595" width="4.140625" style="145" customWidth="1"/>
    <col min="14596" max="14596" width="81.28515625" style="145" bestFit="1" customWidth="1"/>
    <col min="14597" max="14597" width="15.28515625" style="145" customWidth="1"/>
    <col min="14598" max="14602" width="0" style="145" hidden="1" customWidth="1"/>
    <col min="14603" max="14603" width="7.140625" style="145" customWidth="1"/>
    <col min="14604" max="14604" width="10.140625" style="145" bestFit="1" customWidth="1"/>
    <col min="14605" max="14605" width="9.7109375" style="145" bestFit="1" customWidth="1"/>
    <col min="14606" max="14848" width="9.140625" style="145"/>
    <col min="14849" max="14849" width="3.5703125" style="145" bestFit="1" customWidth="1"/>
    <col min="14850" max="14850" width="3.7109375" style="145" customWidth="1"/>
    <col min="14851" max="14851" width="4.140625" style="145" customWidth="1"/>
    <col min="14852" max="14852" width="81.28515625" style="145" bestFit="1" customWidth="1"/>
    <col min="14853" max="14853" width="15.28515625" style="145" customWidth="1"/>
    <col min="14854" max="14858" width="0" style="145" hidden="1" customWidth="1"/>
    <col min="14859" max="14859" width="7.140625" style="145" customWidth="1"/>
    <col min="14860" max="14860" width="10.140625" style="145" bestFit="1" customWidth="1"/>
    <col min="14861" max="14861" width="9.7109375" style="145" bestFit="1" customWidth="1"/>
    <col min="14862" max="15104" width="9.140625" style="145"/>
    <col min="15105" max="15105" width="3.5703125" style="145" bestFit="1" customWidth="1"/>
    <col min="15106" max="15106" width="3.7109375" style="145" customWidth="1"/>
    <col min="15107" max="15107" width="4.140625" style="145" customWidth="1"/>
    <col min="15108" max="15108" width="81.28515625" style="145" bestFit="1" customWidth="1"/>
    <col min="15109" max="15109" width="15.28515625" style="145" customWidth="1"/>
    <col min="15110" max="15114" width="0" style="145" hidden="1" customWidth="1"/>
    <col min="15115" max="15115" width="7.140625" style="145" customWidth="1"/>
    <col min="15116" max="15116" width="10.140625" style="145" bestFit="1" customWidth="1"/>
    <col min="15117" max="15117" width="9.7109375" style="145" bestFit="1" customWidth="1"/>
    <col min="15118" max="15360" width="9.140625" style="145"/>
    <col min="15361" max="15361" width="3.5703125" style="145" bestFit="1" customWidth="1"/>
    <col min="15362" max="15362" width="3.7109375" style="145" customWidth="1"/>
    <col min="15363" max="15363" width="4.140625" style="145" customWidth="1"/>
    <col min="15364" max="15364" width="81.28515625" style="145" bestFit="1" customWidth="1"/>
    <col min="15365" max="15365" width="15.28515625" style="145" customWidth="1"/>
    <col min="15366" max="15370" width="0" style="145" hidden="1" customWidth="1"/>
    <col min="15371" max="15371" width="7.140625" style="145" customWidth="1"/>
    <col min="15372" max="15372" width="10.140625" style="145" bestFit="1" customWidth="1"/>
    <col min="15373" max="15373" width="9.7109375" style="145" bestFit="1" customWidth="1"/>
    <col min="15374" max="15616" width="9.140625" style="145"/>
    <col min="15617" max="15617" width="3.5703125" style="145" bestFit="1" customWidth="1"/>
    <col min="15618" max="15618" width="3.7109375" style="145" customWidth="1"/>
    <col min="15619" max="15619" width="4.140625" style="145" customWidth="1"/>
    <col min="15620" max="15620" width="81.28515625" style="145" bestFit="1" customWidth="1"/>
    <col min="15621" max="15621" width="15.28515625" style="145" customWidth="1"/>
    <col min="15622" max="15626" width="0" style="145" hidden="1" customWidth="1"/>
    <col min="15627" max="15627" width="7.140625" style="145" customWidth="1"/>
    <col min="15628" max="15628" width="10.140625" style="145" bestFit="1" customWidth="1"/>
    <col min="15629" max="15629" width="9.7109375" style="145" bestFit="1" customWidth="1"/>
    <col min="15630" max="15872" width="9.140625" style="145"/>
    <col min="15873" max="15873" width="3.5703125" style="145" bestFit="1" customWidth="1"/>
    <col min="15874" max="15874" width="3.7109375" style="145" customWidth="1"/>
    <col min="15875" max="15875" width="4.140625" style="145" customWidth="1"/>
    <col min="15876" max="15876" width="81.28515625" style="145" bestFit="1" customWidth="1"/>
    <col min="15877" max="15877" width="15.28515625" style="145" customWidth="1"/>
    <col min="15878" max="15882" width="0" style="145" hidden="1" customWidth="1"/>
    <col min="15883" max="15883" width="7.140625" style="145" customWidth="1"/>
    <col min="15884" max="15884" width="10.140625" style="145" bestFit="1" customWidth="1"/>
    <col min="15885" max="15885" width="9.7109375" style="145" bestFit="1" customWidth="1"/>
    <col min="15886" max="16128" width="9.140625" style="145"/>
    <col min="16129" max="16129" width="3.5703125" style="145" bestFit="1" customWidth="1"/>
    <col min="16130" max="16130" width="3.7109375" style="145" customWidth="1"/>
    <col min="16131" max="16131" width="4.140625" style="145" customWidth="1"/>
    <col min="16132" max="16132" width="81.28515625" style="145" bestFit="1" customWidth="1"/>
    <col min="16133" max="16133" width="15.28515625" style="145" customWidth="1"/>
    <col min="16134" max="16138" width="0" style="145" hidden="1" customWidth="1"/>
    <col min="16139" max="16139" width="7.140625" style="145" customWidth="1"/>
    <col min="16140" max="16140" width="10.140625" style="145" bestFit="1" customWidth="1"/>
    <col min="16141" max="16141" width="9.7109375" style="145" bestFit="1" customWidth="1"/>
    <col min="16142" max="16384" width="9.140625" style="145"/>
  </cols>
  <sheetData>
    <row r="1" spans="1:256" ht="30" customHeight="1" x14ac:dyDescent="0.35">
      <c r="B1" s="1743" t="s">
        <v>772</v>
      </c>
      <c r="C1" s="1743"/>
      <c r="D1" s="1743"/>
      <c r="E1" s="1743"/>
      <c r="F1" s="119"/>
      <c r="G1" s="119"/>
      <c r="H1" s="119"/>
      <c r="I1" s="119"/>
      <c r="J1" s="119"/>
      <c r="K1" s="119"/>
      <c r="L1" s="119"/>
      <c r="M1" s="119"/>
      <c r="N1" s="119"/>
      <c r="O1" s="119"/>
      <c r="P1" s="119"/>
      <c r="Q1" s="119"/>
      <c r="R1" s="119"/>
      <c r="S1" s="119"/>
      <c r="T1" s="119"/>
      <c r="U1" s="119"/>
      <c r="V1" s="119"/>
      <c r="W1" s="119"/>
      <c r="X1" s="119"/>
      <c r="Y1" s="119"/>
      <c r="Z1" s="119"/>
      <c r="AA1" s="119"/>
      <c r="AB1" s="119"/>
      <c r="AC1" s="119"/>
      <c r="AD1" s="119"/>
      <c r="AE1" s="119"/>
      <c r="AF1" s="119"/>
      <c r="AG1" s="119"/>
      <c r="AH1" s="119"/>
      <c r="AI1" s="119"/>
      <c r="AJ1" s="119"/>
      <c r="AK1" s="119"/>
      <c r="AL1" s="119"/>
      <c r="AM1" s="119"/>
      <c r="AN1" s="119"/>
      <c r="AO1" s="119"/>
      <c r="AP1" s="119"/>
      <c r="AQ1" s="119"/>
      <c r="AR1" s="119"/>
      <c r="AS1" s="119"/>
      <c r="AT1" s="119"/>
      <c r="AU1" s="119"/>
      <c r="AV1" s="119"/>
      <c r="AW1" s="119"/>
      <c r="AX1" s="119"/>
      <c r="AY1" s="119"/>
      <c r="AZ1" s="119"/>
      <c r="BA1" s="119"/>
      <c r="BB1" s="119"/>
      <c r="BC1" s="119"/>
      <c r="BD1" s="119"/>
      <c r="BE1" s="119"/>
      <c r="BF1" s="119"/>
      <c r="BG1" s="119"/>
      <c r="BH1" s="119"/>
      <c r="BI1" s="119"/>
      <c r="BJ1" s="119"/>
      <c r="BK1" s="119"/>
      <c r="BL1" s="119"/>
      <c r="BM1" s="119"/>
      <c r="BN1" s="119"/>
      <c r="BO1" s="119"/>
      <c r="BP1" s="119"/>
      <c r="BQ1" s="119"/>
      <c r="BR1" s="119"/>
      <c r="BS1" s="119"/>
      <c r="BT1" s="119"/>
      <c r="BU1" s="119"/>
      <c r="BV1" s="119"/>
      <c r="BW1" s="119"/>
      <c r="BX1" s="119"/>
      <c r="BY1" s="119"/>
      <c r="BZ1" s="119"/>
      <c r="CA1" s="119"/>
      <c r="CB1" s="119"/>
      <c r="CC1" s="119"/>
      <c r="CD1" s="119"/>
      <c r="CE1" s="119"/>
      <c r="CF1" s="119"/>
      <c r="CG1" s="119"/>
      <c r="CH1" s="119"/>
      <c r="CI1" s="119"/>
      <c r="CJ1" s="119"/>
      <c r="CK1" s="119"/>
      <c r="CL1" s="119"/>
      <c r="CM1" s="119"/>
      <c r="CN1" s="119"/>
      <c r="CO1" s="119"/>
      <c r="CP1" s="119"/>
      <c r="CQ1" s="119"/>
      <c r="CR1" s="119"/>
      <c r="CS1" s="119"/>
      <c r="CT1" s="119"/>
      <c r="CU1" s="119"/>
      <c r="CV1" s="119"/>
      <c r="CW1" s="119"/>
      <c r="CX1" s="119"/>
      <c r="CY1" s="119"/>
      <c r="CZ1" s="119"/>
      <c r="DA1" s="119"/>
      <c r="DB1" s="119"/>
      <c r="DC1" s="119"/>
      <c r="DD1" s="119"/>
      <c r="DE1" s="119"/>
      <c r="DF1" s="119"/>
      <c r="DG1" s="119"/>
      <c r="DH1" s="119"/>
      <c r="DI1" s="119"/>
      <c r="DJ1" s="119"/>
      <c r="DK1" s="119"/>
      <c r="DL1" s="119"/>
      <c r="DM1" s="119"/>
      <c r="DN1" s="119"/>
      <c r="DO1" s="119"/>
      <c r="DP1" s="119"/>
      <c r="DQ1" s="119"/>
      <c r="DR1" s="119"/>
      <c r="DS1" s="119"/>
      <c r="DT1" s="119"/>
      <c r="DU1" s="119"/>
      <c r="DV1" s="119"/>
      <c r="DW1" s="119"/>
      <c r="DX1" s="119"/>
      <c r="DY1" s="119"/>
      <c r="DZ1" s="119"/>
      <c r="EA1" s="119"/>
      <c r="EB1" s="119"/>
      <c r="EC1" s="119"/>
      <c r="ED1" s="119"/>
      <c r="EE1" s="119"/>
      <c r="EF1" s="119"/>
      <c r="EG1" s="119"/>
      <c r="EH1" s="119"/>
      <c r="EI1" s="119"/>
      <c r="EJ1" s="119"/>
      <c r="EK1" s="119"/>
      <c r="EL1" s="119"/>
      <c r="EM1" s="119"/>
      <c r="EN1" s="119"/>
      <c r="EO1" s="119"/>
      <c r="EP1" s="119"/>
      <c r="EQ1" s="119"/>
      <c r="ER1" s="119"/>
      <c r="ES1" s="119"/>
      <c r="ET1" s="119"/>
      <c r="EU1" s="119"/>
      <c r="EV1" s="119"/>
      <c r="EW1" s="119"/>
      <c r="EX1" s="119"/>
      <c r="EY1" s="119"/>
      <c r="EZ1" s="119"/>
      <c r="FA1" s="119"/>
      <c r="FB1" s="119"/>
      <c r="FC1" s="119"/>
      <c r="FD1" s="119"/>
      <c r="FE1" s="119"/>
      <c r="FF1" s="119"/>
      <c r="FG1" s="119"/>
      <c r="FH1" s="119"/>
      <c r="FI1" s="119"/>
      <c r="FJ1" s="119"/>
      <c r="FK1" s="119"/>
      <c r="FL1" s="119"/>
      <c r="FM1" s="119"/>
      <c r="FN1" s="119"/>
      <c r="FO1" s="119"/>
      <c r="FP1" s="119"/>
      <c r="FQ1" s="119"/>
      <c r="FR1" s="119"/>
      <c r="FS1" s="119"/>
      <c r="FT1" s="119"/>
      <c r="FU1" s="119"/>
      <c r="FV1" s="119"/>
      <c r="FW1" s="119"/>
      <c r="FX1" s="119"/>
      <c r="FY1" s="119"/>
      <c r="FZ1" s="119"/>
      <c r="GA1" s="119"/>
      <c r="GB1" s="119"/>
      <c r="GC1" s="119"/>
      <c r="GD1" s="119"/>
      <c r="GE1" s="119"/>
      <c r="GF1" s="119"/>
      <c r="GG1" s="119"/>
      <c r="GH1" s="119"/>
      <c r="GI1" s="119"/>
      <c r="GJ1" s="119"/>
      <c r="GK1" s="119"/>
      <c r="GL1" s="119"/>
      <c r="GM1" s="119"/>
      <c r="GN1" s="119"/>
      <c r="GO1" s="119"/>
      <c r="GP1" s="119"/>
      <c r="GQ1" s="119"/>
      <c r="GR1" s="119"/>
      <c r="GS1" s="119"/>
      <c r="GT1" s="119"/>
      <c r="GU1" s="119"/>
      <c r="GV1" s="119"/>
      <c r="GW1" s="119"/>
      <c r="GX1" s="119"/>
      <c r="GY1" s="119"/>
      <c r="GZ1" s="119"/>
      <c r="HA1" s="119"/>
      <c r="HB1" s="119"/>
      <c r="HC1" s="119"/>
      <c r="HD1" s="119"/>
      <c r="HE1" s="119"/>
      <c r="HF1" s="119"/>
      <c r="HG1" s="119"/>
      <c r="HH1" s="119"/>
      <c r="HI1" s="119"/>
      <c r="HJ1" s="119"/>
      <c r="HK1" s="119"/>
      <c r="HL1" s="119"/>
      <c r="HM1" s="119"/>
      <c r="HN1" s="119"/>
      <c r="HO1" s="119"/>
      <c r="HP1" s="119"/>
      <c r="HQ1" s="119"/>
      <c r="HR1" s="119"/>
      <c r="HS1" s="119"/>
      <c r="HT1" s="119"/>
      <c r="HU1" s="119"/>
      <c r="HV1" s="119"/>
      <c r="HW1" s="119"/>
      <c r="HX1" s="119"/>
      <c r="HY1" s="119"/>
      <c r="HZ1" s="119"/>
      <c r="IA1" s="119"/>
      <c r="IB1" s="119"/>
      <c r="IC1" s="119"/>
      <c r="ID1" s="119"/>
      <c r="IE1" s="119"/>
      <c r="IF1" s="119"/>
      <c r="IG1" s="119"/>
      <c r="IH1" s="119"/>
      <c r="II1" s="119"/>
      <c r="IJ1" s="119"/>
      <c r="IK1" s="119"/>
      <c r="IL1" s="119"/>
      <c r="IM1" s="119"/>
      <c r="IN1" s="119"/>
      <c r="IO1" s="119"/>
      <c r="IP1" s="119"/>
      <c r="IQ1" s="119"/>
      <c r="IR1" s="119"/>
      <c r="IS1" s="119"/>
      <c r="IT1" s="119"/>
      <c r="IU1" s="119"/>
      <c r="IV1" s="119"/>
    </row>
    <row r="2" spans="1:256" x14ac:dyDescent="0.3">
      <c r="B2" s="1744" t="s">
        <v>773</v>
      </c>
      <c r="C2" s="1744"/>
      <c r="D2" s="1744"/>
      <c r="E2" s="174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row>
    <row r="3" spans="1:256" x14ac:dyDescent="0.3">
      <c r="B3" s="1744" t="s">
        <v>1374</v>
      </c>
      <c r="C3" s="1744"/>
      <c r="D3" s="1744"/>
      <c r="E3" s="174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x14ac:dyDescent="0.3">
      <c r="C4" s="121" t="s">
        <v>774</v>
      </c>
      <c r="E4" s="287" t="s">
        <v>0</v>
      </c>
    </row>
    <row r="5" spans="1:256" ht="17.25" thickBot="1" x14ac:dyDescent="0.35">
      <c r="B5" s="246"/>
      <c r="C5" s="983"/>
      <c r="D5" s="984" t="s">
        <v>1</v>
      </c>
      <c r="E5" s="985" t="s">
        <v>3</v>
      </c>
      <c r="F5" s="246"/>
      <c r="G5" s="246"/>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6"/>
      <c r="AG5" s="246"/>
      <c r="AH5" s="246"/>
      <c r="AI5" s="246"/>
      <c r="AJ5" s="246"/>
      <c r="AK5" s="246"/>
      <c r="AL5" s="246"/>
      <c r="AM5" s="246"/>
      <c r="AN5" s="246"/>
      <c r="AO5" s="246"/>
      <c r="AP5" s="246"/>
      <c r="AQ5" s="246"/>
      <c r="AR5" s="246"/>
      <c r="AS5" s="246"/>
      <c r="AT5" s="246"/>
      <c r="AU5" s="246"/>
      <c r="AV5" s="246"/>
      <c r="AW5" s="246"/>
      <c r="AX5" s="246"/>
      <c r="AY5" s="246"/>
      <c r="AZ5" s="246"/>
      <c r="BA5" s="246"/>
      <c r="BB5" s="246"/>
      <c r="BC5" s="246"/>
      <c r="BD5" s="246"/>
      <c r="BE5" s="246"/>
      <c r="BF5" s="246"/>
      <c r="BG5" s="246"/>
      <c r="BH5" s="246"/>
      <c r="BI5" s="246"/>
      <c r="BJ5" s="246"/>
      <c r="BK5" s="246"/>
      <c r="BL5" s="246"/>
      <c r="BM5" s="246"/>
      <c r="BN5" s="246"/>
      <c r="BO5" s="246"/>
      <c r="BP5" s="246"/>
      <c r="BQ5" s="246"/>
      <c r="BR5" s="246"/>
      <c r="BS5" s="246"/>
      <c r="BT5" s="246"/>
      <c r="BU5" s="246"/>
      <c r="BV5" s="246"/>
      <c r="BW5" s="246"/>
      <c r="BX5" s="246"/>
      <c r="BY5" s="246"/>
      <c r="BZ5" s="246"/>
      <c r="CA5" s="246"/>
      <c r="CB5" s="246"/>
      <c r="CC5" s="246"/>
      <c r="CD5" s="246"/>
      <c r="CE5" s="246"/>
      <c r="CF5" s="246"/>
      <c r="CG5" s="246"/>
      <c r="CH5" s="246"/>
      <c r="CI5" s="246"/>
      <c r="CJ5" s="246"/>
      <c r="CK5" s="246"/>
      <c r="CL5" s="246"/>
      <c r="CM5" s="246"/>
      <c r="CN5" s="246"/>
      <c r="CO5" s="246"/>
      <c r="CP5" s="246"/>
      <c r="CQ5" s="246"/>
      <c r="CR5" s="246"/>
      <c r="CS5" s="246"/>
      <c r="CT5" s="246"/>
      <c r="CU5" s="246"/>
      <c r="CV5" s="246"/>
      <c r="CW5" s="246"/>
      <c r="CX5" s="246"/>
      <c r="CY5" s="246"/>
      <c r="CZ5" s="246"/>
      <c r="DA5" s="246"/>
      <c r="DB5" s="246"/>
      <c r="DC5" s="246"/>
      <c r="DD5" s="246"/>
      <c r="DE5" s="246"/>
      <c r="DF5" s="246"/>
      <c r="DG5" s="246"/>
      <c r="DH5" s="246"/>
      <c r="DI5" s="246"/>
      <c r="DJ5" s="246"/>
      <c r="DK5" s="246"/>
      <c r="DL5" s="246"/>
      <c r="DM5" s="246"/>
      <c r="DN5" s="246"/>
      <c r="DO5" s="246"/>
      <c r="DP5" s="246"/>
      <c r="DQ5" s="246"/>
      <c r="DR5" s="246"/>
      <c r="DS5" s="246"/>
      <c r="DT5" s="246"/>
      <c r="DU5" s="246"/>
      <c r="DV5" s="246"/>
      <c r="DW5" s="246"/>
      <c r="DX5" s="246"/>
      <c r="DY5" s="246"/>
      <c r="DZ5" s="246"/>
      <c r="EA5" s="246"/>
      <c r="EB5" s="246"/>
      <c r="EC5" s="246"/>
      <c r="ED5" s="246"/>
      <c r="EE5" s="246"/>
      <c r="EF5" s="246"/>
      <c r="EG5" s="246"/>
      <c r="EH5" s="246"/>
      <c r="EI5" s="246"/>
      <c r="EJ5" s="246"/>
      <c r="EK5" s="246"/>
      <c r="EL5" s="246"/>
      <c r="EM5" s="246"/>
      <c r="EN5" s="246"/>
      <c r="EO5" s="246"/>
      <c r="EP5" s="246"/>
      <c r="EQ5" s="246"/>
      <c r="ER5" s="246"/>
      <c r="ES5" s="246"/>
      <c r="ET5" s="246"/>
      <c r="EU5" s="246"/>
      <c r="EV5" s="246"/>
      <c r="EW5" s="246"/>
      <c r="EX5" s="246"/>
      <c r="EY5" s="246"/>
      <c r="EZ5" s="246"/>
      <c r="FA5" s="246"/>
      <c r="FB5" s="246"/>
      <c r="FC5" s="246"/>
      <c r="FD5" s="246"/>
      <c r="FE5" s="246"/>
      <c r="FF5" s="246"/>
      <c r="FG5" s="246"/>
      <c r="FH5" s="246"/>
      <c r="FI5" s="246"/>
      <c r="FJ5" s="246"/>
      <c r="FK5" s="246"/>
      <c r="FL5" s="246"/>
      <c r="FM5" s="246"/>
      <c r="FN5" s="246"/>
      <c r="FO5" s="246"/>
      <c r="FP5" s="246"/>
      <c r="FQ5" s="246"/>
      <c r="FR5" s="246"/>
      <c r="FS5" s="246"/>
      <c r="FT5" s="246"/>
      <c r="FU5" s="246"/>
      <c r="FV5" s="246"/>
      <c r="FW5" s="246"/>
      <c r="FX5" s="246"/>
      <c r="FY5" s="246"/>
      <c r="FZ5" s="246"/>
      <c r="GA5" s="246"/>
      <c r="GB5" s="246"/>
      <c r="GC5" s="246"/>
      <c r="GD5" s="246"/>
      <c r="GE5" s="246"/>
      <c r="GF5" s="246"/>
      <c r="GG5" s="246"/>
      <c r="GH5" s="246"/>
      <c r="GI5" s="246"/>
      <c r="GJ5" s="246"/>
      <c r="GK5" s="246"/>
      <c r="GL5" s="246"/>
      <c r="GM5" s="246"/>
      <c r="GN5" s="246"/>
      <c r="GO5" s="246"/>
      <c r="GP5" s="246"/>
      <c r="GQ5" s="246"/>
      <c r="GR5" s="246"/>
      <c r="GS5" s="246"/>
      <c r="GT5" s="246"/>
      <c r="GU5" s="246"/>
      <c r="GV5" s="246"/>
      <c r="GW5" s="246"/>
      <c r="GX5" s="246"/>
      <c r="GY5" s="246"/>
      <c r="GZ5" s="246"/>
      <c r="HA5" s="246"/>
      <c r="HB5" s="246"/>
      <c r="HC5" s="246"/>
      <c r="HD5" s="246"/>
      <c r="HE5" s="246"/>
      <c r="HF5" s="246"/>
      <c r="HG5" s="246"/>
      <c r="HH5" s="246"/>
      <c r="HI5" s="246"/>
      <c r="HJ5" s="246"/>
      <c r="HK5" s="246"/>
      <c r="HL5" s="246"/>
      <c r="HM5" s="246"/>
      <c r="HN5" s="246"/>
      <c r="HO5" s="246"/>
      <c r="HP5" s="246"/>
      <c r="HQ5" s="246"/>
      <c r="HR5" s="246"/>
      <c r="HS5" s="246"/>
      <c r="HT5" s="246"/>
      <c r="HU5" s="246"/>
      <c r="HV5" s="246"/>
      <c r="HW5" s="246"/>
      <c r="HX5" s="246"/>
      <c r="HY5" s="246"/>
      <c r="HZ5" s="246"/>
      <c r="IA5" s="246"/>
      <c r="IB5" s="246"/>
      <c r="IC5" s="246"/>
      <c r="ID5" s="246"/>
      <c r="IE5" s="246"/>
      <c r="IF5" s="246"/>
      <c r="IG5" s="246"/>
      <c r="IH5" s="246"/>
      <c r="II5" s="246"/>
      <c r="IJ5" s="246"/>
      <c r="IK5" s="246"/>
      <c r="IL5" s="246"/>
      <c r="IM5" s="246"/>
      <c r="IN5" s="246"/>
      <c r="IO5" s="246"/>
      <c r="IP5" s="246"/>
      <c r="IQ5" s="246"/>
      <c r="IR5" s="246"/>
      <c r="IS5" s="246"/>
      <c r="IT5" s="246"/>
      <c r="IU5" s="246"/>
      <c r="IV5" s="246"/>
    </row>
    <row r="6" spans="1:256" ht="18" thickBot="1" x14ac:dyDescent="0.35">
      <c r="B6" s="986"/>
      <c r="C6" s="987"/>
      <c r="D6" s="988" t="s">
        <v>6</v>
      </c>
      <c r="E6" s="989" t="s">
        <v>134</v>
      </c>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c r="DB6" s="31"/>
      <c r="DC6" s="31"/>
      <c r="DD6" s="31"/>
      <c r="DE6" s="31"/>
      <c r="DF6" s="31"/>
      <c r="DG6" s="31"/>
      <c r="DH6" s="31"/>
      <c r="DI6" s="31"/>
      <c r="DJ6" s="31"/>
      <c r="DK6" s="31"/>
      <c r="DL6" s="31"/>
      <c r="DM6" s="31"/>
      <c r="DN6" s="31"/>
      <c r="DO6" s="31"/>
      <c r="DP6" s="31"/>
      <c r="DQ6" s="31"/>
      <c r="DR6" s="31"/>
      <c r="DS6" s="31"/>
      <c r="DT6" s="31"/>
      <c r="DU6" s="31"/>
      <c r="DV6" s="31"/>
      <c r="DW6" s="31"/>
      <c r="DX6" s="31"/>
      <c r="DY6" s="31"/>
      <c r="DZ6" s="31"/>
      <c r="EA6" s="31"/>
      <c r="EB6" s="31"/>
      <c r="EC6" s="31"/>
      <c r="ED6" s="31"/>
      <c r="EE6" s="31"/>
      <c r="EF6" s="31"/>
      <c r="EG6" s="31"/>
      <c r="EH6" s="31"/>
      <c r="EI6" s="31"/>
      <c r="EJ6" s="31"/>
      <c r="EK6" s="31"/>
      <c r="EL6" s="31"/>
      <c r="EM6" s="31"/>
      <c r="EN6" s="31"/>
      <c r="EO6" s="31"/>
      <c r="EP6" s="31"/>
      <c r="EQ6" s="31"/>
      <c r="ER6" s="31"/>
      <c r="ES6" s="31"/>
      <c r="ET6" s="31"/>
      <c r="EU6" s="31"/>
      <c r="EV6" s="31"/>
      <c r="EW6" s="31"/>
      <c r="EX6" s="31"/>
      <c r="EY6" s="31"/>
      <c r="EZ6" s="31"/>
      <c r="FA6" s="31"/>
      <c r="FB6" s="31"/>
      <c r="FC6" s="31"/>
      <c r="FD6" s="31"/>
      <c r="FE6" s="31"/>
      <c r="FF6" s="31"/>
      <c r="FG6" s="31"/>
      <c r="FH6" s="31"/>
      <c r="FI6" s="31"/>
      <c r="FJ6" s="31"/>
      <c r="FK6" s="31"/>
      <c r="FL6" s="31"/>
      <c r="FM6" s="31"/>
      <c r="FN6" s="31"/>
      <c r="FO6" s="31"/>
      <c r="FP6" s="31"/>
      <c r="FQ6" s="31"/>
      <c r="FR6" s="31"/>
      <c r="FS6" s="31"/>
      <c r="FT6" s="31"/>
      <c r="FU6" s="31"/>
      <c r="FV6" s="31"/>
      <c r="FW6" s="31"/>
      <c r="FX6" s="31"/>
      <c r="FY6" s="31"/>
      <c r="FZ6" s="31"/>
      <c r="GA6" s="31"/>
      <c r="GB6" s="31"/>
      <c r="GC6" s="31"/>
      <c r="GD6" s="31"/>
      <c r="GE6" s="31"/>
      <c r="GF6" s="31"/>
      <c r="GG6" s="31"/>
      <c r="GH6" s="31"/>
      <c r="GI6" s="31"/>
      <c r="GJ6" s="31"/>
      <c r="GK6" s="31"/>
      <c r="GL6" s="31"/>
      <c r="GM6" s="31"/>
      <c r="GN6" s="31"/>
      <c r="GO6" s="31"/>
      <c r="GP6" s="31"/>
      <c r="GQ6" s="31"/>
      <c r="GR6" s="31"/>
      <c r="GS6" s="31"/>
      <c r="GT6" s="31"/>
      <c r="GU6" s="31"/>
      <c r="GV6" s="31"/>
      <c r="GW6" s="31"/>
      <c r="GX6" s="31"/>
      <c r="GY6" s="31"/>
      <c r="GZ6" s="31"/>
      <c r="HA6" s="31"/>
      <c r="HB6" s="31"/>
      <c r="HC6" s="31"/>
      <c r="HD6" s="31"/>
      <c r="HE6" s="31"/>
      <c r="HF6" s="31"/>
      <c r="HG6" s="31"/>
      <c r="HH6" s="31"/>
      <c r="HI6" s="31"/>
      <c r="HJ6" s="31"/>
      <c r="HK6" s="31"/>
      <c r="HL6" s="31"/>
      <c r="HM6" s="31"/>
      <c r="HN6" s="31"/>
      <c r="HO6" s="31"/>
      <c r="HP6" s="31"/>
      <c r="HQ6" s="31"/>
      <c r="HR6" s="31"/>
      <c r="HS6" s="31"/>
      <c r="HT6" s="31"/>
      <c r="HU6" s="31"/>
      <c r="HV6" s="31"/>
      <c r="HW6" s="31"/>
      <c r="HX6" s="31"/>
      <c r="HY6" s="31"/>
      <c r="HZ6" s="31"/>
      <c r="IA6" s="31"/>
      <c r="IB6" s="31"/>
      <c r="IC6" s="31"/>
      <c r="ID6" s="31"/>
      <c r="IE6" s="31"/>
      <c r="IF6" s="31"/>
      <c r="IG6" s="31"/>
      <c r="IH6" s="31"/>
      <c r="II6" s="31"/>
      <c r="IJ6" s="31"/>
      <c r="IK6" s="31"/>
      <c r="IL6" s="31"/>
      <c r="IM6" s="31"/>
      <c r="IN6" s="31"/>
      <c r="IO6" s="31"/>
      <c r="IP6" s="31"/>
      <c r="IQ6" s="31"/>
      <c r="IR6" s="31"/>
      <c r="IS6" s="31"/>
      <c r="IT6" s="31"/>
      <c r="IU6" s="31"/>
      <c r="IV6" s="31"/>
    </row>
    <row r="7" spans="1:256" ht="24.95" customHeight="1" x14ac:dyDescent="0.35">
      <c r="A7" s="1690">
        <v>1</v>
      </c>
      <c r="B7" s="221" t="s">
        <v>272</v>
      </c>
      <c r="C7" s="990"/>
      <c r="D7" s="991" t="s">
        <v>775</v>
      </c>
    </row>
    <row r="8" spans="1:256" ht="24.95" customHeight="1" x14ac:dyDescent="0.35">
      <c r="A8" s="1690">
        <v>2</v>
      </c>
      <c r="B8" s="119"/>
      <c r="C8" s="992" t="s">
        <v>135</v>
      </c>
      <c r="D8" s="993" t="s">
        <v>776</v>
      </c>
      <c r="E8" s="994"/>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19"/>
      <c r="AO8" s="119"/>
      <c r="AP8" s="119"/>
      <c r="AQ8" s="119"/>
      <c r="AR8" s="119"/>
      <c r="AS8" s="119"/>
      <c r="AT8" s="119"/>
      <c r="AU8" s="119"/>
      <c r="AV8" s="119"/>
      <c r="AW8" s="119"/>
      <c r="AX8" s="119"/>
      <c r="AY8" s="119"/>
      <c r="AZ8" s="119"/>
      <c r="BA8" s="119"/>
      <c r="BB8" s="119"/>
      <c r="BC8" s="119"/>
      <c r="BD8" s="119"/>
      <c r="BE8" s="119"/>
      <c r="BF8" s="119"/>
      <c r="BG8" s="119"/>
      <c r="BH8" s="119"/>
      <c r="BI8" s="119"/>
      <c r="BJ8" s="119"/>
      <c r="BK8" s="119"/>
      <c r="BL8" s="119"/>
      <c r="BM8" s="119"/>
      <c r="BN8" s="119"/>
      <c r="BO8" s="119"/>
      <c r="BP8" s="119"/>
      <c r="BQ8" s="119"/>
      <c r="BR8" s="119"/>
      <c r="BS8" s="119"/>
      <c r="BT8" s="119"/>
      <c r="BU8" s="119"/>
      <c r="BV8" s="119"/>
      <c r="BW8" s="119"/>
      <c r="BX8" s="119"/>
      <c r="BY8" s="119"/>
      <c r="BZ8" s="119"/>
      <c r="CA8" s="119"/>
      <c r="CB8" s="119"/>
      <c r="CC8" s="119"/>
      <c r="CD8" s="119"/>
      <c r="CE8" s="119"/>
      <c r="CF8" s="119"/>
      <c r="CG8" s="119"/>
      <c r="CH8" s="119"/>
      <c r="CI8" s="119"/>
      <c r="CJ8" s="119"/>
      <c r="CK8" s="119"/>
      <c r="CL8" s="119"/>
      <c r="CM8" s="119"/>
      <c r="CN8" s="119"/>
      <c r="CO8" s="119"/>
      <c r="CP8" s="119"/>
      <c r="CQ8" s="119"/>
      <c r="CR8" s="119"/>
      <c r="CS8" s="119"/>
      <c r="CT8" s="119"/>
      <c r="CU8" s="119"/>
      <c r="CV8" s="119"/>
      <c r="CW8" s="119"/>
      <c r="CX8" s="119"/>
      <c r="CY8" s="119"/>
      <c r="CZ8" s="119"/>
      <c r="DA8" s="119"/>
      <c r="DB8" s="119"/>
      <c r="DC8" s="119"/>
      <c r="DD8" s="119"/>
      <c r="DE8" s="119"/>
      <c r="DF8" s="119"/>
      <c r="DG8" s="119"/>
      <c r="DH8" s="119"/>
      <c r="DI8" s="119"/>
      <c r="DJ8" s="119"/>
      <c r="DK8" s="119"/>
      <c r="DL8" s="119"/>
      <c r="DM8" s="119"/>
      <c r="DN8" s="119"/>
      <c r="DO8" s="119"/>
      <c r="DP8" s="119"/>
      <c r="DQ8" s="119"/>
      <c r="DR8" s="119"/>
      <c r="DS8" s="119"/>
      <c r="DT8" s="119"/>
      <c r="DU8" s="119"/>
      <c r="DV8" s="119"/>
      <c r="DW8" s="119"/>
      <c r="DX8" s="119"/>
      <c r="DY8" s="119"/>
      <c r="DZ8" s="119"/>
      <c r="EA8" s="119"/>
      <c r="EB8" s="119"/>
      <c r="EC8" s="119"/>
      <c r="ED8" s="119"/>
      <c r="EE8" s="119"/>
      <c r="EF8" s="119"/>
      <c r="EG8" s="119"/>
      <c r="EH8" s="119"/>
      <c r="EI8" s="119"/>
      <c r="EJ8" s="119"/>
      <c r="EK8" s="119"/>
      <c r="EL8" s="119"/>
      <c r="EM8" s="119"/>
      <c r="EN8" s="119"/>
      <c r="EO8" s="119"/>
      <c r="EP8" s="119"/>
      <c r="EQ8" s="119"/>
      <c r="ER8" s="119"/>
      <c r="ES8" s="119"/>
      <c r="ET8" s="119"/>
      <c r="EU8" s="119"/>
      <c r="EV8" s="119"/>
      <c r="EW8" s="119"/>
      <c r="EX8" s="119"/>
      <c r="EY8" s="119"/>
      <c r="EZ8" s="119"/>
      <c r="FA8" s="119"/>
      <c r="FB8" s="119"/>
      <c r="FC8" s="119"/>
      <c r="FD8" s="119"/>
      <c r="FE8" s="119"/>
      <c r="FF8" s="119"/>
      <c r="FG8" s="119"/>
      <c r="FH8" s="119"/>
      <c r="FI8" s="119"/>
      <c r="FJ8" s="119"/>
      <c r="FK8" s="119"/>
      <c r="FL8" s="119"/>
      <c r="FM8" s="119"/>
      <c r="FN8" s="119"/>
      <c r="FO8" s="119"/>
      <c r="FP8" s="119"/>
      <c r="FQ8" s="119"/>
      <c r="FR8" s="119"/>
      <c r="FS8" s="119"/>
      <c r="FT8" s="119"/>
      <c r="FU8" s="119"/>
      <c r="FV8" s="119"/>
      <c r="FW8" s="119"/>
      <c r="FX8" s="119"/>
      <c r="FY8" s="119"/>
      <c r="FZ8" s="119"/>
      <c r="GA8" s="119"/>
      <c r="GB8" s="119"/>
      <c r="GC8" s="119"/>
      <c r="GD8" s="119"/>
      <c r="GE8" s="119"/>
      <c r="GF8" s="119"/>
      <c r="GG8" s="119"/>
      <c r="GH8" s="119"/>
      <c r="GI8" s="119"/>
      <c r="GJ8" s="119"/>
      <c r="GK8" s="119"/>
      <c r="GL8" s="119"/>
      <c r="GM8" s="119"/>
      <c r="GN8" s="119"/>
      <c r="GO8" s="119"/>
      <c r="GP8" s="119"/>
      <c r="GQ8" s="119"/>
      <c r="GR8" s="119"/>
      <c r="GS8" s="119"/>
      <c r="GT8" s="119"/>
      <c r="GU8" s="119"/>
      <c r="GV8" s="119"/>
      <c r="GW8" s="119"/>
      <c r="GX8" s="119"/>
      <c r="GY8" s="119"/>
      <c r="GZ8" s="119"/>
      <c r="HA8" s="119"/>
      <c r="HB8" s="119"/>
      <c r="HC8" s="119"/>
      <c r="HD8" s="119"/>
      <c r="HE8" s="119"/>
      <c r="HF8" s="119"/>
      <c r="HG8" s="119"/>
      <c r="HH8" s="119"/>
      <c r="HI8" s="119"/>
      <c r="HJ8" s="119"/>
      <c r="HK8" s="119"/>
      <c r="HL8" s="119"/>
      <c r="HM8" s="119"/>
      <c r="HN8" s="119"/>
      <c r="HO8" s="119"/>
      <c r="HP8" s="119"/>
      <c r="HQ8" s="119"/>
      <c r="HR8" s="119"/>
      <c r="HS8" s="119"/>
      <c r="HT8" s="119"/>
      <c r="HU8" s="119"/>
      <c r="HV8" s="119"/>
      <c r="HW8" s="119"/>
      <c r="HX8" s="119"/>
      <c r="HY8" s="119"/>
      <c r="HZ8" s="119"/>
      <c r="IA8" s="119"/>
      <c r="IB8" s="119"/>
      <c r="IC8" s="119"/>
      <c r="ID8" s="119"/>
      <c r="IE8" s="119"/>
      <c r="IF8" s="119"/>
      <c r="IG8" s="119"/>
      <c r="IH8" s="119"/>
      <c r="II8" s="119"/>
      <c r="IJ8" s="119"/>
      <c r="IK8" s="119"/>
      <c r="IL8" s="119"/>
      <c r="IM8" s="119"/>
      <c r="IN8" s="119"/>
      <c r="IO8" s="119"/>
      <c r="IP8" s="119"/>
      <c r="IQ8" s="119"/>
      <c r="IR8" s="119"/>
      <c r="IS8" s="119"/>
      <c r="IT8" s="119"/>
      <c r="IU8" s="119"/>
      <c r="IV8" s="119"/>
    </row>
    <row r="9" spans="1:256" ht="18" customHeight="1" x14ac:dyDescent="0.3">
      <c r="A9" s="1690">
        <v>3</v>
      </c>
      <c r="D9" s="982" t="s">
        <v>1375</v>
      </c>
      <c r="E9" s="65">
        <v>5261</v>
      </c>
    </row>
    <row r="10" spans="1:256" ht="18" customHeight="1" x14ac:dyDescent="0.3">
      <c r="A10" s="1690">
        <v>4</v>
      </c>
      <c r="D10" s="982" t="s">
        <v>1376</v>
      </c>
      <c r="E10" s="65">
        <v>9899</v>
      </c>
    </row>
    <row r="11" spans="1:256" ht="18" customHeight="1" x14ac:dyDescent="0.3">
      <c r="A11" s="1690">
        <v>5</v>
      </c>
      <c r="D11" s="1001" t="s">
        <v>1377</v>
      </c>
      <c r="E11" s="65">
        <v>253</v>
      </c>
    </row>
    <row r="12" spans="1:256" ht="18" customHeight="1" x14ac:dyDescent="0.3">
      <c r="A12" s="1690">
        <v>6</v>
      </c>
      <c r="D12" s="982" t="s">
        <v>1378</v>
      </c>
      <c r="E12" s="1421">
        <v>945</v>
      </c>
    </row>
    <row r="13" spans="1:256" x14ac:dyDescent="0.3">
      <c r="A13" s="1690">
        <v>7</v>
      </c>
      <c r="D13" s="997" t="s">
        <v>134</v>
      </c>
      <c r="E13" s="998">
        <f>SUM(E9:E12)</f>
        <v>16358</v>
      </c>
    </row>
    <row r="14" spans="1:256" ht="24.95" customHeight="1" x14ac:dyDescent="0.35">
      <c r="A14" s="1690">
        <v>8</v>
      </c>
      <c r="B14" s="119"/>
      <c r="C14" s="992" t="s">
        <v>142</v>
      </c>
      <c r="D14" s="999" t="s">
        <v>777</v>
      </c>
      <c r="E14" s="994"/>
      <c r="F14" s="119"/>
      <c r="G14" s="119"/>
      <c r="H14" s="119"/>
      <c r="I14" s="119"/>
      <c r="J14" s="119"/>
      <c r="K14" s="119"/>
      <c r="L14" s="119"/>
      <c r="M14" s="119"/>
      <c r="N14" s="119"/>
      <c r="O14" s="119"/>
      <c r="P14" s="119"/>
      <c r="Q14" s="119"/>
      <c r="R14" s="119"/>
      <c r="S14" s="119"/>
      <c r="T14" s="119"/>
      <c r="U14" s="119"/>
      <c r="V14" s="119"/>
      <c r="W14" s="119"/>
      <c r="X14" s="119"/>
      <c r="Y14" s="119"/>
      <c r="Z14" s="119"/>
      <c r="AA14" s="119"/>
      <c r="AB14" s="119"/>
      <c r="AC14" s="119"/>
      <c r="AD14" s="119"/>
      <c r="AE14" s="119"/>
      <c r="AF14" s="119"/>
      <c r="AG14" s="119"/>
      <c r="AH14" s="119"/>
      <c r="AI14" s="119"/>
      <c r="AJ14" s="119"/>
      <c r="AK14" s="119"/>
      <c r="AL14" s="119"/>
      <c r="AM14" s="119"/>
      <c r="AN14" s="119"/>
      <c r="AO14" s="119"/>
      <c r="AP14" s="119"/>
      <c r="AQ14" s="119"/>
      <c r="AR14" s="119"/>
      <c r="AS14" s="119"/>
      <c r="AT14" s="119"/>
      <c r="AU14" s="119"/>
      <c r="AV14" s="119"/>
      <c r="AW14" s="119"/>
      <c r="AX14" s="119"/>
      <c r="AY14" s="119"/>
      <c r="AZ14" s="119"/>
      <c r="BA14" s="119"/>
      <c r="BB14" s="119"/>
      <c r="BC14" s="119"/>
      <c r="BD14" s="119"/>
      <c r="BE14" s="119"/>
      <c r="BF14" s="119"/>
      <c r="BG14" s="119"/>
      <c r="BH14" s="119"/>
      <c r="BI14" s="119"/>
      <c r="BJ14" s="119"/>
      <c r="BK14" s="119"/>
      <c r="BL14" s="119"/>
      <c r="BM14" s="119"/>
      <c r="BN14" s="119"/>
      <c r="BO14" s="119"/>
      <c r="BP14" s="119"/>
      <c r="BQ14" s="119"/>
      <c r="BR14" s="119"/>
      <c r="BS14" s="119"/>
      <c r="BT14" s="119"/>
      <c r="BU14" s="119"/>
      <c r="BV14" s="119"/>
      <c r="BW14" s="119"/>
      <c r="BX14" s="119"/>
      <c r="BY14" s="119"/>
      <c r="BZ14" s="119"/>
      <c r="CA14" s="119"/>
      <c r="CB14" s="119"/>
      <c r="CC14" s="119"/>
      <c r="CD14" s="119"/>
      <c r="CE14" s="119"/>
      <c r="CF14" s="119"/>
      <c r="CG14" s="119"/>
      <c r="CH14" s="119"/>
      <c r="CI14" s="119"/>
      <c r="CJ14" s="119"/>
      <c r="CK14" s="119"/>
      <c r="CL14" s="119"/>
      <c r="CM14" s="119"/>
      <c r="CN14" s="119"/>
      <c r="CO14" s="119"/>
      <c r="CP14" s="119"/>
      <c r="CQ14" s="119"/>
      <c r="CR14" s="119"/>
      <c r="CS14" s="119"/>
      <c r="CT14" s="119"/>
      <c r="CU14" s="119"/>
      <c r="CV14" s="119"/>
      <c r="CW14" s="119"/>
      <c r="CX14" s="119"/>
      <c r="CY14" s="119"/>
      <c r="CZ14" s="119"/>
      <c r="DA14" s="119"/>
      <c r="DB14" s="119"/>
      <c r="DC14" s="119"/>
      <c r="DD14" s="119"/>
      <c r="DE14" s="119"/>
      <c r="DF14" s="119"/>
      <c r="DG14" s="119"/>
      <c r="DH14" s="119"/>
      <c r="DI14" s="119"/>
      <c r="DJ14" s="119"/>
      <c r="DK14" s="119"/>
      <c r="DL14" s="119"/>
      <c r="DM14" s="119"/>
      <c r="DN14" s="119"/>
      <c r="DO14" s="119"/>
      <c r="DP14" s="119"/>
      <c r="DQ14" s="119"/>
      <c r="DR14" s="119"/>
      <c r="DS14" s="119"/>
      <c r="DT14" s="119"/>
      <c r="DU14" s="119"/>
      <c r="DV14" s="119"/>
      <c r="DW14" s="119"/>
      <c r="DX14" s="119"/>
      <c r="DY14" s="119"/>
      <c r="DZ14" s="119"/>
      <c r="EA14" s="119"/>
      <c r="EB14" s="119"/>
      <c r="EC14" s="119"/>
      <c r="ED14" s="119"/>
      <c r="EE14" s="119"/>
      <c r="EF14" s="119"/>
      <c r="EG14" s="119"/>
      <c r="EH14" s="119"/>
      <c r="EI14" s="119"/>
      <c r="EJ14" s="119"/>
      <c r="EK14" s="119"/>
      <c r="EL14" s="119"/>
      <c r="EM14" s="119"/>
      <c r="EN14" s="119"/>
      <c r="EO14" s="119"/>
      <c r="EP14" s="119"/>
      <c r="EQ14" s="119"/>
      <c r="ER14" s="119"/>
      <c r="ES14" s="119"/>
      <c r="ET14" s="119"/>
      <c r="EU14" s="119"/>
      <c r="EV14" s="119"/>
      <c r="EW14" s="119"/>
      <c r="EX14" s="119"/>
      <c r="EY14" s="119"/>
      <c r="EZ14" s="119"/>
      <c r="FA14" s="119"/>
      <c r="FB14" s="119"/>
      <c r="FC14" s="119"/>
      <c r="FD14" s="119"/>
      <c r="FE14" s="119"/>
      <c r="FF14" s="119"/>
      <c r="FG14" s="119"/>
      <c r="FH14" s="119"/>
      <c r="FI14" s="119"/>
      <c r="FJ14" s="119"/>
      <c r="FK14" s="119"/>
      <c r="FL14" s="119"/>
      <c r="FM14" s="119"/>
      <c r="FN14" s="119"/>
      <c r="FO14" s="119"/>
      <c r="FP14" s="119"/>
      <c r="FQ14" s="119"/>
      <c r="FR14" s="119"/>
      <c r="FS14" s="119"/>
      <c r="FT14" s="119"/>
      <c r="FU14" s="119"/>
      <c r="FV14" s="119"/>
      <c r="FW14" s="119"/>
      <c r="FX14" s="119"/>
      <c r="FY14" s="119"/>
      <c r="FZ14" s="119"/>
      <c r="GA14" s="119"/>
      <c r="GB14" s="119"/>
      <c r="GC14" s="119"/>
      <c r="GD14" s="119"/>
      <c r="GE14" s="119"/>
      <c r="GF14" s="119"/>
      <c r="GG14" s="119"/>
      <c r="GH14" s="119"/>
      <c r="GI14" s="119"/>
      <c r="GJ14" s="119"/>
      <c r="GK14" s="119"/>
      <c r="GL14" s="119"/>
      <c r="GM14" s="119"/>
      <c r="GN14" s="119"/>
      <c r="GO14" s="119"/>
      <c r="GP14" s="119"/>
      <c r="GQ14" s="119"/>
      <c r="GR14" s="119"/>
      <c r="GS14" s="119"/>
      <c r="GT14" s="119"/>
      <c r="GU14" s="119"/>
      <c r="GV14" s="119"/>
      <c r="GW14" s="119"/>
      <c r="GX14" s="119"/>
      <c r="GY14" s="119"/>
      <c r="GZ14" s="119"/>
      <c r="HA14" s="119"/>
      <c r="HB14" s="119"/>
      <c r="HC14" s="119"/>
      <c r="HD14" s="119"/>
      <c r="HE14" s="119"/>
      <c r="HF14" s="119"/>
      <c r="HG14" s="119"/>
      <c r="HH14" s="119"/>
      <c r="HI14" s="119"/>
      <c r="HJ14" s="119"/>
      <c r="HK14" s="119"/>
      <c r="HL14" s="119"/>
      <c r="HM14" s="119"/>
      <c r="HN14" s="119"/>
      <c r="HO14" s="119"/>
      <c r="HP14" s="119"/>
      <c r="HQ14" s="119"/>
      <c r="HR14" s="119"/>
      <c r="HS14" s="119"/>
      <c r="HT14" s="119"/>
      <c r="HU14" s="119"/>
      <c r="HV14" s="119"/>
      <c r="HW14" s="119"/>
      <c r="HX14" s="119"/>
      <c r="HY14" s="119"/>
      <c r="HZ14" s="119"/>
      <c r="IA14" s="119"/>
      <c r="IB14" s="119"/>
      <c r="IC14" s="119"/>
      <c r="ID14" s="119"/>
      <c r="IE14" s="119"/>
      <c r="IF14" s="119"/>
      <c r="IG14" s="119"/>
      <c r="IH14" s="119"/>
      <c r="II14" s="119"/>
      <c r="IJ14" s="119"/>
      <c r="IK14" s="119"/>
      <c r="IL14" s="119"/>
      <c r="IM14" s="119"/>
      <c r="IN14" s="119"/>
      <c r="IO14" s="119"/>
      <c r="IP14" s="119"/>
      <c r="IQ14" s="119"/>
      <c r="IR14" s="119"/>
      <c r="IS14" s="119"/>
      <c r="IT14" s="119"/>
      <c r="IU14" s="119"/>
      <c r="IV14" s="119"/>
    </row>
    <row r="15" spans="1:256" ht="18" customHeight="1" x14ac:dyDescent="0.3">
      <c r="A15" s="1690">
        <v>9</v>
      </c>
      <c r="B15" s="119"/>
      <c r="C15" s="992"/>
      <c r="D15" s="1001" t="s">
        <v>1406</v>
      </c>
      <c r="E15" s="1421">
        <v>1284</v>
      </c>
      <c r="F15" s="119"/>
      <c r="G15" s="1684"/>
      <c r="H15" s="1685"/>
      <c r="I15" s="1685"/>
      <c r="J15" s="1685"/>
      <c r="K15" s="1685"/>
      <c r="L15" s="119"/>
      <c r="M15" s="119"/>
      <c r="N15" s="119"/>
      <c r="O15" s="119"/>
      <c r="P15" s="119"/>
      <c r="Q15" s="119"/>
      <c r="R15" s="119"/>
      <c r="S15" s="119"/>
      <c r="T15" s="119"/>
      <c r="U15" s="119"/>
      <c r="V15" s="119"/>
      <c r="W15" s="119"/>
      <c r="X15" s="119"/>
      <c r="Y15" s="119"/>
      <c r="Z15" s="119"/>
      <c r="AA15" s="119"/>
      <c r="AB15" s="119"/>
      <c r="AC15" s="119"/>
      <c r="AD15" s="119"/>
      <c r="AE15" s="119"/>
      <c r="AF15" s="119"/>
      <c r="AG15" s="119"/>
      <c r="AH15" s="119"/>
      <c r="AI15" s="119"/>
      <c r="AJ15" s="119"/>
      <c r="AK15" s="119"/>
      <c r="AL15" s="119"/>
      <c r="AM15" s="119"/>
      <c r="AN15" s="119"/>
      <c r="AO15" s="119"/>
      <c r="AP15" s="119"/>
      <c r="AQ15" s="119"/>
      <c r="AR15" s="119"/>
      <c r="AS15" s="119"/>
      <c r="AT15" s="119"/>
      <c r="AU15" s="119"/>
      <c r="AV15" s="119"/>
      <c r="AW15" s="119"/>
      <c r="AX15" s="119"/>
      <c r="AY15" s="119"/>
      <c r="AZ15" s="119"/>
      <c r="BA15" s="119"/>
      <c r="BB15" s="119"/>
      <c r="BC15" s="119"/>
      <c r="BD15" s="119"/>
      <c r="BE15" s="119"/>
      <c r="BF15" s="119"/>
      <c r="BG15" s="119"/>
      <c r="BH15" s="119"/>
      <c r="BI15" s="119"/>
      <c r="BJ15" s="119"/>
      <c r="BK15" s="119"/>
      <c r="BL15" s="119"/>
      <c r="BM15" s="119"/>
      <c r="BN15" s="119"/>
      <c r="BO15" s="119"/>
      <c r="BP15" s="119"/>
      <c r="BQ15" s="119"/>
      <c r="BR15" s="119"/>
      <c r="BS15" s="119"/>
      <c r="BT15" s="119"/>
      <c r="BU15" s="119"/>
      <c r="BV15" s="119"/>
      <c r="BW15" s="119"/>
      <c r="BX15" s="119"/>
      <c r="BY15" s="119"/>
      <c r="BZ15" s="119"/>
      <c r="CA15" s="119"/>
      <c r="CB15" s="119"/>
      <c r="CC15" s="119"/>
      <c r="CD15" s="119"/>
      <c r="CE15" s="119"/>
      <c r="CF15" s="119"/>
      <c r="CG15" s="119"/>
      <c r="CH15" s="119"/>
      <c r="CI15" s="119"/>
      <c r="CJ15" s="119"/>
      <c r="CK15" s="119"/>
      <c r="CL15" s="119"/>
      <c r="CM15" s="119"/>
      <c r="CN15" s="119"/>
      <c r="CO15" s="119"/>
      <c r="CP15" s="119"/>
      <c r="CQ15" s="119"/>
      <c r="CR15" s="119"/>
      <c r="CS15" s="119"/>
      <c r="CT15" s="119"/>
      <c r="CU15" s="119"/>
      <c r="CV15" s="119"/>
      <c r="CW15" s="119"/>
      <c r="CX15" s="119"/>
      <c r="CY15" s="119"/>
      <c r="CZ15" s="119"/>
      <c r="DA15" s="119"/>
      <c r="DB15" s="119"/>
      <c r="DC15" s="119"/>
      <c r="DD15" s="119"/>
      <c r="DE15" s="119"/>
      <c r="DF15" s="119"/>
      <c r="DG15" s="119"/>
      <c r="DH15" s="119"/>
      <c r="DI15" s="119"/>
      <c r="DJ15" s="119"/>
      <c r="DK15" s="119"/>
      <c r="DL15" s="119"/>
      <c r="DM15" s="119"/>
      <c r="DN15" s="119"/>
      <c r="DO15" s="119"/>
      <c r="DP15" s="119"/>
      <c r="DQ15" s="119"/>
      <c r="DR15" s="119"/>
      <c r="DS15" s="119"/>
      <c r="DT15" s="119"/>
      <c r="DU15" s="119"/>
      <c r="DV15" s="119"/>
      <c r="DW15" s="119"/>
      <c r="DX15" s="119"/>
      <c r="DY15" s="119"/>
      <c r="DZ15" s="119"/>
      <c r="EA15" s="119"/>
      <c r="EB15" s="119"/>
      <c r="EC15" s="119"/>
      <c r="ED15" s="119"/>
      <c r="EE15" s="119"/>
      <c r="EF15" s="119"/>
      <c r="EG15" s="119"/>
      <c r="EH15" s="119"/>
      <c r="EI15" s="119"/>
      <c r="EJ15" s="119"/>
      <c r="EK15" s="119"/>
      <c r="EL15" s="119"/>
      <c r="EM15" s="119"/>
      <c r="EN15" s="119"/>
      <c r="EO15" s="119"/>
      <c r="EP15" s="119"/>
      <c r="EQ15" s="119"/>
      <c r="ER15" s="119"/>
      <c r="ES15" s="119"/>
      <c r="ET15" s="119"/>
      <c r="EU15" s="119"/>
      <c r="EV15" s="119"/>
      <c r="EW15" s="119"/>
      <c r="EX15" s="119"/>
      <c r="EY15" s="119"/>
      <c r="EZ15" s="119"/>
      <c r="FA15" s="119"/>
      <c r="FB15" s="119"/>
      <c r="FC15" s="119"/>
      <c r="FD15" s="119"/>
      <c r="FE15" s="119"/>
      <c r="FF15" s="119"/>
      <c r="FG15" s="119"/>
      <c r="FH15" s="119"/>
      <c r="FI15" s="119"/>
      <c r="FJ15" s="119"/>
      <c r="FK15" s="119"/>
      <c r="FL15" s="119"/>
      <c r="FM15" s="119"/>
      <c r="FN15" s="119"/>
      <c r="FO15" s="119"/>
      <c r="FP15" s="119"/>
      <c r="FQ15" s="119"/>
      <c r="FR15" s="119"/>
      <c r="FS15" s="119"/>
      <c r="FT15" s="119"/>
      <c r="FU15" s="119"/>
      <c r="FV15" s="119"/>
      <c r="FW15" s="119"/>
      <c r="FX15" s="119"/>
      <c r="FY15" s="119"/>
      <c r="FZ15" s="119"/>
      <c r="GA15" s="119"/>
      <c r="GB15" s="119"/>
      <c r="GC15" s="119"/>
      <c r="GD15" s="119"/>
      <c r="GE15" s="119"/>
      <c r="GF15" s="119"/>
      <c r="GG15" s="119"/>
      <c r="GH15" s="119"/>
      <c r="GI15" s="119"/>
      <c r="GJ15" s="119"/>
      <c r="GK15" s="119"/>
      <c r="GL15" s="119"/>
      <c r="GM15" s="119"/>
      <c r="GN15" s="119"/>
      <c r="GO15" s="119"/>
      <c r="GP15" s="119"/>
      <c r="GQ15" s="119"/>
      <c r="GR15" s="119"/>
      <c r="GS15" s="119"/>
      <c r="GT15" s="119"/>
      <c r="GU15" s="119"/>
      <c r="GV15" s="119"/>
      <c r="GW15" s="119"/>
      <c r="GX15" s="119"/>
      <c r="GY15" s="119"/>
      <c r="GZ15" s="119"/>
      <c r="HA15" s="119"/>
      <c r="HB15" s="119"/>
      <c r="HC15" s="119"/>
      <c r="HD15" s="119"/>
      <c r="HE15" s="119"/>
      <c r="HF15" s="119"/>
      <c r="HG15" s="119"/>
      <c r="HH15" s="119"/>
      <c r="HI15" s="119"/>
      <c r="HJ15" s="119"/>
      <c r="HK15" s="119"/>
      <c r="HL15" s="119"/>
      <c r="HM15" s="119"/>
      <c r="HN15" s="119"/>
      <c r="HO15" s="119"/>
      <c r="HP15" s="119"/>
      <c r="HQ15" s="119"/>
      <c r="HR15" s="119"/>
      <c r="HS15" s="119"/>
      <c r="HT15" s="119"/>
      <c r="HU15" s="119"/>
      <c r="HV15" s="119"/>
      <c r="HW15" s="119"/>
      <c r="HX15" s="119"/>
      <c r="HY15" s="119"/>
      <c r="HZ15" s="119"/>
      <c r="IA15" s="119"/>
      <c r="IB15" s="119"/>
      <c r="IC15" s="119"/>
      <c r="ID15" s="119"/>
      <c r="IE15" s="119"/>
      <c r="IF15" s="119"/>
      <c r="IG15" s="119"/>
      <c r="IH15" s="119"/>
      <c r="II15" s="119"/>
      <c r="IJ15" s="119"/>
      <c r="IK15" s="119"/>
      <c r="IL15" s="119"/>
      <c r="IM15" s="119"/>
      <c r="IN15" s="119"/>
      <c r="IO15" s="119"/>
      <c r="IP15" s="119"/>
      <c r="IQ15" s="119"/>
      <c r="IR15" s="119"/>
      <c r="IS15" s="119"/>
      <c r="IT15" s="119"/>
      <c r="IU15" s="119"/>
      <c r="IV15" s="119"/>
    </row>
    <row r="16" spans="1:256" ht="18" customHeight="1" x14ac:dyDescent="0.3">
      <c r="A16" s="1690">
        <v>10</v>
      </c>
      <c r="B16" s="119"/>
      <c r="C16" s="992"/>
      <c r="D16" s="997" t="s">
        <v>134</v>
      </c>
      <c r="E16" s="1558">
        <f>SUM(E15:E15)</f>
        <v>1284</v>
      </c>
      <c r="F16" s="119"/>
      <c r="G16" s="1684"/>
      <c r="H16" s="1685"/>
      <c r="I16" s="1685"/>
      <c r="J16" s="1685"/>
      <c r="K16" s="1685"/>
      <c r="L16" s="119"/>
      <c r="M16" s="119"/>
      <c r="N16" s="119"/>
      <c r="O16" s="119"/>
      <c r="P16" s="119"/>
      <c r="Q16" s="119"/>
      <c r="R16" s="119"/>
      <c r="S16" s="119"/>
      <c r="T16" s="119"/>
      <c r="U16" s="119"/>
      <c r="V16" s="119"/>
      <c r="W16" s="119"/>
      <c r="X16" s="119"/>
      <c r="Y16" s="119"/>
      <c r="Z16" s="119"/>
      <c r="AA16" s="119"/>
      <c r="AB16" s="119"/>
      <c r="AC16" s="119"/>
      <c r="AD16" s="119"/>
      <c r="AE16" s="119"/>
      <c r="AF16" s="119"/>
      <c r="AG16" s="119"/>
      <c r="AH16" s="119"/>
      <c r="AI16" s="119"/>
      <c r="AJ16" s="119"/>
      <c r="AK16" s="119"/>
      <c r="AL16" s="119"/>
      <c r="AM16" s="119"/>
      <c r="AN16" s="119"/>
      <c r="AO16" s="119"/>
      <c r="AP16" s="119"/>
      <c r="AQ16" s="119"/>
      <c r="AR16" s="119"/>
      <c r="AS16" s="119"/>
      <c r="AT16" s="119"/>
      <c r="AU16" s="119"/>
      <c r="AV16" s="119"/>
      <c r="AW16" s="119"/>
      <c r="AX16" s="119"/>
      <c r="AY16" s="119"/>
      <c r="AZ16" s="119"/>
      <c r="BA16" s="119"/>
      <c r="BB16" s="119"/>
      <c r="BC16" s="119"/>
      <c r="BD16" s="119"/>
      <c r="BE16" s="119"/>
      <c r="BF16" s="119"/>
      <c r="BG16" s="119"/>
      <c r="BH16" s="119"/>
      <c r="BI16" s="119"/>
      <c r="BJ16" s="119"/>
      <c r="BK16" s="119"/>
      <c r="BL16" s="119"/>
      <c r="BM16" s="119"/>
      <c r="BN16" s="119"/>
      <c r="BO16" s="119"/>
      <c r="BP16" s="119"/>
      <c r="BQ16" s="119"/>
      <c r="BR16" s="119"/>
      <c r="BS16" s="119"/>
      <c r="BT16" s="119"/>
      <c r="BU16" s="119"/>
      <c r="BV16" s="119"/>
      <c r="BW16" s="119"/>
      <c r="BX16" s="119"/>
      <c r="BY16" s="119"/>
      <c r="BZ16" s="119"/>
      <c r="CA16" s="119"/>
      <c r="CB16" s="119"/>
      <c r="CC16" s="119"/>
      <c r="CD16" s="119"/>
      <c r="CE16" s="119"/>
      <c r="CF16" s="119"/>
      <c r="CG16" s="119"/>
      <c r="CH16" s="119"/>
      <c r="CI16" s="119"/>
      <c r="CJ16" s="119"/>
      <c r="CK16" s="119"/>
      <c r="CL16" s="119"/>
      <c r="CM16" s="119"/>
      <c r="CN16" s="119"/>
      <c r="CO16" s="119"/>
      <c r="CP16" s="119"/>
      <c r="CQ16" s="119"/>
      <c r="CR16" s="119"/>
      <c r="CS16" s="119"/>
      <c r="CT16" s="119"/>
      <c r="CU16" s="119"/>
      <c r="CV16" s="119"/>
      <c r="CW16" s="119"/>
      <c r="CX16" s="119"/>
      <c r="CY16" s="119"/>
      <c r="CZ16" s="119"/>
      <c r="DA16" s="119"/>
      <c r="DB16" s="119"/>
      <c r="DC16" s="119"/>
      <c r="DD16" s="119"/>
      <c r="DE16" s="119"/>
      <c r="DF16" s="119"/>
      <c r="DG16" s="119"/>
      <c r="DH16" s="119"/>
      <c r="DI16" s="119"/>
      <c r="DJ16" s="119"/>
      <c r="DK16" s="119"/>
      <c r="DL16" s="119"/>
      <c r="DM16" s="119"/>
      <c r="DN16" s="119"/>
      <c r="DO16" s="119"/>
      <c r="DP16" s="119"/>
      <c r="DQ16" s="119"/>
      <c r="DR16" s="119"/>
      <c r="DS16" s="119"/>
      <c r="DT16" s="119"/>
      <c r="DU16" s="119"/>
      <c r="DV16" s="119"/>
      <c r="DW16" s="119"/>
      <c r="DX16" s="119"/>
      <c r="DY16" s="119"/>
      <c r="DZ16" s="119"/>
      <c r="EA16" s="119"/>
      <c r="EB16" s="119"/>
      <c r="EC16" s="119"/>
      <c r="ED16" s="119"/>
      <c r="EE16" s="119"/>
      <c r="EF16" s="119"/>
      <c r="EG16" s="119"/>
      <c r="EH16" s="119"/>
      <c r="EI16" s="119"/>
      <c r="EJ16" s="119"/>
      <c r="EK16" s="119"/>
      <c r="EL16" s="119"/>
      <c r="EM16" s="119"/>
      <c r="EN16" s="119"/>
      <c r="EO16" s="119"/>
      <c r="EP16" s="119"/>
      <c r="EQ16" s="119"/>
      <c r="ER16" s="119"/>
      <c r="ES16" s="119"/>
      <c r="ET16" s="119"/>
      <c r="EU16" s="119"/>
      <c r="EV16" s="119"/>
      <c r="EW16" s="119"/>
      <c r="EX16" s="119"/>
      <c r="EY16" s="119"/>
      <c r="EZ16" s="119"/>
      <c r="FA16" s="119"/>
      <c r="FB16" s="119"/>
      <c r="FC16" s="119"/>
      <c r="FD16" s="119"/>
      <c r="FE16" s="119"/>
      <c r="FF16" s="119"/>
      <c r="FG16" s="119"/>
      <c r="FH16" s="119"/>
      <c r="FI16" s="119"/>
      <c r="FJ16" s="119"/>
      <c r="FK16" s="119"/>
      <c r="FL16" s="119"/>
      <c r="FM16" s="119"/>
      <c r="FN16" s="119"/>
      <c r="FO16" s="119"/>
      <c r="FP16" s="119"/>
      <c r="FQ16" s="119"/>
      <c r="FR16" s="119"/>
      <c r="FS16" s="119"/>
      <c r="FT16" s="119"/>
      <c r="FU16" s="119"/>
      <c r="FV16" s="119"/>
      <c r="FW16" s="119"/>
      <c r="FX16" s="119"/>
      <c r="FY16" s="119"/>
      <c r="FZ16" s="119"/>
      <c r="GA16" s="119"/>
      <c r="GB16" s="119"/>
      <c r="GC16" s="119"/>
      <c r="GD16" s="119"/>
      <c r="GE16" s="119"/>
      <c r="GF16" s="119"/>
      <c r="GG16" s="119"/>
      <c r="GH16" s="119"/>
      <c r="GI16" s="119"/>
      <c r="GJ16" s="119"/>
      <c r="GK16" s="119"/>
      <c r="GL16" s="119"/>
      <c r="GM16" s="119"/>
      <c r="GN16" s="119"/>
      <c r="GO16" s="119"/>
      <c r="GP16" s="119"/>
      <c r="GQ16" s="119"/>
      <c r="GR16" s="119"/>
      <c r="GS16" s="119"/>
      <c r="GT16" s="119"/>
      <c r="GU16" s="119"/>
      <c r="GV16" s="119"/>
      <c r="GW16" s="119"/>
      <c r="GX16" s="119"/>
      <c r="GY16" s="119"/>
      <c r="GZ16" s="119"/>
      <c r="HA16" s="119"/>
      <c r="HB16" s="119"/>
      <c r="HC16" s="119"/>
      <c r="HD16" s="119"/>
      <c r="HE16" s="119"/>
      <c r="HF16" s="119"/>
      <c r="HG16" s="119"/>
      <c r="HH16" s="119"/>
      <c r="HI16" s="119"/>
      <c r="HJ16" s="119"/>
      <c r="HK16" s="119"/>
      <c r="HL16" s="119"/>
      <c r="HM16" s="119"/>
      <c r="HN16" s="119"/>
      <c r="HO16" s="119"/>
      <c r="HP16" s="119"/>
      <c r="HQ16" s="119"/>
      <c r="HR16" s="119"/>
      <c r="HS16" s="119"/>
      <c r="HT16" s="119"/>
      <c r="HU16" s="119"/>
      <c r="HV16" s="119"/>
      <c r="HW16" s="119"/>
      <c r="HX16" s="119"/>
      <c r="HY16" s="119"/>
      <c r="HZ16" s="119"/>
      <c r="IA16" s="119"/>
      <c r="IB16" s="119"/>
      <c r="IC16" s="119"/>
      <c r="ID16" s="119"/>
      <c r="IE16" s="119"/>
      <c r="IF16" s="119"/>
      <c r="IG16" s="119"/>
      <c r="IH16" s="119"/>
      <c r="II16" s="119"/>
      <c r="IJ16" s="119"/>
      <c r="IK16" s="119"/>
      <c r="IL16" s="119"/>
      <c r="IM16" s="119"/>
      <c r="IN16" s="119"/>
      <c r="IO16" s="119"/>
      <c r="IP16" s="119"/>
      <c r="IQ16" s="119"/>
      <c r="IR16" s="119"/>
      <c r="IS16" s="119"/>
      <c r="IT16" s="119"/>
      <c r="IU16" s="119"/>
      <c r="IV16" s="119"/>
    </row>
    <row r="17" spans="1:256" ht="24.95" customHeight="1" x14ac:dyDescent="0.35">
      <c r="A17" s="1690">
        <v>11</v>
      </c>
      <c r="B17" s="119"/>
      <c r="C17" s="992" t="s">
        <v>143</v>
      </c>
      <c r="D17" s="999" t="s">
        <v>778</v>
      </c>
      <c r="E17" s="994"/>
      <c r="F17" s="119"/>
      <c r="G17" s="119"/>
      <c r="H17" s="119"/>
      <c r="I17" s="119"/>
      <c r="J17" s="119"/>
      <c r="K17" s="119"/>
      <c r="L17" s="119"/>
      <c r="M17" s="119"/>
      <c r="N17" s="119"/>
      <c r="O17" s="119"/>
      <c r="P17" s="119"/>
      <c r="Q17" s="119"/>
      <c r="R17" s="119"/>
      <c r="S17" s="119"/>
      <c r="T17" s="119"/>
      <c r="U17" s="119"/>
      <c r="V17" s="119"/>
      <c r="W17" s="119"/>
      <c r="X17" s="119"/>
      <c r="Y17" s="119"/>
      <c r="Z17" s="119"/>
      <c r="AA17" s="119"/>
      <c r="AB17" s="119"/>
      <c r="AC17" s="119"/>
      <c r="AD17" s="119"/>
      <c r="AE17" s="119"/>
      <c r="AF17" s="119"/>
      <c r="AG17" s="119"/>
      <c r="AH17" s="119"/>
      <c r="AI17" s="119"/>
      <c r="AJ17" s="119"/>
      <c r="AK17" s="119"/>
      <c r="AL17" s="119"/>
      <c r="AM17" s="119"/>
      <c r="AN17" s="119"/>
      <c r="AO17" s="119"/>
      <c r="AP17" s="119"/>
      <c r="AQ17" s="119"/>
      <c r="AR17" s="119"/>
      <c r="AS17" s="119"/>
      <c r="AT17" s="119"/>
      <c r="AU17" s="119"/>
      <c r="AV17" s="119"/>
      <c r="AW17" s="119"/>
      <c r="AX17" s="119"/>
      <c r="AY17" s="119"/>
      <c r="AZ17" s="119"/>
      <c r="BA17" s="119"/>
      <c r="BB17" s="119"/>
      <c r="BC17" s="119"/>
      <c r="BD17" s="119"/>
      <c r="BE17" s="119"/>
      <c r="BF17" s="119"/>
      <c r="BG17" s="119"/>
      <c r="BH17" s="119"/>
      <c r="BI17" s="119"/>
      <c r="BJ17" s="119"/>
      <c r="BK17" s="119"/>
      <c r="BL17" s="119"/>
      <c r="BM17" s="119"/>
      <c r="BN17" s="119"/>
      <c r="BO17" s="119"/>
      <c r="BP17" s="119"/>
      <c r="BQ17" s="119"/>
      <c r="BR17" s="119"/>
      <c r="BS17" s="119"/>
      <c r="BT17" s="119"/>
      <c r="BU17" s="119"/>
      <c r="BV17" s="119"/>
      <c r="BW17" s="119"/>
      <c r="BX17" s="119"/>
      <c r="BY17" s="119"/>
      <c r="BZ17" s="119"/>
      <c r="CA17" s="119"/>
      <c r="CB17" s="119"/>
      <c r="CC17" s="119"/>
      <c r="CD17" s="119"/>
      <c r="CE17" s="119"/>
      <c r="CF17" s="119"/>
      <c r="CG17" s="119"/>
      <c r="CH17" s="119"/>
      <c r="CI17" s="119"/>
      <c r="CJ17" s="119"/>
      <c r="CK17" s="119"/>
      <c r="CL17" s="119"/>
      <c r="CM17" s="119"/>
      <c r="CN17" s="119"/>
      <c r="CO17" s="119"/>
      <c r="CP17" s="119"/>
      <c r="CQ17" s="119"/>
      <c r="CR17" s="119"/>
      <c r="CS17" s="119"/>
      <c r="CT17" s="119"/>
      <c r="CU17" s="119"/>
      <c r="CV17" s="119"/>
      <c r="CW17" s="119"/>
      <c r="CX17" s="119"/>
      <c r="CY17" s="119"/>
      <c r="CZ17" s="119"/>
      <c r="DA17" s="119"/>
      <c r="DB17" s="119"/>
      <c r="DC17" s="119"/>
      <c r="DD17" s="119"/>
      <c r="DE17" s="119"/>
      <c r="DF17" s="119"/>
      <c r="DG17" s="119"/>
      <c r="DH17" s="119"/>
      <c r="DI17" s="119"/>
      <c r="DJ17" s="119"/>
      <c r="DK17" s="119"/>
      <c r="DL17" s="119"/>
      <c r="DM17" s="119"/>
      <c r="DN17" s="119"/>
      <c r="DO17" s="119"/>
      <c r="DP17" s="119"/>
      <c r="DQ17" s="119"/>
      <c r="DR17" s="119"/>
      <c r="DS17" s="119"/>
      <c r="DT17" s="119"/>
      <c r="DU17" s="119"/>
      <c r="DV17" s="119"/>
      <c r="DW17" s="119"/>
      <c r="DX17" s="119"/>
      <c r="DY17" s="119"/>
      <c r="DZ17" s="119"/>
      <c r="EA17" s="119"/>
      <c r="EB17" s="119"/>
      <c r="EC17" s="119"/>
      <c r="ED17" s="119"/>
      <c r="EE17" s="119"/>
      <c r="EF17" s="119"/>
      <c r="EG17" s="119"/>
      <c r="EH17" s="119"/>
      <c r="EI17" s="119"/>
      <c r="EJ17" s="119"/>
      <c r="EK17" s="119"/>
      <c r="EL17" s="119"/>
      <c r="EM17" s="119"/>
      <c r="EN17" s="119"/>
      <c r="EO17" s="119"/>
      <c r="EP17" s="119"/>
      <c r="EQ17" s="119"/>
      <c r="ER17" s="119"/>
      <c r="ES17" s="119"/>
      <c r="ET17" s="119"/>
      <c r="EU17" s="119"/>
      <c r="EV17" s="119"/>
      <c r="EW17" s="119"/>
      <c r="EX17" s="119"/>
      <c r="EY17" s="119"/>
      <c r="EZ17" s="119"/>
      <c r="FA17" s="119"/>
      <c r="FB17" s="119"/>
      <c r="FC17" s="119"/>
      <c r="FD17" s="119"/>
      <c r="FE17" s="119"/>
      <c r="FF17" s="119"/>
      <c r="FG17" s="119"/>
      <c r="FH17" s="119"/>
      <c r="FI17" s="119"/>
      <c r="FJ17" s="119"/>
      <c r="FK17" s="119"/>
      <c r="FL17" s="119"/>
      <c r="FM17" s="119"/>
      <c r="FN17" s="119"/>
      <c r="FO17" s="119"/>
      <c r="FP17" s="119"/>
      <c r="FQ17" s="119"/>
      <c r="FR17" s="119"/>
      <c r="FS17" s="119"/>
      <c r="FT17" s="119"/>
      <c r="FU17" s="119"/>
      <c r="FV17" s="119"/>
      <c r="FW17" s="119"/>
      <c r="FX17" s="119"/>
      <c r="FY17" s="119"/>
      <c r="FZ17" s="119"/>
      <c r="GA17" s="119"/>
      <c r="GB17" s="119"/>
      <c r="GC17" s="119"/>
      <c r="GD17" s="119"/>
      <c r="GE17" s="119"/>
      <c r="GF17" s="119"/>
      <c r="GG17" s="119"/>
      <c r="GH17" s="119"/>
      <c r="GI17" s="119"/>
      <c r="GJ17" s="119"/>
      <c r="GK17" s="119"/>
      <c r="GL17" s="119"/>
      <c r="GM17" s="119"/>
      <c r="GN17" s="119"/>
      <c r="GO17" s="119"/>
      <c r="GP17" s="119"/>
      <c r="GQ17" s="119"/>
      <c r="GR17" s="119"/>
      <c r="GS17" s="119"/>
      <c r="GT17" s="119"/>
      <c r="GU17" s="119"/>
      <c r="GV17" s="119"/>
      <c r="GW17" s="119"/>
      <c r="GX17" s="119"/>
      <c r="GY17" s="119"/>
      <c r="GZ17" s="119"/>
      <c r="HA17" s="119"/>
      <c r="HB17" s="119"/>
      <c r="HC17" s="119"/>
      <c r="HD17" s="119"/>
      <c r="HE17" s="119"/>
      <c r="HF17" s="119"/>
      <c r="HG17" s="119"/>
      <c r="HH17" s="119"/>
      <c r="HI17" s="119"/>
      <c r="HJ17" s="119"/>
      <c r="HK17" s="119"/>
      <c r="HL17" s="119"/>
      <c r="HM17" s="119"/>
      <c r="HN17" s="119"/>
      <c r="HO17" s="119"/>
      <c r="HP17" s="119"/>
      <c r="HQ17" s="119"/>
      <c r="HR17" s="119"/>
      <c r="HS17" s="119"/>
      <c r="HT17" s="119"/>
      <c r="HU17" s="119"/>
      <c r="HV17" s="119"/>
      <c r="HW17" s="119"/>
      <c r="HX17" s="119"/>
      <c r="HY17" s="119"/>
      <c r="HZ17" s="119"/>
      <c r="IA17" s="119"/>
      <c r="IB17" s="119"/>
      <c r="IC17" s="119"/>
      <c r="ID17" s="119"/>
      <c r="IE17" s="119"/>
      <c r="IF17" s="119"/>
      <c r="IG17" s="119"/>
      <c r="IH17" s="119"/>
      <c r="II17" s="119"/>
      <c r="IJ17" s="119"/>
      <c r="IK17" s="119"/>
      <c r="IL17" s="119"/>
      <c r="IM17" s="119"/>
      <c r="IN17" s="119"/>
      <c r="IO17" s="119"/>
      <c r="IP17" s="119"/>
      <c r="IQ17" s="119"/>
      <c r="IR17" s="119"/>
      <c r="IS17" s="119"/>
      <c r="IT17" s="119"/>
      <c r="IU17" s="119"/>
      <c r="IV17" s="119"/>
    </row>
    <row r="18" spans="1:256" ht="18" customHeight="1" x14ac:dyDescent="0.3">
      <c r="A18" s="1690">
        <v>12</v>
      </c>
      <c r="B18" s="119"/>
      <c r="C18" s="992"/>
      <c r="D18" s="982" t="s">
        <v>1422</v>
      </c>
      <c r="E18" s="1000">
        <v>400</v>
      </c>
      <c r="F18" s="119"/>
      <c r="G18" s="119"/>
      <c r="H18" s="119"/>
      <c r="I18" s="119"/>
      <c r="J18" s="119"/>
      <c r="K18" s="119"/>
      <c r="L18" s="119"/>
      <c r="M18" s="119"/>
      <c r="N18" s="119"/>
      <c r="O18" s="119"/>
      <c r="P18" s="119"/>
      <c r="Q18" s="119"/>
      <c r="R18" s="119"/>
      <c r="S18" s="119"/>
      <c r="T18" s="119"/>
      <c r="U18" s="119"/>
      <c r="V18" s="119"/>
      <c r="W18" s="119"/>
      <c r="X18" s="119"/>
      <c r="Y18" s="119"/>
      <c r="Z18" s="119"/>
      <c r="AA18" s="119"/>
      <c r="AB18" s="119"/>
      <c r="AC18" s="119"/>
      <c r="AD18" s="119"/>
      <c r="AE18" s="119"/>
      <c r="AF18" s="119"/>
      <c r="AG18" s="119"/>
      <c r="AH18" s="119"/>
      <c r="AI18" s="119"/>
      <c r="AJ18" s="119"/>
      <c r="AK18" s="119"/>
      <c r="AL18" s="119"/>
      <c r="AM18" s="119"/>
      <c r="AN18" s="119"/>
      <c r="AO18" s="119"/>
      <c r="AP18" s="119"/>
      <c r="AQ18" s="119"/>
      <c r="AR18" s="119"/>
      <c r="AS18" s="119"/>
      <c r="AT18" s="119"/>
      <c r="AU18" s="119"/>
      <c r="AV18" s="119"/>
      <c r="AW18" s="119"/>
      <c r="AX18" s="119"/>
      <c r="AY18" s="119"/>
      <c r="AZ18" s="119"/>
      <c r="BA18" s="119"/>
      <c r="BB18" s="119"/>
      <c r="BC18" s="119"/>
      <c r="BD18" s="119"/>
      <c r="BE18" s="119"/>
      <c r="BF18" s="119"/>
      <c r="BG18" s="119"/>
      <c r="BH18" s="119"/>
      <c r="BI18" s="119"/>
      <c r="BJ18" s="119"/>
      <c r="BK18" s="119"/>
      <c r="BL18" s="119"/>
      <c r="BM18" s="119"/>
      <c r="BN18" s="119"/>
      <c r="BO18" s="119"/>
      <c r="BP18" s="119"/>
      <c r="BQ18" s="119"/>
      <c r="BR18" s="119"/>
      <c r="BS18" s="119"/>
      <c r="BT18" s="119"/>
      <c r="BU18" s="119"/>
      <c r="BV18" s="119"/>
      <c r="BW18" s="119"/>
      <c r="BX18" s="119"/>
      <c r="BY18" s="119"/>
      <c r="BZ18" s="119"/>
      <c r="CA18" s="119"/>
      <c r="CB18" s="119"/>
      <c r="CC18" s="119"/>
      <c r="CD18" s="119"/>
      <c r="CE18" s="119"/>
      <c r="CF18" s="119"/>
      <c r="CG18" s="119"/>
      <c r="CH18" s="119"/>
      <c r="CI18" s="119"/>
      <c r="CJ18" s="119"/>
      <c r="CK18" s="119"/>
      <c r="CL18" s="119"/>
      <c r="CM18" s="119"/>
      <c r="CN18" s="119"/>
      <c r="CO18" s="119"/>
      <c r="CP18" s="119"/>
      <c r="CQ18" s="119"/>
      <c r="CR18" s="119"/>
      <c r="CS18" s="119"/>
      <c r="CT18" s="119"/>
      <c r="CU18" s="119"/>
      <c r="CV18" s="119"/>
      <c r="CW18" s="119"/>
      <c r="CX18" s="119"/>
      <c r="CY18" s="119"/>
      <c r="CZ18" s="119"/>
      <c r="DA18" s="119"/>
      <c r="DB18" s="119"/>
      <c r="DC18" s="119"/>
      <c r="DD18" s="119"/>
      <c r="DE18" s="119"/>
      <c r="DF18" s="119"/>
      <c r="DG18" s="119"/>
      <c r="DH18" s="119"/>
      <c r="DI18" s="119"/>
      <c r="DJ18" s="119"/>
      <c r="DK18" s="119"/>
      <c r="DL18" s="119"/>
      <c r="DM18" s="119"/>
      <c r="DN18" s="119"/>
      <c r="DO18" s="119"/>
      <c r="DP18" s="119"/>
      <c r="DQ18" s="119"/>
      <c r="DR18" s="119"/>
      <c r="DS18" s="119"/>
      <c r="DT18" s="119"/>
      <c r="DU18" s="119"/>
      <c r="DV18" s="119"/>
      <c r="DW18" s="119"/>
      <c r="DX18" s="119"/>
      <c r="DY18" s="119"/>
      <c r="DZ18" s="119"/>
      <c r="EA18" s="119"/>
      <c r="EB18" s="119"/>
      <c r="EC18" s="119"/>
      <c r="ED18" s="119"/>
      <c r="EE18" s="119"/>
      <c r="EF18" s="119"/>
      <c r="EG18" s="119"/>
      <c r="EH18" s="119"/>
      <c r="EI18" s="119"/>
      <c r="EJ18" s="119"/>
      <c r="EK18" s="119"/>
      <c r="EL18" s="119"/>
      <c r="EM18" s="119"/>
      <c r="EN18" s="119"/>
      <c r="EO18" s="119"/>
      <c r="EP18" s="119"/>
      <c r="EQ18" s="119"/>
      <c r="ER18" s="119"/>
      <c r="ES18" s="119"/>
      <c r="ET18" s="119"/>
      <c r="EU18" s="119"/>
      <c r="EV18" s="119"/>
      <c r="EW18" s="119"/>
      <c r="EX18" s="119"/>
      <c r="EY18" s="119"/>
      <c r="EZ18" s="119"/>
      <c r="FA18" s="119"/>
      <c r="FB18" s="119"/>
      <c r="FC18" s="119"/>
      <c r="FD18" s="119"/>
      <c r="FE18" s="119"/>
      <c r="FF18" s="119"/>
      <c r="FG18" s="119"/>
      <c r="FH18" s="119"/>
      <c r="FI18" s="119"/>
      <c r="FJ18" s="119"/>
      <c r="FK18" s="119"/>
      <c r="FL18" s="119"/>
      <c r="FM18" s="119"/>
      <c r="FN18" s="119"/>
      <c r="FO18" s="119"/>
      <c r="FP18" s="119"/>
      <c r="FQ18" s="119"/>
      <c r="FR18" s="119"/>
      <c r="FS18" s="119"/>
      <c r="FT18" s="119"/>
      <c r="FU18" s="119"/>
      <c r="FV18" s="119"/>
      <c r="FW18" s="119"/>
      <c r="FX18" s="119"/>
      <c r="FY18" s="119"/>
      <c r="FZ18" s="119"/>
      <c r="GA18" s="119"/>
      <c r="GB18" s="119"/>
      <c r="GC18" s="119"/>
      <c r="GD18" s="119"/>
      <c r="GE18" s="119"/>
      <c r="GF18" s="119"/>
      <c r="GG18" s="119"/>
      <c r="GH18" s="119"/>
      <c r="GI18" s="119"/>
      <c r="GJ18" s="119"/>
      <c r="GK18" s="119"/>
      <c r="GL18" s="119"/>
      <c r="GM18" s="119"/>
      <c r="GN18" s="119"/>
      <c r="GO18" s="119"/>
      <c r="GP18" s="119"/>
      <c r="GQ18" s="119"/>
      <c r="GR18" s="119"/>
      <c r="GS18" s="119"/>
      <c r="GT18" s="119"/>
      <c r="GU18" s="119"/>
      <c r="GV18" s="119"/>
      <c r="GW18" s="119"/>
      <c r="GX18" s="119"/>
      <c r="GY18" s="119"/>
      <c r="GZ18" s="119"/>
      <c r="HA18" s="119"/>
      <c r="HB18" s="119"/>
      <c r="HC18" s="119"/>
      <c r="HD18" s="119"/>
      <c r="HE18" s="119"/>
      <c r="HF18" s="119"/>
      <c r="HG18" s="119"/>
      <c r="HH18" s="119"/>
      <c r="HI18" s="119"/>
      <c r="HJ18" s="119"/>
      <c r="HK18" s="119"/>
      <c r="HL18" s="119"/>
      <c r="HM18" s="119"/>
      <c r="HN18" s="119"/>
      <c r="HO18" s="119"/>
      <c r="HP18" s="119"/>
      <c r="HQ18" s="119"/>
      <c r="HR18" s="119"/>
      <c r="HS18" s="119"/>
      <c r="HT18" s="119"/>
      <c r="HU18" s="119"/>
      <c r="HV18" s="119"/>
      <c r="HW18" s="119"/>
      <c r="HX18" s="119"/>
      <c r="HY18" s="119"/>
      <c r="HZ18" s="119"/>
      <c r="IA18" s="119"/>
      <c r="IB18" s="119"/>
      <c r="IC18" s="119"/>
      <c r="ID18" s="119"/>
      <c r="IE18" s="119"/>
      <c r="IF18" s="119"/>
      <c r="IG18" s="119"/>
      <c r="IH18" s="119"/>
      <c r="II18" s="119"/>
      <c r="IJ18" s="119"/>
      <c r="IK18" s="119"/>
      <c r="IL18" s="119"/>
      <c r="IM18" s="119"/>
      <c r="IN18" s="119"/>
      <c r="IO18" s="119"/>
      <c r="IP18" s="119"/>
      <c r="IQ18" s="119"/>
      <c r="IR18" s="119"/>
      <c r="IS18" s="119"/>
      <c r="IT18" s="119"/>
      <c r="IU18" s="119"/>
      <c r="IV18" s="119"/>
    </row>
    <row r="19" spans="1:256" ht="33.75" customHeight="1" x14ac:dyDescent="0.3">
      <c r="A19" s="1690">
        <v>13</v>
      </c>
      <c r="B19" s="119"/>
      <c r="C19" s="992"/>
      <c r="D19" s="982" t="s">
        <v>1427</v>
      </c>
      <c r="E19" s="1000">
        <v>-2900</v>
      </c>
      <c r="F19" s="119"/>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119"/>
      <c r="AK19" s="119"/>
      <c r="AL19" s="119"/>
      <c r="AM19" s="119"/>
      <c r="AN19" s="119"/>
      <c r="AO19" s="119"/>
      <c r="AP19" s="119"/>
      <c r="AQ19" s="119"/>
      <c r="AR19" s="119"/>
      <c r="AS19" s="119"/>
      <c r="AT19" s="119"/>
      <c r="AU19" s="119"/>
      <c r="AV19" s="119"/>
      <c r="AW19" s="119"/>
      <c r="AX19" s="119"/>
      <c r="AY19" s="119"/>
      <c r="AZ19" s="119"/>
      <c r="BA19" s="119"/>
      <c r="BB19" s="119"/>
      <c r="BC19" s="119"/>
      <c r="BD19" s="119"/>
      <c r="BE19" s="119"/>
      <c r="BF19" s="119"/>
      <c r="BG19" s="119"/>
      <c r="BH19" s="119"/>
      <c r="BI19" s="119"/>
      <c r="BJ19" s="119"/>
      <c r="BK19" s="119"/>
      <c r="BL19" s="119"/>
      <c r="BM19" s="119"/>
      <c r="BN19" s="119"/>
      <c r="BO19" s="119"/>
      <c r="BP19" s="119"/>
      <c r="BQ19" s="119"/>
      <c r="BR19" s="119"/>
      <c r="BS19" s="119"/>
      <c r="BT19" s="119"/>
      <c r="BU19" s="119"/>
      <c r="BV19" s="119"/>
      <c r="BW19" s="119"/>
      <c r="BX19" s="119"/>
      <c r="BY19" s="119"/>
      <c r="BZ19" s="119"/>
      <c r="CA19" s="119"/>
      <c r="CB19" s="119"/>
      <c r="CC19" s="119"/>
      <c r="CD19" s="119"/>
      <c r="CE19" s="119"/>
      <c r="CF19" s="119"/>
      <c r="CG19" s="119"/>
      <c r="CH19" s="119"/>
      <c r="CI19" s="119"/>
      <c r="CJ19" s="119"/>
      <c r="CK19" s="119"/>
      <c r="CL19" s="119"/>
      <c r="CM19" s="119"/>
      <c r="CN19" s="119"/>
      <c r="CO19" s="119"/>
      <c r="CP19" s="119"/>
      <c r="CQ19" s="119"/>
      <c r="CR19" s="119"/>
      <c r="CS19" s="119"/>
      <c r="CT19" s="119"/>
      <c r="CU19" s="119"/>
      <c r="CV19" s="119"/>
      <c r="CW19" s="119"/>
      <c r="CX19" s="119"/>
      <c r="CY19" s="119"/>
      <c r="CZ19" s="119"/>
      <c r="DA19" s="119"/>
      <c r="DB19" s="119"/>
      <c r="DC19" s="119"/>
      <c r="DD19" s="119"/>
      <c r="DE19" s="119"/>
      <c r="DF19" s="119"/>
      <c r="DG19" s="119"/>
      <c r="DH19" s="119"/>
      <c r="DI19" s="119"/>
      <c r="DJ19" s="119"/>
      <c r="DK19" s="119"/>
      <c r="DL19" s="119"/>
      <c r="DM19" s="119"/>
      <c r="DN19" s="119"/>
      <c r="DO19" s="119"/>
      <c r="DP19" s="119"/>
      <c r="DQ19" s="119"/>
      <c r="DR19" s="119"/>
      <c r="DS19" s="119"/>
      <c r="DT19" s="119"/>
      <c r="DU19" s="119"/>
      <c r="DV19" s="119"/>
      <c r="DW19" s="119"/>
      <c r="DX19" s="119"/>
      <c r="DY19" s="119"/>
      <c r="DZ19" s="119"/>
      <c r="EA19" s="119"/>
      <c r="EB19" s="119"/>
      <c r="EC19" s="119"/>
      <c r="ED19" s="119"/>
      <c r="EE19" s="119"/>
      <c r="EF19" s="119"/>
      <c r="EG19" s="119"/>
      <c r="EH19" s="119"/>
      <c r="EI19" s="119"/>
      <c r="EJ19" s="119"/>
      <c r="EK19" s="119"/>
      <c r="EL19" s="119"/>
      <c r="EM19" s="119"/>
      <c r="EN19" s="119"/>
      <c r="EO19" s="119"/>
      <c r="EP19" s="119"/>
      <c r="EQ19" s="119"/>
      <c r="ER19" s="119"/>
      <c r="ES19" s="119"/>
      <c r="ET19" s="119"/>
      <c r="EU19" s="119"/>
      <c r="EV19" s="119"/>
      <c r="EW19" s="119"/>
      <c r="EX19" s="119"/>
      <c r="EY19" s="119"/>
      <c r="EZ19" s="119"/>
      <c r="FA19" s="119"/>
      <c r="FB19" s="119"/>
      <c r="FC19" s="119"/>
      <c r="FD19" s="119"/>
      <c r="FE19" s="119"/>
      <c r="FF19" s="119"/>
      <c r="FG19" s="119"/>
      <c r="FH19" s="119"/>
      <c r="FI19" s="119"/>
      <c r="FJ19" s="119"/>
      <c r="FK19" s="119"/>
      <c r="FL19" s="119"/>
      <c r="FM19" s="119"/>
      <c r="FN19" s="119"/>
      <c r="FO19" s="119"/>
      <c r="FP19" s="119"/>
      <c r="FQ19" s="119"/>
      <c r="FR19" s="119"/>
      <c r="FS19" s="119"/>
      <c r="FT19" s="119"/>
      <c r="FU19" s="119"/>
      <c r="FV19" s="119"/>
      <c r="FW19" s="119"/>
      <c r="FX19" s="119"/>
      <c r="FY19" s="119"/>
      <c r="FZ19" s="119"/>
      <c r="GA19" s="119"/>
      <c r="GB19" s="119"/>
      <c r="GC19" s="119"/>
      <c r="GD19" s="119"/>
      <c r="GE19" s="119"/>
      <c r="GF19" s="119"/>
      <c r="GG19" s="119"/>
      <c r="GH19" s="119"/>
      <c r="GI19" s="119"/>
      <c r="GJ19" s="119"/>
      <c r="GK19" s="119"/>
      <c r="GL19" s="119"/>
      <c r="GM19" s="119"/>
      <c r="GN19" s="119"/>
      <c r="GO19" s="119"/>
      <c r="GP19" s="119"/>
      <c r="GQ19" s="119"/>
      <c r="GR19" s="119"/>
      <c r="GS19" s="119"/>
      <c r="GT19" s="119"/>
      <c r="GU19" s="119"/>
      <c r="GV19" s="119"/>
      <c r="GW19" s="119"/>
      <c r="GX19" s="119"/>
      <c r="GY19" s="119"/>
      <c r="GZ19" s="119"/>
      <c r="HA19" s="119"/>
      <c r="HB19" s="119"/>
      <c r="HC19" s="119"/>
      <c r="HD19" s="119"/>
      <c r="HE19" s="119"/>
      <c r="HF19" s="119"/>
      <c r="HG19" s="119"/>
      <c r="HH19" s="119"/>
      <c r="HI19" s="119"/>
      <c r="HJ19" s="119"/>
      <c r="HK19" s="119"/>
      <c r="HL19" s="119"/>
      <c r="HM19" s="119"/>
      <c r="HN19" s="119"/>
      <c r="HO19" s="119"/>
      <c r="HP19" s="119"/>
      <c r="HQ19" s="119"/>
      <c r="HR19" s="119"/>
      <c r="HS19" s="119"/>
      <c r="HT19" s="119"/>
      <c r="HU19" s="119"/>
      <c r="HV19" s="119"/>
      <c r="HW19" s="119"/>
      <c r="HX19" s="119"/>
      <c r="HY19" s="119"/>
      <c r="HZ19" s="119"/>
      <c r="IA19" s="119"/>
      <c r="IB19" s="119"/>
      <c r="IC19" s="119"/>
      <c r="ID19" s="119"/>
      <c r="IE19" s="119"/>
      <c r="IF19" s="119"/>
      <c r="IG19" s="119"/>
      <c r="IH19" s="119"/>
      <c r="II19" s="119"/>
      <c r="IJ19" s="119"/>
      <c r="IK19" s="119"/>
      <c r="IL19" s="119"/>
      <c r="IM19" s="119"/>
      <c r="IN19" s="119"/>
      <c r="IO19" s="119"/>
      <c r="IP19" s="119"/>
      <c r="IQ19" s="119"/>
      <c r="IR19" s="119"/>
      <c r="IS19" s="119"/>
      <c r="IT19" s="119"/>
      <c r="IU19" s="119"/>
      <c r="IV19" s="119"/>
    </row>
    <row r="20" spans="1:256" ht="20.100000000000001" customHeight="1" x14ac:dyDescent="0.3">
      <c r="A20" s="1690">
        <v>14</v>
      </c>
      <c r="B20" s="119"/>
      <c r="C20" s="992"/>
      <c r="D20" s="982" t="s">
        <v>1443</v>
      </c>
      <c r="E20" s="1569">
        <v>-725</v>
      </c>
      <c r="F20" s="119"/>
      <c r="G20" s="119"/>
      <c r="H20" s="119"/>
      <c r="I20" s="119"/>
      <c r="J20" s="119"/>
      <c r="K20" s="119"/>
      <c r="L20" s="119"/>
      <c r="M20" s="119"/>
      <c r="N20" s="119"/>
      <c r="O20" s="119"/>
      <c r="P20" s="119"/>
      <c r="Q20" s="119"/>
      <c r="R20" s="119"/>
      <c r="S20" s="119"/>
      <c r="T20" s="119"/>
      <c r="U20" s="119"/>
      <c r="V20" s="119"/>
      <c r="W20" s="119"/>
      <c r="X20" s="119"/>
      <c r="Y20" s="119"/>
      <c r="Z20" s="119"/>
      <c r="AA20" s="119"/>
      <c r="AB20" s="119"/>
      <c r="AC20" s="119"/>
      <c r="AD20" s="119"/>
      <c r="AE20" s="119"/>
      <c r="AF20" s="119"/>
      <c r="AG20" s="119"/>
      <c r="AH20" s="119"/>
      <c r="AI20" s="119"/>
      <c r="AJ20" s="119"/>
      <c r="AK20" s="119"/>
      <c r="AL20" s="119"/>
      <c r="AM20" s="119"/>
      <c r="AN20" s="119"/>
      <c r="AO20" s="119"/>
      <c r="AP20" s="119"/>
      <c r="AQ20" s="119"/>
      <c r="AR20" s="119"/>
      <c r="AS20" s="119"/>
      <c r="AT20" s="119"/>
      <c r="AU20" s="119"/>
      <c r="AV20" s="119"/>
      <c r="AW20" s="119"/>
      <c r="AX20" s="119"/>
      <c r="AY20" s="119"/>
      <c r="AZ20" s="119"/>
      <c r="BA20" s="119"/>
      <c r="BB20" s="119"/>
      <c r="BC20" s="119"/>
      <c r="BD20" s="119"/>
      <c r="BE20" s="119"/>
      <c r="BF20" s="119"/>
      <c r="BG20" s="119"/>
      <c r="BH20" s="119"/>
      <c r="BI20" s="119"/>
      <c r="BJ20" s="119"/>
      <c r="BK20" s="119"/>
      <c r="BL20" s="119"/>
      <c r="BM20" s="119"/>
      <c r="BN20" s="119"/>
      <c r="BO20" s="119"/>
      <c r="BP20" s="119"/>
      <c r="BQ20" s="119"/>
      <c r="BR20" s="119"/>
      <c r="BS20" s="119"/>
      <c r="BT20" s="119"/>
      <c r="BU20" s="119"/>
      <c r="BV20" s="119"/>
      <c r="BW20" s="119"/>
      <c r="BX20" s="119"/>
      <c r="BY20" s="119"/>
      <c r="BZ20" s="119"/>
      <c r="CA20" s="119"/>
      <c r="CB20" s="119"/>
      <c r="CC20" s="119"/>
      <c r="CD20" s="119"/>
      <c r="CE20" s="119"/>
      <c r="CF20" s="119"/>
      <c r="CG20" s="119"/>
      <c r="CH20" s="119"/>
      <c r="CI20" s="119"/>
      <c r="CJ20" s="119"/>
      <c r="CK20" s="119"/>
      <c r="CL20" s="119"/>
      <c r="CM20" s="119"/>
      <c r="CN20" s="119"/>
      <c r="CO20" s="119"/>
      <c r="CP20" s="119"/>
      <c r="CQ20" s="119"/>
      <c r="CR20" s="119"/>
      <c r="CS20" s="119"/>
      <c r="CT20" s="119"/>
      <c r="CU20" s="119"/>
      <c r="CV20" s="119"/>
      <c r="CW20" s="119"/>
      <c r="CX20" s="119"/>
      <c r="CY20" s="119"/>
      <c r="CZ20" s="119"/>
      <c r="DA20" s="119"/>
      <c r="DB20" s="119"/>
      <c r="DC20" s="119"/>
      <c r="DD20" s="119"/>
      <c r="DE20" s="119"/>
      <c r="DF20" s="119"/>
      <c r="DG20" s="119"/>
      <c r="DH20" s="119"/>
      <c r="DI20" s="119"/>
      <c r="DJ20" s="119"/>
      <c r="DK20" s="119"/>
      <c r="DL20" s="119"/>
      <c r="DM20" s="119"/>
      <c r="DN20" s="119"/>
      <c r="DO20" s="119"/>
      <c r="DP20" s="119"/>
      <c r="DQ20" s="119"/>
      <c r="DR20" s="119"/>
      <c r="DS20" s="119"/>
      <c r="DT20" s="119"/>
      <c r="DU20" s="119"/>
      <c r="DV20" s="119"/>
      <c r="DW20" s="119"/>
      <c r="DX20" s="119"/>
      <c r="DY20" s="119"/>
      <c r="DZ20" s="119"/>
      <c r="EA20" s="119"/>
      <c r="EB20" s="119"/>
      <c r="EC20" s="119"/>
      <c r="ED20" s="119"/>
      <c r="EE20" s="119"/>
      <c r="EF20" s="119"/>
      <c r="EG20" s="119"/>
      <c r="EH20" s="119"/>
      <c r="EI20" s="119"/>
      <c r="EJ20" s="119"/>
      <c r="EK20" s="119"/>
      <c r="EL20" s="119"/>
      <c r="EM20" s="119"/>
      <c r="EN20" s="119"/>
      <c r="EO20" s="119"/>
      <c r="EP20" s="119"/>
      <c r="EQ20" s="119"/>
      <c r="ER20" s="119"/>
      <c r="ES20" s="119"/>
      <c r="ET20" s="119"/>
      <c r="EU20" s="119"/>
      <c r="EV20" s="119"/>
      <c r="EW20" s="119"/>
      <c r="EX20" s="119"/>
      <c r="EY20" s="119"/>
      <c r="EZ20" s="119"/>
      <c r="FA20" s="119"/>
      <c r="FB20" s="119"/>
      <c r="FC20" s="119"/>
      <c r="FD20" s="119"/>
      <c r="FE20" s="119"/>
      <c r="FF20" s="119"/>
      <c r="FG20" s="119"/>
      <c r="FH20" s="119"/>
      <c r="FI20" s="119"/>
      <c r="FJ20" s="119"/>
      <c r="FK20" s="119"/>
      <c r="FL20" s="119"/>
      <c r="FM20" s="119"/>
      <c r="FN20" s="119"/>
      <c r="FO20" s="119"/>
      <c r="FP20" s="119"/>
      <c r="FQ20" s="119"/>
      <c r="FR20" s="119"/>
      <c r="FS20" s="119"/>
      <c r="FT20" s="119"/>
      <c r="FU20" s="119"/>
      <c r="FV20" s="119"/>
      <c r="FW20" s="119"/>
      <c r="FX20" s="119"/>
      <c r="FY20" s="119"/>
      <c r="FZ20" s="119"/>
      <c r="GA20" s="119"/>
      <c r="GB20" s="119"/>
      <c r="GC20" s="119"/>
      <c r="GD20" s="119"/>
      <c r="GE20" s="119"/>
      <c r="GF20" s="119"/>
      <c r="GG20" s="119"/>
      <c r="GH20" s="119"/>
      <c r="GI20" s="119"/>
      <c r="GJ20" s="119"/>
      <c r="GK20" s="119"/>
      <c r="GL20" s="119"/>
      <c r="GM20" s="119"/>
      <c r="GN20" s="119"/>
      <c r="GO20" s="119"/>
      <c r="GP20" s="119"/>
      <c r="GQ20" s="119"/>
      <c r="GR20" s="119"/>
      <c r="GS20" s="119"/>
      <c r="GT20" s="119"/>
      <c r="GU20" s="119"/>
      <c r="GV20" s="119"/>
      <c r="GW20" s="119"/>
      <c r="GX20" s="119"/>
      <c r="GY20" s="119"/>
      <c r="GZ20" s="119"/>
      <c r="HA20" s="119"/>
      <c r="HB20" s="119"/>
      <c r="HC20" s="119"/>
      <c r="HD20" s="119"/>
      <c r="HE20" s="119"/>
      <c r="HF20" s="119"/>
      <c r="HG20" s="119"/>
      <c r="HH20" s="119"/>
      <c r="HI20" s="119"/>
      <c r="HJ20" s="119"/>
      <c r="HK20" s="119"/>
      <c r="HL20" s="119"/>
      <c r="HM20" s="119"/>
      <c r="HN20" s="119"/>
      <c r="HO20" s="119"/>
      <c r="HP20" s="119"/>
      <c r="HQ20" s="119"/>
      <c r="HR20" s="119"/>
      <c r="HS20" s="119"/>
      <c r="HT20" s="119"/>
      <c r="HU20" s="119"/>
      <c r="HV20" s="119"/>
      <c r="HW20" s="119"/>
      <c r="HX20" s="119"/>
      <c r="HY20" s="119"/>
      <c r="HZ20" s="119"/>
      <c r="IA20" s="119"/>
      <c r="IB20" s="119"/>
      <c r="IC20" s="119"/>
      <c r="ID20" s="119"/>
      <c r="IE20" s="119"/>
      <c r="IF20" s="119"/>
      <c r="IG20" s="119"/>
      <c r="IH20" s="119"/>
      <c r="II20" s="119"/>
      <c r="IJ20" s="119"/>
      <c r="IK20" s="119"/>
      <c r="IL20" s="119"/>
      <c r="IM20" s="119"/>
      <c r="IN20" s="119"/>
      <c r="IO20" s="119"/>
      <c r="IP20" s="119"/>
      <c r="IQ20" s="119"/>
      <c r="IR20" s="119"/>
      <c r="IS20" s="119"/>
      <c r="IT20" s="119"/>
      <c r="IU20" s="119"/>
      <c r="IV20" s="119"/>
    </row>
    <row r="21" spans="1:256" ht="18" customHeight="1" x14ac:dyDescent="0.3">
      <c r="A21" s="1690">
        <v>15</v>
      </c>
      <c r="B21" s="121"/>
      <c r="D21" s="1001" t="s">
        <v>1491</v>
      </c>
      <c r="E21" s="1517">
        <v>62572</v>
      </c>
      <c r="F21" s="1002"/>
      <c r="G21" s="1002"/>
      <c r="H21" s="1002"/>
      <c r="I21" s="121"/>
      <c r="J21" s="121"/>
      <c r="K21" s="121"/>
      <c r="L21" s="121"/>
      <c r="M21" s="121"/>
      <c r="N21" s="121"/>
      <c r="O21" s="121"/>
      <c r="P21" s="121"/>
      <c r="Q21" s="121"/>
      <c r="R21" s="121"/>
      <c r="S21" s="121"/>
      <c r="T21" s="121"/>
      <c r="U21" s="121"/>
      <c r="V21" s="121"/>
      <c r="W21" s="121"/>
      <c r="X21" s="121"/>
      <c r="Y21" s="121"/>
      <c r="Z21" s="121"/>
      <c r="AA21" s="121"/>
      <c r="AB21" s="121"/>
      <c r="AC21" s="121"/>
      <c r="AD21" s="121"/>
      <c r="AE21" s="121"/>
      <c r="AF21" s="121"/>
      <c r="AG21" s="121"/>
      <c r="AH21" s="121"/>
      <c r="AI21" s="121"/>
      <c r="AJ21" s="121"/>
      <c r="AK21" s="121"/>
      <c r="AL21" s="121"/>
      <c r="AM21" s="121"/>
      <c r="AN21" s="121"/>
      <c r="AO21" s="121"/>
      <c r="AP21" s="121"/>
      <c r="AQ21" s="121"/>
      <c r="AR21" s="121"/>
      <c r="AS21" s="121"/>
      <c r="AT21" s="121"/>
      <c r="AU21" s="121"/>
      <c r="AV21" s="121"/>
      <c r="AW21" s="121"/>
      <c r="AX21" s="121"/>
      <c r="AY21" s="121"/>
      <c r="AZ21" s="121"/>
      <c r="BA21" s="121"/>
      <c r="BB21" s="121"/>
      <c r="BC21" s="121"/>
      <c r="BD21" s="121"/>
      <c r="BE21" s="121"/>
      <c r="BF21" s="121"/>
      <c r="BG21" s="121"/>
      <c r="BH21" s="121"/>
      <c r="BI21" s="121"/>
      <c r="BJ21" s="121"/>
      <c r="BK21" s="121"/>
      <c r="BL21" s="121"/>
      <c r="BM21" s="121"/>
      <c r="BN21" s="121"/>
      <c r="BO21" s="121"/>
      <c r="BP21" s="121"/>
      <c r="BQ21" s="121"/>
      <c r="BR21" s="121"/>
      <c r="BS21" s="121"/>
      <c r="BT21" s="121"/>
      <c r="BU21" s="121"/>
      <c r="BV21" s="121"/>
      <c r="BW21" s="121"/>
      <c r="BX21" s="121"/>
      <c r="BY21" s="121"/>
      <c r="BZ21" s="121"/>
      <c r="CA21" s="121"/>
      <c r="CB21" s="121"/>
      <c r="CC21" s="121"/>
      <c r="CD21" s="121"/>
      <c r="CE21" s="121"/>
      <c r="CF21" s="121"/>
      <c r="CG21" s="121"/>
      <c r="CH21" s="121"/>
      <c r="CI21" s="121"/>
      <c r="CJ21" s="121"/>
      <c r="CK21" s="121"/>
      <c r="CL21" s="121"/>
      <c r="CM21" s="121"/>
      <c r="CN21" s="121"/>
      <c r="CO21" s="121"/>
      <c r="CP21" s="121"/>
      <c r="CQ21" s="121"/>
      <c r="CR21" s="121"/>
      <c r="CS21" s="121"/>
      <c r="CT21" s="121"/>
      <c r="CU21" s="121"/>
      <c r="CV21" s="121"/>
      <c r="CW21" s="121"/>
      <c r="CX21" s="121"/>
      <c r="CY21" s="121"/>
      <c r="CZ21" s="121"/>
      <c r="DA21" s="121"/>
      <c r="DB21" s="121"/>
      <c r="DC21" s="121"/>
      <c r="DD21" s="121"/>
      <c r="DE21" s="121"/>
      <c r="DF21" s="121"/>
      <c r="DG21" s="121"/>
      <c r="DH21" s="121"/>
      <c r="DI21" s="121"/>
      <c r="DJ21" s="121"/>
      <c r="DK21" s="121"/>
      <c r="DL21" s="121"/>
      <c r="DM21" s="121"/>
      <c r="DN21" s="121"/>
      <c r="DO21" s="121"/>
      <c r="DP21" s="121"/>
      <c r="DQ21" s="121"/>
      <c r="DR21" s="121"/>
      <c r="DS21" s="121"/>
      <c r="DT21" s="121"/>
      <c r="DU21" s="121"/>
      <c r="DV21" s="121"/>
      <c r="DW21" s="121"/>
      <c r="DX21" s="121"/>
      <c r="DY21" s="121"/>
      <c r="DZ21" s="121"/>
      <c r="EA21" s="121"/>
      <c r="EB21" s="121"/>
      <c r="EC21" s="121"/>
      <c r="ED21" s="121"/>
      <c r="EE21" s="121"/>
      <c r="EF21" s="121"/>
      <c r="EG21" s="121"/>
      <c r="EH21" s="121"/>
      <c r="EI21" s="121"/>
      <c r="EJ21" s="121"/>
      <c r="EK21" s="121"/>
      <c r="EL21" s="121"/>
      <c r="EM21" s="121"/>
      <c r="EN21" s="121"/>
      <c r="EO21" s="121"/>
      <c r="EP21" s="121"/>
      <c r="EQ21" s="121"/>
      <c r="ER21" s="121"/>
      <c r="ES21" s="121"/>
      <c r="ET21" s="121"/>
      <c r="EU21" s="121"/>
      <c r="EV21" s="121"/>
      <c r="EW21" s="121"/>
      <c r="EX21" s="121"/>
      <c r="EY21" s="121"/>
      <c r="EZ21" s="121"/>
      <c r="FA21" s="121"/>
      <c r="FB21" s="121"/>
      <c r="FC21" s="121"/>
      <c r="FD21" s="121"/>
      <c r="FE21" s="121"/>
      <c r="FF21" s="121"/>
      <c r="FG21" s="121"/>
      <c r="FH21" s="121"/>
      <c r="FI21" s="121"/>
      <c r="FJ21" s="121"/>
      <c r="FK21" s="121"/>
      <c r="FL21" s="121"/>
      <c r="FM21" s="121"/>
      <c r="FN21" s="121"/>
      <c r="FO21" s="121"/>
      <c r="FP21" s="121"/>
      <c r="FQ21" s="121"/>
      <c r="FR21" s="121"/>
      <c r="FS21" s="121"/>
      <c r="FT21" s="121"/>
      <c r="FU21" s="121"/>
      <c r="FV21" s="121"/>
      <c r="FW21" s="121"/>
      <c r="FX21" s="121"/>
      <c r="FY21" s="121"/>
      <c r="FZ21" s="121"/>
      <c r="GA21" s="121"/>
      <c r="GB21" s="121"/>
      <c r="GC21" s="121"/>
      <c r="GD21" s="121"/>
      <c r="GE21" s="121"/>
      <c r="GF21" s="121"/>
      <c r="GG21" s="121"/>
      <c r="GH21" s="121"/>
      <c r="GI21" s="121"/>
      <c r="GJ21" s="121"/>
      <c r="GK21" s="121"/>
      <c r="GL21" s="121"/>
      <c r="GM21" s="121"/>
      <c r="GN21" s="121"/>
      <c r="GO21" s="121"/>
      <c r="GP21" s="121"/>
      <c r="GQ21" s="121"/>
      <c r="GR21" s="121"/>
      <c r="GS21" s="121"/>
      <c r="GT21" s="121"/>
      <c r="GU21" s="121"/>
      <c r="GV21" s="121"/>
      <c r="GW21" s="121"/>
      <c r="GX21" s="121"/>
      <c r="GY21" s="121"/>
      <c r="GZ21" s="121"/>
      <c r="HA21" s="121"/>
      <c r="HB21" s="121"/>
      <c r="HC21" s="121"/>
      <c r="HD21" s="121"/>
      <c r="HE21" s="121"/>
      <c r="HF21" s="121"/>
      <c r="HG21" s="121"/>
      <c r="HH21" s="121"/>
      <c r="HI21" s="121"/>
      <c r="HJ21" s="121"/>
      <c r="HK21" s="121"/>
      <c r="HL21" s="121"/>
      <c r="HM21" s="121"/>
      <c r="HN21" s="121"/>
      <c r="HO21" s="121"/>
      <c r="HP21" s="121"/>
      <c r="HQ21" s="121"/>
      <c r="HR21" s="121"/>
      <c r="HS21" s="121"/>
      <c r="HT21" s="121"/>
      <c r="HU21" s="121"/>
      <c r="HV21" s="121"/>
      <c r="HW21" s="121"/>
      <c r="HX21" s="121"/>
      <c r="HY21" s="121"/>
      <c r="HZ21" s="121"/>
      <c r="IA21" s="121"/>
      <c r="IB21" s="121"/>
      <c r="IC21" s="121"/>
      <c r="ID21" s="121"/>
      <c r="IE21" s="121"/>
      <c r="IF21" s="121"/>
      <c r="IG21" s="121"/>
      <c r="IH21" s="121"/>
      <c r="II21" s="121"/>
      <c r="IJ21" s="121"/>
      <c r="IK21" s="121"/>
      <c r="IL21" s="121"/>
      <c r="IM21" s="121"/>
      <c r="IN21" s="121"/>
      <c r="IO21" s="121"/>
      <c r="IP21" s="121"/>
      <c r="IQ21" s="121"/>
      <c r="IR21" s="121"/>
      <c r="IS21" s="121"/>
      <c r="IT21" s="121"/>
      <c r="IU21" s="121"/>
      <c r="IV21" s="121"/>
    </row>
    <row r="22" spans="1:256" ht="18" customHeight="1" x14ac:dyDescent="0.35">
      <c r="A22" s="1690">
        <v>16</v>
      </c>
      <c r="B22" s="121"/>
      <c r="D22" s="997" t="s">
        <v>134</v>
      </c>
      <c r="E22" s="1004">
        <f>SUM(E18:E21)</f>
        <v>59347</v>
      </c>
      <c r="F22" s="1005"/>
      <c r="G22" s="1005"/>
      <c r="H22" s="1005"/>
      <c r="I22" s="121"/>
      <c r="J22" s="121"/>
      <c r="K22" s="121"/>
      <c r="L22" s="121"/>
      <c r="M22" s="121"/>
      <c r="N22" s="121"/>
      <c r="O22" s="121"/>
      <c r="P22" s="121"/>
      <c r="Q22" s="121"/>
      <c r="R22" s="121"/>
      <c r="S22" s="121"/>
      <c r="T22" s="121"/>
      <c r="U22" s="121"/>
      <c r="V22" s="121"/>
      <c r="W22" s="121"/>
      <c r="X22" s="121"/>
      <c r="Y22" s="121"/>
      <c r="Z22" s="121"/>
      <c r="AA22" s="121"/>
      <c r="AB22" s="121"/>
      <c r="AC22" s="121"/>
      <c r="AD22" s="121"/>
      <c r="AE22" s="121"/>
      <c r="AF22" s="121"/>
      <c r="AG22" s="121"/>
      <c r="AH22" s="121"/>
      <c r="AI22" s="121"/>
      <c r="AJ22" s="121"/>
      <c r="AK22" s="121"/>
      <c r="AL22" s="121"/>
      <c r="AM22" s="121"/>
      <c r="AN22" s="121"/>
      <c r="AO22" s="121"/>
      <c r="AP22" s="121"/>
      <c r="AQ22" s="121"/>
      <c r="AR22" s="121"/>
      <c r="AS22" s="121"/>
      <c r="AT22" s="121"/>
      <c r="AU22" s="121"/>
      <c r="AV22" s="121"/>
      <c r="AW22" s="121"/>
      <c r="AX22" s="121"/>
      <c r="AY22" s="121"/>
      <c r="AZ22" s="121"/>
      <c r="BA22" s="121"/>
      <c r="BB22" s="121"/>
      <c r="BC22" s="121"/>
      <c r="BD22" s="121"/>
      <c r="BE22" s="121"/>
      <c r="BF22" s="121"/>
      <c r="BG22" s="121"/>
      <c r="BH22" s="121"/>
      <c r="BI22" s="121"/>
      <c r="BJ22" s="121"/>
      <c r="BK22" s="121"/>
      <c r="BL22" s="121"/>
      <c r="BM22" s="121"/>
      <c r="BN22" s="121"/>
      <c r="BO22" s="121"/>
      <c r="BP22" s="121"/>
      <c r="BQ22" s="121"/>
      <c r="BR22" s="121"/>
      <c r="BS22" s="121"/>
      <c r="BT22" s="121"/>
      <c r="BU22" s="121"/>
      <c r="BV22" s="121"/>
      <c r="BW22" s="121"/>
      <c r="BX22" s="121"/>
      <c r="BY22" s="121"/>
      <c r="BZ22" s="121"/>
      <c r="CA22" s="121"/>
      <c r="CB22" s="121"/>
      <c r="CC22" s="121"/>
      <c r="CD22" s="121"/>
      <c r="CE22" s="121"/>
      <c r="CF22" s="121"/>
      <c r="CG22" s="121"/>
      <c r="CH22" s="121"/>
      <c r="CI22" s="121"/>
      <c r="CJ22" s="121"/>
      <c r="CK22" s="121"/>
      <c r="CL22" s="121"/>
      <c r="CM22" s="121"/>
      <c r="CN22" s="121"/>
      <c r="CO22" s="121"/>
      <c r="CP22" s="121"/>
      <c r="CQ22" s="121"/>
      <c r="CR22" s="121"/>
      <c r="CS22" s="121"/>
      <c r="CT22" s="121"/>
      <c r="CU22" s="121"/>
      <c r="CV22" s="121"/>
      <c r="CW22" s="121"/>
      <c r="CX22" s="121"/>
      <c r="CY22" s="121"/>
      <c r="CZ22" s="121"/>
      <c r="DA22" s="121"/>
      <c r="DB22" s="121"/>
      <c r="DC22" s="121"/>
      <c r="DD22" s="121"/>
      <c r="DE22" s="121"/>
      <c r="DF22" s="121"/>
      <c r="DG22" s="121"/>
      <c r="DH22" s="121"/>
      <c r="DI22" s="121"/>
      <c r="DJ22" s="121"/>
      <c r="DK22" s="121"/>
      <c r="DL22" s="121"/>
      <c r="DM22" s="121"/>
      <c r="DN22" s="121"/>
      <c r="DO22" s="121"/>
      <c r="DP22" s="121"/>
      <c r="DQ22" s="121"/>
      <c r="DR22" s="121"/>
      <c r="DS22" s="121"/>
      <c r="DT22" s="121"/>
      <c r="DU22" s="121"/>
      <c r="DV22" s="121"/>
      <c r="DW22" s="121"/>
      <c r="DX22" s="121"/>
      <c r="DY22" s="121"/>
      <c r="DZ22" s="121"/>
      <c r="EA22" s="121"/>
      <c r="EB22" s="121"/>
      <c r="EC22" s="121"/>
      <c r="ED22" s="121"/>
      <c r="EE22" s="121"/>
      <c r="EF22" s="121"/>
      <c r="EG22" s="121"/>
      <c r="EH22" s="121"/>
      <c r="EI22" s="121"/>
      <c r="EJ22" s="121"/>
      <c r="EK22" s="121"/>
      <c r="EL22" s="121"/>
      <c r="EM22" s="121"/>
      <c r="EN22" s="121"/>
      <c r="EO22" s="121"/>
      <c r="EP22" s="121"/>
      <c r="EQ22" s="121"/>
      <c r="ER22" s="121"/>
      <c r="ES22" s="121"/>
      <c r="ET22" s="121"/>
      <c r="EU22" s="121"/>
      <c r="EV22" s="121"/>
      <c r="EW22" s="121"/>
      <c r="EX22" s="121"/>
      <c r="EY22" s="121"/>
      <c r="EZ22" s="121"/>
      <c r="FA22" s="121"/>
      <c r="FB22" s="121"/>
      <c r="FC22" s="121"/>
      <c r="FD22" s="121"/>
      <c r="FE22" s="121"/>
      <c r="FF22" s="121"/>
      <c r="FG22" s="121"/>
      <c r="FH22" s="121"/>
      <c r="FI22" s="121"/>
      <c r="FJ22" s="121"/>
      <c r="FK22" s="121"/>
      <c r="FL22" s="121"/>
      <c r="FM22" s="121"/>
      <c r="FN22" s="121"/>
      <c r="FO22" s="121"/>
      <c r="FP22" s="121"/>
      <c r="FQ22" s="121"/>
      <c r="FR22" s="121"/>
      <c r="FS22" s="121"/>
      <c r="FT22" s="121"/>
      <c r="FU22" s="121"/>
      <c r="FV22" s="121"/>
      <c r="FW22" s="121"/>
      <c r="FX22" s="121"/>
      <c r="FY22" s="121"/>
      <c r="FZ22" s="121"/>
      <c r="GA22" s="121"/>
      <c r="GB22" s="121"/>
      <c r="GC22" s="121"/>
      <c r="GD22" s="121"/>
      <c r="GE22" s="121"/>
      <c r="GF22" s="121"/>
      <c r="GG22" s="121"/>
      <c r="GH22" s="121"/>
      <c r="GI22" s="121"/>
      <c r="GJ22" s="121"/>
      <c r="GK22" s="121"/>
      <c r="GL22" s="121"/>
      <c r="GM22" s="121"/>
      <c r="GN22" s="121"/>
      <c r="GO22" s="121"/>
      <c r="GP22" s="121"/>
      <c r="GQ22" s="121"/>
      <c r="GR22" s="121"/>
      <c r="GS22" s="121"/>
      <c r="GT22" s="121"/>
      <c r="GU22" s="121"/>
      <c r="GV22" s="121"/>
      <c r="GW22" s="121"/>
      <c r="GX22" s="121"/>
      <c r="GY22" s="121"/>
      <c r="GZ22" s="121"/>
      <c r="HA22" s="121"/>
      <c r="HB22" s="121"/>
      <c r="HC22" s="121"/>
      <c r="HD22" s="121"/>
      <c r="HE22" s="121"/>
      <c r="HF22" s="121"/>
      <c r="HG22" s="121"/>
      <c r="HH22" s="121"/>
      <c r="HI22" s="121"/>
      <c r="HJ22" s="121"/>
      <c r="HK22" s="121"/>
      <c r="HL22" s="121"/>
      <c r="HM22" s="121"/>
      <c r="HN22" s="121"/>
      <c r="HO22" s="121"/>
      <c r="HP22" s="121"/>
      <c r="HQ22" s="121"/>
      <c r="HR22" s="121"/>
      <c r="HS22" s="121"/>
      <c r="HT22" s="121"/>
      <c r="HU22" s="121"/>
      <c r="HV22" s="121"/>
      <c r="HW22" s="121"/>
      <c r="HX22" s="121"/>
      <c r="HY22" s="121"/>
      <c r="HZ22" s="121"/>
      <c r="IA22" s="121"/>
      <c r="IB22" s="121"/>
      <c r="IC22" s="121"/>
      <c r="ID22" s="121"/>
      <c r="IE22" s="121"/>
      <c r="IF22" s="121"/>
      <c r="IG22" s="121"/>
      <c r="IH22" s="121"/>
      <c r="II22" s="121"/>
      <c r="IJ22" s="121"/>
      <c r="IK22" s="121"/>
      <c r="IL22" s="121"/>
      <c r="IM22" s="121"/>
      <c r="IN22" s="121"/>
      <c r="IO22" s="121"/>
      <c r="IP22" s="121"/>
      <c r="IQ22" s="121"/>
      <c r="IR22" s="121"/>
      <c r="IS22" s="121"/>
      <c r="IT22" s="121"/>
      <c r="IU22" s="121"/>
      <c r="IV22" s="121"/>
    </row>
    <row r="23" spans="1:256" ht="24.95" customHeight="1" x14ac:dyDescent="0.35">
      <c r="A23" s="1690">
        <v>17</v>
      </c>
      <c r="B23" s="121"/>
      <c r="C23" s="992" t="s">
        <v>144</v>
      </c>
      <c r="D23" s="999" t="s">
        <v>810</v>
      </c>
      <c r="E23" s="1004"/>
      <c r="F23" s="1005"/>
      <c r="G23" s="1005"/>
      <c r="H23" s="1005"/>
      <c r="I23" s="121"/>
      <c r="J23" s="121"/>
      <c r="K23" s="121"/>
      <c r="L23" s="121"/>
      <c r="M23" s="121"/>
      <c r="N23" s="121"/>
      <c r="O23" s="121"/>
      <c r="P23" s="121"/>
      <c r="Q23" s="121"/>
      <c r="R23" s="121"/>
      <c r="S23" s="121"/>
      <c r="T23" s="121"/>
      <c r="U23" s="121"/>
      <c r="V23" s="121"/>
      <c r="W23" s="121"/>
      <c r="X23" s="121"/>
      <c r="Y23" s="121"/>
      <c r="Z23" s="121"/>
      <c r="AA23" s="121"/>
      <c r="AB23" s="121"/>
      <c r="AC23" s="121"/>
      <c r="AD23" s="121"/>
      <c r="AE23" s="121"/>
      <c r="AF23" s="121"/>
      <c r="AG23" s="121"/>
      <c r="AH23" s="121"/>
      <c r="AI23" s="121"/>
      <c r="AJ23" s="121"/>
      <c r="AK23" s="121"/>
      <c r="AL23" s="121"/>
      <c r="AM23" s="121"/>
      <c r="AN23" s="121"/>
      <c r="AO23" s="121"/>
      <c r="AP23" s="121"/>
      <c r="AQ23" s="121"/>
      <c r="AR23" s="121"/>
      <c r="AS23" s="121"/>
      <c r="AT23" s="121"/>
      <c r="AU23" s="121"/>
      <c r="AV23" s="121"/>
      <c r="AW23" s="121"/>
      <c r="AX23" s="121"/>
      <c r="AY23" s="121"/>
      <c r="AZ23" s="121"/>
      <c r="BA23" s="121"/>
      <c r="BB23" s="121"/>
      <c r="BC23" s="121"/>
      <c r="BD23" s="121"/>
      <c r="BE23" s="121"/>
      <c r="BF23" s="121"/>
      <c r="BG23" s="121"/>
      <c r="BH23" s="121"/>
      <c r="BI23" s="121"/>
      <c r="BJ23" s="121"/>
      <c r="BK23" s="121"/>
      <c r="BL23" s="121"/>
      <c r="BM23" s="121"/>
      <c r="BN23" s="121"/>
      <c r="BO23" s="121"/>
      <c r="BP23" s="121"/>
      <c r="BQ23" s="121"/>
      <c r="BR23" s="121"/>
      <c r="BS23" s="121"/>
      <c r="BT23" s="121"/>
      <c r="BU23" s="121"/>
      <c r="BV23" s="121"/>
      <c r="BW23" s="121"/>
      <c r="BX23" s="121"/>
      <c r="BY23" s="121"/>
      <c r="BZ23" s="121"/>
      <c r="CA23" s="121"/>
      <c r="CB23" s="121"/>
      <c r="CC23" s="121"/>
      <c r="CD23" s="121"/>
      <c r="CE23" s="121"/>
      <c r="CF23" s="121"/>
      <c r="CG23" s="121"/>
      <c r="CH23" s="121"/>
      <c r="CI23" s="121"/>
      <c r="CJ23" s="121"/>
      <c r="CK23" s="121"/>
      <c r="CL23" s="121"/>
      <c r="CM23" s="121"/>
      <c r="CN23" s="121"/>
      <c r="CO23" s="121"/>
      <c r="CP23" s="121"/>
      <c r="CQ23" s="121"/>
      <c r="CR23" s="121"/>
      <c r="CS23" s="121"/>
      <c r="CT23" s="121"/>
      <c r="CU23" s="121"/>
      <c r="CV23" s="121"/>
      <c r="CW23" s="121"/>
      <c r="CX23" s="121"/>
      <c r="CY23" s="121"/>
      <c r="CZ23" s="121"/>
      <c r="DA23" s="121"/>
      <c r="DB23" s="121"/>
      <c r="DC23" s="121"/>
      <c r="DD23" s="121"/>
      <c r="DE23" s="121"/>
      <c r="DF23" s="121"/>
      <c r="DG23" s="121"/>
      <c r="DH23" s="121"/>
      <c r="DI23" s="121"/>
      <c r="DJ23" s="121"/>
      <c r="DK23" s="121"/>
      <c r="DL23" s="121"/>
      <c r="DM23" s="121"/>
      <c r="DN23" s="121"/>
      <c r="DO23" s="121"/>
      <c r="DP23" s="121"/>
      <c r="DQ23" s="121"/>
      <c r="DR23" s="121"/>
      <c r="DS23" s="121"/>
      <c r="DT23" s="121"/>
      <c r="DU23" s="121"/>
      <c r="DV23" s="121"/>
      <c r="DW23" s="121"/>
      <c r="DX23" s="121"/>
      <c r="DY23" s="121"/>
      <c r="DZ23" s="121"/>
      <c r="EA23" s="121"/>
      <c r="EB23" s="121"/>
      <c r="EC23" s="121"/>
      <c r="ED23" s="121"/>
      <c r="EE23" s="121"/>
      <c r="EF23" s="121"/>
      <c r="EG23" s="121"/>
      <c r="EH23" s="121"/>
      <c r="EI23" s="121"/>
      <c r="EJ23" s="121"/>
      <c r="EK23" s="121"/>
      <c r="EL23" s="121"/>
      <c r="EM23" s="121"/>
      <c r="EN23" s="121"/>
      <c r="EO23" s="121"/>
      <c r="EP23" s="121"/>
      <c r="EQ23" s="121"/>
      <c r="ER23" s="121"/>
      <c r="ES23" s="121"/>
      <c r="ET23" s="121"/>
      <c r="EU23" s="121"/>
      <c r="EV23" s="121"/>
      <c r="EW23" s="121"/>
      <c r="EX23" s="121"/>
      <c r="EY23" s="121"/>
      <c r="EZ23" s="121"/>
      <c r="FA23" s="121"/>
      <c r="FB23" s="121"/>
      <c r="FC23" s="121"/>
      <c r="FD23" s="121"/>
      <c r="FE23" s="121"/>
      <c r="FF23" s="121"/>
      <c r="FG23" s="121"/>
      <c r="FH23" s="121"/>
      <c r="FI23" s="121"/>
      <c r="FJ23" s="121"/>
      <c r="FK23" s="121"/>
      <c r="FL23" s="121"/>
      <c r="FM23" s="121"/>
      <c r="FN23" s="121"/>
      <c r="FO23" s="121"/>
      <c r="FP23" s="121"/>
      <c r="FQ23" s="121"/>
      <c r="FR23" s="121"/>
      <c r="FS23" s="121"/>
      <c r="FT23" s="121"/>
      <c r="FU23" s="121"/>
      <c r="FV23" s="121"/>
      <c r="FW23" s="121"/>
      <c r="FX23" s="121"/>
      <c r="FY23" s="121"/>
      <c r="FZ23" s="121"/>
      <c r="GA23" s="121"/>
      <c r="GB23" s="121"/>
      <c r="GC23" s="121"/>
      <c r="GD23" s="121"/>
      <c r="GE23" s="121"/>
      <c r="GF23" s="121"/>
      <c r="GG23" s="121"/>
      <c r="GH23" s="121"/>
      <c r="GI23" s="121"/>
      <c r="GJ23" s="121"/>
      <c r="GK23" s="121"/>
      <c r="GL23" s="121"/>
      <c r="GM23" s="121"/>
      <c r="GN23" s="121"/>
      <c r="GO23" s="121"/>
      <c r="GP23" s="121"/>
      <c r="GQ23" s="121"/>
      <c r="GR23" s="121"/>
      <c r="GS23" s="121"/>
      <c r="GT23" s="121"/>
      <c r="GU23" s="121"/>
      <c r="GV23" s="121"/>
      <c r="GW23" s="121"/>
      <c r="GX23" s="121"/>
      <c r="GY23" s="121"/>
      <c r="GZ23" s="121"/>
      <c r="HA23" s="121"/>
      <c r="HB23" s="121"/>
      <c r="HC23" s="121"/>
      <c r="HD23" s="121"/>
      <c r="HE23" s="121"/>
      <c r="HF23" s="121"/>
      <c r="HG23" s="121"/>
      <c r="HH23" s="121"/>
      <c r="HI23" s="121"/>
      <c r="HJ23" s="121"/>
      <c r="HK23" s="121"/>
      <c r="HL23" s="121"/>
      <c r="HM23" s="121"/>
      <c r="HN23" s="121"/>
      <c r="HO23" s="121"/>
      <c r="HP23" s="121"/>
      <c r="HQ23" s="121"/>
      <c r="HR23" s="121"/>
      <c r="HS23" s="121"/>
      <c r="HT23" s="121"/>
      <c r="HU23" s="121"/>
      <c r="HV23" s="121"/>
      <c r="HW23" s="121"/>
      <c r="HX23" s="121"/>
      <c r="HY23" s="121"/>
      <c r="HZ23" s="121"/>
      <c r="IA23" s="121"/>
      <c r="IB23" s="121"/>
      <c r="IC23" s="121"/>
      <c r="ID23" s="121"/>
      <c r="IE23" s="121"/>
      <c r="IF23" s="121"/>
      <c r="IG23" s="121"/>
      <c r="IH23" s="121"/>
      <c r="II23" s="121"/>
      <c r="IJ23" s="121"/>
      <c r="IK23" s="121"/>
      <c r="IL23" s="121"/>
      <c r="IM23" s="121"/>
      <c r="IN23" s="121"/>
      <c r="IO23" s="121"/>
      <c r="IP23" s="121"/>
      <c r="IQ23" s="121"/>
      <c r="IR23" s="121"/>
      <c r="IS23" s="121"/>
      <c r="IT23" s="121"/>
      <c r="IU23" s="121"/>
      <c r="IV23" s="121"/>
    </row>
    <row r="24" spans="1:256" ht="17.25" x14ac:dyDescent="0.35">
      <c r="A24" s="1690">
        <v>18</v>
      </c>
      <c r="B24" s="121"/>
      <c r="C24" s="992"/>
      <c r="D24" s="583" t="s">
        <v>1433</v>
      </c>
      <c r="E24" s="1002">
        <v>32200</v>
      </c>
      <c r="F24" s="1005"/>
      <c r="G24" s="1005"/>
      <c r="H24" s="1005"/>
      <c r="I24" s="121"/>
      <c r="J24" s="121"/>
      <c r="K24" s="121"/>
      <c r="L24" s="121"/>
      <c r="M24" s="121"/>
      <c r="N24" s="121"/>
      <c r="O24" s="121"/>
      <c r="P24" s="121"/>
      <c r="Q24" s="121"/>
      <c r="R24" s="121"/>
      <c r="S24" s="121"/>
      <c r="T24" s="121"/>
      <c r="U24" s="121"/>
      <c r="V24" s="121"/>
      <c r="W24" s="121"/>
      <c r="X24" s="121"/>
      <c r="Y24" s="121"/>
      <c r="Z24" s="121"/>
      <c r="AA24" s="121"/>
      <c r="AB24" s="121"/>
      <c r="AC24" s="121"/>
      <c r="AD24" s="121"/>
      <c r="AE24" s="121"/>
      <c r="AF24" s="121"/>
      <c r="AG24" s="121"/>
      <c r="AH24" s="121"/>
      <c r="AI24" s="121"/>
      <c r="AJ24" s="121"/>
      <c r="AK24" s="121"/>
      <c r="AL24" s="121"/>
      <c r="AM24" s="121"/>
      <c r="AN24" s="121"/>
      <c r="AO24" s="121"/>
      <c r="AP24" s="121"/>
      <c r="AQ24" s="121"/>
      <c r="AR24" s="121"/>
      <c r="AS24" s="121"/>
      <c r="AT24" s="121"/>
      <c r="AU24" s="121"/>
      <c r="AV24" s="121"/>
      <c r="AW24" s="121"/>
      <c r="AX24" s="121"/>
      <c r="AY24" s="121"/>
      <c r="AZ24" s="121"/>
      <c r="BA24" s="121"/>
      <c r="BB24" s="121"/>
      <c r="BC24" s="121"/>
      <c r="BD24" s="121"/>
      <c r="BE24" s="121"/>
      <c r="BF24" s="121"/>
      <c r="BG24" s="121"/>
      <c r="BH24" s="121"/>
      <c r="BI24" s="121"/>
      <c r="BJ24" s="121"/>
      <c r="BK24" s="121"/>
      <c r="BL24" s="121"/>
      <c r="BM24" s="121"/>
      <c r="BN24" s="121"/>
      <c r="BO24" s="121"/>
      <c r="BP24" s="121"/>
      <c r="BQ24" s="121"/>
      <c r="BR24" s="121"/>
      <c r="BS24" s="121"/>
      <c r="BT24" s="121"/>
      <c r="BU24" s="121"/>
      <c r="BV24" s="121"/>
      <c r="BW24" s="121"/>
      <c r="BX24" s="121"/>
      <c r="BY24" s="121"/>
      <c r="BZ24" s="121"/>
      <c r="CA24" s="121"/>
      <c r="CB24" s="121"/>
      <c r="CC24" s="121"/>
      <c r="CD24" s="121"/>
      <c r="CE24" s="121"/>
      <c r="CF24" s="121"/>
      <c r="CG24" s="121"/>
      <c r="CH24" s="121"/>
      <c r="CI24" s="121"/>
      <c r="CJ24" s="121"/>
      <c r="CK24" s="121"/>
      <c r="CL24" s="121"/>
      <c r="CM24" s="121"/>
      <c r="CN24" s="121"/>
      <c r="CO24" s="121"/>
      <c r="CP24" s="121"/>
      <c r="CQ24" s="121"/>
      <c r="CR24" s="121"/>
      <c r="CS24" s="121"/>
      <c r="CT24" s="121"/>
      <c r="CU24" s="121"/>
      <c r="CV24" s="121"/>
      <c r="CW24" s="121"/>
      <c r="CX24" s="121"/>
      <c r="CY24" s="121"/>
      <c r="CZ24" s="121"/>
      <c r="DA24" s="121"/>
      <c r="DB24" s="121"/>
      <c r="DC24" s="121"/>
      <c r="DD24" s="121"/>
      <c r="DE24" s="121"/>
      <c r="DF24" s="121"/>
      <c r="DG24" s="121"/>
      <c r="DH24" s="121"/>
      <c r="DI24" s="121"/>
      <c r="DJ24" s="121"/>
      <c r="DK24" s="121"/>
      <c r="DL24" s="121"/>
      <c r="DM24" s="121"/>
      <c r="DN24" s="121"/>
      <c r="DO24" s="121"/>
      <c r="DP24" s="121"/>
      <c r="DQ24" s="121"/>
      <c r="DR24" s="121"/>
      <c r="DS24" s="121"/>
      <c r="DT24" s="121"/>
      <c r="DU24" s="121"/>
      <c r="DV24" s="121"/>
      <c r="DW24" s="121"/>
      <c r="DX24" s="121"/>
      <c r="DY24" s="121"/>
      <c r="DZ24" s="121"/>
      <c r="EA24" s="121"/>
      <c r="EB24" s="121"/>
      <c r="EC24" s="121"/>
      <c r="ED24" s="121"/>
      <c r="EE24" s="121"/>
      <c r="EF24" s="121"/>
      <c r="EG24" s="121"/>
      <c r="EH24" s="121"/>
      <c r="EI24" s="121"/>
      <c r="EJ24" s="121"/>
      <c r="EK24" s="121"/>
      <c r="EL24" s="121"/>
      <c r="EM24" s="121"/>
      <c r="EN24" s="121"/>
      <c r="EO24" s="121"/>
      <c r="EP24" s="121"/>
      <c r="EQ24" s="121"/>
      <c r="ER24" s="121"/>
      <c r="ES24" s="121"/>
      <c r="ET24" s="121"/>
      <c r="EU24" s="121"/>
      <c r="EV24" s="121"/>
      <c r="EW24" s="121"/>
      <c r="EX24" s="121"/>
      <c r="EY24" s="121"/>
      <c r="EZ24" s="121"/>
      <c r="FA24" s="121"/>
      <c r="FB24" s="121"/>
      <c r="FC24" s="121"/>
      <c r="FD24" s="121"/>
      <c r="FE24" s="121"/>
      <c r="FF24" s="121"/>
      <c r="FG24" s="121"/>
      <c r="FH24" s="121"/>
      <c r="FI24" s="121"/>
      <c r="FJ24" s="121"/>
      <c r="FK24" s="121"/>
      <c r="FL24" s="121"/>
      <c r="FM24" s="121"/>
      <c r="FN24" s="121"/>
      <c r="FO24" s="121"/>
      <c r="FP24" s="121"/>
      <c r="FQ24" s="121"/>
      <c r="FR24" s="121"/>
      <c r="FS24" s="121"/>
      <c r="FT24" s="121"/>
      <c r="FU24" s="121"/>
      <c r="FV24" s="121"/>
      <c r="FW24" s="121"/>
      <c r="FX24" s="121"/>
      <c r="FY24" s="121"/>
      <c r="FZ24" s="121"/>
      <c r="GA24" s="121"/>
      <c r="GB24" s="121"/>
      <c r="GC24" s="121"/>
      <c r="GD24" s="121"/>
      <c r="GE24" s="121"/>
      <c r="GF24" s="121"/>
      <c r="GG24" s="121"/>
      <c r="GH24" s="121"/>
      <c r="GI24" s="121"/>
      <c r="GJ24" s="121"/>
      <c r="GK24" s="121"/>
      <c r="GL24" s="121"/>
      <c r="GM24" s="121"/>
      <c r="GN24" s="121"/>
      <c r="GO24" s="121"/>
      <c r="GP24" s="121"/>
      <c r="GQ24" s="121"/>
      <c r="GR24" s="121"/>
      <c r="GS24" s="121"/>
      <c r="GT24" s="121"/>
      <c r="GU24" s="121"/>
      <c r="GV24" s="121"/>
      <c r="GW24" s="121"/>
      <c r="GX24" s="121"/>
      <c r="GY24" s="121"/>
      <c r="GZ24" s="121"/>
      <c r="HA24" s="121"/>
      <c r="HB24" s="121"/>
      <c r="HC24" s="121"/>
      <c r="HD24" s="121"/>
      <c r="HE24" s="121"/>
      <c r="HF24" s="121"/>
      <c r="HG24" s="121"/>
      <c r="HH24" s="121"/>
      <c r="HI24" s="121"/>
      <c r="HJ24" s="121"/>
      <c r="HK24" s="121"/>
      <c r="HL24" s="121"/>
      <c r="HM24" s="121"/>
      <c r="HN24" s="121"/>
      <c r="HO24" s="121"/>
      <c r="HP24" s="121"/>
      <c r="HQ24" s="121"/>
      <c r="HR24" s="121"/>
      <c r="HS24" s="121"/>
      <c r="HT24" s="121"/>
      <c r="HU24" s="121"/>
      <c r="HV24" s="121"/>
      <c r="HW24" s="121"/>
      <c r="HX24" s="121"/>
      <c r="HY24" s="121"/>
      <c r="HZ24" s="121"/>
      <c r="IA24" s="121"/>
      <c r="IB24" s="121"/>
      <c r="IC24" s="121"/>
      <c r="ID24" s="121"/>
      <c r="IE24" s="121"/>
      <c r="IF24" s="121"/>
      <c r="IG24" s="121"/>
      <c r="IH24" s="121"/>
      <c r="II24" s="121"/>
      <c r="IJ24" s="121"/>
      <c r="IK24" s="121"/>
      <c r="IL24" s="121"/>
      <c r="IM24" s="121"/>
      <c r="IN24" s="121"/>
      <c r="IO24" s="121"/>
      <c r="IP24" s="121"/>
      <c r="IQ24" s="121"/>
      <c r="IR24" s="121"/>
      <c r="IS24" s="121"/>
      <c r="IT24" s="121"/>
      <c r="IU24" s="121"/>
      <c r="IV24" s="121"/>
    </row>
    <row r="25" spans="1:256" ht="17.25" x14ac:dyDescent="0.35">
      <c r="A25" s="1690">
        <v>19</v>
      </c>
      <c r="B25" s="121"/>
      <c r="C25" s="992"/>
      <c r="D25" s="583" t="s">
        <v>1490</v>
      </c>
      <c r="E25" s="1517">
        <v>40842</v>
      </c>
      <c r="F25" s="1005"/>
      <c r="G25" s="1005"/>
      <c r="H25" s="1005"/>
      <c r="I25" s="121"/>
      <c r="J25" s="121"/>
      <c r="K25" s="121"/>
      <c r="L25" s="121"/>
      <c r="M25" s="121"/>
      <c r="N25" s="121"/>
      <c r="O25" s="121"/>
      <c r="P25" s="121"/>
      <c r="Q25" s="121"/>
      <c r="R25" s="121"/>
      <c r="S25" s="121"/>
      <c r="T25" s="121"/>
      <c r="U25" s="121"/>
      <c r="V25" s="121"/>
      <c r="W25" s="121"/>
      <c r="X25" s="121"/>
      <c r="Y25" s="121"/>
      <c r="Z25" s="121"/>
      <c r="AA25" s="121"/>
      <c r="AB25" s="121"/>
      <c r="AC25" s="121"/>
      <c r="AD25" s="121"/>
      <c r="AE25" s="121"/>
      <c r="AF25" s="121"/>
      <c r="AG25" s="121"/>
      <c r="AH25" s="121"/>
      <c r="AI25" s="121"/>
      <c r="AJ25" s="121"/>
      <c r="AK25" s="121"/>
      <c r="AL25" s="121"/>
      <c r="AM25" s="121"/>
      <c r="AN25" s="121"/>
      <c r="AO25" s="121"/>
      <c r="AP25" s="121"/>
      <c r="AQ25" s="121"/>
      <c r="AR25" s="121"/>
      <c r="AS25" s="121"/>
      <c r="AT25" s="121"/>
      <c r="AU25" s="121"/>
      <c r="AV25" s="121"/>
      <c r="AW25" s="121"/>
      <c r="AX25" s="121"/>
      <c r="AY25" s="121"/>
      <c r="AZ25" s="121"/>
      <c r="BA25" s="121"/>
      <c r="BB25" s="121"/>
      <c r="BC25" s="121"/>
      <c r="BD25" s="121"/>
      <c r="BE25" s="121"/>
      <c r="BF25" s="121"/>
      <c r="BG25" s="121"/>
      <c r="BH25" s="121"/>
      <c r="BI25" s="121"/>
      <c r="BJ25" s="121"/>
      <c r="BK25" s="121"/>
      <c r="BL25" s="121"/>
      <c r="BM25" s="121"/>
      <c r="BN25" s="121"/>
      <c r="BO25" s="121"/>
      <c r="BP25" s="121"/>
      <c r="BQ25" s="121"/>
      <c r="BR25" s="121"/>
      <c r="BS25" s="121"/>
      <c r="BT25" s="121"/>
      <c r="BU25" s="121"/>
      <c r="BV25" s="121"/>
      <c r="BW25" s="121"/>
      <c r="BX25" s="121"/>
      <c r="BY25" s="121"/>
      <c r="BZ25" s="121"/>
      <c r="CA25" s="121"/>
      <c r="CB25" s="121"/>
      <c r="CC25" s="121"/>
      <c r="CD25" s="121"/>
      <c r="CE25" s="121"/>
      <c r="CF25" s="121"/>
      <c r="CG25" s="121"/>
      <c r="CH25" s="121"/>
      <c r="CI25" s="121"/>
      <c r="CJ25" s="121"/>
      <c r="CK25" s="121"/>
      <c r="CL25" s="121"/>
      <c r="CM25" s="121"/>
      <c r="CN25" s="121"/>
      <c r="CO25" s="121"/>
      <c r="CP25" s="121"/>
      <c r="CQ25" s="121"/>
      <c r="CR25" s="121"/>
      <c r="CS25" s="121"/>
      <c r="CT25" s="121"/>
      <c r="CU25" s="121"/>
      <c r="CV25" s="121"/>
      <c r="CW25" s="121"/>
      <c r="CX25" s="121"/>
      <c r="CY25" s="121"/>
      <c r="CZ25" s="121"/>
      <c r="DA25" s="121"/>
      <c r="DB25" s="121"/>
      <c r="DC25" s="121"/>
      <c r="DD25" s="121"/>
      <c r="DE25" s="121"/>
      <c r="DF25" s="121"/>
      <c r="DG25" s="121"/>
      <c r="DH25" s="121"/>
      <c r="DI25" s="121"/>
      <c r="DJ25" s="121"/>
      <c r="DK25" s="121"/>
      <c r="DL25" s="121"/>
      <c r="DM25" s="121"/>
      <c r="DN25" s="121"/>
      <c r="DO25" s="121"/>
      <c r="DP25" s="121"/>
      <c r="DQ25" s="121"/>
      <c r="DR25" s="121"/>
      <c r="DS25" s="121"/>
      <c r="DT25" s="121"/>
      <c r="DU25" s="121"/>
      <c r="DV25" s="121"/>
      <c r="DW25" s="121"/>
      <c r="DX25" s="121"/>
      <c r="DY25" s="121"/>
      <c r="DZ25" s="121"/>
      <c r="EA25" s="121"/>
      <c r="EB25" s="121"/>
      <c r="EC25" s="121"/>
      <c r="ED25" s="121"/>
      <c r="EE25" s="121"/>
      <c r="EF25" s="121"/>
      <c r="EG25" s="121"/>
      <c r="EH25" s="121"/>
      <c r="EI25" s="121"/>
      <c r="EJ25" s="121"/>
      <c r="EK25" s="121"/>
      <c r="EL25" s="121"/>
      <c r="EM25" s="121"/>
      <c r="EN25" s="121"/>
      <c r="EO25" s="121"/>
      <c r="EP25" s="121"/>
      <c r="EQ25" s="121"/>
      <c r="ER25" s="121"/>
      <c r="ES25" s="121"/>
      <c r="ET25" s="121"/>
      <c r="EU25" s="121"/>
      <c r="EV25" s="121"/>
      <c r="EW25" s="121"/>
      <c r="EX25" s="121"/>
      <c r="EY25" s="121"/>
      <c r="EZ25" s="121"/>
      <c r="FA25" s="121"/>
      <c r="FB25" s="121"/>
      <c r="FC25" s="121"/>
      <c r="FD25" s="121"/>
      <c r="FE25" s="121"/>
      <c r="FF25" s="121"/>
      <c r="FG25" s="121"/>
      <c r="FH25" s="121"/>
      <c r="FI25" s="121"/>
      <c r="FJ25" s="121"/>
      <c r="FK25" s="121"/>
      <c r="FL25" s="121"/>
      <c r="FM25" s="121"/>
      <c r="FN25" s="121"/>
      <c r="FO25" s="121"/>
      <c r="FP25" s="121"/>
      <c r="FQ25" s="121"/>
      <c r="FR25" s="121"/>
      <c r="FS25" s="121"/>
      <c r="FT25" s="121"/>
      <c r="FU25" s="121"/>
      <c r="FV25" s="121"/>
      <c r="FW25" s="121"/>
      <c r="FX25" s="121"/>
      <c r="FY25" s="121"/>
      <c r="FZ25" s="121"/>
      <c r="GA25" s="121"/>
      <c r="GB25" s="121"/>
      <c r="GC25" s="121"/>
      <c r="GD25" s="121"/>
      <c r="GE25" s="121"/>
      <c r="GF25" s="121"/>
      <c r="GG25" s="121"/>
      <c r="GH25" s="121"/>
      <c r="GI25" s="121"/>
      <c r="GJ25" s="121"/>
      <c r="GK25" s="121"/>
      <c r="GL25" s="121"/>
      <c r="GM25" s="121"/>
      <c r="GN25" s="121"/>
      <c r="GO25" s="121"/>
      <c r="GP25" s="121"/>
      <c r="GQ25" s="121"/>
      <c r="GR25" s="121"/>
      <c r="GS25" s="121"/>
      <c r="GT25" s="121"/>
      <c r="GU25" s="121"/>
      <c r="GV25" s="121"/>
      <c r="GW25" s="121"/>
      <c r="GX25" s="121"/>
      <c r="GY25" s="121"/>
      <c r="GZ25" s="121"/>
      <c r="HA25" s="121"/>
      <c r="HB25" s="121"/>
      <c r="HC25" s="121"/>
      <c r="HD25" s="121"/>
      <c r="HE25" s="121"/>
      <c r="HF25" s="121"/>
      <c r="HG25" s="121"/>
      <c r="HH25" s="121"/>
      <c r="HI25" s="121"/>
      <c r="HJ25" s="121"/>
      <c r="HK25" s="121"/>
      <c r="HL25" s="121"/>
      <c r="HM25" s="121"/>
      <c r="HN25" s="121"/>
      <c r="HO25" s="121"/>
      <c r="HP25" s="121"/>
      <c r="HQ25" s="121"/>
      <c r="HR25" s="121"/>
      <c r="HS25" s="121"/>
      <c r="HT25" s="121"/>
      <c r="HU25" s="121"/>
      <c r="HV25" s="121"/>
      <c r="HW25" s="121"/>
      <c r="HX25" s="121"/>
      <c r="HY25" s="121"/>
      <c r="HZ25" s="121"/>
      <c r="IA25" s="121"/>
      <c r="IB25" s="121"/>
      <c r="IC25" s="121"/>
      <c r="ID25" s="121"/>
      <c r="IE25" s="121"/>
      <c r="IF25" s="121"/>
      <c r="IG25" s="121"/>
      <c r="IH25" s="121"/>
      <c r="II25" s="121"/>
      <c r="IJ25" s="121"/>
      <c r="IK25" s="121"/>
      <c r="IL25" s="121"/>
      <c r="IM25" s="121"/>
      <c r="IN25" s="121"/>
      <c r="IO25" s="121"/>
      <c r="IP25" s="121"/>
      <c r="IQ25" s="121"/>
      <c r="IR25" s="121"/>
      <c r="IS25" s="121"/>
      <c r="IT25" s="121"/>
      <c r="IU25" s="121"/>
      <c r="IV25" s="121"/>
    </row>
    <row r="26" spans="1:256" ht="17.25" customHeight="1" x14ac:dyDescent="0.35">
      <c r="A26" s="1690">
        <v>20</v>
      </c>
      <c r="B26" s="121"/>
      <c r="C26" s="119"/>
      <c r="D26" s="997" t="s">
        <v>134</v>
      </c>
      <c r="E26" s="1004">
        <f>SUM(E24:E25)</f>
        <v>73042</v>
      </c>
      <c r="F26" s="1005"/>
      <c r="G26" s="1005"/>
      <c r="H26" s="1005"/>
      <c r="I26" s="121"/>
      <c r="J26" s="121"/>
      <c r="K26" s="121"/>
      <c r="L26" s="121"/>
      <c r="M26" s="121"/>
      <c r="N26" s="121"/>
      <c r="O26" s="121"/>
      <c r="P26" s="121"/>
      <c r="Q26" s="121"/>
      <c r="R26" s="121"/>
      <c r="S26" s="121"/>
      <c r="T26" s="121"/>
      <c r="U26" s="121"/>
      <c r="V26" s="121"/>
      <c r="W26" s="121"/>
      <c r="X26" s="121"/>
      <c r="Y26" s="121"/>
      <c r="Z26" s="121"/>
      <c r="AA26" s="121"/>
      <c r="AB26" s="121"/>
      <c r="AC26" s="121"/>
      <c r="AD26" s="121"/>
      <c r="AE26" s="121"/>
      <c r="AF26" s="121"/>
      <c r="AG26" s="121"/>
      <c r="AH26" s="121"/>
      <c r="AI26" s="121"/>
      <c r="AJ26" s="121"/>
      <c r="AK26" s="121"/>
      <c r="AL26" s="121"/>
      <c r="AM26" s="121"/>
      <c r="AN26" s="121"/>
      <c r="AO26" s="121"/>
      <c r="AP26" s="121"/>
      <c r="AQ26" s="121"/>
      <c r="AR26" s="121"/>
      <c r="AS26" s="121"/>
      <c r="AT26" s="121"/>
      <c r="AU26" s="121"/>
      <c r="AV26" s="121"/>
      <c r="AW26" s="121"/>
      <c r="AX26" s="121"/>
      <c r="AY26" s="121"/>
      <c r="AZ26" s="121"/>
      <c r="BA26" s="121"/>
      <c r="BB26" s="121"/>
      <c r="BC26" s="121"/>
      <c r="BD26" s="121"/>
      <c r="BE26" s="121"/>
      <c r="BF26" s="121"/>
      <c r="BG26" s="121"/>
      <c r="BH26" s="121"/>
      <c r="BI26" s="121"/>
      <c r="BJ26" s="121"/>
      <c r="BK26" s="121"/>
      <c r="BL26" s="121"/>
      <c r="BM26" s="121"/>
      <c r="BN26" s="121"/>
      <c r="BO26" s="121"/>
      <c r="BP26" s="121"/>
      <c r="BQ26" s="121"/>
      <c r="BR26" s="121"/>
      <c r="BS26" s="121"/>
      <c r="BT26" s="121"/>
      <c r="BU26" s="121"/>
      <c r="BV26" s="121"/>
      <c r="BW26" s="121"/>
      <c r="BX26" s="121"/>
      <c r="BY26" s="121"/>
      <c r="BZ26" s="121"/>
      <c r="CA26" s="121"/>
      <c r="CB26" s="121"/>
      <c r="CC26" s="121"/>
      <c r="CD26" s="121"/>
      <c r="CE26" s="121"/>
      <c r="CF26" s="121"/>
      <c r="CG26" s="121"/>
      <c r="CH26" s="121"/>
      <c r="CI26" s="121"/>
      <c r="CJ26" s="121"/>
      <c r="CK26" s="121"/>
      <c r="CL26" s="121"/>
      <c r="CM26" s="121"/>
      <c r="CN26" s="121"/>
      <c r="CO26" s="121"/>
      <c r="CP26" s="121"/>
      <c r="CQ26" s="121"/>
      <c r="CR26" s="121"/>
      <c r="CS26" s="121"/>
      <c r="CT26" s="121"/>
      <c r="CU26" s="121"/>
      <c r="CV26" s="121"/>
      <c r="CW26" s="121"/>
      <c r="CX26" s="121"/>
      <c r="CY26" s="121"/>
      <c r="CZ26" s="121"/>
      <c r="DA26" s="121"/>
      <c r="DB26" s="121"/>
      <c r="DC26" s="121"/>
      <c r="DD26" s="121"/>
      <c r="DE26" s="121"/>
      <c r="DF26" s="121"/>
      <c r="DG26" s="121"/>
      <c r="DH26" s="121"/>
      <c r="DI26" s="121"/>
      <c r="DJ26" s="121"/>
      <c r="DK26" s="121"/>
      <c r="DL26" s="121"/>
      <c r="DM26" s="121"/>
      <c r="DN26" s="121"/>
      <c r="DO26" s="121"/>
      <c r="DP26" s="121"/>
      <c r="DQ26" s="121"/>
      <c r="DR26" s="121"/>
      <c r="DS26" s="121"/>
      <c r="DT26" s="121"/>
      <c r="DU26" s="121"/>
      <c r="DV26" s="121"/>
      <c r="DW26" s="121"/>
      <c r="DX26" s="121"/>
      <c r="DY26" s="121"/>
      <c r="DZ26" s="121"/>
      <c r="EA26" s="121"/>
      <c r="EB26" s="121"/>
      <c r="EC26" s="121"/>
      <c r="ED26" s="121"/>
      <c r="EE26" s="121"/>
      <c r="EF26" s="121"/>
      <c r="EG26" s="121"/>
      <c r="EH26" s="121"/>
      <c r="EI26" s="121"/>
      <c r="EJ26" s="121"/>
      <c r="EK26" s="121"/>
      <c r="EL26" s="121"/>
      <c r="EM26" s="121"/>
      <c r="EN26" s="121"/>
      <c r="EO26" s="121"/>
      <c r="EP26" s="121"/>
      <c r="EQ26" s="121"/>
      <c r="ER26" s="121"/>
      <c r="ES26" s="121"/>
      <c r="ET26" s="121"/>
      <c r="EU26" s="121"/>
      <c r="EV26" s="121"/>
      <c r="EW26" s="121"/>
      <c r="EX26" s="121"/>
      <c r="EY26" s="121"/>
      <c r="EZ26" s="121"/>
      <c r="FA26" s="121"/>
      <c r="FB26" s="121"/>
      <c r="FC26" s="121"/>
      <c r="FD26" s="121"/>
      <c r="FE26" s="121"/>
      <c r="FF26" s="121"/>
      <c r="FG26" s="121"/>
      <c r="FH26" s="121"/>
      <c r="FI26" s="121"/>
      <c r="FJ26" s="121"/>
      <c r="FK26" s="121"/>
      <c r="FL26" s="121"/>
      <c r="FM26" s="121"/>
      <c r="FN26" s="121"/>
      <c r="FO26" s="121"/>
      <c r="FP26" s="121"/>
      <c r="FQ26" s="121"/>
      <c r="FR26" s="121"/>
      <c r="FS26" s="121"/>
      <c r="FT26" s="121"/>
      <c r="FU26" s="121"/>
      <c r="FV26" s="121"/>
      <c r="FW26" s="121"/>
      <c r="FX26" s="121"/>
      <c r="FY26" s="121"/>
      <c r="FZ26" s="121"/>
      <c r="GA26" s="121"/>
      <c r="GB26" s="121"/>
      <c r="GC26" s="121"/>
      <c r="GD26" s="121"/>
      <c r="GE26" s="121"/>
      <c r="GF26" s="121"/>
      <c r="GG26" s="121"/>
      <c r="GH26" s="121"/>
      <c r="GI26" s="121"/>
      <c r="GJ26" s="121"/>
      <c r="GK26" s="121"/>
      <c r="GL26" s="121"/>
      <c r="GM26" s="121"/>
      <c r="GN26" s="121"/>
      <c r="GO26" s="121"/>
      <c r="GP26" s="121"/>
      <c r="GQ26" s="121"/>
      <c r="GR26" s="121"/>
      <c r="GS26" s="121"/>
      <c r="GT26" s="121"/>
      <c r="GU26" s="121"/>
      <c r="GV26" s="121"/>
      <c r="GW26" s="121"/>
      <c r="GX26" s="121"/>
      <c r="GY26" s="121"/>
      <c r="GZ26" s="121"/>
      <c r="HA26" s="121"/>
      <c r="HB26" s="121"/>
      <c r="HC26" s="121"/>
      <c r="HD26" s="121"/>
      <c r="HE26" s="121"/>
      <c r="HF26" s="121"/>
      <c r="HG26" s="121"/>
      <c r="HH26" s="121"/>
      <c r="HI26" s="121"/>
      <c r="HJ26" s="121"/>
      <c r="HK26" s="121"/>
      <c r="HL26" s="121"/>
      <c r="HM26" s="121"/>
      <c r="HN26" s="121"/>
      <c r="HO26" s="121"/>
      <c r="HP26" s="121"/>
      <c r="HQ26" s="121"/>
      <c r="HR26" s="121"/>
      <c r="HS26" s="121"/>
      <c r="HT26" s="121"/>
      <c r="HU26" s="121"/>
      <c r="HV26" s="121"/>
      <c r="HW26" s="121"/>
      <c r="HX26" s="121"/>
      <c r="HY26" s="121"/>
      <c r="HZ26" s="121"/>
      <c r="IA26" s="121"/>
      <c r="IB26" s="121"/>
      <c r="IC26" s="121"/>
      <c r="ID26" s="121"/>
      <c r="IE26" s="121"/>
      <c r="IF26" s="121"/>
      <c r="IG26" s="121"/>
      <c r="IH26" s="121"/>
      <c r="II26" s="121"/>
      <c r="IJ26" s="121"/>
      <c r="IK26" s="121"/>
      <c r="IL26" s="121"/>
      <c r="IM26" s="121"/>
      <c r="IN26" s="121"/>
      <c r="IO26" s="121"/>
      <c r="IP26" s="121"/>
      <c r="IQ26" s="121"/>
      <c r="IR26" s="121"/>
      <c r="IS26" s="121"/>
      <c r="IT26" s="121"/>
      <c r="IU26" s="121"/>
      <c r="IV26" s="121"/>
    </row>
    <row r="27" spans="1:256" ht="24.95" customHeight="1" x14ac:dyDescent="0.35">
      <c r="A27" s="1690">
        <v>21</v>
      </c>
      <c r="B27" s="121"/>
      <c r="C27" s="992" t="s">
        <v>145</v>
      </c>
      <c r="D27" s="999" t="s">
        <v>1262</v>
      </c>
      <c r="E27" s="1004"/>
      <c r="F27" s="1005"/>
      <c r="G27" s="1005"/>
      <c r="H27" s="1005"/>
      <c r="I27" s="121"/>
      <c r="J27" s="121"/>
      <c r="K27" s="121"/>
      <c r="L27" s="121"/>
      <c r="M27" s="121"/>
      <c r="N27" s="121"/>
      <c r="O27" s="121"/>
      <c r="P27" s="121"/>
      <c r="Q27" s="121"/>
      <c r="R27" s="121"/>
      <c r="S27" s="121"/>
      <c r="T27" s="121"/>
      <c r="U27" s="121"/>
      <c r="V27" s="121"/>
      <c r="W27" s="121"/>
      <c r="X27" s="121"/>
      <c r="Y27" s="121"/>
      <c r="Z27" s="121"/>
      <c r="AA27" s="121"/>
      <c r="AB27" s="121"/>
      <c r="AC27" s="121"/>
      <c r="AD27" s="121"/>
      <c r="AE27" s="121"/>
      <c r="AF27" s="121"/>
      <c r="AG27" s="121"/>
      <c r="AH27" s="121"/>
      <c r="AI27" s="121"/>
      <c r="AJ27" s="121"/>
      <c r="AK27" s="121"/>
      <c r="AL27" s="121"/>
      <c r="AM27" s="121"/>
      <c r="AN27" s="121"/>
      <c r="AO27" s="121"/>
      <c r="AP27" s="121"/>
      <c r="AQ27" s="121"/>
      <c r="AR27" s="121"/>
      <c r="AS27" s="121"/>
      <c r="AT27" s="121"/>
      <c r="AU27" s="121"/>
      <c r="AV27" s="121"/>
      <c r="AW27" s="121"/>
      <c r="AX27" s="121"/>
      <c r="AY27" s="121"/>
      <c r="AZ27" s="121"/>
      <c r="BA27" s="121"/>
      <c r="BB27" s="121"/>
      <c r="BC27" s="121"/>
      <c r="BD27" s="121"/>
      <c r="BE27" s="121"/>
      <c r="BF27" s="121"/>
      <c r="BG27" s="121"/>
      <c r="BH27" s="121"/>
      <c r="BI27" s="121"/>
      <c r="BJ27" s="121"/>
      <c r="BK27" s="121"/>
      <c r="BL27" s="121"/>
      <c r="BM27" s="121"/>
      <c r="BN27" s="121"/>
      <c r="BO27" s="121"/>
      <c r="BP27" s="121"/>
      <c r="BQ27" s="121"/>
      <c r="BR27" s="121"/>
      <c r="BS27" s="121"/>
      <c r="BT27" s="121"/>
      <c r="BU27" s="121"/>
      <c r="BV27" s="121"/>
      <c r="BW27" s="121"/>
      <c r="BX27" s="121"/>
      <c r="BY27" s="121"/>
      <c r="BZ27" s="121"/>
      <c r="CA27" s="121"/>
      <c r="CB27" s="121"/>
      <c r="CC27" s="121"/>
      <c r="CD27" s="121"/>
      <c r="CE27" s="121"/>
      <c r="CF27" s="121"/>
      <c r="CG27" s="121"/>
      <c r="CH27" s="121"/>
      <c r="CI27" s="121"/>
      <c r="CJ27" s="121"/>
      <c r="CK27" s="121"/>
      <c r="CL27" s="121"/>
      <c r="CM27" s="121"/>
      <c r="CN27" s="121"/>
      <c r="CO27" s="121"/>
      <c r="CP27" s="121"/>
      <c r="CQ27" s="121"/>
      <c r="CR27" s="121"/>
      <c r="CS27" s="121"/>
      <c r="CT27" s="121"/>
      <c r="CU27" s="121"/>
      <c r="CV27" s="121"/>
      <c r="CW27" s="121"/>
      <c r="CX27" s="121"/>
      <c r="CY27" s="121"/>
      <c r="CZ27" s="121"/>
      <c r="DA27" s="121"/>
      <c r="DB27" s="121"/>
      <c r="DC27" s="121"/>
      <c r="DD27" s="121"/>
      <c r="DE27" s="121"/>
      <c r="DF27" s="121"/>
      <c r="DG27" s="121"/>
      <c r="DH27" s="121"/>
      <c r="DI27" s="121"/>
      <c r="DJ27" s="121"/>
      <c r="DK27" s="121"/>
      <c r="DL27" s="121"/>
      <c r="DM27" s="121"/>
      <c r="DN27" s="121"/>
      <c r="DO27" s="121"/>
      <c r="DP27" s="121"/>
      <c r="DQ27" s="121"/>
      <c r="DR27" s="121"/>
      <c r="DS27" s="121"/>
      <c r="DT27" s="121"/>
      <c r="DU27" s="121"/>
      <c r="DV27" s="121"/>
      <c r="DW27" s="121"/>
      <c r="DX27" s="121"/>
      <c r="DY27" s="121"/>
      <c r="DZ27" s="121"/>
      <c r="EA27" s="121"/>
      <c r="EB27" s="121"/>
      <c r="EC27" s="121"/>
      <c r="ED27" s="121"/>
      <c r="EE27" s="121"/>
      <c r="EF27" s="121"/>
      <c r="EG27" s="121"/>
      <c r="EH27" s="121"/>
      <c r="EI27" s="121"/>
      <c r="EJ27" s="121"/>
      <c r="EK27" s="121"/>
      <c r="EL27" s="121"/>
      <c r="EM27" s="121"/>
      <c r="EN27" s="121"/>
      <c r="EO27" s="121"/>
      <c r="EP27" s="121"/>
      <c r="EQ27" s="121"/>
      <c r="ER27" s="121"/>
      <c r="ES27" s="121"/>
      <c r="ET27" s="121"/>
      <c r="EU27" s="121"/>
      <c r="EV27" s="121"/>
      <c r="EW27" s="121"/>
      <c r="EX27" s="121"/>
      <c r="EY27" s="121"/>
      <c r="EZ27" s="121"/>
      <c r="FA27" s="121"/>
      <c r="FB27" s="121"/>
      <c r="FC27" s="121"/>
      <c r="FD27" s="121"/>
      <c r="FE27" s="121"/>
      <c r="FF27" s="121"/>
      <c r="FG27" s="121"/>
      <c r="FH27" s="121"/>
      <c r="FI27" s="121"/>
      <c r="FJ27" s="121"/>
      <c r="FK27" s="121"/>
      <c r="FL27" s="121"/>
      <c r="FM27" s="121"/>
      <c r="FN27" s="121"/>
      <c r="FO27" s="121"/>
      <c r="FP27" s="121"/>
      <c r="FQ27" s="121"/>
      <c r="FR27" s="121"/>
      <c r="FS27" s="121"/>
      <c r="FT27" s="121"/>
      <c r="FU27" s="121"/>
      <c r="FV27" s="121"/>
      <c r="FW27" s="121"/>
      <c r="FX27" s="121"/>
      <c r="FY27" s="121"/>
      <c r="FZ27" s="121"/>
      <c r="GA27" s="121"/>
      <c r="GB27" s="121"/>
      <c r="GC27" s="121"/>
      <c r="GD27" s="121"/>
      <c r="GE27" s="121"/>
      <c r="GF27" s="121"/>
      <c r="GG27" s="121"/>
      <c r="GH27" s="121"/>
      <c r="GI27" s="121"/>
      <c r="GJ27" s="121"/>
      <c r="GK27" s="121"/>
      <c r="GL27" s="121"/>
      <c r="GM27" s="121"/>
      <c r="GN27" s="121"/>
      <c r="GO27" s="121"/>
      <c r="GP27" s="121"/>
      <c r="GQ27" s="121"/>
      <c r="GR27" s="121"/>
      <c r="GS27" s="121"/>
      <c r="GT27" s="121"/>
      <c r="GU27" s="121"/>
      <c r="GV27" s="121"/>
      <c r="GW27" s="121"/>
      <c r="GX27" s="121"/>
      <c r="GY27" s="121"/>
      <c r="GZ27" s="121"/>
      <c r="HA27" s="121"/>
      <c r="HB27" s="121"/>
      <c r="HC27" s="121"/>
      <c r="HD27" s="121"/>
      <c r="HE27" s="121"/>
      <c r="HF27" s="121"/>
      <c r="HG27" s="121"/>
      <c r="HH27" s="121"/>
      <c r="HI27" s="121"/>
      <c r="HJ27" s="121"/>
      <c r="HK27" s="121"/>
      <c r="HL27" s="121"/>
      <c r="HM27" s="121"/>
      <c r="HN27" s="121"/>
      <c r="HO27" s="121"/>
      <c r="HP27" s="121"/>
      <c r="HQ27" s="121"/>
      <c r="HR27" s="121"/>
      <c r="HS27" s="121"/>
      <c r="HT27" s="121"/>
      <c r="HU27" s="121"/>
      <c r="HV27" s="121"/>
      <c r="HW27" s="121"/>
      <c r="HX27" s="121"/>
      <c r="HY27" s="121"/>
      <c r="HZ27" s="121"/>
      <c r="IA27" s="121"/>
      <c r="IB27" s="121"/>
      <c r="IC27" s="121"/>
      <c r="ID27" s="121"/>
      <c r="IE27" s="121"/>
      <c r="IF27" s="121"/>
      <c r="IG27" s="121"/>
      <c r="IH27" s="121"/>
      <c r="II27" s="121"/>
      <c r="IJ27" s="121"/>
      <c r="IK27" s="121"/>
      <c r="IL27" s="121"/>
      <c r="IM27" s="121"/>
      <c r="IN27" s="121"/>
      <c r="IO27" s="121"/>
      <c r="IP27" s="121"/>
      <c r="IQ27" s="121"/>
      <c r="IR27" s="121"/>
      <c r="IS27" s="121"/>
      <c r="IT27" s="121"/>
      <c r="IU27" s="121"/>
      <c r="IV27" s="121"/>
    </row>
    <row r="28" spans="1:256" ht="17.25" customHeight="1" x14ac:dyDescent="0.35">
      <c r="A28" s="1690">
        <v>22</v>
      </c>
      <c r="B28" s="121"/>
      <c r="C28" s="119"/>
      <c r="D28" s="1001" t="s">
        <v>1429</v>
      </c>
      <c r="E28" s="1517">
        <v>18</v>
      </c>
      <c r="F28" s="1005"/>
      <c r="G28" s="1005"/>
      <c r="H28" s="1005"/>
      <c r="I28" s="121"/>
      <c r="J28" s="121"/>
      <c r="K28" s="121"/>
      <c r="L28" s="121"/>
      <c r="M28" s="121"/>
      <c r="N28" s="121"/>
      <c r="O28" s="121"/>
      <c r="P28" s="121"/>
      <c r="Q28" s="121"/>
      <c r="R28" s="121"/>
      <c r="S28" s="121"/>
      <c r="T28" s="121"/>
      <c r="U28" s="121"/>
      <c r="V28" s="121"/>
      <c r="W28" s="121"/>
      <c r="X28" s="121"/>
      <c r="Y28" s="121"/>
      <c r="Z28" s="121"/>
      <c r="AA28" s="121"/>
      <c r="AB28" s="121"/>
      <c r="AC28" s="121"/>
      <c r="AD28" s="121"/>
      <c r="AE28" s="121"/>
      <c r="AF28" s="121"/>
      <c r="AG28" s="121"/>
      <c r="AH28" s="121"/>
      <c r="AI28" s="121"/>
      <c r="AJ28" s="121"/>
      <c r="AK28" s="121"/>
      <c r="AL28" s="121"/>
      <c r="AM28" s="121"/>
      <c r="AN28" s="121"/>
      <c r="AO28" s="121"/>
      <c r="AP28" s="121"/>
      <c r="AQ28" s="121"/>
      <c r="AR28" s="121"/>
      <c r="AS28" s="121"/>
      <c r="AT28" s="121"/>
      <c r="AU28" s="121"/>
      <c r="AV28" s="121"/>
      <c r="AW28" s="121"/>
      <c r="AX28" s="121"/>
      <c r="AY28" s="121"/>
      <c r="AZ28" s="121"/>
      <c r="BA28" s="121"/>
      <c r="BB28" s="121"/>
      <c r="BC28" s="121"/>
      <c r="BD28" s="121"/>
      <c r="BE28" s="121"/>
      <c r="BF28" s="121"/>
      <c r="BG28" s="121"/>
      <c r="BH28" s="121"/>
      <c r="BI28" s="121"/>
      <c r="BJ28" s="121"/>
      <c r="BK28" s="121"/>
      <c r="BL28" s="121"/>
      <c r="BM28" s="121"/>
      <c r="BN28" s="121"/>
      <c r="BO28" s="121"/>
      <c r="BP28" s="121"/>
      <c r="BQ28" s="121"/>
      <c r="BR28" s="121"/>
      <c r="BS28" s="121"/>
      <c r="BT28" s="121"/>
      <c r="BU28" s="121"/>
      <c r="BV28" s="121"/>
      <c r="BW28" s="121"/>
      <c r="BX28" s="121"/>
      <c r="BY28" s="121"/>
      <c r="BZ28" s="121"/>
      <c r="CA28" s="121"/>
      <c r="CB28" s="121"/>
      <c r="CC28" s="121"/>
      <c r="CD28" s="121"/>
      <c r="CE28" s="121"/>
      <c r="CF28" s="121"/>
      <c r="CG28" s="121"/>
      <c r="CH28" s="121"/>
      <c r="CI28" s="121"/>
      <c r="CJ28" s="121"/>
      <c r="CK28" s="121"/>
      <c r="CL28" s="121"/>
      <c r="CM28" s="121"/>
      <c r="CN28" s="121"/>
      <c r="CO28" s="121"/>
      <c r="CP28" s="121"/>
      <c r="CQ28" s="121"/>
      <c r="CR28" s="121"/>
      <c r="CS28" s="121"/>
      <c r="CT28" s="121"/>
      <c r="CU28" s="121"/>
      <c r="CV28" s="121"/>
      <c r="CW28" s="121"/>
      <c r="CX28" s="121"/>
      <c r="CY28" s="121"/>
      <c r="CZ28" s="121"/>
      <c r="DA28" s="121"/>
      <c r="DB28" s="121"/>
      <c r="DC28" s="121"/>
      <c r="DD28" s="121"/>
      <c r="DE28" s="121"/>
      <c r="DF28" s="121"/>
      <c r="DG28" s="121"/>
      <c r="DH28" s="121"/>
      <c r="DI28" s="121"/>
      <c r="DJ28" s="121"/>
      <c r="DK28" s="121"/>
      <c r="DL28" s="121"/>
      <c r="DM28" s="121"/>
      <c r="DN28" s="121"/>
      <c r="DO28" s="121"/>
      <c r="DP28" s="121"/>
      <c r="DQ28" s="121"/>
      <c r="DR28" s="121"/>
      <c r="DS28" s="121"/>
      <c r="DT28" s="121"/>
      <c r="DU28" s="121"/>
      <c r="DV28" s="121"/>
      <c r="DW28" s="121"/>
      <c r="DX28" s="121"/>
      <c r="DY28" s="121"/>
      <c r="DZ28" s="121"/>
      <c r="EA28" s="121"/>
      <c r="EB28" s="121"/>
      <c r="EC28" s="121"/>
      <c r="ED28" s="121"/>
      <c r="EE28" s="121"/>
      <c r="EF28" s="121"/>
      <c r="EG28" s="121"/>
      <c r="EH28" s="121"/>
      <c r="EI28" s="121"/>
      <c r="EJ28" s="121"/>
      <c r="EK28" s="121"/>
      <c r="EL28" s="121"/>
      <c r="EM28" s="121"/>
      <c r="EN28" s="121"/>
      <c r="EO28" s="121"/>
      <c r="EP28" s="121"/>
      <c r="EQ28" s="121"/>
      <c r="ER28" s="121"/>
      <c r="ES28" s="121"/>
      <c r="ET28" s="121"/>
      <c r="EU28" s="121"/>
      <c r="EV28" s="121"/>
      <c r="EW28" s="121"/>
      <c r="EX28" s="121"/>
      <c r="EY28" s="121"/>
      <c r="EZ28" s="121"/>
      <c r="FA28" s="121"/>
      <c r="FB28" s="121"/>
      <c r="FC28" s="121"/>
      <c r="FD28" s="121"/>
      <c r="FE28" s="121"/>
      <c r="FF28" s="121"/>
      <c r="FG28" s="121"/>
      <c r="FH28" s="121"/>
      <c r="FI28" s="121"/>
      <c r="FJ28" s="121"/>
      <c r="FK28" s="121"/>
      <c r="FL28" s="121"/>
      <c r="FM28" s="121"/>
      <c r="FN28" s="121"/>
      <c r="FO28" s="121"/>
      <c r="FP28" s="121"/>
      <c r="FQ28" s="121"/>
      <c r="FR28" s="121"/>
      <c r="FS28" s="121"/>
      <c r="FT28" s="121"/>
      <c r="FU28" s="121"/>
      <c r="FV28" s="121"/>
      <c r="FW28" s="121"/>
      <c r="FX28" s="121"/>
      <c r="FY28" s="121"/>
      <c r="FZ28" s="121"/>
      <c r="GA28" s="121"/>
      <c r="GB28" s="121"/>
      <c r="GC28" s="121"/>
      <c r="GD28" s="121"/>
      <c r="GE28" s="121"/>
      <c r="GF28" s="121"/>
      <c r="GG28" s="121"/>
      <c r="GH28" s="121"/>
      <c r="GI28" s="121"/>
      <c r="GJ28" s="121"/>
      <c r="GK28" s="121"/>
      <c r="GL28" s="121"/>
      <c r="GM28" s="121"/>
      <c r="GN28" s="121"/>
      <c r="GO28" s="121"/>
      <c r="GP28" s="121"/>
      <c r="GQ28" s="121"/>
      <c r="GR28" s="121"/>
      <c r="GS28" s="121"/>
      <c r="GT28" s="121"/>
      <c r="GU28" s="121"/>
      <c r="GV28" s="121"/>
      <c r="GW28" s="121"/>
      <c r="GX28" s="121"/>
      <c r="GY28" s="121"/>
      <c r="GZ28" s="121"/>
      <c r="HA28" s="121"/>
      <c r="HB28" s="121"/>
      <c r="HC28" s="121"/>
      <c r="HD28" s="121"/>
      <c r="HE28" s="121"/>
      <c r="HF28" s="121"/>
      <c r="HG28" s="121"/>
      <c r="HH28" s="121"/>
      <c r="HI28" s="121"/>
      <c r="HJ28" s="121"/>
      <c r="HK28" s="121"/>
      <c r="HL28" s="121"/>
      <c r="HM28" s="121"/>
      <c r="HN28" s="121"/>
      <c r="HO28" s="121"/>
      <c r="HP28" s="121"/>
      <c r="HQ28" s="121"/>
      <c r="HR28" s="121"/>
      <c r="HS28" s="121"/>
      <c r="HT28" s="121"/>
      <c r="HU28" s="121"/>
      <c r="HV28" s="121"/>
      <c r="HW28" s="121"/>
      <c r="HX28" s="121"/>
      <c r="HY28" s="121"/>
      <c r="HZ28" s="121"/>
      <c r="IA28" s="121"/>
      <c r="IB28" s="121"/>
      <c r="IC28" s="121"/>
      <c r="ID28" s="121"/>
      <c r="IE28" s="121"/>
      <c r="IF28" s="121"/>
      <c r="IG28" s="121"/>
      <c r="IH28" s="121"/>
      <c r="II28" s="121"/>
      <c r="IJ28" s="121"/>
      <c r="IK28" s="121"/>
      <c r="IL28" s="121"/>
      <c r="IM28" s="121"/>
      <c r="IN28" s="121"/>
      <c r="IO28" s="121"/>
      <c r="IP28" s="121"/>
      <c r="IQ28" s="121"/>
      <c r="IR28" s="121"/>
      <c r="IS28" s="121"/>
      <c r="IT28" s="121"/>
      <c r="IU28" s="121"/>
      <c r="IV28" s="121"/>
    </row>
    <row r="29" spans="1:256" ht="17.25" customHeight="1" x14ac:dyDescent="0.35">
      <c r="A29" s="1690">
        <v>23</v>
      </c>
      <c r="B29" s="121"/>
      <c r="C29" s="119"/>
      <c r="D29" s="997" t="s">
        <v>134</v>
      </c>
      <c r="E29" s="1004">
        <f>SUM(E28:E28)</f>
        <v>18</v>
      </c>
      <c r="F29" s="1005"/>
      <c r="G29" s="1005"/>
      <c r="H29" s="1005"/>
      <c r="I29" s="121"/>
      <c r="J29" s="121"/>
      <c r="K29" s="121"/>
      <c r="L29" s="121"/>
      <c r="M29" s="121"/>
      <c r="N29" s="121"/>
      <c r="O29" s="121"/>
      <c r="P29" s="121"/>
      <c r="Q29" s="121"/>
      <c r="R29" s="121"/>
      <c r="S29" s="121"/>
      <c r="T29" s="121"/>
      <c r="U29" s="121"/>
      <c r="V29" s="121"/>
      <c r="W29" s="121"/>
      <c r="X29" s="121"/>
      <c r="Y29" s="121"/>
      <c r="Z29" s="121"/>
      <c r="AA29" s="121"/>
      <c r="AB29" s="121"/>
      <c r="AC29" s="121"/>
      <c r="AD29" s="121"/>
      <c r="AE29" s="121"/>
      <c r="AF29" s="121"/>
      <c r="AG29" s="121"/>
      <c r="AH29" s="121"/>
      <c r="AI29" s="121"/>
      <c r="AJ29" s="121"/>
      <c r="AK29" s="121"/>
      <c r="AL29" s="121"/>
      <c r="AM29" s="121"/>
      <c r="AN29" s="121"/>
      <c r="AO29" s="121"/>
      <c r="AP29" s="121"/>
      <c r="AQ29" s="121"/>
      <c r="AR29" s="121"/>
      <c r="AS29" s="121"/>
      <c r="AT29" s="121"/>
      <c r="AU29" s="121"/>
      <c r="AV29" s="121"/>
      <c r="AW29" s="121"/>
      <c r="AX29" s="121"/>
      <c r="AY29" s="121"/>
      <c r="AZ29" s="121"/>
      <c r="BA29" s="121"/>
      <c r="BB29" s="121"/>
      <c r="BC29" s="121"/>
      <c r="BD29" s="121"/>
      <c r="BE29" s="121"/>
      <c r="BF29" s="121"/>
      <c r="BG29" s="121"/>
      <c r="BH29" s="121"/>
      <c r="BI29" s="121"/>
      <c r="BJ29" s="121"/>
      <c r="BK29" s="121"/>
      <c r="BL29" s="121"/>
      <c r="BM29" s="121"/>
      <c r="BN29" s="121"/>
      <c r="BO29" s="121"/>
      <c r="BP29" s="121"/>
      <c r="BQ29" s="121"/>
      <c r="BR29" s="121"/>
      <c r="BS29" s="121"/>
      <c r="BT29" s="121"/>
      <c r="BU29" s="121"/>
      <c r="BV29" s="121"/>
      <c r="BW29" s="121"/>
      <c r="BX29" s="121"/>
      <c r="BY29" s="121"/>
      <c r="BZ29" s="121"/>
      <c r="CA29" s="121"/>
      <c r="CB29" s="121"/>
      <c r="CC29" s="121"/>
      <c r="CD29" s="121"/>
      <c r="CE29" s="121"/>
      <c r="CF29" s="121"/>
      <c r="CG29" s="121"/>
      <c r="CH29" s="121"/>
      <c r="CI29" s="121"/>
      <c r="CJ29" s="121"/>
      <c r="CK29" s="121"/>
      <c r="CL29" s="121"/>
      <c r="CM29" s="121"/>
      <c r="CN29" s="121"/>
      <c r="CO29" s="121"/>
      <c r="CP29" s="121"/>
      <c r="CQ29" s="121"/>
      <c r="CR29" s="121"/>
      <c r="CS29" s="121"/>
      <c r="CT29" s="121"/>
      <c r="CU29" s="121"/>
      <c r="CV29" s="121"/>
      <c r="CW29" s="121"/>
      <c r="CX29" s="121"/>
      <c r="CY29" s="121"/>
      <c r="CZ29" s="121"/>
      <c r="DA29" s="121"/>
      <c r="DB29" s="121"/>
      <c r="DC29" s="121"/>
      <c r="DD29" s="121"/>
      <c r="DE29" s="121"/>
      <c r="DF29" s="121"/>
      <c r="DG29" s="121"/>
      <c r="DH29" s="121"/>
      <c r="DI29" s="121"/>
      <c r="DJ29" s="121"/>
      <c r="DK29" s="121"/>
      <c r="DL29" s="121"/>
      <c r="DM29" s="121"/>
      <c r="DN29" s="121"/>
      <c r="DO29" s="121"/>
      <c r="DP29" s="121"/>
      <c r="DQ29" s="121"/>
      <c r="DR29" s="121"/>
      <c r="DS29" s="121"/>
      <c r="DT29" s="121"/>
      <c r="DU29" s="121"/>
      <c r="DV29" s="121"/>
      <c r="DW29" s="121"/>
      <c r="DX29" s="121"/>
      <c r="DY29" s="121"/>
      <c r="DZ29" s="121"/>
      <c r="EA29" s="121"/>
      <c r="EB29" s="121"/>
      <c r="EC29" s="121"/>
      <c r="ED29" s="121"/>
      <c r="EE29" s="121"/>
      <c r="EF29" s="121"/>
      <c r="EG29" s="121"/>
      <c r="EH29" s="121"/>
      <c r="EI29" s="121"/>
      <c r="EJ29" s="121"/>
      <c r="EK29" s="121"/>
      <c r="EL29" s="121"/>
      <c r="EM29" s="121"/>
      <c r="EN29" s="121"/>
      <c r="EO29" s="121"/>
      <c r="EP29" s="121"/>
      <c r="EQ29" s="121"/>
      <c r="ER29" s="121"/>
      <c r="ES29" s="121"/>
      <c r="ET29" s="121"/>
      <c r="EU29" s="121"/>
      <c r="EV29" s="121"/>
      <c r="EW29" s="121"/>
      <c r="EX29" s="121"/>
      <c r="EY29" s="121"/>
      <c r="EZ29" s="121"/>
      <c r="FA29" s="121"/>
      <c r="FB29" s="121"/>
      <c r="FC29" s="121"/>
      <c r="FD29" s="121"/>
      <c r="FE29" s="121"/>
      <c r="FF29" s="121"/>
      <c r="FG29" s="121"/>
      <c r="FH29" s="121"/>
      <c r="FI29" s="121"/>
      <c r="FJ29" s="121"/>
      <c r="FK29" s="121"/>
      <c r="FL29" s="121"/>
      <c r="FM29" s="121"/>
      <c r="FN29" s="121"/>
      <c r="FO29" s="121"/>
      <c r="FP29" s="121"/>
      <c r="FQ29" s="121"/>
      <c r="FR29" s="121"/>
      <c r="FS29" s="121"/>
      <c r="FT29" s="121"/>
      <c r="FU29" s="121"/>
      <c r="FV29" s="121"/>
      <c r="FW29" s="121"/>
      <c r="FX29" s="121"/>
      <c r="FY29" s="121"/>
      <c r="FZ29" s="121"/>
      <c r="GA29" s="121"/>
      <c r="GB29" s="121"/>
      <c r="GC29" s="121"/>
      <c r="GD29" s="121"/>
      <c r="GE29" s="121"/>
      <c r="GF29" s="121"/>
      <c r="GG29" s="121"/>
      <c r="GH29" s="121"/>
      <c r="GI29" s="121"/>
      <c r="GJ29" s="121"/>
      <c r="GK29" s="121"/>
      <c r="GL29" s="121"/>
      <c r="GM29" s="121"/>
      <c r="GN29" s="121"/>
      <c r="GO29" s="121"/>
      <c r="GP29" s="121"/>
      <c r="GQ29" s="121"/>
      <c r="GR29" s="121"/>
      <c r="GS29" s="121"/>
      <c r="GT29" s="121"/>
      <c r="GU29" s="121"/>
      <c r="GV29" s="121"/>
      <c r="GW29" s="121"/>
      <c r="GX29" s="121"/>
      <c r="GY29" s="121"/>
      <c r="GZ29" s="121"/>
      <c r="HA29" s="121"/>
      <c r="HB29" s="121"/>
      <c r="HC29" s="121"/>
      <c r="HD29" s="121"/>
      <c r="HE29" s="121"/>
      <c r="HF29" s="121"/>
      <c r="HG29" s="121"/>
      <c r="HH29" s="121"/>
      <c r="HI29" s="121"/>
      <c r="HJ29" s="121"/>
      <c r="HK29" s="121"/>
      <c r="HL29" s="121"/>
      <c r="HM29" s="121"/>
      <c r="HN29" s="121"/>
      <c r="HO29" s="121"/>
      <c r="HP29" s="121"/>
      <c r="HQ29" s="121"/>
      <c r="HR29" s="121"/>
      <c r="HS29" s="121"/>
      <c r="HT29" s="121"/>
      <c r="HU29" s="121"/>
      <c r="HV29" s="121"/>
      <c r="HW29" s="121"/>
      <c r="HX29" s="121"/>
      <c r="HY29" s="121"/>
      <c r="HZ29" s="121"/>
      <c r="IA29" s="121"/>
      <c r="IB29" s="121"/>
      <c r="IC29" s="121"/>
      <c r="ID29" s="121"/>
      <c r="IE29" s="121"/>
      <c r="IF29" s="121"/>
      <c r="IG29" s="121"/>
      <c r="IH29" s="121"/>
      <c r="II29" s="121"/>
      <c r="IJ29" s="121"/>
      <c r="IK29" s="121"/>
      <c r="IL29" s="121"/>
      <c r="IM29" s="121"/>
      <c r="IN29" s="121"/>
      <c r="IO29" s="121"/>
      <c r="IP29" s="121"/>
      <c r="IQ29" s="121"/>
      <c r="IR29" s="121"/>
      <c r="IS29" s="121"/>
      <c r="IT29" s="121"/>
      <c r="IU29" s="121"/>
      <c r="IV29" s="121"/>
    </row>
    <row r="30" spans="1:256" ht="24.95" customHeight="1" x14ac:dyDescent="0.35">
      <c r="A30" s="1690">
        <v>24</v>
      </c>
      <c r="B30" s="121"/>
      <c r="C30" s="992" t="s">
        <v>241</v>
      </c>
      <c r="D30" s="999" t="s">
        <v>201</v>
      </c>
      <c r="E30" s="1002"/>
      <c r="F30" s="1005"/>
      <c r="G30" s="1005"/>
      <c r="H30" s="1005"/>
      <c r="I30" s="121"/>
      <c r="J30" s="121"/>
      <c r="K30" s="121"/>
      <c r="L30" s="121"/>
      <c r="M30" s="121"/>
      <c r="N30" s="121"/>
      <c r="O30" s="121"/>
      <c r="P30" s="121"/>
      <c r="Q30" s="121"/>
      <c r="R30" s="121"/>
      <c r="S30" s="121"/>
      <c r="T30" s="121"/>
      <c r="U30" s="121"/>
      <c r="V30" s="121"/>
      <c r="W30" s="121"/>
      <c r="X30" s="121"/>
      <c r="Y30" s="121"/>
      <c r="Z30" s="121"/>
      <c r="AA30" s="121"/>
      <c r="AB30" s="121"/>
      <c r="AC30" s="121"/>
      <c r="AD30" s="121"/>
      <c r="AE30" s="121"/>
      <c r="AF30" s="121"/>
      <c r="AG30" s="121"/>
      <c r="AH30" s="121"/>
      <c r="AI30" s="121"/>
      <c r="AJ30" s="121"/>
      <c r="AK30" s="121"/>
      <c r="AL30" s="121"/>
      <c r="AM30" s="121"/>
      <c r="AN30" s="121"/>
      <c r="AO30" s="121"/>
      <c r="AP30" s="121"/>
      <c r="AQ30" s="121"/>
      <c r="AR30" s="121"/>
      <c r="AS30" s="121"/>
      <c r="AT30" s="121"/>
      <c r="AU30" s="121"/>
      <c r="AV30" s="121"/>
      <c r="AW30" s="121"/>
      <c r="AX30" s="121"/>
      <c r="AY30" s="121"/>
      <c r="AZ30" s="121"/>
      <c r="BA30" s="121"/>
      <c r="BB30" s="121"/>
      <c r="BC30" s="121"/>
      <c r="BD30" s="121"/>
      <c r="BE30" s="121"/>
      <c r="BF30" s="121"/>
      <c r="BG30" s="121"/>
      <c r="BH30" s="121"/>
      <c r="BI30" s="121"/>
      <c r="BJ30" s="121"/>
      <c r="BK30" s="121"/>
      <c r="BL30" s="121"/>
      <c r="BM30" s="121"/>
      <c r="BN30" s="121"/>
      <c r="BO30" s="121"/>
      <c r="BP30" s="121"/>
      <c r="BQ30" s="121"/>
      <c r="BR30" s="121"/>
      <c r="BS30" s="121"/>
      <c r="BT30" s="121"/>
      <c r="BU30" s="121"/>
      <c r="BV30" s="121"/>
      <c r="BW30" s="121"/>
      <c r="BX30" s="121"/>
      <c r="BY30" s="121"/>
      <c r="BZ30" s="121"/>
      <c r="CA30" s="121"/>
      <c r="CB30" s="121"/>
      <c r="CC30" s="121"/>
      <c r="CD30" s="121"/>
      <c r="CE30" s="121"/>
      <c r="CF30" s="121"/>
      <c r="CG30" s="121"/>
      <c r="CH30" s="121"/>
      <c r="CI30" s="121"/>
      <c r="CJ30" s="121"/>
      <c r="CK30" s="121"/>
      <c r="CL30" s="121"/>
      <c r="CM30" s="121"/>
      <c r="CN30" s="121"/>
      <c r="CO30" s="121"/>
      <c r="CP30" s="121"/>
      <c r="CQ30" s="121"/>
      <c r="CR30" s="121"/>
      <c r="CS30" s="121"/>
      <c r="CT30" s="121"/>
      <c r="CU30" s="121"/>
      <c r="CV30" s="121"/>
      <c r="CW30" s="121"/>
      <c r="CX30" s="121"/>
      <c r="CY30" s="121"/>
      <c r="CZ30" s="121"/>
      <c r="DA30" s="121"/>
      <c r="DB30" s="121"/>
      <c r="DC30" s="121"/>
      <c r="DD30" s="121"/>
      <c r="DE30" s="121"/>
      <c r="DF30" s="121"/>
      <c r="DG30" s="121"/>
      <c r="DH30" s="121"/>
      <c r="DI30" s="121"/>
      <c r="DJ30" s="121"/>
      <c r="DK30" s="121"/>
      <c r="DL30" s="121"/>
      <c r="DM30" s="121"/>
      <c r="DN30" s="121"/>
      <c r="DO30" s="121"/>
      <c r="DP30" s="121"/>
      <c r="DQ30" s="121"/>
      <c r="DR30" s="121"/>
      <c r="DS30" s="121"/>
      <c r="DT30" s="121"/>
      <c r="DU30" s="121"/>
      <c r="DV30" s="121"/>
      <c r="DW30" s="121"/>
      <c r="DX30" s="121"/>
      <c r="DY30" s="121"/>
      <c r="DZ30" s="121"/>
      <c r="EA30" s="121"/>
      <c r="EB30" s="121"/>
      <c r="EC30" s="121"/>
      <c r="ED30" s="121"/>
      <c r="EE30" s="121"/>
      <c r="EF30" s="121"/>
      <c r="EG30" s="121"/>
      <c r="EH30" s="121"/>
      <c r="EI30" s="121"/>
      <c r="EJ30" s="121"/>
      <c r="EK30" s="121"/>
      <c r="EL30" s="121"/>
      <c r="EM30" s="121"/>
      <c r="EN30" s="121"/>
      <c r="EO30" s="121"/>
      <c r="EP30" s="121"/>
      <c r="EQ30" s="121"/>
      <c r="ER30" s="121"/>
      <c r="ES30" s="121"/>
      <c r="ET30" s="121"/>
      <c r="EU30" s="121"/>
      <c r="EV30" s="121"/>
      <c r="EW30" s="121"/>
      <c r="EX30" s="121"/>
      <c r="EY30" s="121"/>
      <c r="EZ30" s="121"/>
      <c r="FA30" s="121"/>
      <c r="FB30" s="121"/>
      <c r="FC30" s="121"/>
      <c r="FD30" s="121"/>
      <c r="FE30" s="121"/>
      <c r="FF30" s="121"/>
      <c r="FG30" s="121"/>
      <c r="FH30" s="121"/>
      <c r="FI30" s="121"/>
      <c r="FJ30" s="121"/>
      <c r="FK30" s="121"/>
      <c r="FL30" s="121"/>
      <c r="FM30" s="121"/>
      <c r="FN30" s="121"/>
      <c r="FO30" s="121"/>
      <c r="FP30" s="121"/>
      <c r="FQ30" s="121"/>
      <c r="FR30" s="121"/>
      <c r="FS30" s="121"/>
      <c r="FT30" s="121"/>
      <c r="FU30" s="121"/>
      <c r="FV30" s="121"/>
      <c r="FW30" s="121"/>
      <c r="FX30" s="121"/>
      <c r="FY30" s="121"/>
      <c r="FZ30" s="121"/>
      <c r="GA30" s="121"/>
      <c r="GB30" s="121"/>
      <c r="GC30" s="121"/>
      <c r="GD30" s="121"/>
      <c r="GE30" s="121"/>
      <c r="GF30" s="121"/>
      <c r="GG30" s="121"/>
      <c r="GH30" s="121"/>
      <c r="GI30" s="121"/>
      <c r="GJ30" s="121"/>
      <c r="GK30" s="121"/>
      <c r="GL30" s="121"/>
      <c r="GM30" s="121"/>
      <c r="GN30" s="121"/>
      <c r="GO30" s="121"/>
      <c r="GP30" s="121"/>
      <c r="GQ30" s="121"/>
      <c r="GR30" s="121"/>
      <c r="GS30" s="121"/>
      <c r="GT30" s="121"/>
      <c r="GU30" s="121"/>
      <c r="GV30" s="121"/>
      <c r="GW30" s="121"/>
      <c r="GX30" s="121"/>
      <c r="GY30" s="121"/>
      <c r="GZ30" s="121"/>
      <c r="HA30" s="121"/>
      <c r="HB30" s="121"/>
      <c r="HC30" s="121"/>
      <c r="HD30" s="121"/>
      <c r="HE30" s="121"/>
      <c r="HF30" s="121"/>
      <c r="HG30" s="121"/>
      <c r="HH30" s="121"/>
      <c r="HI30" s="121"/>
      <c r="HJ30" s="121"/>
      <c r="HK30" s="121"/>
      <c r="HL30" s="121"/>
      <c r="HM30" s="121"/>
      <c r="HN30" s="121"/>
      <c r="HO30" s="121"/>
      <c r="HP30" s="121"/>
      <c r="HQ30" s="121"/>
      <c r="HR30" s="121"/>
      <c r="HS30" s="121"/>
      <c r="HT30" s="121"/>
      <c r="HU30" s="121"/>
      <c r="HV30" s="121"/>
      <c r="HW30" s="121"/>
      <c r="HX30" s="121"/>
      <c r="HY30" s="121"/>
      <c r="HZ30" s="121"/>
      <c r="IA30" s="121"/>
      <c r="IB30" s="121"/>
      <c r="IC30" s="121"/>
      <c r="ID30" s="121"/>
      <c r="IE30" s="121"/>
      <c r="IF30" s="121"/>
      <c r="IG30" s="121"/>
      <c r="IH30" s="121"/>
      <c r="II30" s="121"/>
      <c r="IJ30" s="121"/>
      <c r="IK30" s="121"/>
      <c r="IL30" s="121"/>
      <c r="IM30" s="121"/>
      <c r="IN30" s="121"/>
      <c r="IO30" s="121"/>
      <c r="IP30" s="121"/>
      <c r="IQ30" s="121"/>
      <c r="IR30" s="121"/>
      <c r="IS30" s="121"/>
      <c r="IT30" s="121"/>
      <c r="IU30" s="121"/>
      <c r="IV30" s="121"/>
    </row>
    <row r="31" spans="1:256" ht="18" customHeight="1" x14ac:dyDescent="0.35">
      <c r="A31" s="1690">
        <v>25</v>
      </c>
      <c r="B31" s="121"/>
      <c r="D31" s="1001" t="s">
        <v>1401</v>
      </c>
      <c r="E31" s="1002">
        <v>3900</v>
      </c>
      <c r="F31" s="1005"/>
      <c r="G31" s="1005"/>
      <c r="H31" s="1005"/>
      <c r="I31" s="121"/>
      <c r="J31" s="121"/>
      <c r="K31" s="121"/>
      <c r="L31" s="121"/>
      <c r="M31" s="121"/>
      <c r="N31" s="121"/>
      <c r="O31" s="121"/>
      <c r="P31" s="121"/>
      <c r="Q31" s="121"/>
      <c r="R31" s="121"/>
      <c r="S31" s="121"/>
      <c r="T31" s="121"/>
      <c r="U31" s="121"/>
      <c r="V31" s="121"/>
      <c r="W31" s="121"/>
      <c r="X31" s="121"/>
      <c r="Y31" s="121"/>
      <c r="Z31" s="121"/>
      <c r="AA31" s="121"/>
      <c r="AB31" s="121"/>
      <c r="AC31" s="121"/>
      <c r="AD31" s="121"/>
      <c r="AE31" s="121"/>
      <c r="AF31" s="121"/>
      <c r="AG31" s="121"/>
      <c r="AH31" s="121"/>
      <c r="AI31" s="121"/>
      <c r="AJ31" s="121"/>
      <c r="AK31" s="121"/>
      <c r="AL31" s="121"/>
      <c r="AM31" s="121"/>
      <c r="AN31" s="121"/>
      <c r="AO31" s="121"/>
      <c r="AP31" s="121"/>
      <c r="AQ31" s="121"/>
      <c r="AR31" s="121"/>
      <c r="AS31" s="121"/>
      <c r="AT31" s="121"/>
      <c r="AU31" s="121"/>
      <c r="AV31" s="121"/>
      <c r="AW31" s="121"/>
      <c r="AX31" s="121"/>
      <c r="AY31" s="121"/>
      <c r="AZ31" s="121"/>
      <c r="BA31" s="121"/>
      <c r="BB31" s="121"/>
      <c r="BC31" s="121"/>
      <c r="BD31" s="121"/>
      <c r="BE31" s="121"/>
      <c r="BF31" s="121"/>
      <c r="BG31" s="121"/>
      <c r="BH31" s="121"/>
      <c r="BI31" s="121"/>
      <c r="BJ31" s="121"/>
      <c r="BK31" s="121"/>
      <c r="BL31" s="121"/>
      <c r="BM31" s="121"/>
      <c r="BN31" s="121"/>
      <c r="BO31" s="121"/>
      <c r="BP31" s="121"/>
      <c r="BQ31" s="121"/>
      <c r="BR31" s="121"/>
      <c r="BS31" s="121"/>
      <c r="BT31" s="121"/>
      <c r="BU31" s="121"/>
      <c r="BV31" s="121"/>
      <c r="BW31" s="121"/>
      <c r="BX31" s="121"/>
      <c r="BY31" s="121"/>
      <c r="BZ31" s="121"/>
      <c r="CA31" s="121"/>
      <c r="CB31" s="121"/>
      <c r="CC31" s="121"/>
      <c r="CD31" s="121"/>
      <c r="CE31" s="121"/>
      <c r="CF31" s="121"/>
      <c r="CG31" s="121"/>
      <c r="CH31" s="121"/>
      <c r="CI31" s="121"/>
      <c r="CJ31" s="121"/>
      <c r="CK31" s="121"/>
      <c r="CL31" s="121"/>
      <c r="CM31" s="121"/>
      <c r="CN31" s="121"/>
      <c r="CO31" s="121"/>
      <c r="CP31" s="121"/>
      <c r="CQ31" s="121"/>
      <c r="CR31" s="121"/>
      <c r="CS31" s="121"/>
      <c r="CT31" s="121"/>
      <c r="CU31" s="121"/>
      <c r="CV31" s="121"/>
      <c r="CW31" s="121"/>
      <c r="CX31" s="121"/>
      <c r="CY31" s="121"/>
      <c r="CZ31" s="121"/>
      <c r="DA31" s="121"/>
      <c r="DB31" s="121"/>
      <c r="DC31" s="121"/>
      <c r="DD31" s="121"/>
      <c r="DE31" s="121"/>
      <c r="DF31" s="121"/>
      <c r="DG31" s="121"/>
      <c r="DH31" s="121"/>
      <c r="DI31" s="121"/>
      <c r="DJ31" s="121"/>
      <c r="DK31" s="121"/>
      <c r="DL31" s="121"/>
      <c r="DM31" s="121"/>
      <c r="DN31" s="121"/>
      <c r="DO31" s="121"/>
      <c r="DP31" s="121"/>
      <c r="DQ31" s="121"/>
      <c r="DR31" s="121"/>
      <c r="DS31" s="121"/>
      <c r="DT31" s="121"/>
      <c r="DU31" s="121"/>
      <c r="DV31" s="121"/>
      <c r="DW31" s="121"/>
      <c r="DX31" s="121"/>
      <c r="DY31" s="121"/>
      <c r="DZ31" s="121"/>
      <c r="EA31" s="121"/>
      <c r="EB31" s="121"/>
      <c r="EC31" s="121"/>
      <c r="ED31" s="121"/>
      <c r="EE31" s="121"/>
      <c r="EF31" s="121"/>
      <c r="EG31" s="121"/>
      <c r="EH31" s="121"/>
      <c r="EI31" s="121"/>
      <c r="EJ31" s="121"/>
      <c r="EK31" s="121"/>
      <c r="EL31" s="121"/>
      <c r="EM31" s="121"/>
      <c r="EN31" s="121"/>
      <c r="EO31" s="121"/>
      <c r="EP31" s="121"/>
      <c r="EQ31" s="121"/>
      <c r="ER31" s="121"/>
      <c r="ES31" s="121"/>
      <c r="ET31" s="121"/>
      <c r="EU31" s="121"/>
      <c r="EV31" s="121"/>
      <c r="EW31" s="121"/>
      <c r="EX31" s="121"/>
      <c r="EY31" s="121"/>
      <c r="EZ31" s="121"/>
      <c r="FA31" s="121"/>
      <c r="FB31" s="121"/>
      <c r="FC31" s="121"/>
      <c r="FD31" s="121"/>
      <c r="FE31" s="121"/>
      <c r="FF31" s="121"/>
      <c r="FG31" s="121"/>
      <c r="FH31" s="121"/>
      <c r="FI31" s="121"/>
      <c r="FJ31" s="121"/>
      <c r="FK31" s="121"/>
      <c r="FL31" s="121"/>
      <c r="FM31" s="121"/>
      <c r="FN31" s="121"/>
      <c r="FO31" s="121"/>
      <c r="FP31" s="121"/>
      <c r="FQ31" s="121"/>
      <c r="FR31" s="121"/>
      <c r="FS31" s="121"/>
      <c r="FT31" s="121"/>
      <c r="FU31" s="121"/>
      <c r="FV31" s="121"/>
      <c r="FW31" s="121"/>
      <c r="FX31" s="121"/>
      <c r="FY31" s="121"/>
      <c r="FZ31" s="121"/>
      <c r="GA31" s="121"/>
      <c r="GB31" s="121"/>
      <c r="GC31" s="121"/>
      <c r="GD31" s="121"/>
      <c r="GE31" s="121"/>
      <c r="GF31" s="121"/>
      <c r="GG31" s="121"/>
      <c r="GH31" s="121"/>
      <c r="GI31" s="121"/>
      <c r="GJ31" s="121"/>
      <c r="GK31" s="121"/>
      <c r="GL31" s="121"/>
      <c r="GM31" s="121"/>
      <c r="GN31" s="121"/>
      <c r="GO31" s="121"/>
      <c r="GP31" s="121"/>
      <c r="GQ31" s="121"/>
      <c r="GR31" s="121"/>
      <c r="GS31" s="121"/>
      <c r="GT31" s="121"/>
      <c r="GU31" s="121"/>
      <c r="GV31" s="121"/>
      <c r="GW31" s="121"/>
      <c r="GX31" s="121"/>
      <c r="GY31" s="121"/>
      <c r="GZ31" s="121"/>
      <c r="HA31" s="121"/>
      <c r="HB31" s="121"/>
      <c r="HC31" s="121"/>
      <c r="HD31" s="121"/>
      <c r="HE31" s="121"/>
      <c r="HF31" s="121"/>
      <c r="HG31" s="121"/>
      <c r="HH31" s="121"/>
      <c r="HI31" s="121"/>
      <c r="HJ31" s="121"/>
      <c r="HK31" s="121"/>
      <c r="HL31" s="121"/>
      <c r="HM31" s="121"/>
      <c r="HN31" s="121"/>
      <c r="HO31" s="121"/>
      <c r="HP31" s="121"/>
      <c r="HQ31" s="121"/>
      <c r="HR31" s="121"/>
      <c r="HS31" s="121"/>
      <c r="HT31" s="121"/>
      <c r="HU31" s="121"/>
      <c r="HV31" s="121"/>
      <c r="HW31" s="121"/>
      <c r="HX31" s="121"/>
      <c r="HY31" s="121"/>
      <c r="HZ31" s="121"/>
      <c r="IA31" s="121"/>
      <c r="IB31" s="121"/>
      <c r="IC31" s="121"/>
      <c r="ID31" s="121"/>
      <c r="IE31" s="121"/>
      <c r="IF31" s="121"/>
      <c r="IG31" s="121"/>
      <c r="IH31" s="121"/>
      <c r="II31" s="121"/>
      <c r="IJ31" s="121"/>
      <c r="IK31" s="121"/>
      <c r="IL31" s="121"/>
      <c r="IM31" s="121"/>
      <c r="IN31" s="121"/>
      <c r="IO31" s="121"/>
      <c r="IP31" s="121"/>
      <c r="IQ31" s="121"/>
      <c r="IR31" s="121"/>
      <c r="IS31" s="121"/>
      <c r="IT31" s="121"/>
      <c r="IU31" s="121"/>
      <c r="IV31" s="121"/>
    </row>
    <row r="32" spans="1:256" ht="18" customHeight="1" x14ac:dyDescent="0.35">
      <c r="A32" s="1690">
        <v>26</v>
      </c>
      <c r="B32" s="121"/>
      <c r="D32" s="1001" t="s">
        <v>1402</v>
      </c>
      <c r="E32" s="1002">
        <v>2000</v>
      </c>
      <c r="F32" s="1005"/>
      <c r="G32" s="1005"/>
      <c r="H32" s="1005"/>
      <c r="I32" s="121"/>
      <c r="J32" s="121"/>
      <c r="K32" s="121"/>
      <c r="L32" s="121"/>
      <c r="M32" s="121"/>
      <c r="N32" s="121"/>
      <c r="O32" s="121"/>
      <c r="P32" s="121"/>
      <c r="Q32" s="121"/>
      <c r="R32" s="121"/>
      <c r="S32" s="121"/>
      <c r="T32" s="121"/>
      <c r="U32" s="121"/>
      <c r="V32" s="121"/>
      <c r="W32" s="121"/>
      <c r="X32" s="121"/>
      <c r="Y32" s="121"/>
      <c r="Z32" s="121"/>
      <c r="AA32" s="121"/>
      <c r="AB32" s="121"/>
      <c r="AC32" s="121"/>
      <c r="AD32" s="121"/>
      <c r="AE32" s="121"/>
      <c r="AF32" s="121"/>
      <c r="AG32" s="121"/>
      <c r="AH32" s="121"/>
      <c r="AI32" s="121"/>
      <c r="AJ32" s="121"/>
      <c r="AK32" s="121"/>
      <c r="AL32" s="121"/>
      <c r="AM32" s="121"/>
      <c r="AN32" s="121"/>
      <c r="AO32" s="121"/>
      <c r="AP32" s="121"/>
      <c r="AQ32" s="121"/>
      <c r="AR32" s="121"/>
      <c r="AS32" s="121"/>
      <c r="AT32" s="121"/>
      <c r="AU32" s="121"/>
      <c r="AV32" s="121"/>
      <c r="AW32" s="121"/>
      <c r="AX32" s="121"/>
      <c r="AY32" s="121"/>
      <c r="AZ32" s="121"/>
      <c r="BA32" s="121"/>
      <c r="BB32" s="121"/>
      <c r="BC32" s="121"/>
      <c r="BD32" s="121"/>
      <c r="BE32" s="121"/>
      <c r="BF32" s="121"/>
      <c r="BG32" s="121"/>
      <c r="BH32" s="121"/>
      <c r="BI32" s="121"/>
      <c r="BJ32" s="121"/>
      <c r="BK32" s="121"/>
      <c r="BL32" s="121"/>
      <c r="BM32" s="121"/>
      <c r="BN32" s="121"/>
      <c r="BO32" s="121"/>
      <c r="BP32" s="121"/>
      <c r="BQ32" s="121"/>
      <c r="BR32" s="121"/>
      <c r="BS32" s="121"/>
      <c r="BT32" s="121"/>
      <c r="BU32" s="121"/>
      <c r="BV32" s="121"/>
      <c r="BW32" s="121"/>
      <c r="BX32" s="121"/>
      <c r="BY32" s="121"/>
      <c r="BZ32" s="121"/>
      <c r="CA32" s="121"/>
      <c r="CB32" s="121"/>
      <c r="CC32" s="121"/>
      <c r="CD32" s="121"/>
      <c r="CE32" s="121"/>
      <c r="CF32" s="121"/>
      <c r="CG32" s="121"/>
      <c r="CH32" s="121"/>
      <c r="CI32" s="121"/>
      <c r="CJ32" s="121"/>
      <c r="CK32" s="121"/>
      <c r="CL32" s="121"/>
      <c r="CM32" s="121"/>
      <c r="CN32" s="121"/>
      <c r="CO32" s="121"/>
      <c r="CP32" s="121"/>
      <c r="CQ32" s="121"/>
      <c r="CR32" s="121"/>
      <c r="CS32" s="121"/>
      <c r="CT32" s="121"/>
      <c r="CU32" s="121"/>
      <c r="CV32" s="121"/>
      <c r="CW32" s="121"/>
      <c r="CX32" s="121"/>
      <c r="CY32" s="121"/>
      <c r="CZ32" s="121"/>
      <c r="DA32" s="121"/>
      <c r="DB32" s="121"/>
      <c r="DC32" s="121"/>
      <c r="DD32" s="121"/>
      <c r="DE32" s="121"/>
      <c r="DF32" s="121"/>
      <c r="DG32" s="121"/>
      <c r="DH32" s="121"/>
      <c r="DI32" s="121"/>
      <c r="DJ32" s="121"/>
      <c r="DK32" s="121"/>
      <c r="DL32" s="121"/>
      <c r="DM32" s="121"/>
      <c r="DN32" s="121"/>
      <c r="DO32" s="121"/>
      <c r="DP32" s="121"/>
      <c r="DQ32" s="121"/>
      <c r="DR32" s="121"/>
      <c r="DS32" s="121"/>
      <c r="DT32" s="121"/>
      <c r="DU32" s="121"/>
      <c r="DV32" s="121"/>
      <c r="DW32" s="121"/>
      <c r="DX32" s="121"/>
      <c r="DY32" s="121"/>
      <c r="DZ32" s="121"/>
      <c r="EA32" s="121"/>
      <c r="EB32" s="121"/>
      <c r="EC32" s="121"/>
      <c r="ED32" s="121"/>
      <c r="EE32" s="121"/>
      <c r="EF32" s="121"/>
      <c r="EG32" s="121"/>
      <c r="EH32" s="121"/>
      <c r="EI32" s="121"/>
      <c r="EJ32" s="121"/>
      <c r="EK32" s="121"/>
      <c r="EL32" s="121"/>
      <c r="EM32" s="121"/>
      <c r="EN32" s="121"/>
      <c r="EO32" s="121"/>
      <c r="EP32" s="121"/>
      <c r="EQ32" s="121"/>
      <c r="ER32" s="121"/>
      <c r="ES32" s="121"/>
      <c r="ET32" s="121"/>
      <c r="EU32" s="121"/>
      <c r="EV32" s="121"/>
      <c r="EW32" s="121"/>
      <c r="EX32" s="121"/>
      <c r="EY32" s="121"/>
      <c r="EZ32" s="121"/>
      <c r="FA32" s="121"/>
      <c r="FB32" s="121"/>
      <c r="FC32" s="121"/>
      <c r="FD32" s="121"/>
      <c r="FE32" s="121"/>
      <c r="FF32" s="121"/>
      <c r="FG32" s="121"/>
      <c r="FH32" s="121"/>
      <c r="FI32" s="121"/>
      <c r="FJ32" s="121"/>
      <c r="FK32" s="121"/>
      <c r="FL32" s="121"/>
      <c r="FM32" s="121"/>
      <c r="FN32" s="121"/>
      <c r="FO32" s="121"/>
      <c r="FP32" s="121"/>
      <c r="FQ32" s="121"/>
      <c r="FR32" s="121"/>
      <c r="FS32" s="121"/>
      <c r="FT32" s="121"/>
      <c r="FU32" s="121"/>
      <c r="FV32" s="121"/>
      <c r="FW32" s="121"/>
      <c r="FX32" s="121"/>
      <c r="FY32" s="121"/>
      <c r="FZ32" s="121"/>
      <c r="GA32" s="121"/>
      <c r="GB32" s="121"/>
      <c r="GC32" s="121"/>
      <c r="GD32" s="121"/>
      <c r="GE32" s="121"/>
      <c r="GF32" s="121"/>
      <c r="GG32" s="121"/>
      <c r="GH32" s="121"/>
      <c r="GI32" s="121"/>
      <c r="GJ32" s="121"/>
      <c r="GK32" s="121"/>
      <c r="GL32" s="121"/>
      <c r="GM32" s="121"/>
      <c r="GN32" s="121"/>
      <c r="GO32" s="121"/>
      <c r="GP32" s="121"/>
      <c r="GQ32" s="121"/>
      <c r="GR32" s="121"/>
      <c r="GS32" s="121"/>
      <c r="GT32" s="121"/>
      <c r="GU32" s="121"/>
      <c r="GV32" s="121"/>
      <c r="GW32" s="121"/>
      <c r="GX32" s="121"/>
      <c r="GY32" s="121"/>
      <c r="GZ32" s="121"/>
      <c r="HA32" s="121"/>
      <c r="HB32" s="121"/>
      <c r="HC32" s="121"/>
      <c r="HD32" s="121"/>
      <c r="HE32" s="121"/>
      <c r="HF32" s="121"/>
      <c r="HG32" s="121"/>
      <c r="HH32" s="121"/>
      <c r="HI32" s="121"/>
      <c r="HJ32" s="121"/>
      <c r="HK32" s="121"/>
      <c r="HL32" s="121"/>
      <c r="HM32" s="121"/>
      <c r="HN32" s="121"/>
      <c r="HO32" s="121"/>
      <c r="HP32" s="121"/>
      <c r="HQ32" s="121"/>
      <c r="HR32" s="121"/>
      <c r="HS32" s="121"/>
      <c r="HT32" s="121"/>
      <c r="HU32" s="121"/>
      <c r="HV32" s="121"/>
      <c r="HW32" s="121"/>
      <c r="HX32" s="121"/>
      <c r="HY32" s="121"/>
      <c r="HZ32" s="121"/>
      <c r="IA32" s="121"/>
      <c r="IB32" s="121"/>
      <c r="IC32" s="121"/>
      <c r="ID32" s="121"/>
      <c r="IE32" s="121"/>
      <c r="IF32" s="121"/>
      <c r="IG32" s="121"/>
      <c r="IH32" s="121"/>
      <c r="II32" s="121"/>
      <c r="IJ32" s="121"/>
      <c r="IK32" s="121"/>
      <c r="IL32" s="121"/>
      <c r="IM32" s="121"/>
      <c r="IN32" s="121"/>
      <c r="IO32" s="121"/>
      <c r="IP32" s="121"/>
      <c r="IQ32" s="121"/>
      <c r="IR32" s="121"/>
      <c r="IS32" s="121"/>
      <c r="IT32" s="121"/>
      <c r="IU32" s="121"/>
      <c r="IV32" s="121"/>
    </row>
    <row r="33" spans="1:256" ht="18" customHeight="1" x14ac:dyDescent="0.35">
      <c r="A33" s="1690">
        <v>27</v>
      </c>
      <c r="B33" s="121"/>
      <c r="D33" s="1001" t="s">
        <v>1487</v>
      </c>
      <c r="E33" s="1517">
        <v>556</v>
      </c>
      <c r="F33" s="1005"/>
      <c r="G33" s="1005"/>
      <c r="H33" s="1005"/>
      <c r="I33" s="121"/>
      <c r="J33" s="121"/>
      <c r="K33" s="121"/>
      <c r="L33" s="121"/>
      <c r="M33" s="121"/>
      <c r="N33" s="121"/>
      <c r="O33" s="121"/>
      <c r="P33" s="121"/>
      <c r="Q33" s="121"/>
      <c r="R33" s="121"/>
      <c r="S33" s="121"/>
      <c r="T33" s="121"/>
      <c r="U33" s="121"/>
      <c r="V33" s="121"/>
      <c r="W33" s="121"/>
      <c r="X33" s="121"/>
      <c r="Y33" s="121"/>
      <c r="Z33" s="121"/>
      <c r="AA33" s="121"/>
      <c r="AB33" s="121"/>
      <c r="AC33" s="121"/>
      <c r="AD33" s="121"/>
      <c r="AE33" s="121"/>
      <c r="AF33" s="121"/>
      <c r="AG33" s="121"/>
      <c r="AH33" s="121"/>
      <c r="AI33" s="121"/>
      <c r="AJ33" s="121"/>
      <c r="AK33" s="121"/>
      <c r="AL33" s="121"/>
      <c r="AM33" s="121"/>
      <c r="AN33" s="121"/>
      <c r="AO33" s="121"/>
      <c r="AP33" s="121"/>
      <c r="AQ33" s="121"/>
      <c r="AR33" s="121"/>
      <c r="AS33" s="121"/>
      <c r="AT33" s="121"/>
      <c r="AU33" s="121"/>
      <c r="AV33" s="121"/>
      <c r="AW33" s="121"/>
      <c r="AX33" s="121"/>
      <c r="AY33" s="121"/>
      <c r="AZ33" s="121"/>
      <c r="BA33" s="121"/>
      <c r="BB33" s="121"/>
      <c r="BC33" s="121"/>
      <c r="BD33" s="121"/>
      <c r="BE33" s="121"/>
      <c r="BF33" s="121"/>
      <c r="BG33" s="121"/>
      <c r="BH33" s="121"/>
      <c r="BI33" s="121"/>
      <c r="BJ33" s="121"/>
      <c r="BK33" s="121"/>
      <c r="BL33" s="121"/>
      <c r="BM33" s="121"/>
      <c r="BN33" s="121"/>
      <c r="BO33" s="121"/>
      <c r="BP33" s="121"/>
      <c r="BQ33" s="121"/>
      <c r="BR33" s="121"/>
      <c r="BS33" s="121"/>
      <c r="BT33" s="121"/>
      <c r="BU33" s="121"/>
      <c r="BV33" s="121"/>
      <c r="BW33" s="121"/>
      <c r="BX33" s="121"/>
      <c r="BY33" s="121"/>
      <c r="BZ33" s="121"/>
      <c r="CA33" s="121"/>
      <c r="CB33" s="121"/>
      <c r="CC33" s="121"/>
      <c r="CD33" s="121"/>
      <c r="CE33" s="121"/>
      <c r="CF33" s="121"/>
      <c r="CG33" s="121"/>
      <c r="CH33" s="121"/>
      <c r="CI33" s="121"/>
      <c r="CJ33" s="121"/>
      <c r="CK33" s="121"/>
      <c r="CL33" s="121"/>
      <c r="CM33" s="121"/>
      <c r="CN33" s="121"/>
      <c r="CO33" s="121"/>
      <c r="CP33" s="121"/>
      <c r="CQ33" s="121"/>
      <c r="CR33" s="121"/>
      <c r="CS33" s="121"/>
      <c r="CT33" s="121"/>
      <c r="CU33" s="121"/>
      <c r="CV33" s="121"/>
      <c r="CW33" s="121"/>
      <c r="CX33" s="121"/>
      <c r="CY33" s="121"/>
      <c r="CZ33" s="121"/>
      <c r="DA33" s="121"/>
      <c r="DB33" s="121"/>
      <c r="DC33" s="121"/>
      <c r="DD33" s="121"/>
      <c r="DE33" s="121"/>
      <c r="DF33" s="121"/>
      <c r="DG33" s="121"/>
      <c r="DH33" s="121"/>
      <c r="DI33" s="121"/>
      <c r="DJ33" s="121"/>
      <c r="DK33" s="121"/>
      <c r="DL33" s="121"/>
      <c r="DM33" s="121"/>
      <c r="DN33" s="121"/>
      <c r="DO33" s="121"/>
      <c r="DP33" s="121"/>
      <c r="DQ33" s="121"/>
      <c r="DR33" s="121"/>
      <c r="DS33" s="121"/>
      <c r="DT33" s="121"/>
      <c r="DU33" s="121"/>
      <c r="DV33" s="121"/>
      <c r="DW33" s="121"/>
      <c r="DX33" s="121"/>
      <c r="DY33" s="121"/>
      <c r="DZ33" s="121"/>
      <c r="EA33" s="121"/>
      <c r="EB33" s="121"/>
      <c r="EC33" s="121"/>
      <c r="ED33" s="121"/>
      <c r="EE33" s="121"/>
      <c r="EF33" s="121"/>
      <c r="EG33" s="121"/>
      <c r="EH33" s="121"/>
      <c r="EI33" s="121"/>
      <c r="EJ33" s="121"/>
      <c r="EK33" s="121"/>
      <c r="EL33" s="121"/>
      <c r="EM33" s="121"/>
      <c r="EN33" s="121"/>
      <c r="EO33" s="121"/>
      <c r="EP33" s="121"/>
      <c r="EQ33" s="121"/>
      <c r="ER33" s="121"/>
      <c r="ES33" s="121"/>
      <c r="ET33" s="121"/>
      <c r="EU33" s="121"/>
      <c r="EV33" s="121"/>
      <c r="EW33" s="121"/>
      <c r="EX33" s="121"/>
      <c r="EY33" s="121"/>
      <c r="EZ33" s="121"/>
      <c r="FA33" s="121"/>
      <c r="FB33" s="121"/>
      <c r="FC33" s="121"/>
      <c r="FD33" s="121"/>
      <c r="FE33" s="121"/>
      <c r="FF33" s="121"/>
      <c r="FG33" s="121"/>
      <c r="FH33" s="121"/>
      <c r="FI33" s="121"/>
      <c r="FJ33" s="121"/>
      <c r="FK33" s="121"/>
      <c r="FL33" s="121"/>
      <c r="FM33" s="121"/>
      <c r="FN33" s="121"/>
      <c r="FO33" s="121"/>
      <c r="FP33" s="121"/>
      <c r="FQ33" s="121"/>
      <c r="FR33" s="121"/>
      <c r="FS33" s="121"/>
      <c r="FT33" s="121"/>
      <c r="FU33" s="121"/>
      <c r="FV33" s="121"/>
      <c r="FW33" s="121"/>
      <c r="FX33" s="121"/>
      <c r="FY33" s="121"/>
      <c r="FZ33" s="121"/>
      <c r="GA33" s="121"/>
      <c r="GB33" s="121"/>
      <c r="GC33" s="121"/>
      <c r="GD33" s="121"/>
      <c r="GE33" s="121"/>
      <c r="GF33" s="121"/>
      <c r="GG33" s="121"/>
      <c r="GH33" s="121"/>
      <c r="GI33" s="121"/>
      <c r="GJ33" s="121"/>
      <c r="GK33" s="121"/>
      <c r="GL33" s="121"/>
      <c r="GM33" s="121"/>
      <c r="GN33" s="121"/>
      <c r="GO33" s="121"/>
      <c r="GP33" s="121"/>
      <c r="GQ33" s="121"/>
      <c r="GR33" s="121"/>
      <c r="GS33" s="121"/>
      <c r="GT33" s="121"/>
      <c r="GU33" s="121"/>
      <c r="GV33" s="121"/>
      <c r="GW33" s="121"/>
      <c r="GX33" s="121"/>
      <c r="GY33" s="121"/>
      <c r="GZ33" s="121"/>
      <c r="HA33" s="121"/>
      <c r="HB33" s="121"/>
      <c r="HC33" s="121"/>
      <c r="HD33" s="121"/>
      <c r="HE33" s="121"/>
      <c r="HF33" s="121"/>
      <c r="HG33" s="121"/>
      <c r="HH33" s="121"/>
      <c r="HI33" s="121"/>
      <c r="HJ33" s="121"/>
      <c r="HK33" s="121"/>
      <c r="HL33" s="121"/>
      <c r="HM33" s="121"/>
      <c r="HN33" s="121"/>
      <c r="HO33" s="121"/>
      <c r="HP33" s="121"/>
      <c r="HQ33" s="121"/>
      <c r="HR33" s="121"/>
      <c r="HS33" s="121"/>
      <c r="HT33" s="121"/>
      <c r="HU33" s="121"/>
      <c r="HV33" s="121"/>
      <c r="HW33" s="121"/>
      <c r="HX33" s="121"/>
      <c r="HY33" s="121"/>
      <c r="HZ33" s="121"/>
      <c r="IA33" s="121"/>
      <c r="IB33" s="121"/>
      <c r="IC33" s="121"/>
      <c r="ID33" s="121"/>
      <c r="IE33" s="121"/>
      <c r="IF33" s="121"/>
      <c r="IG33" s="121"/>
      <c r="IH33" s="121"/>
      <c r="II33" s="121"/>
      <c r="IJ33" s="121"/>
      <c r="IK33" s="121"/>
      <c r="IL33" s="121"/>
      <c r="IM33" s="121"/>
      <c r="IN33" s="121"/>
      <c r="IO33" s="121"/>
      <c r="IP33" s="121"/>
      <c r="IQ33" s="121"/>
      <c r="IR33" s="121"/>
      <c r="IS33" s="121"/>
      <c r="IT33" s="121"/>
      <c r="IU33" s="121"/>
      <c r="IV33" s="121"/>
    </row>
    <row r="34" spans="1:256" ht="18" customHeight="1" x14ac:dyDescent="0.35">
      <c r="A34" s="1690">
        <v>28</v>
      </c>
      <c r="B34" s="121"/>
      <c r="D34" s="997" t="s">
        <v>134</v>
      </c>
      <c r="E34" s="1004">
        <f>SUM(E31:E33)</f>
        <v>6456</v>
      </c>
      <c r="F34" s="1005"/>
      <c r="G34" s="1005"/>
      <c r="H34" s="1005"/>
      <c r="I34" s="121"/>
      <c r="J34" s="121"/>
      <c r="K34" s="121"/>
      <c r="L34" s="121"/>
      <c r="M34" s="121"/>
      <c r="N34" s="121"/>
      <c r="O34" s="121"/>
      <c r="P34" s="121"/>
      <c r="Q34" s="121"/>
      <c r="R34" s="121"/>
      <c r="S34" s="121"/>
      <c r="T34" s="121"/>
      <c r="U34" s="121"/>
      <c r="V34" s="121"/>
      <c r="W34" s="121"/>
      <c r="X34" s="121"/>
      <c r="Y34" s="121"/>
      <c r="Z34" s="121"/>
      <c r="AA34" s="121"/>
      <c r="AB34" s="121"/>
      <c r="AC34" s="121"/>
      <c r="AD34" s="121"/>
      <c r="AE34" s="121"/>
      <c r="AF34" s="121"/>
      <c r="AG34" s="121"/>
      <c r="AH34" s="121"/>
      <c r="AI34" s="121"/>
      <c r="AJ34" s="121"/>
      <c r="AK34" s="121"/>
      <c r="AL34" s="121"/>
      <c r="AM34" s="121"/>
      <c r="AN34" s="121"/>
      <c r="AO34" s="121"/>
      <c r="AP34" s="121"/>
      <c r="AQ34" s="121"/>
      <c r="AR34" s="121"/>
      <c r="AS34" s="121"/>
      <c r="AT34" s="121"/>
      <c r="AU34" s="121"/>
      <c r="AV34" s="121"/>
      <c r="AW34" s="121"/>
      <c r="AX34" s="121"/>
      <c r="AY34" s="121"/>
      <c r="AZ34" s="121"/>
      <c r="BA34" s="121"/>
      <c r="BB34" s="121"/>
      <c r="BC34" s="121"/>
      <c r="BD34" s="121"/>
      <c r="BE34" s="121"/>
      <c r="BF34" s="121"/>
      <c r="BG34" s="121"/>
      <c r="BH34" s="121"/>
      <c r="BI34" s="121"/>
      <c r="BJ34" s="121"/>
      <c r="BK34" s="121"/>
      <c r="BL34" s="121"/>
      <c r="BM34" s="121"/>
      <c r="BN34" s="121"/>
      <c r="BO34" s="121"/>
      <c r="BP34" s="121"/>
      <c r="BQ34" s="121"/>
      <c r="BR34" s="121"/>
      <c r="BS34" s="121"/>
      <c r="BT34" s="121"/>
      <c r="BU34" s="121"/>
      <c r="BV34" s="121"/>
      <c r="BW34" s="121"/>
      <c r="BX34" s="121"/>
      <c r="BY34" s="121"/>
      <c r="BZ34" s="121"/>
      <c r="CA34" s="121"/>
      <c r="CB34" s="121"/>
      <c r="CC34" s="121"/>
      <c r="CD34" s="121"/>
      <c r="CE34" s="121"/>
      <c r="CF34" s="121"/>
      <c r="CG34" s="121"/>
      <c r="CH34" s="121"/>
      <c r="CI34" s="121"/>
      <c r="CJ34" s="121"/>
      <c r="CK34" s="121"/>
      <c r="CL34" s="121"/>
      <c r="CM34" s="121"/>
      <c r="CN34" s="121"/>
      <c r="CO34" s="121"/>
      <c r="CP34" s="121"/>
      <c r="CQ34" s="121"/>
      <c r="CR34" s="121"/>
      <c r="CS34" s="121"/>
      <c r="CT34" s="121"/>
      <c r="CU34" s="121"/>
      <c r="CV34" s="121"/>
      <c r="CW34" s="121"/>
      <c r="CX34" s="121"/>
      <c r="CY34" s="121"/>
      <c r="CZ34" s="121"/>
      <c r="DA34" s="121"/>
      <c r="DB34" s="121"/>
      <c r="DC34" s="121"/>
      <c r="DD34" s="121"/>
      <c r="DE34" s="121"/>
      <c r="DF34" s="121"/>
      <c r="DG34" s="121"/>
      <c r="DH34" s="121"/>
      <c r="DI34" s="121"/>
      <c r="DJ34" s="121"/>
      <c r="DK34" s="121"/>
      <c r="DL34" s="121"/>
      <c r="DM34" s="121"/>
      <c r="DN34" s="121"/>
      <c r="DO34" s="121"/>
      <c r="DP34" s="121"/>
      <c r="DQ34" s="121"/>
      <c r="DR34" s="121"/>
      <c r="DS34" s="121"/>
      <c r="DT34" s="121"/>
      <c r="DU34" s="121"/>
      <c r="DV34" s="121"/>
      <c r="DW34" s="121"/>
      <c r="DX34" s="121"/>
      <c r="DY34" s="121"/>
      <c r="DZ34" s="121"/>
      <c r="EA34" s="121"/>
      <c r="EB34" s="121"/>
      <c r="EC34" s="121"/>
      <c r="ED34" s="121"/>
      <c r="EE34" s="121"/>
      <c r="EF34" s="121"/>
      <c r="EG34" s="121"/>
      <c r="EH34" s="121"/>
      <c r="EI34" s="121"/>
      <c r="EJ34" s="121"/>
      <c r="EK34" s="121"/>
      <c r="EL34" s="121"/>
      <c r="EM34" s="121"/>
      <c r="EN34" s="121"/>
      <c r="EO34" s="121"/>
      <c r="EP34" s="121"/>
      <c r="EQ34" s="121"/>
      <c r="ER34" s="121"/>
      <c r="ES34" s="121"/>
      <c r="ET34" s="121"/>
      <c r="EU34" s="121"/>
      <c r="EV34" s="121"/>
      <c r="EW34" s="121"/>
      <c r="EX34" s="121"/>
      <c r="EY34" s="121"/>
      <c r="EZ34" s="121"/>
      <c r="FA34" s="121"/>
      <c r="FB34" s="121"/>
      <c r="FC34" s="121"/>
      <c r="FD34" s="121"/>
      <c r="FE34" s="121"/>
      <c r="FF34" s="121"/>
      <c r="FG34" s="121"/>
      <c r="FH34" s="121"/>
      <c r="FI34" s="121"/>
      <c r="FJ34" s="121"/>
      <c r="FK34" s="121"/>
      <c r="FL34" s="121"/>
      <c r="FM34" s="121"/>
      <c r="FN34" s="121"/>
      <c r="FO34" s="121"/>
      <c r="FP34" s="121"/>
      <c r="FQ34" s="121"/>
      <c r="FR34" s="121"/>
      <c r="FS34" s="121"/>
      <c r="FT34" s="121"/>
      <c r="FU34" s="121"/>
      <c r="FV34" s="121"/>
      <c r="FW34" s="121"/>
      <c r="FX34" s="121"/>
      <c r="FY34" s="121"/>
      <c r="FZ34" s="121"/>
      <c r="GA34" s="121"/>
      <c r="GB34" s="121"/>
      <c r="GC34" s="121"/>
      <c r="GD34" s="121"/>
      <c r="GE34" s="121"/>
      <c r="GF34" s="121"/>
      <c r="GG34" s="121"/>
      <c r="GH34" s="121"/>
      <c r="GI34" s="121"/>
      <c r="GJ34" s="121"/>
      <c r="GK34" s="121"/>
      <c r="GL34" s="121"/>
      <c r="GM34" s="121"/>
      <c r="GN34" s="121"/>
      <c r="GO34" s="121"/>
      <c r="GP34" s="121"/>
      <c r="GQ34" s="121"/>
      <c r="GR34" s="121"/>
      <c r="GS34" s="121"/>
      <c r="GT34" s="121"/>
      <c r="GU34" s="121"/>
      <c r="GV34" s="121"/>
      <c r="GW34" s="121"/>
      <c r="GX34" s="121"/>
      <c r="GY34" s="121"/>
      <c r="GZ34" s="121"/>
      <c r="HA34" s="121"/>
      <c r="HB34" s="121"/>
      <c r="HC34" s="121"/>
      <c r="HD34" s="121"/>
      <c r="HE34" s="121"/>
      <c r="HF34" s="121"/>
      <c r="HG34" s="121"/>
      <c r="HH34" s="121"/>
      <c r="HI34" s="121"/>
      <c r="HJ34" s="121"/>
      <c r="HK34" s="121"/>
      <c r="HL34" s="121"/>
      <c r="HM34" s="121"/>
      <c r="HN34" s="121"/>
      <c r="HO34" s="121"/>
      <c r="HP34" s="121"/>
      <c r="HQ34" s="121"/>
      <c r="HR34" s="121"/>
      <c r="HS34" s="121"/>
      <c r="HT34" s="121"/>
      <c r="HU34" s="121"/>
      <c r="HV34" s="121"/>
      <c r="HW34" s="121"/>
      <c r="HX34" s="121"/>
      <c r="HY34" s="121"/>
      <c r="HZ34" s="121"/>
      <c r="IA34" s="121"/>
      <c r="IB34" s="121"/>
      <c r="IC34" s="121"/>
      <c r="ID34" s="121"/>
      <c r="IE34" s="121"/>
      <c r="IF34" s="121"/>
      <c r="IG34" s="121"/>
      <c r="IH34" s="121"/>
      <c r="II34" s="121"/>
      <c r="IJ34" s="121"/>
      <c r="IK34" s="121"/>
      <c r="IL34" s="121"/>
      <c r="IM34" s="121"/>
      <c r="IN34" s="121"/>
      <c r="IO34" s="121"/>
      <c r="IP34" s="121"/>
      <c r="IQ34" s="121"/>
      <c r="IR34" s="121"/>
      <c r="IS34" s="121"/>
      <c r="IT34" s="121"/>
      <c r="IU34" s="121"/>
      <c r="IV34" s="121"/>
    </row>
    <row r="35" spans="1:256" ht="24.95" customHeight="1" x14ac:dyDescent="0.35">
      <c r="A35" s="1690">
        <v>29</v>
      </c>
      <c r="B35" s="121"/>
      <c r="C35" s="992" t="s">
        <v>357</v>
      </c>
      <c r="D35" s="999" t="s">
        <v>1333</v>
      </c>
      <c r="E35" s="1004"/>
      <c r="F35" s="1005"/>
      <c r="G35" s="1005"/>
      <c r="H35" s="1005"/>
      <c r="I35" s="121"/>
      <c r="J35" s="121"/>
      <c r="K35" s="121"/>
      <c r="L35" s="121"/>
      <c r="M35" s="121"/>
      <c r="N35" s="121"/>
      <c r="O35" s="121"/>
      <c r="P35" s="121"/>
      <c r="Q35" s="121"/>
      <c r="R35" s="121"/>
      <c r="S35" s="121"/>
      <c r="T35" s="121"/>
      <c r="U35" s="121"/>
      <c r="V35" s="121"/>
      <c r="W35" s="121"/>
      <c r="X35" s="121"/>
      <c r="Y35" s="121"/>
      <c r="Z35" s="121"/>
      <c r="AA35" s="121"/>
      <c r="AB35" s="121"/>
      <c r="AC35" s="121"/>
      <c r="AD35" s="121"/>
      <c r="AE35" s="121"/>
      <c r="AF35" s="121"/>
      <c r="AG35" s="121"/>
      <c r="AH35" s="121"/>
      <c r="AI35" s="121"/>
      <c r="AJ35" s="121"/>
      <c r="AK35" s="121"/>
      <c r="AL35" s="121"/>
      <c r="AM35" s="121"/>
      <c r="AN35" s="121"/>
      <c r="AO35" s="121"/>
      <c r="AP35" s="121"/>
      <c r="AQ35" s="121"/>
      <c r="AR35" s="121"/>
      <c r="AS35" s="121"/>
      <c r="AT35" s="121"/>
      <c r="AU35" s="121"/>
      <c r="AV35" s="121"/>
      <c r="AW35" s="121"/>
      <c r="AX35" s="121"/>
      <c r="AY35" s="121"/>
      <c r="AZ35" s="121"/>
      <c r="BA35" s="121"/>
      <c r="BB35" s="121"/>
      <c r="BC35" s="121"/>
      <c r="BD35" s="121"/>
      <c r="BE35" s="121"/>
      <c r="BF35" s="121"/>
      <c r="BG35" s="121"/>
      <c r="BH35" s="121"/>
      <c r="BI35" s="121"/>
      <c r="BJ35" s="121"/>
      <c r="BK35" s="121"/>
      <c r="BL35" s="121"/>
      <c r="BM35" s="121"/>
      <c r="BN35" s="121"/>
      <c r="BO35" s="121"/>
      <c r="BP35" s="121"/>
      <c r="BQ35" s="121"/>
      <c r="BR35" s="121"/>
      <c r="BS35" s="121"/>
      <c r="BT35" s="121"/>
      <c r="BU35" s="121"/>
      <c r="BV35" s="121"/>
      <c r="BW35" s="121"/>
      <c r="BX35" s="121"/>
      <c r="BY35" s="121"/>
      <c r="BZ35" s="121"/>
      <c r="CA35" s="121"/>
      <c r="CB35" s="121"/>
      <c r="CC35" s="121"/>
      <c r="CD35" s="121"/>
      <c r="CE35" s="121"/>
      <c r="CF35" s="121"/>
      <c r="CG35" s="121"/>
      <c r="CH35" s="121"/>
      <c r="CI35" s="121"/>
      <c r="CJ35" s="121"/>
      <c r="CK35" s="121"/>
      <c r="CL35" s="121"/>
      <c r="CM35" s="121"/>
      <c r="CN35" s="121"/>
      <c r="CO35" s="121"/>
      <c r="CP35" s="121"/>
      <c r="CQ35" s="121"/>
      <c r="CR35" s="121"/>
      <c r="CS35" s="121"/>
      <c r="CT35" s="121"/>
      <c r="CU35" s="121"/>
      <c r="CV35" s="121"/>
      <c r="CW35" s="121"/>
      <c r="CX35" s="121"/>
      <c r="CY35" s="121"/>
      <c r="CZ35" s="121"/>
      <c r="DA35" s="121"/>
      <c r="DB35" s="121"/>
      <c r="DC35" s="121"/>
      <c r="DD35" s="121"/>
      <c r="DE35" s="121"/>
      <c r="DF35" s="121"/>
      <c r="DG35" s="121"/>
      <c r="DH35" s="121"/>
      <c r="DI35" s="121"/>
      <c r="DJ35" s="121"/>
      <c r="DK35" s="121"/>
      <c r="DL35" s="121"/>
      <c r="DM35" s="121"/>
      <c r="DN35" s="121"/>
      <c r="DO35" s="121"/>
      <c r="DP35" s="121"/>
      <c r="DQ35" s="121"/>
      <c r="DR35" s="121"/>
      <c r="DS35" s="121"/>
      <c r="DT35" s="121"/>
      <c r="DU35" s="121"/>
      <c r="DV35" s="121"/>
      <c r="DW35" s="121"/>
      <c r="DX35" s="121"/>
      <c r="DY35" s="121"/>
      <c r="DZ35" s="121"/>
      <c r="EA35" s="121"/>
      <c r="EB35" s="121"/>
      <c r="EC35" s="121"/>
      <c r="ED35" s="121"/>
      <c r="EE35" s="121"/>
      <c r="EF35" s="121"/>
      <c r="EG35" s="121"/>
      <c r="EH35" s="121"/>
      <c r="EI35" s="121"/>
      <c r="EJ35" s="121"/>
      <c r="EK35" s="121"/>
      <c r="EL35" s="121"/>
      <c r="EM35" s="121"/>
      <c r="EN35" s="121"/>
      <c r="EO35" s="121"/>
      <c r="EP35" s="121"/>
      <c r="EQ35" s="121"/>
      <c r="ER35" s="121"/>
      <c r="ES35" s="121"/>
      <c r="ET35" s="121"/>
      <c r="EU35" s="121"/>
      <c r="EV35" s="121"/>
      <c r="EW35" s="121"/>
      <c r="EX35" s="121"/>
      <c r="EY35" s="121"/>
      <c r="EZ35" s="121"/>
      <c r="FA35" s="121"/>
      <c r="FB35" s="121"/>
      <c r="FC35" s="121"/>
      <c r="FD35" s="121"/>
      <c r="FE35" s="121"/>
      <c r="FF35" s="121"/>
      <c r="FG35" s="121"/>
      <c r="FH35" s="121"/>
      <c r="FI35" s="121"/>
      <c r="FJ35" s="121"/>
      <c r="FK35" s="121"/>
      <c r="FL35" s="121"/>
      <c r="FM35" s="121"/>
      <c r="FN35" s="121"/>
      <c r="FO35" s="121"/>
      <c r="FP35" s="121"/>
      <c r="FQ35" s="121"/>
      <c r="FR35" s="121"/>
      <c r="FS35" s="121"/>
      <c r="FT35" s="121"/>
      <c r="FU35" s="121"/>
      <c r="FV35" s="121"/>
      <c r="FW35" s="121"/>
      <c r="FX35" s="121"/>
      <c r="FY35" s="121"/>
      <c r="FZ35" s="121"/>
      <c r="GA35" s="121"/>
      <c r="GB35" s="121"/>
      <c r="GC35" s="121"/>
      <c r="GD35" s="121"/>
      <c r="GE35" s="121"/>
      <c r="GF35" s="121"/>
      <c r="GG35" s="121"/>
      <c r="GH35" s="121"/>
      <c r="GI35" s="121"/>
      <c r="GJ35" s="121"/>
      <c r="GK35" s="121"/>
      <c r="GL35" s="121"/>
      <c r="GM35" s="121"/>
      <c r="GN35" s="121"/>
      <c r="GO35" s="121"/>
      <c r="GP35" s="121"/>
      <c r="GQ35" s="121"/>
      <c r="GR35" s="121"/>
      <c r="GS35" s="121"/>
      <c r="GT35" s="121"/>
      <c r="GU35" s="121"/>
      <c r="GV35" s="121"/>
      <c r="GW35" s="121"/>
      <c r="GX35" s="121"/>
      <c r="GY35" s="121"/>
      <c r="GZ35" s="121"/>
      <c r="HA35" s="121"/>
      <c r="HB35" s="121"/>
      <c r="HC35" s="121"/>
      <c r="HD35" s="121"/>
      <c r="HE35" s="121"/>
      <c r="HF35" s="121"/>
      <c r="HG35" s="121"/>
      <c r="HH35" s="121"/>
      <c r="HI35" s="121"/>
      <c r="HJ35" s="121"/>
      <c r="HK35" s="121"/>
      <c r="HL35" s="121"/>
      <c r="HM35" s="121"/>
      <c r="HN35" s="121"/>
      <c r="HO35" s="121"/>
      <c r="HP35" s="121"/>
      <c r="HQ35" s="121"/>
      <c r="HR35" s="121"/>
      <c r="HS35" s="121"/>
      <c r="HT35" s="121"/>
      <c r="HU35" s="121"/>
      <c r="HV35" s="121"/>
      <c r="HW35" s="121"/>
      <c r="HX35" s="121"/>
      <c r="HY35" s="121"/>
      <c r="HZ35" s="121"/>
      <c r="IA35" s="121"/>
      <c r="IB35" s="121"/>
      <c r="IC35" s="121"/>
      <c r="ID35" s="121"/>
      <c r="IE35" s="121"/>
      <c r="IF35" s="121"/>
      <c r="IG35" s="121"/>
      <c r="IH35" s="121"/>
      <c r="II35" s="121"/>
      <c r="IJ35" s="121"/>
      <c r="IK35" s="121"/>
      <c r="IL35" s="121"/>
      <c r="IM35" s="121"/>
      <c r="IN35" s="121"/>
      <c r="IO35" s="121"/>
      <c r="IP35" s="121"/>
      <c r="IQ35" s="121"/>
      <c r="IR35" s="121"/>
      <c r="IS35" s="121"/>
      <c r="IT35" s="121"/>
      <c r="IU35" s="121"/>
      <c r="IV35" s="121"/>
    </row>
    <row r="36" spans="1:256" ht="18" customHeight="1" x14ac:dyDescent="0.35">
      <c r="A36" s="1690">
        <v>30</v>
      </c>
      <c r="B36" s="121"/>
      <c r="C36" s="992"/>
      <c r="D36" s="1047" t="s">
        <v>532</v>
      </c>
      <c r="E36" s="1004"/>
      <c r="F36" s="1005"/>
      <c r="G36" s="1005"/>
      <c r="H36" s="1005"/>
      <c r="I36" s="121"/>
      <c r="J36" s="121"/>
      <c r="K36" s="121"/>
      <c r="L36" s="121"/>
      <c r="M36" s="121"/>
      <c r="N36" s="121"/>
      <c r="O36" s="121"/>
      <c r="P36" s="121"/>
      <c r="Q36" s="121"/>
      <c r="R36" s="121"/>
      <c r="S36" s="121"/>
      <c r="T36" s="121"/>
      <c r="U36" s="121"/>
      <c r="V36" s="121"/>
      <c r="W36" s="121"/>
      <c r="X36" s="121"/>
      <c r="Y36" s="121"/>
      <c r="Z36" s="121"/>
      <c r="AA36" s="121"/>
      <c r="AB36" s="121"/>
      <c r="AC36" s="121"/>
      <c r="AD36" s="121"/>
      <c r="AE36" s="121"/>
      <c r="AF36" s="121"/>
      <c r="AG36" s="121"/>
      <c r="AH36" s="121"/>
      <c r="AI36" s="121"/>
      <c r="AJ36" s="121"/>
      <c r="AK36" s="121"/>
      <c r="AL36" s="121"/>
      <c r="AM36" s="121"/>
      <c r="AN36" s="121"/>
      <c r="AO36" s="121"/>
      <c r="AP36" s="121"/>
      <c r="AQ36" s="121"/>
      <c r="AR36" s="121"/>
      <c r="AS36" s="121"/>
      <c r="AT36" s="121"/>
      <c r="AU36" s="121"/>
      <c r="AV36" s="121"/>
      <c r="AW36" s="121"/>
      <c r="AX36" s="121"/>
      <c r="AY36" s="121"/>
      <c r="AZ36" s="121"/>
      <c r="BA36" s="121"/>
      <c r="BB36" s="121"/>
      <c r="BC36" s="121"/>
      <c r="BD36" s="121"/>
      <c r="BE36" s="121"/>
      <c r="BF36" s="121"/>
      <c r="BG36" s="121"/>
      <c r="BH36" s="121"/>
      <c r="BI36" s="121"/>
      <c r="BJ36" s="121"/>
      <c r="BK36" s="121"/>
      <c r="BL36" s="121"/>
      <c r="BM36" s="121"/>
      <c r="BN36" s="121"/>
      <c r="BO36" s="121"/>
      <c r="BP36" s="121"/>
      <c r="BQ36" s="121"/>
      <c r="BR36" s="121"/>
      <c r="BS36" s="121"/>
      <c r="BT36" s="121"/>
      <c r="BU36" s="121"/>
      <c r="BV36" s="121"/>
      <c r="BW36" s="121"/>
      <c r="BX36" s="121"/>
      <c r="BY36" s="121"/>
      <c r="BZ36" s="121"/>
      <c r="CA36" s="121"/>
      <c r="CB36" s="121"/>
      <c r="CC36" s="121"/>
      <c r="CD36" s="121"/>
      <c r="CE36" s="121"/>
      <c r="CF36" s="121"/>
      <c r="CG36" s="121"/>
      <c r="CH36" s="121"/>
      <c r="CI36" s="121"/>
      <c r="CJ36" s="121"/>
      <c r="CK36" s="121"/>
      <c r="CL36" s="121"/>
      <c r="CM36" s="121"/>
      <c r="CN36" s="121"/>
      <c r="CO36" s="121"/>
      <c r="CP36" s="121"/>
      <c r="CQ36" s="121"/>
      <c r="CR36" s="121"/>
      <c r="CS36" s="121"/>
      <c r="CT36" s="121"/>
      <c r="CU36" s="121"/>
      <c r="CV36" s="121"/>
      <c r="CW36" s="121"/>
      <c r="CX36" s="121"/>
      <c r="CY36" s="121"/>
      <c r="CZ36" s="121"/>
      <c r="DA36" s="121"/>
      <c r="DB36" s="121"/>
      <c r="DC36" s="121"/>
      <c r="DD36" s="121"/>
      <c r="DE36" s="121"/>
      <c r="DF36" s="121"/>
      <c r="DG36" s="121"/>
      <c r="DH36" s="121"/>
      <c r="DI36" s="121"/>
      <c r="DJ36" s="121"/>
      <c r="DK36" s="121"/>
      <c r="DL36" s="121"/>
      <c r="DM36" s="121"/>
      <c r="DN36" s="121"/>
      <c r="DO36" s="121"/>
      <c r="DP36" s="121"/>
      <c r="DQ36" s="121"/>
      <c r="DR36" s="121"/>
      <c r="DS36" s="121"/>
      <c r="DT36" s="121"/>
      <c r="DU36" s="121"/>
      <c r="DV36" s="121"/>
      <c r="DW36" s="121"/>
      <c r="DX36" s="121"/>
      <c r="DY36" s="121"/>
      <c r="DZ36" s="121"/>
      <c r="EA36" s="121"/>
      <c r="EB36" s="121"/>
      <c r="EC36" s="121"/>
      <c r="ED36" s="121"/>
      <c r="EE36" s="121"/>
      <c r="EF36" s="121"/>
      <c r="EG36" s="121"/>
      <c r="EH36" s="121"/>
      <c r="EI36" s="121"/>
      <c r="EJ36" s="121"/>
      <c r="EK36" s="121"/>
      <c r="EL36" s="121"/>
      <c r="EM36" s="121"/>
      <c r="EN36" s="121"/>
      <c r="EO36" s="121"/>
      <c r="EP36" s="121"/>
      <c r="EQ36" s="121"/>
      <c r="ER36" s="121"/>
      <c r="ES36" s="121"/>
      <c r="ET36" s="121"/>
      <c r="EU36" s="121"/>
      <c r="EV36" s="121"/>
      <c r="EW36" s="121"/>
      <c r="EX36" s="121"/>
      <c r="EY36" s="121"/>
      <c r="EZ36" s="121"/>
      <c r="FA36" s="121"/>
      <c r="FB36" s="121"/>
      <c r="FC36" s="121"/>
      <c r="FD36" s="121"/>
      <c r="FE36" s="121"/>
      <c r="FF36" s="121"/>
      <c r="FG36" s="121"/>
      <c r="FH36" s="121"/>
      <c r="FI36" s="121"/>
      <c r="FJ36" s="121"/>
      <c r="FK36" s="121"/>
      <c r="FL36" s="121"/>
      <c r="FM36" s="121"/>
      <c r="FN36" s="121"/>
      <c r="FO36" s="121"/>
      <c r="FP36" s="121"/>
      <c r="FQ36" s="121"/>
      <c r="FR36" s="121"/>
      <c r="FS36" s="121"/>
      <c r="FT36" s="121"/>
      <c r="FU36" s="121"/>
      <c r="FV36" s="121"/>
      <c r="FW36" s="121"/>
      <c r="FX36" s="121"/>
      <c r="FY36" s="121"/>
      <c r="FZ36" s="121"/>
      <c r="GA36" s="121"/>
      <c r="GB36" s="121"/>
      <c r="GC36" s="121"/>
      <c r="GD36" s="121"/>
      <c r="GE36" s="121"/>
      <c r="GF36" s="121"/>
      <c r="GG36" s="121"/>
      <c r="GH36" s="121"/>
      <c r="GI36" s="121"/>
      <c r="GJ36" s="121"/>
      <c r="GK36" s="121"/>
      <c r="GL36" s="121"/>
      <c r="GM36" s="121"/>
      <c r="GN36" s="121"/>
      <c r="GO36" s="121"/>
      <c r="GP36" s="121"/>
      <c r="GQ36" s="121"/>
      <c r="GR36" s="121"/>
      <c r="GS36" s="121"/>
      <c r="GT36" s="121"/>
      <c r="GU36" s="121"/>
      <c r="GV36" s="121"/>
      <c r="GW36" s="121"/>
      <c r="GX36" s="121"/>
      <c r="GY36" s="121"/>
      <c r="GZ36" s="121"/>
      <c r="HA36" s="121"/>
      <c r="HB36" s="121"/>
      <c r="HC36" s="121"/>
      <c r="HD36" s="121"/>
      <c r="HE36" s="121"/>
      <c r="HF36" s="121"/>
      <c r="HG36" s="121"/>
      <c r="HH36" s="121"/>
      <c r="HI36" s="121"/>
      <c r="HJ36" s="121"/>
      <c r="HK36" s="121"/>
      <c r="HL36" s="121"/>
      <c r="HM36" s="121"/>
      <c r="HN36" s="121"/>
      <c r="HO36" s="121"/>
      <c r="HP36" s="121"/>
      <c r="HQ36" s="121"/>
      <c r="HR36" s="121"/>
      <c r="HS36" s="121"/>
      <c r="HT36" s="121"/>
      <c r="HU36" s="121"/>
      <c r="HV36" s="121"/>
      <c r="HW36" s="121"/>
      <c r="HX36" s="121"/>
      <c r="HY36" s="121"/>
      <c r="HZ36" s="121"/>
      <c r="IA36" s="121"/>
      <c r="IB36" s="121"/>
      <c r="IC36" s="121"/>
      <c r="ID36" s="121"/>
      <c r="IE36" s="121"/>
      <c r="IF36" s="121"/>
      <c r="IG36" s="121"/>
      <c r="IH36" s="121"/>
      <c r="II36" s="121"/>
      <c r="IJ36" s="121"/>
      <c r="IK36" s="121"/>
      <c r="IL36" s="121"/>
      <c r="IM36" s="121"/>
      <c r="IN36" s="121"/>
      <c r="IO36" s="121"/>
      <c r="IP36" s="121"/>
      <c r="IQ36" s="121"/>
      <c r="IR36" s="121"/>
      <c r="IS36" s="121"/>
      <c r="IT36" s="121"/>
      <c r="IU36" s="121"/>
      <c r="IV36" s="121"/>
    </row>
    <row r="37" spans="1:256" ht="18" customHeight="1" x14ac:dyDescent="0.35">
      <c r="A37" s="1690">
        <v>31</v>
      </c>
      <c r="B37" s="121"/>
      <c r="C37" s="992"/>
      <c r="D37" s="995" t="s">
        <v>1312</v>
      </c>
      <c r="E37" s="1002">
        <v>725</v>
      </c>
      <c r="F37" s="1005"/>
      <c r="G37" s="1005"/>
      <c r="H37" s="1005"/>
      <c r="I37" s="121"/>
      <c r="J37" s="121"/>
      <c r="K37" s="121"/>
      <c r="L37" s="121"/>
      <c r="M37" s="121"/>
      <c r="N37" s="121"/>
      <c r="O37" s="121"/>
      <c r="P37" s="121"/>
      <c r="Q37" s="121"/>
      <c r="R37" s="121"/>
      <c r="S37" s="121"/>
      <c r="T37" s="121"/>
      <c r="U37" s="121"/>
      <c r="V37" s="121"/>
      <c r="W37" s="121"/>
      <c r="X37" s="121"/>
      <c r="Y37" s="121"/>
      <c r="Z37" s="121"/>
      <c r="AA37" s="121"/>
      <c r="AB37" s="121"/>
      <c r="AC37" s="121"/>
      <c r="AD37" s="121"/>
      <c r="AE37" s="121"/>
      <c r="AF37" s="121"/>
      <c r="AG37" s="121"/>
      <c r="AH37" s="121"/>
      <c r="AI37" s="121"/>
      <c r="AJ37" s="121"/>
      <c r="AK37" s="121"/>
      <c r="AL37" s="121"/>
      <c r="AM37" s="121"/>
      <c r="AN37" s="121"/>
      <c r="AO37" s="121"/>
      <c r="AP37" s="121"/>
      <c r="AQ37" s="121"/>
      <c r="AR37" s="121"/>
      <c r="AS37" s="121"/>
      <c r="AT37" s="121"/>
      <c r="AU37" s="121"/>
      <c r="AV37" s="121"/>
      <c r="AW37" s="121"/>
      <c r="AX37" s="121"/>
      <c r="AY37" s="121"/>
      <c r="AZ37" s="121"/>
      <c r="BA37" s="121"/>
      <c r="BB37" s="121"/>
      <c r="BC37" s="121"/>
      <c r="BD37" s="121"/>
      <c r="BE37" s="121"/>
      <c r="BF37" s="121"/>
      <c r="BG37" s="121"/>
      <c r="BH37" s="121"/>
      <c r="BI37" s="121"/>
      <c r="BJ37" s="121"/>
      <c r="BK37" s="121"/>
      <c r="BL37" s="121"/>
      <c r="BM37" s="121"/>
      <c r="BN37" s="121"/>
      <c r="BO37" s="121"/>
      <c r="BP37" s="121"/>
      <c r="BQ37" s="121"/>
      <c r="BR37" s="121"/>
      <c r="BS37" s="121"/>
      <c r="BT37" s="121"/>
      <c r="BU37" s="121"/>
      <c r="BV37" s="121"/>
      <c r="BW37" s="121"/>
      <c r="BX37" s="121"/>
      <c r="BY37" s="121"/>
      <c r="BZ37" s="121"/>
      <c r="CA37" s="121"/>
      <c r="CB37" s="121"/>
      <c r="CC37" s="121"/>
      <c r="CD37" s="121"/>
      <c r="CE37" s="121"/>
      <c r="CF37" s="121"/>
      <c r="CG37" s="121"/>
      <c r="CH37" s="121"/>
      <c r="CI37" s="121"/>
      <c r="CJ37" s="121"/>
      <c r="CK37" s="121"/>
      <c r="CL37" s="121"/>
      <c r="CM37" s="121"/>
      <c r="CN37" s="121"/>
      <c r="CO37" s="121"/>
      <c r="CP37" s="121"/>
      <c r="CQ37" s="121"/>
      <c r="CR37" s="121"/>
      <c r="CS37" s="121"/>
      <c r="CT37" s="121"/>
      <c r="CU37" s="121"/>
      <c r="CV37" s="121"/>
      <c r="CW37" s="121"/>
      <c r="CX37" s="121"/>
      <c r="CY37" s="121"/>
      <c r="CZ37" s="121"/>
      <c r="DA37" s="121"/>
      <c r="DB37" s="121"/>
      <c r="DC37" s="121"/>
      <c r="DD37" s="121"/>
      <c r="DE37" s="121"/>
      <c r="DF37" s="121"/>
      <c r="DG37" s="121"/>
      <c r="DH37" s="121"/>
      <c r="DI37" s="121"/>
      <c r="DJ37" s="121"/>
      <c r="DK37" s="121"/>
      <c r="DL37" s="121"/>
      <c r="DM37" s="121"/>
      <c r="DN37" s="121"/>
      <c r="DO37" s="121"/>
      <c r="DP37" s="121"/>
      <c r="DQ37" s="121"/>
      <c r="DR37" s="121"/>
      <c r="DS37" s="121"/>
      <c r="DT37" s="121"/>
      <c r="DU37" s="121"/>
      <c r="DV37" s="121"/>
      <c r="DW37" s="121"/>
      <c r="DX37" s="121"/>
      <c r="DY37" s="121"/>
      <c r="DZ37" s="121"/>
      <c r="EA37" s="121"/>
      <c r="EB37" s="121"/>
      <c r="EC37" s="121"/>
      <c r="ED37" s="121"/>
      <c r="EE37" s="121"/>
      <c r="EF37" s="121"/>
      <c r="EG37" s="121"/>
      <c r="EH37" s="121"/>
      <c r="EI37" s="121"/>
      <c r="EJ37" s="121"/>
      <c r="EK37" s="121"/>
      <c r="EL37" s="121"/>
      <c r="EM37" s="121"/>
      <c r="EN37" s="121"/>
      <c r="EO37" s="121"/>
      <c r="EP37" s="121"/>
      <c r="EQ37" s="121"/>
      <c r="ER37" s="121"/>
      <c r="ES37" s="121"/>
      <c r="ET37" s="121"/>
      <c r="EU37" s="121"/>
      <c r="EV37" s="121"/>
      <c r="EW37" s="121"/>
      <c r="EX37" s="121"/>
      <c r="EY37" s="121"/>
      <c r="EZ37" s="121"/>
      <c r="FA37" s="121"/>
      <c r="FB37" s="121"/>
      <c r="FC37" s="121"/>
      <c r="FD37" s="121"/>
      <c r="FE37" s="121"/>
      <c r="FF37" s="121"/>
      <c r="FG37" s="121"/>
      <c r="FH37" s="121"/>
      <c r="FI37" s="121"/>
      <c r="FJ37" s="121"/>
      <c r="FK37" s="121"/>
      <c r="FL37" s="121"/>
      <c r="FM37" s="121"/>
      <c r="FN37" s="121"/>
      <c r="FO37" s="121"/>
      <c r="FP37" s="121"/>
      <c r="FQ37" s="121"/>
      <c r="FR37" s="121"/>
      <c r="FS37" s="121"/>
      <c r="FT37" s="121"/>
      <c r="FU37" s="121"/>
      <c r="FV37" s="121"/>
      <c r="FW37" s="121"/>
      <c r="FX37" s="121"/>
      <c r="FY37" s="121"/>
      <c r="FZ37" s="121"/>
      <c r="GA37" s="121"/>
      <c r="GB37" s="121"/>
      <c r="GC37" s="121"/>
      <c r="GD37" s="121"/>
      <c r="GE37" s="121"/>
      <c r="GF37" s="121"/>
      <c r="GG37" s="121"/>
      <c r="GH37" s="121"/>
      <c r="GI37" s="121"/>
      <c r="GJ37" s="121"/>
      <c r="GK37" s="121"/>
      <c r="GL37" s="121"/>
      <c r="GM37" s="121"/>
      <c r="GN37" s="121"/>
      <c r="GO37" s="121"/>
      <c r="GP37" s="121"/>
      <c r="GQ37" s="121"/>
      <c r="GR37" s="121"/>
      <c r="GS37" s="121"/>
      <c r="GT37" s="121"/>
      <c r="GU37" s="121"/>
      <c r="GV37" s="121"/>
      <c r="GW37" s="121"/>
      <c r="GX37" s="121"/>
      <c r="GY37" s="121"/>
      <c r="GZ37" s="121"/>
      <c r="HA37" s="121"/>
      <c r="HB37" s="121"/>
      <c r="HC37" s="121"/>
      <c r="HD37" s="121"/>
      <c r="HE37" s="121"/>
      <c r="HF37" s="121"/>
      <c r="HG37" s="121"/>
      <c r="HH37" s="121"/>
      <c r="HI37" s="121"/>
      <c r="HJ37" s="121"/>
      <c r="HK37" s="121"/>
      <c r="HL37" s="121"/>
      <c r="HM37" s="121"/>
      <c r="HN37" s="121"/>
      <c r="HO37" s="121"/>
      <c r="HP37" s="121"/>
      <c r="HQ37" s="121"/>
      <c r="HR37" s="121"/>
      <c r="HS37" s="121"/>
      <c r="HT37" s="121"/>
      <c r="HU37" s="121"/>
      <c r="HV37" s="121"/>
      <c r="HW37" s="121"/>
      <c r="HX37" s="121"/>
      <c r="HY37" s="121"/>
      <c r="HZ37" s="121"/>
      <c r="IA37" s="121"/>
      <c r="IB37" s="121"/>
      <c r="IC37" s="121"/>
      <c r="ID37" s="121"/>
      <c r="IE37" s="121"/>
      <c r="IF37" s="121"/>
      <c r="IG37" s="121"/>
      <c r="IH37" s="121"/>
      <c r="II37" s="121"/>
      <c r="IJ37" s="121"/>
      <c r="IK37" s="121"/>
      <c r="IL37" s="121"/>
      <c r="IM37" s="121"/>
      <c r="IN37" s="121"/>
      <c r="IO37" s="121"/>
      <c r="IP37" s="121"/>
      <c r="IQ37" s="121"/>
      <c r="IR37" s="121"/>
      <c r="IS37" s="121"/>
      <c r="IT37" s="121"/>
      <c r="IU37" s="121"/>
      <c r="IV37" s="121"/>
    </row>
    <row r="38" spans="1:256" s="24" customFormat="1" ht="18" customHeight="1" x14ac:dyDescent="0.3">
      <c r="A38" s="1690">
        <v>32</v>
      </c>
      <c r="D38" s="995" t="s">
        <v>1442</v>
      </c>
      <c r="E38" s="1716">
        <v>2275</v>
      </c>
      <c r="F38" s="1518"/>
      <c r="G38" s="1518"/>
      <c r="H38" s="1518"/>
    </row>
    <row r="39" spans="1:256" s="24" customFormat="1" ht="18" customHeight="1" thickBot="1" x14ac:dyDescent="0.35">
      <c r="A39" s="1690">
        <v>33</v>
      </c>
      <c r="D39" s="997" t="s">
        <v>134</v>
      </c>
      <c r="E39" s="1615">
        <f>SUM(E37:E38)</f>
        <v>3000</v>
      </c>
      <c r="F39" s="1518"/>
      <c r="G39" s="1518"/>
      <c r="H39" s="1518"/>
    </row>
    <row r="40" spans="1:256" ht="23.1" customHeight="1" thickBot="1" x14ac:dyDescent="0.35">
      <c r="A40" s="1690">
        <v>34</v>
      </c>
      <c r="B40" s="986" t="s">
        <v>272</v>
      </c>
      <c r="C40" s="1007"/>
      <c r="D40" s="1008" t="s">
        <v>779</v>
      </c>
      <c r="E40" s="1009">
        <f>E22+E13+E34+E26+E39+E29+E16</f>
        <v>159505</v>
      </c>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c r="BU40" s="24"/>
      <c r="BV40" s="24"/>
      <c r="BW40" s="24"/>
      <c r="BX40" s="24"/>
      <c r="BY40" s="24"/>
      <c r="BZ40" s="24"/>
      <c r="CA40" s="24"/>
      <c r="CB40" s="24"/>
      <c r="CC40" s="24"/>
      <c r="CD40" s="24"/>
      <c r="CE40" s="24"/>
      <c r="CF40" s="24"/>
      <c r="CG40" s="24"/>
      <c r="CH40" s="24"/>
      <c r="CI40" s="24"/>
      <c r="CJ40" s="24"/>
      <c r="CK40" s="24"/>
      <c r="CL40" s="24"/>
      <c r="CM40" s="24"/>
      <c r="CN40" s="24"/>
      <c r="CO40" s="24"/>
      <c r="CP40" s="24"/>
      <c r="CQ40" s="24"/>
      <c r="CR40" s="24"/>
      <c r="CS40" s="24"/>
      <c r="CT40" s="24"/>
      <c r="CU40" s="24"/>
      <c r="CV40" s="24"/>
      <c r="CW40" s="24"/>
      <c r="CX40" s="24"/>
      <c r="CY40" s="24"/>
      <c r="CZ40" s="24"/>
      <c r="DA40" s="24"/>
      <c r="DB40" s="24"/>
      <c r="DC40" s="24"/>
      <c r="DD40" s="24"/>
      <c r="DE40" s="24"/>
      <c r="DF40" s="24"/>
      <c r="DG40" s="24"/>
      <c r="DH40" s="24"/>
      <c r="DI40" s="24"/>
      <c r="DJ40" s="24"/>
      <c r="DK40" s="24"/>
      <c r="DL40" s="24"/>
      <c r="DM40" s="24"/>
      <c r="DN40" s="24"/>
      <c r="DO40" s="24"/>
      <c r="DP40" s="24"/>
      <c r="DQ40" s="24"/>
      <c r="DR40" s="24"/>
      <c r="DS40" s="24"/>
      <c r="DT40" s="24"/>
      <c r="DU40" s="24"/>
      <c r="DV40" s="24"/>
      <c r="DW40" s="24"/>
      <c r="DX40" s="24"/>
      <c r="DY40" s="24"/>
      <c r="DZ40" s="24"/>
      <c r="EA40" s="24"/>
      <c r="EB40" s="24"/>
      <c r="EC40" s="24"/>
      <c r="ED40" s="24"/>
      <c r="EE40" s="24"/>
      <c r="EF40" s="24"/>
      <c r="EG40" s="24"/>
      <c r="EH40" s="24"/>
      <c r="EI40" s="24"/>
      <c r="EJ40" s="24"/>
      <c r="EK40" s="24"/>
      <c r="EL40" s="24"/>
      <c r="EM40" s="24"/>
      <c r="EN40" s="24"/>
      <c r="EO40" s="24"/>
      <c r="EP40" s="24"/>
      <c r="EQ40" s="24"/>
      <c r="ER40" s="24"/>
      <c r="ES40" s="24"/>
      <c r="ET40" s="24"/>
      <c r="EU40" s="24"/>
      <c r="EV40" s="24"/>
      <c r="EW40" s="24"/>
      <c r="EX40" s="24"/>
      <c r="EY40" s="24"/>
      <c r="EZ40" s="24"/>
      <c r="FA40" s="24"/>
      <c r="FB40" s="24"/>
      <c r="FC40" s="24"/>
      <c r="FD40" s="24"/>
      <c r="FE40" s="24"/>
      <c r="FF40" s="24"/>
      <c r="FG40" s="24"/>
      <c r="FH40" s="24"/>
      <c r="FI40" s="24"/>
      <c r="FJ40" s="24"/>
      <c r="FK40" s="24"/>
      <c r="FL40" s="24"/>
      <c r="FM40" s="24"/>
      <c r="FN40" s="24"/>
      <c r="FO40" s="24"/>
      <c r="FP40" s="24"/>
      <c r="FQ40" s="24"/>
      <c r="FR40" s="24"/>
      <c r="FS40" s="24"/>
      <c r="FT40" s="24"/>
      <c r="FU40" s="24"/>
      <c r="FV40" s="24"/>
      <c r="FW40" s="24"/>
      <c r="FX40" s="24"/>
      <c r="FY40" s="24"/>
      <c r="FZ40" s="24"/>
      <c r="GA40" s="24"/>
      <c r="GB40" s="24"/>
      <c r="GC40" s="24"/>
      <c r="GD40" s="24"/>
      <c r="GE40" s="24"/>
      <c r="GF40" s="24"/>
      <c r="GG40" s="24"/>
      <c r="GH40" s="24"/>
      <c r="GI40" s="24"/>
      <c r="GJ40" s="24"/>
      <c r="GK40" s="24"/>
      <c r="GL40" s="24"/>
      <c r="GM40" s="24"/>
      <c r="GN40" s="24"/>
      <c r="GO40" s="24"/>
      <c r="GP40" s="24"/>
      <c r="GQ40" s="24"/>
      <c r="GR40" s="24"/>
      <c r="GS40" s="24"/>
      <c r="GT40" s="24"/>
      <c r="GU40" s="24"/>
      <c r="GV40" s="24"/>
      <c r="GW40" s="24"/>
      <c r="GX40" s="24"/>
      <c r="GY40" s="24"/>
      <c r="GZ40" s="24"/>
      <c r="HA40" s="24"/>
      <c r="HB40" s="24"/>
      <c r="HC40" s="24"/>
      <c r="HD40" s="24"/>
      <c r="HE40" s="24"/>
      <c r="HF40" s="24"/>
      <c r="HG40" s="24"/>
      <c r="HH40" s="24"/>
      <c r="HI40" s="24"/>
      <c r="HJ40" s="24"/>
      <c r="HK40" s="24"/>
      <c r="HL40" s="24"/>
      <c r="HM40" s="24"/>
      <c r="HN40" s="24"/>
      <c r="HO40" s="24"/>
      <c r="HP40" s="24"/>
      <c r="HQ40" s="24"/>
      <c r="HR40" s="24"/>
      <c r="HS40" s="24"/>
      <c r="HT40" s="24"/>
      <c r="HU40" s="24"/>
      <c r="HV40" s="24"/>
      <c r="HW40" s="24"/>
      <c r="HX40" s="24"/>
      <c r="HY40" s="24"/>
      <c r="HZ40" s="24"/>
      <c r="IA40" s="24"/>
      <c r="IB40" s="24"/>
      <c r="IC40" s="24"/>
      <c r="ID40" s="24"/>
      <c r="IE40" s="24"/>
      <c r="IF40" s="24"/>
      <c r="IG40" s="24"/>
      <c r="IH40" s="24"/>
      <c r="II40" s="24"/>
      <c r="IJ40" s="24"/>
      <c r="IK40" s="24"/>
      <c r="IL40" s="24"/>
      <c r="IM40" s="24"/>
      <c r="IN40" s="24"/>
      <c r="IO40" s="24"/>
      <c r="IP40" s="24"/>
      <c r="IQ40" s="24"/>
      <c r="IR40" s="24"/>
      <c r="IS40" s="24"/>
      <c r="IT40" s="24"/>
      <c r="IU40" s="24"/>
      <c r="IV40" s="24"/>
    </row>
    <row r="41" spans="1:256" ht="24.95" customHeight="1" x14ac:dyDescent="0.35">
      <c r="A41" s="1690">
        <v>35</v>
      </c>
      <c r="B41" s="221" t="s">
        <v>780</v>
      </c>
      <c r="C41" s="990"/>
      <c r="D41" s="991" t="s">
        <v>781</v>
      </c>
      <c r="E41" s="985"/>
    </row>
    <row r="42" spans="1:256" ht="23.1" customHeight="1" x14ac:dyDescent="0.35">
      <c r="A42" s="1690">
        <v>36</v>
      </c>
      <c r="B42" s="221"/>
      <c r="C42" s="992" t="s">
        <v>135</v>
      </c>
      <c r="D42" s="1010" t="s">
        <v>782</v>
      </c>
    </row>
    <row r="43" spans="1:256" ht="20.100000000000001" customHeight="1" x14ac:dyDescent="0.35">
      <c r="A43" s="1690">
        <v>37</v>
      </c>
      <c r="C43" s="1006"/>
      <c r="D43" s="1011" t="s">
        <v>783</v>
      </c>
      <c r="E43" s="2"/>
    </row>
    <row r="44" spans="1:256" ht="20.100000000000001" customHeight="1" x14ac:dyDescent="0.35">
      <c r="A44" s="1690">
        <v>38</v>
      </c>
      <c r="C44" s="1006"/>
      <c r="D44" s="991" t="s">
        <v>784</v>
      </c>
    </row>
    <row r="45" spans="1:256" ht="18" customHeight="1" x14ac:dyDescent="0.3">
      <c r="A45" s="1690">
        <v>39</v>
      </c>
      <c r="C45" s="1006"/>
      <c r="D45" s="995" t="s">
        <v>1376</v>
      </c>
      <c r="E45" s="65">
        <v>4064</v>
      </c>
    </row>
    <row r="46" spans="1:256" ht="18" customHeight="1" x14ac:dyDescent="0.3">
      <c r="A46" s="1690">
        <v>40</v>
      </c>
      <c r="C46" s="1006"/>
      <c r="D46" s="995" t="s">
        <v>1379</v>
      </c>
      <c r="E46" s="65">
        <v>253</v>
      </c>
    </row>
    <row r="47" spans="1:256" ht="18" customHeight="1" x14ac:dyDescent="0.3">
      <c r="A47" s="1690">
        <v>41</v>
      </c>
      <c r="C47" s="1006"/>
      <c r="D47" s="995" t="s">
        <v>1378</v>
      </c>
      <c r="E47" s="65">
        <v>121</v>
      </c>
    </row>
    <row r="48" spans="1:256" ht="36" customHeight="1" x14ac:dyDescent="0.35">
      <c r="A48" s="1690">
        <v>42</v>
      </c>
      <c r="C48" s="1006"/>
      <c r="D48" s="991" t="s">
        <v>527</v>
      </c>
      <c r="E48" s="1000">
        <v>3039</v>
      </c>
    </row>
    <row r="49" spans="1:5" ht="18" customHeight="1" x14ac:dyDescent="0.35">
      <c r="A49" s="1690">
        <v>43</v>
      </c>
      <c r="C49" s="1006"/>
      <c r="D49" s="991" t="s">
        <v>58</v>
      </c>
    </row>
    <row r="50" spans="1:5" ht="33.75" customHeight="1" x14ac:dyDescent="0.3">
      <c r="A50" s="1690">
        <v>44</v>
      </c>
      <c r="C50" s="1006"/>
      <c r="D50" s="995" t="s">
        <v>1492</v>
      </c>
      <c r="E50" s="1000">
        <v>300</v>
      </c>
    </row>
    <row r="51" spans="1:5" ht="17.25" customHeight="1" x14ac:dyDescent="0.35">
      <c r="A51" s="1690">
        <v>45</v>
      </c>
      <c r="C51" s="1006"/>
      <c r="D51" s="991" t="s">
        <v>74</v>
      </c>
      <c r="E51" s="1000"/>
    </row>
    <row r="52" spans="1:5" ht="18" customHeight="1" x14ac:dyDescent="0.3">
      <c r="A52" s="1690">
        <v>46</v>
      </c>
      <c r="C52" s="1006"/>
      <c r="D52" s="1003" t="s">
        <v>1450</v>
      </c>
      <c r="E52" s="65">
        <v>-15</v>
      </c>
    </row>
    <row r="53" spans="1:5" ht="18" customHeight="1" x14ac:dyDescent="0.3">
      <c r="A53" s="1690">
        <v>47</v>
      </c>
      <c r="C53" s="1006"/>
      <c r="D53" s="995" t="s">
        <v>1416</v>
      </c>
      <c r="E53" s="65">
        <v>15</v>
      </c>
    </row>
    <row r="54" spans="1:5" ht="18" customHeight="1" x14ac:dyDescent="0.35">
      <c r="A54" s="1690">
        <v>48</v>
      </c>
      <c r="C54" s="1006"/>
      <c r="D54" s="991" t="s">
        <v>297</v>
      </c>
    </row>
    <row r="55" spans="1:5" ht="18" customHeight="1" x14ac:dyDescent="0.3">
      <c r="A55" s="1690">
        <v>49</v>
      </c>
      <c r="C55" s="1006"/>
      <c r="D55" s="995" t="s">
        <v>1451</v>
      </c>
      <c r="E55" s="65">
        <v>-100</v>
      </c>
    </row>
    <row r="56" spans="1:5" ht="18" customHeight="1" x14ac:dyDescent="0.3">
      <c r="A56" s="1690">
        <v>50</v>
      </c>
      <c r="C56" s="1006"/>
      <c r="D56" s="1003" t="s">
        <v>1452</v>
      </c>
      <c r="E56" s="65">
        <v>100</v>
      </c>
    </row>
    <row r="57" spans="1:5" ht="18" customHeight="1" x14ac:dyDescent="0.35">
      <c r="A57" s="1690">
        <v>51</v>
      </c>
      <c r="C57" s="1006"/>
      <c r="D57" s="991" t="s">
        <v>56</v>
      </c>
    </row>
    <row r="58" spans="1:5" ht="18" customHeight="1" x14ac:dyDescent="0.3">
      <c r="A58" s="1690">
        <v>52</v>
      </c>
      <c r="C58" s="1006"/>
      <c r="D58" s="995" t="s">
        <v>1451</v>
      </c>
      <c r="E58" s="65">
        <v>-450</v>
      </c>
    </row>
    <row r="59" spans="1:5" ht="18" customHeight="1" x14ac:dyDescent="0.3">
      <c r="A59" s="1690">
        <v>53</v>
      </c>
      <c r="C59" s="1006"/>
      <c r="D59" s="1003" t="s">
        <v>1453</v>
      </c>
      <c r="E59" s="65">
        <v>450</v>
      </c>
    </row>
    <row r="60" spans="1:5" ht="18" customHeight="1" x14ac:dyDescent="0.3">
      <c r="A60" s="1690">
        <v>54</v>
      </c>
      <c r="C60" s="1006"/>
      <c r="D60" s="1003" t="s">
        <v>1458</v>
      </c>
      <c r="E60" s="65">
        <v>-12</v>
      </c>
    </row>
    <row r="61" spans="1:5" ht="18" customHeight="1" x14ac:dyDescent="0.3">
      <c r="A61" s="1690">
        <v>55</v>
      </c>
      <c r="C61" s="1006"/>
      <c r="D61" s="1003" t="s">
        <v>1483</v>
      </c>
      <c r="E61" s="65">
        <v>-57</v>
      </c>
    </row>
    <row r="62" spans="1:5" ht="18" customHeight="1" x14ac:dyDescent="0.35">
      <c r="A62" s="1690">
        <v>56</v>
      </c>
      <c r="C62" s="1006"/>
      <c r="D62" s="991" t="s">
        <v>1479</v>
      </c>
    </row>
    <row r="63" spans="1:5" ht="18" customHeight="1" x14ac:dyDescent="0.3">
      <c r="A63" s="1690">
        <v>57</v>
      </c>
      <c r="C63" s="1006"/>
      <c r="D63" s="1003" t="s">
        <v>1451</v>
      </c>
      <c r="E63" s="65">
        <v>-887</v>
      </c>
    </row>
    <row r="64" spans="1:5" ht="18" customHeight="1" x14ac:dyDescent="0.3">
      <c r="A64" s="1690">
        <v>58</v>
      </c>
      <c r="C64" s="1006"/>
      <c r="D64" s="1003" t="s">
        <v>1484</v>
      </c>
      <c r="E64" s="65">
        <v>944</v>
      </c>
    </row>
    <row r="65" spans="1:5" ht="17.25" customHeight="1" x14ac:dyDescent="0.35">
      <c r="A65" s="1690">
        <v>59</v>
      </c>
      <c r="C65" s="1006"/>
      <c r="D65" s="991" t="s">
        <v>895</v>
      </c>
      <c r="E65" s="65">
        <v>362</v>
      </c>
    </row>
    <row r="66" spans="1:5" ht="18" customHeight="1" x14ac:dyDescent="0.35">
      <c r="A66" s="1690">
        <v>60</v>
      </c>
      <c r="C66" s="1006"/>
      <c r="D66" s="1718" t="s">
        <v>648</v>
      </c>
      <c r="E66" s="65">
        <v>-362</v>
      </c>
    </row>
    <row r="67" spans="1:5" ht="18" customHeight="1" x14ac:dyDescent="0.35">
      <c r="A67" s="1690">
        <v>61</v>
      </c>
      <c r="C67" s="1006"/>
      <c r="D67" s="991" t="s">
        <v>498</v>
      </c>
      <c r="E67" s="65">
        <v>200</v>
      </c>
    </row>
    <row r="68" spans="1:5" ht="18" customHeight="1" x14ac:dyDescent="0.35">
      <c r="A68" s="1690">
        <v>62</v>
      </c>
      <c r="C68" s="1006"/>
      <c r="D68" s="991" t="s">
        <v>480</v>
      </c>
      <c r="E68" s="65">
        <v>232</v>
      </c>
    </row>
    <row r="69" spans="1:5" ht="18" customHeight="1" x14ac:dyDescent="0.35">
      <c r="A69" s="1690">
        <v>63</v>
      </c>
      <c r="C69" s="1006"/>
      <c r="D69" s="991" t="s">
        <v>1261</v>
      </c>
      <c r="E69" s="574">
        <v>2000</v>
      </c>
    </row>
    <row r="70" spans="1:5" ht="18" customHeight="1" x14ac:dyDescent="0.35">
      <c r="A70" s="1690">
        <v>64</v>
      </c>
      <c r="C70" s="1006"/>
      <c r="D70" s="1718" t="s">
        <v>1477</v>
      </c>
      <c r="E70" s="1012"/>
    </row>
    <row r="71" spans="1:5" ht="18" customHeight="1" x14ac:dyDescent="0.3">
      <c r="A71" s="1690">
        <v>65</v>
      </c>
      <c r="C71" s="1006"/>
      <c r="D71" s="1003" t="s">
        <v>1476</v>
      </c>
      <c r="E71" s="1012">
        <v>200</v>
      </c>
    </row>
    <row r="72" spans="1:5" ht="18" customHeight="1" x14ac:dyDescent="0.3">
      <c r="A72" s="1690">
        <v>66</v>
      </c>
      <c r="C72" s="1006"/>
      <c r="D72" s="1003" t="s">
        <v>1475</v>
      </c>
      <c r="E72" s="1012">
        <v>-102</v>
      </c>
    </row>
    <row r="73" spans="1:5" ht="18" customHeight="1" x14ac:dyDescent="0.35">
      <c r="A73" s="1690">
        <v>67</v>
      </c>
      <c r="C73" s="1006"/>
      <c r="D73" s="991" t="s">
        <v>1455</v>
      </c>
      <c r="E73" s="2">
        <v>-120</v>
      </c>
    </row>
    <row r="74" spans="1:5" ht="33" customHeight="1" x14ac:dyDescent="0.35">
      <c r="A74" s="1690">
        <v>68</v>
      </c>
      <c r="C74" s="1006"/>
      <c r="D74" s="1719" t="s">
        <v>1342</v>
      </c>
      <c r="E74" s="723">
        <v>500</v>
      </c>
    </row>
    <row r="75" spans="1:5" ht="18" customHeight="1" x14ac:dyDescent="0.35">
      <c r="A75" s="1690">
        <v>69</v>
      </c>
      <c r="C75" s="1006"/>
      <c r="D75" s="991" t="s">
        <v>1461</v>
      </c>
      <c r="E75" s="2"/>
    </row>
    <row r="76" spans="1:5" ht="18" customHeight="1" x14ac:dyDescent="0.3">
      <c r="A76" s="1690">
        <v>70</v>
      </c>
      <c r="C76" s="1006"/>
      <c r="D76" s="1003" t="s">
        <v>1463</v>
      </c>
      <c r="E76" s="723">
        <f>-44+2286</f>
        <v>2242</v>
      </c>
    </row>
    <row r="77" spans="1:5" ht="18" customHeight="1" x14ac:dyDescent="0.3">
      <c r="A77" s="1690">
        <v>71</v>
      </c>
      <c r="C77" s="1006"/>
      <c r="D77" s="995" t="s">
        <v>1448</v>
      </c>
      <c r="E77" s="723">
        <v>44</v>
      </c>
    </row>
    <row r="78" spans="1:5" ht="18" customHeight="1" x14ac:dyDescent="0.35">
      <c r="A78" s="1690">
        <v>72</v>
      </c>
      <c r="C78" s="1006"/>
      <c r="D78" s="991" t="s">
        <v>49</v>
      </c>
      <c r="E78" s="2"/>
    </row>
    <row r="79" spans="1:5" ht="18" customHeight="1" x14ac:dyDescent="0.3">
      <c r="A79" s="1690">
        <v>73</v>
      </c>
      <c r="C79" s="1006"/>
      <c r="D79" s="1003" t="s">
        <v>1462</v>
      </c>
      <c r="E79" s="2">
        <v>-140</v>
      </c>
    </row>
    <row r="80" spans="1:5" ht="18" customHeight="1" x14ac:dyDescent="0.3">
      <c r="A80" s="1690">
        <v>74</v>
      </c>
      <c r="C80" s="1006"/>
      <c r="D80" s="995" t="s">
        <v>1448</v>
      </c>
      <c r="E80" s="2">
        <v>140</v>
      </c>
    </row>
    <row r="81" spans="1:256" ht="18" customHeight="1" x14ac:dyDescent="0.35">
      <c r="A81" s="1690">
        <v>75</v>
      </c>
      <c r="C81" s="1006"/>
      <c r="D81" s="991" t="s">
        <v>470</v>
      </c>
      <c r="E81" s="2">
        <v>-3986</v>
      </c>
    </row>
    <row r="82" spans="1:256" ht="18" customHeight="1" x14ac:dyDescent="0.35">
      <c r="A82" s="1690">
        <v>76</v>
      </c>
      <c r="C82" s="1006"/>
      <c r="D82" s="991" t="s">
        <v>841</v>
      </c>
      <c r="E82" s="2">
        <v>-40</v>
      </c>
    </row>
    <row r="83" spans="1:256" ht="18" customHeight="1" x14ac:dyDescent="0.35">
      <c r="A83" s="1690">
        <v>77</v>
      </c>
      <c r="C83" s="1006"/>
      <c r="D83" s="1041" t="s">
        <v>1472</v>
      </c>
      <c r="E83" s="723"/>
    </row>
    <row r="84" spans="1:256" ht="18" customHeight="1" x14ac:dyDescent="0.3">
      <c r="A84" s="1690">
        <v>78</v>
      </c>
      <c r="C84" s="1006"/>
      <c r="D84" s="1003" t="s">
        <v>1462</v>
      </c>
      <c r="E84" s="723">
        <v>-59</v>
      </c>
    </row>
    <row r="85" spans="1:256" ht="18" customHeight="1" x14ac:dyDescent="0.3">
      <c r="A85" s="1690">
        <v>79</v>
      </c>
      <c r="C85" s="1006"/>
      <c r="D85" s="995" t="s">
        <v>1473</v>
      </c>
      <c r="E85" s="723">
        <v>59</v>
      </c>
    </row>
    <row r="86" spans="1:256" ht="18" customHeight="1" x14ac:dyDescent="0.35">
      <c r="A86" s="1690">
        <v>80</v>
      </c>
      <c r="C86" s="1006"/>
      <c r="D86" s="1041" t="s">
        <v>910</v>
      </c>
      <c r="E86" s="723"/>
    </row>
    <row r="87" spans="1:256" ht="18" customHeight="1" x14ac:dyDescent="0.3">
      <c r="A87" s="1690">
        <v>81</v>
      </c>
      <c r="C87" s="1006"/>
      <c r="D87" s="995" t="s">
        <v>1462</v>
      </c>
      <c r="E87" s="723">
        <v>-649</v>
      </c>
    </row>
    <row r="88" spans="1:256" ht="18" customHeight="1" x14ac:dyDescent="0.3">
      <c r="A88" s="1690">
        <v>82</v>
      </c>
      <c r="C88" s="1006"/>
      <c r="D88" s="995" t="s">
        <v>1474</v>
      </c>
      <c r="E88" s="723">
        <v>649</v>
      </c>
    </row>
    <row r="89" spans="1:256" ht="18" customHeight="1" x14ac:dyDescent="0.3">
      <c r="A89" s="1690">
        <v>83</v>
      </c>
      <c r="C89" s="1006"/>
      <c r="D89" s="995" t="s">
        <v>1448</v>
      </c>
      <c r="E89" s="723">
        <v>102</v>
      </c>
    </row>
    <row r="90" spans="1:256" ht="18" customHeight="1" x14ac:dyDescent="0.35">
      <c r="A90" s="1690">
        <v>84</v>
      </c>
      <c r="C90" s="1006"/>
      <c r="D90" s="1041" t="s">
        <v>1479</v>
      </c>
      <c r="E90" s="723"/>
    </row>
    <row r="91" spans="1:256" ht="18" customHeight="1" x14ac:dyDescent="0.3">
      <c r="A91" s="1690">
        <v>85</v>
      </c>
      <c r="C91" s="1006"/>
      <c r="D91" s="995" t="s">
        <v>1462</v>
      </c>
      <c r="E91" s="723">
        <v>-944</v>
      </c>
    </row>
    <row r="92" spans="1:256" ht="18" customHeight="1" x14ac:dyDescent="0.3">
      <c r="A92" s="1690">
        <v>86</v>
      </c>
      <c r="C92" s="1006"/>
      <c r="D92" s="995" t="s">
        <v>1480</v>
      </c>
      <c r="E92" s="723">
        <v>944</v>
      </c>
    </row>
    <row r="93" spans="1:256" ht="18" customHeight="1" x14ac:dyDescent="0.35">
      <c r="A93" s="1690">
        <v>87</v>
      </c>
      <c r="C93" s="1006"/>
      <c r="D93" s="991" t="s">
        <v>497</v>
      </c>
      <c r="E93" s="996">
        <v>508</v>
      </c>
      <c r="K93" s="1700"/>
    </row>
    <row r="94" spans="1:256" ht="21.95" customHeight="1" x14ac:dyDescent="0.3">
      <c r="A94" s="1690">
        <v>88</v>
      </c>
      <c r="C94" s="1006"/>
      <c r="D94" s="1687" t="s">
        <v>785</v>
      </c>
      <c r="E94" s="1427">
        <f>SUM(E45:E93)</f>
        <v>9545</v>
      </c>
    </row>
    <row r="95" spans="1:256" ht="21.95" customHeight="1" thickBot="1" x14ac:dyDescent="0.35">
      <c r="A95" s="1690">
        <v>89</v>
      </c>
      <c r="B95" s="1015"/>
      <c r="C95" s="1015"/>
      <c r="D95" s="1016" t="s">
        <v>786</v>
      </c>
      <c r="E95" s="1017">
        <f>E94</f>
        <v>9545</v>
      </c>
      <c r="F95" s="1018"/>
      <c r="G95" s="1018"/>
      <c r="H95" s="1018"/>
      <c r="I95" s="1018"/>
      <c r="J95" s="1018"/>
      <c r="K95" s="1018"/>
      <c r="L95" s="1018"/>
      <c r="M95" s="1018"/>
      <c r="N95" s="1018"/>
      <c r="O95" s="1018"/>
      <c r="P95" s="1018"/>
      <c r="Q95" s="1018"/>
      <c r="R95" s="1018"/>
      <c r="S95" s="1018"/>
      <c r="T95" s="1018"/>
      <c r="U95" s="1018"/>
      <c r="V95" s="1018"/>
      <c r="W95" s="1018"/>
      <c r="X95" s="1018"/>
      <c r="Y95" s="1018"/>
      <c r="Z95" s="1018"/>
      <c r="AA95" s="1018"/>
      <c r="AB95" s="1018"/>
      <c r="AC95" s="1018"/>
      <c r="AD95" s="1018"/>
      <c r="AE95" s="1018"/>
      <c r="AF95" s="1018"/>
      <c r="AG95" s="1018"/>
      <c r="AH95" s="1018"/>
      <c r="AI95" s="1018"/>
      <c r="AJ95" s="1018"/>
      <c r="AK95" s="1018"/>
      <c r="AL95" s="1018"/>
      <c r="AM95" s="1018"/>
      <c r="AN95" s="1018"/>
      <c r="AO95" s="1018"/>
      <c r="AP95" s="1018"/>
      <c r="AQ95" s="1018"/>
      <c r="AR95" s="1018"/>
      <c r="AS95" s="1018"/>
      <c r="AT95" s="1018"/>
      <c r="AU95" s="1018"/>
      <c r="AV95" s="1018"/>
      <c r="AW95" s="1018"/>
      <c r="AX95" s="1018"/>
      <c r="AY95" s="1018"/>
      <c r="AZ95" s="1018"/>
      <c r="BA95" s="1018"/>
      <c r="BB95" s="1018"/>
      <c r="BC95" s="1018"/>
      <c r="BD95" s="1018"/>
      <c r="BE95" s="1018"/>
      <c r="BF95" s="1018"/>
      <c r="BG95" s="1018"/>
      <c r="BH95" s="1018"/>
      <c r="BI95" s="1018"/>
      <c r="BJ95" s="1018"/>
      <c r="BK95" s="1018"/>
      <c r="BL95" s="1018"/>
      <c r="BM95" s="1018"/>
      <c r="BN95" s="1018"/>
      <c r="BO95" s="1018"/>
      <c r="BP95" s="1018"/>
      <c r="BQ95" s="1018"/>
      <c r="BR95" s="1018"/>
      <c r="BS95" s="1018"/>
      <c r="BT95" s="1018"/>
      <c r="BU95" s="1018"/>
      <c r="BV95" s="1018"/>
      <c r="BW95" s="1018"/>
      <c r="BX95" s="1018"/>
      <c r="BY95" s="1018"/>
      <c r="BZ95" s="1018"/>
      <c r="CA95" s="1018"/>
      <c r="CB95" s="1018"/>
      <c r="CC95" s="1018"/>
      <c r="CD95" s="1018"/>
      <c r="CE95" s="1018"/>
      <c r="CF95" s="1018"/>
      <c r="CG95" s="1018"/>
      <c r="CH95" s="1018"/>
      <c r="CI95" s="1018"/>
      <c r="CJ95" s="1018"/>
      <c r="CK95" s="1018"/>
      <c r="CL95" s="1018"/>
      <c r="CM95" s="1018"/>
      <c r="CN95" s="1018"/>
      <c r="CO95" s="1018"/>
      <c r="CP95" s="1018"/>
      <c r="CQ95" s="1018"/>
      <c r="CR95" s="1018"/>
      <c r="CS95" s="1018"/>
      <c r="CT95" s="1018"/>
      <c r="CU95" s="1018"/>
      <c r="CV95" s="1018"/>
      <c r="CW95" s="1018"/>
      <c r="CX95" s="1018"/>
      <c r="CY95" s="1018"/>
      <c r="CZ95" s="1018"/>
      <c r="DA95" s="1018"/>
      <c r="DB95" s="1018"/>
      <c r="DC95" s="1018"/>
      <c r="DD95" s="1018"/>
      <c r="DE95" s="1018"/>
      <c r="DF95" s="1018"/>
      <c r="DG95" s="1018"/>
      <c r="DH95" s="1018"/>
      <c r="DI95" s="1018"/>
      <c r="DJ95" s="1018"/>
      <c r="DK95" s="1018"/>
      <c r="DL95" s="1018"/>
      <c r="DM95" s="1018"/>
      <c r="DN95" s="1018"/>
      <c r="DO95" s="1018"/>
      <c r="DP95" s="1018"/>
      <c r="DQ95" s="1018"/>
      <c r="DR95" s="1018"/>
      <c r="DS95" s="1018"/>
      <c r="DT95" s="1018"/>
      <c r="DU95" s="1018"/>
      <c r="DV95" s="1018"/>
      <c r="DW95" s="1018"/>
      <c r="DX95" s="1018"/>
      <c r="DY95" s="1018"/>
      <c r="DZ95" s="1018"/>
      <c r="EA95" s="1018"/>
      <c r="EB95" s="1018"/>
      <c r="EC95" s="1018"/>
      <c r="ED95" s="1018"/>
      <c r="EE95" s="1018"/>
      <c r="EF95" s="1018"/>
      <c r="EG95" s="1018"/>
      <c r="EH95" s="1018"/>
      <c r="EI95" s="1018"/>
      <c r="EJ95" s="1018"/>
      <c r="EK95" s="1018"/>
      <c r="EL95" s="1018"/>
      <c r="EM95" s="1018"/>
      <c r="EN95" s="1018"/>
      <c r="EO95" s="1018"/>
      <c r="EP95" s="1018"/>
      <c r="EQ95" s="1018"/>
      <c r="ER95" s="1018"/>
      <c r="ES95" s="1018"/>
      <c r="ET95" s="1018"/>
      <c r="EU95" s="1018"/>
      <c r="EV95" s="1018"/>
      <c r="EW95" s="1018"/>
      <c r="EX95" s="1018"/>
      <c r="EY95" s="1018"/>
      <c r="EZ95" s="1018"/>
      <c r="FA95" s="1018"/>
      <c r="FB95" s="1018"/>
      <c r="FC95" s="1018"/>
      <c r="FD95" s="1018"/>
      <c r="FE95" s="1018"/>
      <c r="FF95" s="1018"/>
      <c r="FG95" s="1018"/>
      <c r="FH95" s="1018"/>
      <c r="FI95" s="1018"/>
      <c r="FJ95" s="1018"/>
      <c r="FK95" s="1018"/>
      <c r="FL95" s="1018"/>
      <c r="FM95" s="1018"/>
      <c r="FN95" s="1018"/>
      <c r="FO95" s="1018"/>
      <c r="FP95" s="1018"/>
      <c r="FQ95" s="1018"/>
      <c r="FR95" s="1018"/>
      <c r="FS95" s="1018"/>
      <c r="FT95" s="1018"/>
      <c r="FU95" s="1018"/>
      <c r="FV95" s="1018"/>
      <c r="FW95" s="1018"/>
      <c r="FX95" s="1018"/>
      <c r="FY95" s="1018"/>
      <c r="FZ95" s="1018"/>
      <c r="GA95" s="1018"/>
      <c r="GB95" s="1018"/>
      <c r="GC95" s="1018"/>
      <c r="GD95" s="1018"/>
      <c r="GE95" s="1018"/>
      <c r="GF95" s="1018"/>
      <c r="GG95" s="1018"/>
      <c r="GH95" s="1018"/>
      <c r="GI95" s="1018"/>
      <c r="GJ95" s="1018"/>
      <c r="GK95" s="1018"/>
      <c r="GL95" s="1018"/>
      <c r="GM95" s="1018"/>
      <c r="GN95" s="1018"/>
      <c r="GO95" s="1018"/>
      <c r="GP95" s="1018"/>
      <c r="GQ95" s="1018"/>
      <c r="GR95" s="1018"/>
      <c r="GS95" s="1018"/>
      <c r="GT95" s="1018"/>
      <c r="GU95" s="1018"/>
      <c r="GV95" s="1018"/>
      <c r="GW95" s="1018"/>
      <c r="GX95" s="1018"/>
      <c r="GY95" s="1018"/>
      <c r="GZ95" s="1018"/>
      <c r="HA95" s="1018"/>
      <c r="HB95" s="1018"/>
      <c r="HC95" s="1018"/>
      <c r="HD95" s="1018"/>
      <c r="HE95" s="1018"/>
      <c r="HF95" s="1018"/>
      <c r="HG95" s="1018"/>
      <c r="HH95" s="1018"/>
      <c r="HI95" s="1018"/>
      <c r="HJ95" s="1018"/>
      <c r="HK95" s="1018"/>
      <c r="HL95" s="1018"/>
      <c r="HM95" s="1018"/>
      <c r="HN95" s="1018"/>
      <c r="HO95" s="1018"/>
      <c r="HP95" s="1018"/>
      <c r="HQ95" s="1018"/>
      <c r="HR95" s="1018"/>
      <c r="HS95" s="1018"/>
      <c r="HT95" s="1018"/>
      <c r="HU95" s="1018"/>
      <c r="HV95" s="1018"/>
      <c r="HW95" s="1018"/>
      <c r="HX95" s="1018"/>
      <c r="HY95" s="1018"/>
      <c r="HZ95" s="1018"/>
      <c r="IA95" s="1018"/>
      <c r="IB95" s="1018"/>
      <c r="IC95" s="1018"/>
      <c r="ID95" s="1018"/>
      <c r="IE95" s="1018"/>
      <c r="IF95" s="1018"/>
      <c r="IG95" s="1018"/>
      <c r="IH95" s="1018"/>
      <c r="II95" s="1018"/>
      <c r="IJ95" s="1018"/>
      <c r="IK95" s="1018"/>
      <c r="IL95" s="1018"/>
      <c r="IM95" s="1018"/>
      <c r="IN95" s="1018"/>
      <c r="IO95" s="1018"/>
      <c r="IP95" s="1018"/>
      <c r="IQ95" s="1018"/>
      <c r="IR95" s="1018"/>
      <c r="IS95" s="1018"/>
      <c r="IT95" s="1018"/>
      <c r="IU95" s="1018"/>
      <c r="IV95" s="1018"/>
    </row>
    <row r="96" spans="1:256" ht="38.25" customHeight="1" thickTop="1" x14ac:dyDescent="0.35">
      <c r="A96" s="1690">
        <v>90</v>
      </c>
      <c r="B96" s="221"/>
      <c r="C96" s="992" t="s">
        <v>142</v>
      </c>
      <c r="D96" s="1010" t="s">
        <v>787</v>
      </c>
    </row>
    <row r="97" spans="1:256" ht="36" customHeight="1" x14ac:dyDescent="0.35">
      <c r="A97" s="1690">
        <v>91</v>
      </c>
      <c r="C97" s="1019"/>
      <c r="D97" s="1020" t="s">
        <v>843</v>
      </c>
    </row>
    <row r="98" spans="1:256" ht="18" customHeight="1" x14ac:dyDescent="0.35">
      <c r="A98" s="1690">
        <v>92</v>
      </c>
      <c r="C98" s="1019"/>
      <c r="D98" s="1001" t="s">
        <v>1400</v>
      </c>
      <c r="E98" s="1002">
        <v>3900</v>
      </c>
    </row>
    <row r="99" spans="1:256" ht="18" customHeight="1" x14ac:dyDescent="0.35">
      <c r="A99" s="1690">
        <v>93</v>
      </c>
      <c r="C99" s="1019"/>
      <c r="D99" s="1001" t="s">
        <v>1403</v>
      </c>
      <c r="E99" s="1002">
        <v>2000</v>
      </c>
    </row>
    <row r="100" spans="1:256" ht="18" customHeight="1" x14ac:dyDescent="0.35">
      <c r="A100" s="1690">
        <v>94</v>
      </c>
      <c r="C100" s="1019"/>
      <c r="D100" s="1001" t="s">
        <v>895</v>
      </c>
      <c r="E100" s="1021">
        <v>2396</v>
      </c>
    </row>
    <row r="101" spans="1:256" ht="18" customHeight="1" x14ac:dyDescent="0.35">
      <c r="A101" s="1690">
        <v>95</v>
      </c>
      <c r="C101" s="1019"/>
      <c r="D101" s="1001" t="s">
        <v>688</v>
      </c>
      <c r="E101" s="1021">
        <v>860</v>
      </c>
    </row>
    <row r="102" spans="1:256" ht="18" customHeight="1" x14ac:dyDescent="0.35">
      <c r="A102" s="1690">
        <v>96</v>
      </c>
      <c r="C102" s="1019"/>
      <c r="D102" s="982" t="s">
        <v>498</v>
      </c>
      <c r="E102" s="1022">
        <v>-200</v>
      </c>
    </row>
    <row r="103" spans="1:256" ht="18" customHeight="1" x14ac:dyDescent="0.35">
      <c r="A103" s="1690">
        <v>97</v>
      </c>
      <c r="C103" s="1019"/>
      <c r="D103" s="982" t="s">
        <v>480</v>
      </c>
      <c r="E103" s="1569">
        <v>-232</v>
      </c>
    </row>
    <row r="104" spans="1:256" ht="18" customHeight="1" x14ac:dyDescent="0.35">
      <c r="A104" s="1690">
        <v>98</v>
      </c>
      <c r="C104" s="1019"/>
      <c r="D104" s="982" t="s">
        <v>1261</v>
      </c>
      <c r="E104" s="1569">
        <v>-2000</v>
      </c>
    </row>
    <row r="105" spans="1:256" ht="18" customHeight="1" x14ac:dyDescent="0.35">
      <c r="A105" s="1690">
        <v>99</v>
      </c>
      <c r="C105" s="1019"/>
      <c r="D105" s="982" t="s">
        <v>842</v>
      </c>
      <c r="E105" s="1569">
        <v>-200</v>
      </c>
    </row>
    <row r="106" spans="1:256" ht="18" customHeight="1" x14ac:dyDescent="0.35">
      <c r="A106" s="1690">
        <v>100</v>
      </c>
      <c r="C106" s="1019"/>
      <c r="D106" s="982" t="s">
        <v>1456</v>
      </c>
      <c r="E106" s="1569">
        <v>120</v>
      </c>
    </row>
    <row r="107" spans="1:256" ht="17.25" customHeight="1" x14ac:dyDescent="0.35">
      <c r="A107" s="1690">
        <v>101</v>
      </c>
      <c r="C107" s="1019"/>
      <c r="D107" s="982" t="s">
        <v>497</v>
      </c>
      <c r="E107" s="1000">
        <f>-500-508</f>
        <v>-1008</v>
      </c>
    </row>
    <row r="108" spans="1:256" ht="18" customHeight="1" x14ac:dyDescent="0.35">
      <c r="A108" s="1690">
        <v>102</v>
      </c>
      <c r="C108" s="1019"/>
      <c r="D108" s="982" t="s">
        <v>1461</v>
      </c>
      <c r="E108" s="1000">
        <v>1700</v>
      </c>
    </row>
    <row r="109" spans="1:256" ht="18" customHeight="1" x14ac:dyDescent="0.35">
      <c r="A109" s="1690">
        <v>103</v>
      </c>
      <c r="C109" s="1019"/>
      <c r="D109" s="982" t="s">
        <v>841</v>
      </c>
      <c r="E109" s="1723">
        <v>40</v>
      </c>
    </row>
    <row r="110" spans="1:256" ht="21.95" customHeight="1" x14ac:dyDescent="0.35">
      <c r="A110" s="1690">
        <v>104</v>
      </c>
      <c r="C110" s="1019"/>
      <c r="D110" s="1146" t="s">
        <v>844</v>
      </c>
      <c r="E110" s="1023">
        <f>SUM(E98:E109)</f>
        <v>7376</v>
      </c>
    </row>
    <row r="111" spans="1:256" ht="24.95" customHeight="1" x14ac:dyDescent="0.35">
      <c r="A111" s="1690">
        <v>105</v>
      </c>
      <c r="B111" s="146"/>
      <c r="C111" s="1024"/>
      <c r="D111" s="1742" t="s">
        <v>836</v>
      </c>
      <c r="E111" s="1742"/>
      <c r="F111" s="146"/>
      <c r="G111" s="146"/>
      <c r="H111" s="146"/>
      <c r="I111" s="146"/>
      <c r="J111" s="146"/>
      <c r="K111" s="146"/>
      <c r="L111" s="146"/>
      <c r="M111" s="146"/>
      <c r="N111" s="146"/>
      <c r="O111" s="146"/>
      <c r="P111" s="146"/>
      <c r="Q111" s="146"/>
      <c r="R111" s="146"/>
      <c r="S111" s="146"/>
      <c r="T111" s="146"/>
      <c r="U111" s="146"/>
      <c r="V111" s="146"/>
      <c r="W111" s="146"/>
      <c r="X111" s="146"/>
      <c r="Y111" s="146"/>
      <c r="Z111" s="146"/>
      <c r="AA111" s="146"/>
      <c r="AB111" s="146"/>
      <c r="AC111" s="146"/>
      <c r="AD111" s="146"/>
      <c r="AE111" s="146"/>
      <c r="AF111" s="146"/>
      <c r="AG111" s="146"/>
      <c r="AH111" s="146"/>
      <c r="AI111" s="146"/>
      <c r="AJ111" s="146"/>
      <c r="AK111" s="146"/>
      <c r="AL111" s="146"/>
      <c r="AM111" s="146"/>
      <c r="AN111" s="146"/>
      <c r="AO111" s="146"/>
      <c r="AP111" s="146"/>
      <c r="AQ111" s="146"/>
      <c r="AR111" s="146"/>
      <c r="AS111" s="146"/>
      <c r="AT111" s="146"/>
      <c r="AU111" s="146"/>
      <c r="AV111" s="146"/>
      <c r="AW111" s="146"/>
      <c r="AX111" s="146"/>
      <c r="AY111" s="146"/>
      <c r="AZ111" s="146"/>
      <c r="BA111" s="146"/>
      <c r="BB111" s="146"/>
      <c r="BC111" s="146"/>
      <c r="BD111" s="146"/>
      <c r="BE111" s="146"/>
      <c r="BF111" s="146"/>
      <c r="BG111" s="146"/>
      <c r="BH111" s="146"/>
      <c r="BI111" s="146"/>
      <c r="BJ111" s="146"/>
      <c r="BK111" s="146"/>
      <c r="BL111" s="146"/>
      <c r="BM111" s="146"/>
      <c r="BN111" s="146"/>
      <c r="BO111" s="146"/>
      <c r="BP111" s="146"/>
      <c r="BQ111" s="146"/>
      <c r="BR111" s="146"/>
      <c r="BS111" s="146"/>
      <c r="BT111" s="146"/>
      <c r="BU111" s="146"/>
      <c r="BV111" s="146"/>
      <c r="BW111" s="146"/>
      <c r="BX111" s="146"/>
      <c r="BY111" s="146"/>
      <c r="BZ111" s="146"/>
      <c r="CA111" s="146"/>
      <c r="CB111" s="146"/>
      <c r="CC111" s="146"/>
      <c r="CD111" s="146"/>
      <c r="CE111" s="146"/>
      <c r="CF111" s="146"/>
      <c r="CG111" s="146"/>
      <c r="CH111" s="146"/>
      <c r="CI111" s="146"/>
      <c r="CJ111" s="146"/>
      <c r="CK111" s="146"/>
      <c r="CL111" s="146"/>
      <c r="CM111" s="146"/>
      <c r="CN111" s="146"/>
      <c r="CO111" s="146"/>
      <c r="CP111" s="146"/>
      <c r="CQ111" s="146"/>
      <c r="CR111" s="146"/>
      <c r="CS111" s="146"/>
      <c r="CT111" s="146"/>
      <c r="CU111" s="146"/>
      <c r="CV111" s="146"/>
      <c r="CW111" s="146"/>
      <c r="CX111" s="146"/>
      <c r="CY111" s="146"/>
      <c r="CZ111" s="146"/>
      <c r="DA111" s="146"/>
      <c r="DB111" s="146"/>
      <c r="DC111" s="146"/>
      <c r="DD111" s="146"/>
      <c r="DE111" s="146"/>
      <c r="DF111" s="146"/>
      <c r="DG111" s="146"/>
      <c r="DH111" s="146"/>
      <c r="DI111" s="146"/>
      <c r="DJ111" s="146"/>
      <c r="DK111" s="146"/>
      <c r="DL111" s="146"/>
      <c r="DM111" s="146"/>
      <c r="DN111" s="146"/>
      <c r="DO111" s="146"/>
      <c r="DP111" s="146"/>
      <c r="DQ111" s="146"/>
      <c r="DR111" s="146"/>
      <c r="DS111" s="146"/>
      <c r="DT111" s="146"/>
      <c r="DU111" s="146"/>
      <c r="DV111" s="146"/>
      <c r="DW111" s="146"/>
      <c r="DX111" s="146"/>
      <c r="DY111" s="146"/>
      <c r="DZ111" s="146"/>
      <c r="EA111" s="146"/>
      <c r="EB111" s="146"/>
      <c r="EC111" s="146"/>
      <c r="ED111" s="146"/>
      <c r="EE111" s="146"/>
      <c r="EF111" s="146"/>
      <c r="EG111" s="146"/>
      <c r="EH111" s="146"/>
      <c r="EI111" s="146"/>
      <c r="EJ111" s="146"/>
      <c r="EK111" s="146"/>
      <c r="EL111" s="146"/>
      <c r="EM111" s="146"/>
      <c r="EN111" s="146"/>
      <c r="EO111" s="146"/>
      <c r="EP111" s="146"/>
      <c r="EQ111" s="146"/>
      <c r="ER111" s="146"/>
      <c r="ES111" s="146"/>
      <c r="ET111" s="146"/>
      <c r="EU111" s="146"/>
      <c r="EV111" s="146"/>
      <c r="EW111" s="146"/>
      <c r="EX111" s="146"/>
      <c r="EY111" s="146"/>
      <c r="EZ111" s="146"/>
      <c r="FA111" s="146"/>
      <c r="FB111" s="146"/>
      <c r="FC111" s="146"/>
      <c r="FD111" s="146"/>
      <c r="FE111" s="146"/>
      <c r="FF111" s="146"/>
      <c r="FG111" s="146"/>
      <c r="FH111" s="146"/>
      <c r="FI111" s="146"/>
      <c r="FJ111" s="146"/>
      <c r="FK111" s="146"/>
      <c r="FL111" s="146"/>
      <c r="FM111" s="146"/>
      <c r="FN111" s="146"/>
      <c r="FO111" s="146"/>
      <c r="FP111" s="146"/>
      <c r="FQ111" s="146"/>
      <c r="FR111" s="146"/>
      <c r="FS111" s="146"/>
      <c r="FT111" s="146"/>
      <c r="FU111" s="146"/>
      <c r="FV111" s="146"/>
      <c r="FW111" s="146"/>
      <c r="FX111" s="146"/>
      <c r="FY111" s="146"/>
      <c r="FZ111" s="146"/>
      <c r="GA111" s="146"/>
      <c r="GB111" s="146"/>
      <c r="GC111" s="146"/>
      <c r="GD111" s="146"/>
      <c r="GE111" s="146"/>
      <c r="GF111" s="146"/>
      <c r="GG111" s="146"/>
      <c r="GH111" s="146"/>
      <c r="GI111" s="146"/>
      <c r="GJ111" s="146"/>
      <c r="GK111" s="146"/>
      <c r="GL111" s="146"/>
      <c r="GM111" s="146"/>
      <c r="GN111" s="146"/>
      <c r="GO111" s="146"/>
      <c r="GP111" s="146"/>
      <c r="GQ111" s="146"/>
      <c r="GR111" s="146"/>
      <c r="GS111" s="146"/>
      <c r="GT111" s="146"/>
      <c r="GU111" s="146"/>
      <c r="GV111" s="146"/>
      <c r="GW111" s="146"/>
      <c r="GX111" s="146"/>
      <c r="GY111" s="146"/>
      <c r="GZ111" s="146"/>
      <c r="HA111" s="146"/>
      <c r="HB111" s="146"/>
      <c r="HC111" s="146"/>
      <c r="HD111" s="146"/>
      <c r="HE111" s="146"/>
      <c r="HF111" s="146"/>
      <c r="HG111" s="146"/>
      <c r="HH111" s="146"/>
      <c r="HI111" s="146"/>
      <c r="HJ111" s="146"/>
      <c r="HK111" s="146"/>
      <c r="HL111" s="146"/>
      <c r="HM111" s="146"/>
      <c r="HN111" s="146"/>
      <c r="HO111" s="146"/>
      <c r="HP111" s="146"/>
      <c r="HQ111" s="146"/>
      <c r="HR111" s="146"/>
      <c r="HS111" s="146"/>
      <c r="HT111" s="146"/>
      <c r="HU111" s="146"/>
      <c r="HV111" s="146"/>
      <c r="HW111" s="146"/>
      <c r="HX111" s="146"/>
      <c r="HY111" s="146"/>
      <c r="HZ111" s="146"/>
      <c r="IA111" s="146"/>
      <c r="IB111" s="146"/>
      <c r="IC111" s="146"/>
      <c r="ID111" s="146"/>
      <c r="IE111" s="146"/>
      <c r="IF111" s="146"/>
      <c r="IG111" s="146"/>
      <c r="IH111" s="146"/>
      <c r="II111" s="146"/>
      <c r="IJ111" s="146"/>
      <c r="IK111" s="146"/>
      <c r="IL111" s="146"/>
      <c r="IM111" s="146"/>
      <c r="IN111" s="146"/>
      <c r="IO111" s="146"/>
      <c r="IP111" s="146"/>
      <c r="IQ111" s="146"/>
      <c r="IR111" s="146"/>
      <c r="IS111" s="146"/>
      <c r="IT111" s="146"/>
      <c r="IU111" s="146"/>
      <c r="IV111" s="146"/>
    </row>
    <row r="112" spans="1:256" ht="18" customHeight="1" x14ac:dyDescent="0.35">
      <c r="A112" s="1690">
        <v>106</v>
      </c>
      <c r="B112" s="146"/>
      <c r="C112" s="1024"/>
      <c r="D112" s="1001" t="s">
        <v>527</v>
      </c>
      <c r="E112" s="998">
        <v>-3039</v>
      </c>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c r="AN112" s="146"/>
      <c r="AO112" s="146"/>
      <c r="AP112" s="146"/>
      <c r="AQ112" s="146"/>
      <c r="AR112" s="146"/>
      <c r="AS112" s="146"/>
      <c r="AT112" s="146"/>
      <c r="AU112" s="146"/>
      <c r="AV112" s="146"/>
      <c r="AW112" s="146"/>
      <c r="AX112" s="146"/>
      <c r="AY112" s="146"/>
      <c r="AZ112" s="146"/>
      <c r="BA112" s="146"/>
      <c r="BB112" s="146"/>
      <c r="BC112" s="146"/>
      <c r="BD112" s="146"/>
      <c r="BE112" s="146"/>
      <c r="BF112" s="146"/>
      <c r="BG112" s="146"/>
      <c r="BH112" s="146"/>
      <c r="BI112" s="146"/>
      <c r="BJ112" s="146"/>
      <c r="BK112" s="146"/>
      <c r="BL112" s="146"/>
      <c r="BM112" s="146"/>
      <c r="BN112" s="146"/>
      <c r="BO112" s="146"/>
      <c r="BP112" s="146"/>
      <c r="BQ112" s="146"/>
      <c r="BR112" s="146"/>
      <c r="BS112" s="146"/>
      <c r="BT112" s="146"/>
      <c r="BU112" s="146"/>
      <c r="BV112" s="146"/>
      <c r="BW112" s="146"/>
      <c r="BX112" s="146"/>
      <c r="BY112" s="146"/>
      <c r="BZ112" s="146"/>
      <c r="CA112" s="146"/>
      <c r="CB112" s="146"/>
      <c r="CC112" s="146"/>
      <c r="CD112" s="146"/>
      <c r="CE112" s="146"/>
      <c r="CF112" s="146"/>
      <c r="CG112" s="146"/>
      <c r="CH112" s="146"/>
      <c r="CI112" s="146"/>
      <c r="CJ112" s="146"/>
      <c r="CK112" s="146"/>
      <c r="CL112" s="146"/>
      <c r="CM112" s="146"/>
      <c r="CN112" s="146"/>
      <c r="CO112" s="146"/>
      <c r="CP112" s="146"/>
      <c r="CQ112" s="146"/>
      <c r="CR112" s="146"/>
      <c r="CS112" s="146"/>
      <c r="CT112" s="146"/>
      <c r="CU112" s="146"/>
      <c r="CV112" s="146"/>
      <c r="CW112" s="146"/>
      <c r="CX112" s="146"/>
      <c r="CY112" s="146"/>
      <c r="CZ112" s="146"/>
      <c r="DA112" s="146"/>
      <c r="DB112" s="146"/>
      <c r="DC112" s="146"/>
      <c r="DD112" s="146"/>
      <c r="DE112" s="146"/>
      <c r="DF112" s="146"/>
      <c r="DG112" s="146"/>
      <c r="DH112" s="146"/>
      <c r="DI112" s="146"/>
      <c r="DJ112" s="146"/>
      <c r="DK112" s="146"/>
      <c r="DL112" s="146"/>
      <c r="DM112" s="146"/>
      <c r="DN112" s="146"/>
      <c r="DO112" s="146"/>
      <c r="DP112" s="146"/>
      <c r="DQ112" s="146"/>
      <c r="DR112" s="146"/>
      <c r="DS112" s="146"/>
      <c r="DT112" s="146"/>
      <c r="DU112" s="146"/>
      <c r="DV112" s="146"/>
      <c r="DW112" s="146"/>
      <c r="DX112" s="146"/>
      <c r="DY112" s="146"/>
      <c r="DZ112" s="146"/>
      <c r="EA112" s="146"/>
      <c r="EB112" s="146"/>
      <c r="EC112" s="146"/>
      <c r="ED112" s="146"/>
      <c r="EE112" s="146"/>
      <c r="EF112" s="146"/>
      <c r="EG112" s="146"/>
      <c r="EH112" s="146"/>
      <c r="EI112" s="146"/>
      <c r="EJ112" s="146"/>
      <c r="EK112" s="146"/>
      <c r="EL112" s="146"/>
      <c r="EM112" s="146"/>
      <c r="EN112" s="146"/>
      <c r="EO112" s="146"/>
      <c r="EP112" s="146"/>
      <c r="EQ112" s="146"/>
      <c r="ER112" s="146"/>
      <c r="ES112" s="146"/>
      <c r="ET112" s="146"/>
      <c r="EU112" s="146"/>
      <c r="EV112" s="146"/>
      <c r="EW112" s="146"/>
      <c r="EX112" s="146"/>
      <c r="EY112" s="146"/>
      <c r="EZ112" s="146"/>
      <c r="FA112" s="146"/>
      <c r="FB112" s="146"/>
      <c r="FC112" s="146"/>
      <c r="FD112" s="146"/>
      <c r="FE112" s="146"/>
      <c r="FF112" s="146"/>
      <c r="FG112" s="146"/>
      <c r="FH112" s="146"/>
      <c r="FI112" s="146"/>
      <c r="FJ112" s="146"/>
      <c r="FK112" s="146"/>
      <c r="FL112" s="146"/>
      <c r="FM112" s="146"/>
      <c r="FN112" s="146"/>
      <c r="FO112" s="146"/>
      <c r="FP112" s="146"/>
      <c r="FQ112" s="146"/>
      <c r="FR112" s="146"/>
      <c r="FS112" s="146"/>
      <c r="FT112" s="146"/>
      <c r="FU112" s="146"/>
      <c r="FV112" s="146"/>
      <c r="FW112" s="146"/>
      <c r="FX112" s="146"/>
      <c r="FY112" s="146"/>
      <c r="FZ112" s="146"/>
      <c r="GA112" s="146"/>
      <c r="GB112" s="146"/>
      <c r="GC112" s="146"/>
      <c r="GD112" s="146"/>
      <c r="GE112" s="146"/>
      <c r="GF112" s="146"/>
      <c r="GG112" s="146"/>
      <c r="GH112" s="146"/>
      <c r="GI112" s="146"/>
      <c r="GJ112" s="146"/>
      <c r="GK112" s="146"/>
      <c r="GL112" s="146"/>
      <c r="GM112" s="146"/>
      <c r="GN112" s="146"/>
      <c r="GO112" s="146"/>
      <c r="GP112" s="146"/>
      <c r="GQ112" s="146"/>
      <c r="GR112" s="146"/>
      <c r="GS112" s="146"/>
      <c r="GT112" s="146"/>
      <c r="GU112" s="146"/>
      <c r="GV112" s="146"/>
      <c r="GW112" s="146"/>
      <c r="GX112" s="146"/>
      <c r="GY112" s="146"/>
      <c r="GZ112" s="146"/>
      <c r="HA112" s="146"/>
      <c r="HB112" s="146"/>
      <c r="HC112" s="146"/>
      <c r="HD112" s="146"/>
      <c r="HE112" s="146"/>
      <c r="HF112" s="146"/>
      <c r="HG112" s="146"/>
      <c r="HH112" s="146"/>
      <c r="HI112" s="146"/>
      <c r="HJ112" s="146"/>
      <c r="HK112" s="146"/>
      <c r="HL112" s="146"/>
      <c r="HM112" s="146"/>
      <c r="HN112" s="146"/>
      <c r="HO112" s="146"/>
      <c r="HP112" s="146"/>
      <c r="HQ112" s="146"/>
      <c r="HR112" s="146"/>
      <c r="HS112" s="146"/>
      <c r="HT112" s="146"/>
      <c r="HU112" s="146"/>
      <c r="HV112" s="146"/>
      <c r="HW112" s="146"/>
      <c r="HX112" s="146"/>
      <c r="HY112" s="146"/>
      <c r="HZ112" s="146"/>
      <c r="IA112" s="146"/>
      <c r="IB112" s="146"/>
      <c r="IC112" s="146"/>
      <c r="ID112" s="146"/>
      <c r="IE112" s="146"/>
      <c r="IF112" s="146"/>
      <c r="IG112" s="146"/>
      <c r="IH112" s="146"/>
      <c r="II112" s="146"/>
      <c r="IJ112" s="146"/>
      <c r="IK112" s="146"/>
      <c r="IL112" s="146"/>
      <c r="IM112" s="146"/>
      <c r="IN112" s="146"/>
      <c r="IO112" s="146"/>
      <c r="IP112" s="146"/>
      <c r="IQ112" s="146"/>
      <c r="IR112" s="146"/>
      <c r="IS112" s="146"/>
      <c r="IT112" s="146"/>
      <c r="IU112" s="146"/>
      <c r="IV112" s="146"/>
    </row>
    <row r="113" spans="1:256" ht="21.95" customHeight="1" thickBot="1" x14ac:dyDescent="0.35">
      <c r="A113" s="1690">
        <v>107</v>
      </c>
      <c r="B113" s="1015"/>
      <c r="C113" s="1015"/>
      <c r="D113" s="1025" t="s">
        <v>359</v>
      </c>
      <c r="E113" s="1026">
        <f>E110+E112</f>
        <v>4337</v>
      </c>
      <c r="F113" s="1018"/>
      <c r="G113" s="1018"/>
      <c r="H113" s="1018"/>
      <c r="I113" s="1018"/>
      <c r="J113" s="1018"/>
      <c r="K113" s="1018"/>
      <c r="L113" s="1027"/>
      <c r="M113" s="1018"/>
      <c r="N113" s="1018"/>
      <c r="O113" s="1018"/>
      <c r="P113" s="1018"/>
      <c r="Q113" s="1018"/>
      <c r="R113" s="1018"/>
      <c r="S113" s="1018"/>
      <c r="T113" s="1018"/>
      <c r="U113" s="1018"/>
      <c r="V113" s="1018"/>
      <c r="W113" s="1018"/>
      <c r="X113" s="1018"/>
      <c r="Y113" s="1018"/>
      <c r="Z113" s="1018"/>
      <c r="AA113" s="1018"/>
      <c r="AB113" s="1018"/>
      <c r="AC113" s="1018"/>
      <c r="AD113" s="1018"/>
      <c r="AE113" s="1018"/>
      <c r="AF113" s="1018"/>
      <c r="AG113" s="1018"/>
      <c r="AH113" s="1018"/>
      <c r="AI113" s="1018"/>
      <c r="AJ113" s="1018"/>
      <c r="AK113" s="1018"/>
      <c r="AL113" s="1018"/>
      <c r="AM113" s="1018"/>
      <c r="AN113" s="1018"/>
      <c r="AO113" s="1018"/>
      <c r="AP113" s="1018"/>
      <c r="AQ113" s="1018"/>
      <c r="AR113" s="1018"/>
      <c r="AS113" s="1018"/>
      <c r="AT113" s="1018"/>
      <c r="AU113" s="1018"/>
      <c r="AV113" s="1018"/>
      <c r="AW113" s="1018"/>
      <c r="AX113" s="1018"/>
      <c r="AY113" s="1018"/>
      <c r="AZ113" s="1018"/>
      <c r="BA113" s="1018"/>
      <c r="BB113" s="1018"/>
      <c r="BC113" s="1018"/>
      <c r="BD113" s="1018"/>
      <c r="BE113" s="1018"/>
      <c r="BF113" s="1018"/>
      <c r="BG113" s="1018"/>
      <c r="BH113" s="1018"/>
      <c r="BI113" s="1018"/>
      <c r="BJ113" s="1018"/>
      <c r="BK113" s="1018"/>
      <c r="BL113" s="1018"/>
      <c r="BM113" s="1018"/>
      <c r="BN113" s="1018"/>
      <c r="BO113" s="1018"/>
      <c r="BP113" s="1018"/>
      <c r="BQ113" s="1018"/>
      <c r="BR113" s="1018"/>
      <c r="BS113" s="1018"/>
      <c r="BT113" s="1018"/>
      <c r="BU113" s="1018"/>
      <c r="BV113" s="1018"/>
      <c r="BW113" s="1018"/>
      <c r="BX113" s="1018"/>
      <c r="BY113" s="1018"/>
      <c r="BZ113" s="1018"/>
      <c r="CA113" s="1018"/>
      <c r="CB113" s="1018"/>
      <c r="CC113" s="1018"/>
      <c r="CD113" s="1018"/>
      <c r="CE113" s="1018"/>
      <c r="CF113" s="1018"/>
      <c r="CG113" s="1018"/>
      <c r="CH113" s="1018"/>
      <c r="CI113" s="1018"/>
      <c r="CJ113" s="1018"/>
      <c r="CK113" s="1018"/>
      <c r="CL113" s="1018"/>
      <c r="CM113" s="1018"/>
      <c r="CN113" s="1018"/>
      <c r="CO113" s="1018"/>
      <c r="CP113" s="1018"/>
      <c r="CQ113" s="1018"/>
      <c r="CR113" s="1018"/>
      <c r="CS113" s="1018"/>
      <c r="CT113" s="1018"/>
      <c r="CU113" s="1018"/>
      <c r="CV113" s="1018"/>
      <c r="CW113" s="1018"/>
      <c r="CX113" s="1018"/>
      <c r="CY113" s="1018"/>
      <c r="CZ113" s="1018"/>
      <c r="DA113" s="1018"/>
      <c r="DB113" s="1018"/>
      <c r="DC113" s="1018"/>
      <c r="DD113" s="1018"/>
      <c r="DE113" s="1018"/>
      <c r="DF113" s="1018"/>
      <c r="DG113" s="1018"/>
      <c r="DH113" s="1018"/>
      <c r="DI113" s="1018"/>
      <c r="DJ113" s="1018"/>
      <c r="DK113" s="1018"/>
      <c r="DL113" s="1018"/>
      <c r="DM113" s="1018"/>
      <c r="DN113" s="1018"/>
      <c r="DO113" s="1018"/>
      <c r="DP113" s="1018"/>
      <c r="DQ113" s="1018"/>
      <c r="DR113" s="1018"/>
      <c r="DS113" s="1018"/>
      <c r="DT113" s="1018"/>
      <c r="DU113" s="1018"/>
      <c r="DV113" s="1018"/>
      <c r="DW113" s="1018"/>
      <c r="DX113" s="1018"/>
      <c r="DY113" s="1018"/>
      <c r="DZ113" s="1018"/>
      <c r="EA113" s="1018"/>
      <c r="EB113" s="1018"/>
      <c r="EC113" s="1018"/>
      <c r="ED113" s="1018"/>
      <c r="EE113" s="1018"/>
      <c r="EF113" s="1018"/>
      <c r="EG113" s="1018"/>
      <c r="EH113" s="1018"/>
      <c r="EI113" s="1018"/>
      <c r="EJ113" s="1018"/>
      <c r="EK113" s="1018"/>
      <c r="EL113" s="1018"/>
      <c r="EM113" s="1018"/>
      <c r="EN113" s="1018"/>
      <c r="EO113" s="1018"/>
      <c r="EP113" s="1018"/>
      <c r="EQ113" s="1018"/>
      <c r="ER113" s="1018"/>
      <c r="ES113" s="1018"/>
      <c r="ET113" s="1018"/>
      <c r="EU113" s="1018"/>
      <c r="EV113" s="1018"/>
      <c r="EW113" s="1018"/>
      <c r="EX113" s="1018"/>
      <c r="EY113" s="1018"/>
      <c r="EZ113" s="1018"/>
      <c r="FA113" s="1018"/>
      <c r="FB113" s="1018"/>
      <c r="FC113" s="1018"/>
      <c r="FD113" s="1018"/>
      <c r="FE113" s="1018"/>
      <c r="FF113" s="1018"/>
      <c r="FG113" s="1018"/>
      <c r="FH113" s="1018"/>
      <c r="FI113" s="1018"/>
      <c r="FJ113" s="1018"/>
      <c r="FK113" s="1018"/>
      <c r="FL113" s="1018"/>
      <c r="FM113" s="1018"/>
      <c r="FN113" s="1018"/>
      <c r="FO113" s="1018"/>
      <c r="FP113" s="1018"/>
      <c r="FQ113" s="1018"/>
      <c r="FR113" s="1018"/>
      <c r="FS113" s="1018"/>
      <c r="FT113" s="1018"/>
      <c r="FU113" s="1018"/>
      <c r="FV113" s="1018"/>
      <c r="FW113" s="1018"/>
      <c r="FX113" s="1018"/>
      <c r="FY113" s="1018"/>
      <c r="FZ113" s="1018"/>
      <c r="GA113" s="1018"/>
      <c r="GB113" s="1018"/>
      <c r="GC113" s="1018"/>
      <c r="GD113" s="1018"/>
      <c r="GE113" s="1018"/>
      <c r="GF113" s="1018"/>
      <c r="GG113" s="1018"/>
      <c r="GH113" s="1018"/>
      <c r="GI113" s="1018"/>
      <c r="GJ113" s="1018"/>
      <c r="GK113" s="1018"/>
      <c r="GL113" s="1018"/>
      <c r="GM113" s="1018"/>
      <c r="GN113" s="1018"/>
      <c r="GO113" s="1018"/>
      <c r="GP113" s="1018"/>
      <c r="GQ113" s="1018"/>
      <c r="GR113" s="1018"/>
      <c r="GS113" s="1018"/>
      <c r="GT113" s="1018"/>
      <c r="GU113" s="1018"/>
      <c r="GV113" s="1018"/>
      <c r="GW113" s="1018"/>
      <c r="GX113" s="1018"/>
      <c r="GY113" s="1018"/>
      <c r="GZ113" s="1018"/>
      <c r="HA113" s="1018"/>
      <c r="HB113" s="1018"/>
      <c r="HC113" s="1018"/>
      <c r="HD113" s="1018"/>
      <c r="HE113" s="1018"/>
      <c r="HF113" s="1018"/>
      <c r="HG113" s="1018"/>
      <c r="HH113" s="1018"/>
      <c r="HI113" s="1018"/>
      <c r="HJ113" s="1018"/>
      <c r="HK113" s="1018"/>
      <c r="HL113" s="1018"/>
      <c r="HM113" s="1018"/>
      <c r="HN113" s="1018"/>
      <c r="HO113" s="1018"/>
      <c r="HP113" s="1018"/>
      <c r="HQ113" s="1018"/>
      <c r="HR113" s="1018"/>
      <c r="HS113" s="1018"/>
      <c r="HT113" s="1018"/>
      <c r="HU113" s="1018"/>
      <c r="HV113" s="1018"/>
      <c r="HW113" s="1018"/>
      <c r="HX113" s="1018"/>
      <c r="HY113" s="1018"/>
      <c r="HZ113" s="1018"/>
      <c r="IA113" s="1018"/>
      <c r="IB113" s="1018"/>
      <c r="IC113" s="1018"/>
      <c r="ID113" s="1018"/>
      <c r="IE113" s="1018"/>
      <c r="IF113" s="1018"/>
      <c r="IG113" s="1018"/>
      <c r="IH113" s="1018"/>
      <c r="II113" s="1018"/>
      <c r="IJ113" s="1018"/>
      <c r="IK113" s="1018"/>
      <c r="IL113" s="1018"/>
      <c r="IM113" s="1018"/>
      <c r="IN113" s="1018"/>
      <c r="IO113" s="1018"/>
      <c r="IP113" s="1018"/>
      <c r="IQ113" s="1018"/>
      <c r="IR113" s="1018"/>
      <c r="IS113" s="1018"/>
      <c r="IT113" s="1018"/>
      <c r="IU113" s="1018"/>
      <c r="IV113" s="1018"/>
    </row>
    <row r="114" spans="1:256" ht="24.95" customHeight="1" thickTop="1" x14ac:dyDescent="0.35">
      <c r="A114" s="1690">
        <v>108</v>
      </c>
      <c r="C114" s="1019"/>
      <c r="D114" s="1028" t="s">
        <v>248</v>
      </c>
    </row>
    <row r="115" spans="1:256" ht="18" customHeight="1" x14ac:dyDescent="0.35">
      <c r="A115" s="1690">
        <v>109</v>
      </c>
      <c r="C115" s="1019"/>
      <c r="D115" s="1001" t="s">
        <v>648</v>
      </c>
      <c r="E115" s="1021">
        <v>-3256</v>
      </c>
    </row>
    <row r="116" spans="1:256" ht="18" customHeight="1" thickBot="1" x14ac:dyDescent="0.35">
      <c r="A116" s="1690">
        <v>110</v>
      </c>
      <c r="B116" s="1015"/>
      <c r="C116" s="1015"/>
      <c r="D116" s="1025" t="s">
        <v>788</v>
      </c>
      <c r="E116" s="1026">
        <f>SUM(E115:E115)</f>
        <v>-3256</v>
      </c>
      <c r="F116" s="1018"/>
      <c r="G116" s="1018"/>
      <c r="H116" s="1018"/>
      <c r="I116" s="1018"/>
      <c r="J116" s="1018"/>
      <c r="K116" s="1018"/>
      <c r="L116" s="1018"/>
      <c r="M116" s="1018"/>
      <c r="N116" s="1018"/>
      <c r="O116" s="1018"/>
      <c r="P116" s="1018"/>
      <c r="Q116" s="1018"/>
      <c r="R116" s="1018"/>
      <c r="S116" s="1018"/>
      <c r="T116" s="1018"/>
      <c r="U116" s="1018"/>
      <c r="V116" s="1018"/>
      <c r="W116" s="1018"/>
      <c r="X116" s="1018"/>
      <c r="Y116" s="1018"/>
      <c r="Z116" s="1018"/>
      <c r="AA116" s="1018"/>
      <c r="AB116" s="1018"/>
      <c r="AC116" s="1018"/>
      <c r="AD116" s="1018"/>
      <c r="AE116" s="1018"/>
      <c r="AF116" s="1018"/>
      <c r="AG116" s="1018"/>
      <c r="AH116" s="1018"/>
      <c r="AI116" s="1018"/>
      <c r="AJ116" s="1018"/>
      <c r="AK116" s="1018"/>
      <c r="AL116" s="1018"/>
      <c r="AM116" s="1018"/>
      <c r="AN116" s="1018"/>
      <c r="AO116" s="1018"/>
      <c r="AP116" s="1018"/>
      <c r="AQ116" s="1018"/>
      <c r="AR116" s="1018"/>
      <c r="AS116" s="1018"/>
      <c r="AT116" s="1018"/>
      <c r="AU116" s="1018"/>
      <c r="AV116" s="1018"/>
      <c r="AW116" s="1018"/>
      <c r="AX116" s="1018"/>
      <c r="AY116" s="1018"/>
      <c r="AZ116" s="1018"/>
      <c r="BA116" s="1018"/>
      <c r="BB116" s="1018"/>
      <c r="BC116" s="1018"/>
      <c r="BD116" s="1018"/>
      <c r="BE116" s="1018"/>
      <c r="BF116" s="1018"/>
      <c r="BG116" s="1018"/>
      <c r="BH116" s="1018"/>
      <c r="BI116" s="1018"/>
      <c r="BJ116" s="1018"/>
      <c r="BK116" s="1018"/>
      <c r="BL116" s="1018"/>
      <c r="BM116" s="1018"/>
      <c r="BN116" s="1018"/>
      <c r="BO116" s="1018"/>
      <c r="BP116" s="1018"/>
      <c r="BQ116" s="1018"/>
      <c r="BR116" s="1018"/>
      <c r="BS116" s="1018"/>
      <c r="BT116" s="1018"/>
      <c r="BU116" s="1018"/>
      <c r="BV116" s="1018"/>
      <c r="BW116" s="1018"/>
      <c r="BX116" s="1018"/>
      <c r="BY116" s="1018"/>
      <c r="BZ116" s="1018"/>
      <c r="CA116" s="1018"/>
      <c r="CB116" s="1018"/>
      <c r="CC116" s="1018"/>
      <c r="CD116" s="1018"/>
      <c r="CE116" s="1018"/>
      <c r="CF116" s="1018"/>
      <c r="CG116" s="1018"/>
      <c r="CH116" s="1018"/>
      <c r="CI116" s="1018"/>
      <c r="CJ116" s="1018"/>
      <c r="CK116" s="1018"/>
      <c r="CL116" s="1018"/>
      <c r="CM116" s="1018"/>
      <c r="CN116" s="1018"/>
      <c r="CO116" s="1018"/>
      <c r="CP116" s="1018"/>
      <c r="CQ116" s="1018"/>
      <c r="CR116" s="1018"/>
      <c r="CS116" s="1018"/>
      <c r="CT116" s="1018"/>
      <c r="CU116" s="1018"/>
      <c r="CV116" s="1018"/>
      <c r="CW116" s="1018"/>
      <c r="CX116" s="1018"/>
      <c r="CY116" s="1018"/>
      <c r="CZ116" s="1018"/>
      <c r="DA116" s="1018"/>
      <c r="DB116" s="1018"/>
      <c r="DC116" s="1018"/>
      <c r="DD116" s="1018"/>
      <c r="DE116" s="1018"/>
      <c r="DF116" s="1018"/>
      <c r="DG116" s="1018"/>
      <c r="DH116" s="1018"/>
      <c r="DI116" s="1018"/>
      <c r="DJ116" s="1018"/>
      <c r="DK116" s="1018"/>
      <c r="DL116" s="1018"/>
      <c r="DM116" s="1018"/>
      <c r="DN116" s="1018"/>
      <c r="DO116" s="1018"/>
      <c r="DP116" s="1018"/>
      <c r="DQ116" s="1018"/>
      <c r="DR116" s="1018"/>
      <c r="DS116" s="1018"/>
      <c r="DT116" s="1018"/>
      <c r="DU116" s="1018"/>
      <c r="DV116" s="1018"/>
      <c r="DW116" s="1018"/>
      <c r="DX116" s="1018"/>
      <c r="DY116" s="1018"/>
      <c r="DZ116" s="1018"/>
      <c r="EA116" s="1018"/>
      <c r="EB116" s="1018"/>
      <c r="EC116" s="1018"/>
      <c r="ED116" s="1018"/>
      <c r="EE116" s="1018"/>
      <c r="EF116" s="1018"/>
      <c r="EG116" s="1018"/>
      <c r="EH116" s="1018"/>
      <c r="EI116" s="1018"/>
      <c r="EJ116" s="1018"/>
      <c r="EK116" s="1018"/>
      <c r="EL116" s="1018"/>
      <c r="EM116" s="1018"/>
      <c r="EN116" s="1018"/>
      <c r="EO116" s="1018"/>
      <c r="EP116" s="1018"/>
      <c r="EQ116" s="1018"/>
      <c r="ER116" s="1018"/>
      <c r="ES116" s="1018"/>
      <c r="ET116" s="1018"/>
      <c r="EU116" s="1018"/>
      <c r="EV116" s="1018"/>
      <c r="EW116" s="1018"/>
      <c r="EX116" s="1018"/>
      <c r="EY116" s="1018"/>
      <c r="EZ116" s="1018"/>
      <c r="FA116" s="1018"/>
      <c r="FB116" s="1018"/>
      <c r="FC116" s="1018"/>
      <c r="FD116" s="1018"/>
      <c r="FE116" s="1018"/>
      <c r="FF116" s="1018"/>
      <c r="FG116" s="1018"/>
      <c r="FH116" s="1018"/>
      <c r="FI116" s="1018"/>
      <c r="FJ116" s="1018"/>
      <c r="FK116" s="1018"/>
      <c r="FL116" s="1018"/>
      <c r="FM116" s="1018"/>
      <c r="FN116" s="1018"/>
      <c r="FO116" s="1018"/>
      <c r="FP116" s="1018"/>
      <c r="FQ116" s="1018"/>
      <c r="FR116" s="1018"/>
      <c r="FS116" s="1018"/>
      <c r="FT116" s="1018"/>
      <c r="FU116" s="1018"/>
      <c r="FV116" s="1018"/>
      <c r="FW116" s="1018"/>
      <c r="FX116" s="1018"/>
      <c r="FY116" s="1018"/>
      <c r="FZ116" s="1018"/>
      <c r="GA116" s="1018"/>
      <c r="GB116" s="1018"/>
      <c r="GC116" s="1018"/>
      <c r="GD116" s="1018"/>
      <c r="GE116" s="1018"/>
      <c r="GF116" s="1018"/>
      <c r="GG116" s="1018"/>
      <c r="GH116" s="1018"/>
      <c r="GI116" s="1018"/>
      <c r="GJ116" s="1018"/>
      <c r="GK116" s="1018"/>
      <c r="GL116" s="1018"/>
      <c r="GM116" s="1018"/>
      <c r="GN116" s="1018"/>
      <c r="GO116" s="1018"/>
      <c r="GP116" s="1018"/>
      <c r="GQ116" s="1018"/>
      <c r="GR116" s="1018"/>
      <c r="GS116" s="1018"/>
      <c r="GT116" s="1018"/>
      <c r="GU116" s="1018"/>
      <c r="GV116" s="1018"/>
      <c r="GW116" s="1018"/>
      <c r="GX116" s="1018"/>
      <c r="GY116" s="1018"/>
      <c r="GZ116" s="1018"/>
      <c r="HA116" s="1018"/>
      <c r="HB116" s="1018"/>
      <c r="HC116" s="1018"/>
      <c r="HD116" s="1018"/>
      <c r="HE116" s="1018"/>
      <c r="HF116" s="1018"/>
      <c r="HG116" s="1018"/>
      <c r="HH116" s="1018"/>
      <c r="HI116" s="1018"/>
      <c r="HJ116" s="1018"/>
      <c r="HK116" s="1018"/>
      <c r="HL116" s="1018"/>
      <c r="HM116" s="1018"/>
      <c r="HN116" s="1018"/>
      <c r="HO116" s="1018"/>
      <c r="HP116" s="1018"/>
      <c r="HQ116" s="1018"/>
      <c r="HR116" s="1018"/>
      <c r="HS116" s="1018"/>
      <c r="HT116" s="1018"/>
      <c r="HU116" s="1018"/>
      <c r="HV116" s="1018"/>
      <c r="HW116" s="1018"/>
      <c r="HX116" s="1018"/>
      <c r="HY116" s="1018"/>
      <c r="HZ116" s="1018"/>
      <c r="IA116" s="1018"/>
      <c r="IB116" s="1018"/>
      <c r="IC116" s="1018"/>
      <c r="ID116" s="1018"/>
      <c r="IE116" s="1018"/>
      <c r="IF116" s="1018"/>
      <c r="IG116" s="1018"/>
      <c r="IH116" s="1018"/>
      <c r="II116" s="1018"/>
      <c r="IJ116" s="1018"/>
      <c r="IK116" s="1018"/>
      <c r="IL116" s="1018"/>
      <c r="IM116" s="1018"/>
      <c r="IN116" s="1018"/>
      <c r="IO116" s="1018"/>
      <c r="IP116" s="1018"/>
      <c r="IQ116" s="1018"/>
      <c r="IR116" s="1018"/>
      <c r="IS116" s="1018"/>
      <c r="IT116" s="1018"/>
      <c r="IU116" s="1018"/>
      <c r="IV116" s="1018"/>
    </row>
    <row r="117" spans="1:256" ht="20.100000000000001" customHeight="1" thickTop="1" thickBot="1" x14ac:dyDescent="0.35">
      <c r="A117" s="1690">
        <v>111</v>
      </c>
      <c r="B117" s="1030"/>
      <c r="C117" s="1030"/>
      <c r="D117" s="1031" t="s">
        <v>789</v>
      </c>
      <c r="E117" s="1032">
        <f>E116+E113</f>
        <v>1081</v>
      </c>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c r="BJ117" s="24"/>
      <c r="BK117" s="24"/>
      <c r="BL117" s="24"/>
      <c r="BM117" s="24"/>
      <c r="BN117" s="24"/>
      <c r="BO117" s="24"/>
      <c r="BP117" s="24"/>
      <c r="BQ117" s="24"/>
      <c r="BR117" s="24"/>
      <c r="BS117" s="24"/>
      <c r="BT117" s="24"/>
      <c r="BU117" s="24"/>
      <c r="BV117" s="24"/>
      <c r="BW117" s="24"/>
      <c r="BX117" s="24"/>
      <c r="BY117" s="24"/>
      <c r="BZ117" s="24"/>
      <c r="CA117" s="24"/>
      <c r="CB117" s="24"/>
      <c r="CC117" s="24"/>
      <c r="CD117" s="24"/>
      <c r="CE117" s="24"/>
      <c r="CF117" s="24"/>
      <c r="CG117" s="24"/>
      <c r="CH117" s="24"/>
      <c r="CI117" s="24"/>
      <c r="CJ117" s="24"/>
      <c r="CK117" s="24"/>
      <c r="CL117" s="24"/>
      <c r="CM117" s="24"/>
      <c r="CN117" s="24"/>
      <c r="CO117" s="24"/>
      <c r="CP117" s="24"/>
      <c r="CQ117" s="24"/>
      <c r="CR117" s="24"/>
      <c r="CS117" s="24"/>
      <c r="CT117" s="24"/>
      <c r="CU117" s="24"/>
      <c r="CV117" s="24"/>
      <c r="CW117" s="24"/>
      <c r="CX117" s="24"/>
      <c r="CY117" s="24"/>
      <c r="CZ117" s="24"/>
      <c r="DA117" s="24"/>
      <c r="DB117" s="24"/>
      <c r="DC117" s="24"/>
      <c r="DD117" s="24"/>
      <c r="DE117" s="24"/>
      <c r="DF117" s="24"/>
      <c r="DG117" s="24"/>
      <c r="DH117" s="24"/>
      <c r="DI117" s="24"/>
      <c r="DJ117" s="24"/>
      <c r="DK117" s="24"/>
      <c r="DL117" s="24"/>
      <c r="DM117" s="24"/>
      <c r="DN117" s="24"/>
      <c r="DO117" s="24"/>
      <c r="DP117" s="24"/>
      <c r="DQ117" s="24"/>
      <c r="DR117" s="24"/>
      <c r="DS117" s="24"/>
      <c r="DT117" s="24"/>
      <c r="DU117" s="24"/>
      <c r="DV117" s="24"/>
      <c r="DW117" s="24"/>
      <c r="DX117" s="24"/>
      <c r="DY117" s="24"/>
      <c r="DZ117" s="24"/>
      <c r="EA117" s="24"/>
      <c r="EB117" s="24"/>
      <c r="EC117" s="24"/>
      <c r="ED117" s="24"/>
      <c r="EE117" s="24"/>
      <c r="EF117" s="24"/>
      <c r="EG117" s="24"/>
      <c r="EH117" s="24"/>
      <c r="EI117" s="24"/>
      <c r="EJ117" s="24"/>
      <c r="EK117" s="24"/>
      <c r="EL117" s="24"/>
      <c r="EM117" s="24"/>
      <c r="EN117" s="24"/>
      <c r="EO117" s="24"/>
      <c r="EP117" s="24"/>
      <c r="EQ117" s="24"/>
      <c r="ER117" s="24"/>
      <c r="ES117" s="24"/>
      <c r="ET117" s="24"/>
      <c r="EU117" s="24"/>
      <c r="EV117" s="24"/>
      <c r="EW117" s="24"/>
      <c r="EX117" s="24"/>
      <c r="EY117" s="24"/>
      <c r="EZ117" s="24"/>
      <c r="FA117" s="24"/>
      <c r="FB117" s="24"/>
      <c r="FC117" s="24"/>
      <c r="FD117" s="24"/>
      <c r="FE117" s="24"/>
      <c r="FF117" s="24"/>
      <c r="FG117" s="24"/>
      <c r="FH117" s="24"/>
      <c r="FI117" s="24"/>
      <c r="FJ117" s="24"/>
      <c r="FK117" s="24"/>
      <c r="FL117" s="24"/>
      <c r="FM117" s="24"/>
      <c r="FN117" s="24"/>
      <c r="FO117" s="24"/>
      <c r="FP117" s="24"/>
      <c r="FQ117" s="24"/>
      <c r="FR117" s="24"/>
      <c r="FS117" s="24"/>
      <c r="FT117" s="24"/>
      <c r="FU117" s="24"/>
      <c r="FV117" s="24"/>
      <c r="FW117" s="24"/>
      <c r="FX117" s="24"/>
      <c r="FY117" s="24"/>
      <c r="FZ117" s="24"/>
      <c r="GA117" s="24"/>
      <c r="GB117" s="24"/>
      <c r="GC117" s="24"/>
      <c r="GD117" s="24"/>
      <c r="GE117" s="24"/>
      <c r="GF117" s="24"/>
      <c r="GG117" s="24"/>
      <c r="GH117" s="24"/>
      <c r="GI117" s="24"/>
      <c r="GJ117" s="24"/>
      <c r="GK117" s="24"/>
      <c r="GL117" s="24"/>
      <c r="GM117" s="24"/>
      <c r="GN117" s="24"/>
      <c r="GO117" s="24"/>
      <c r="GP117" s="24"/>
      <c r="GQ117" s="24"/>
      <c r="GR117" s="24"/>
      <c r="GS117" s="24"/>
      <c r="GT117" s="24"/>
      <c r="GU117" s="24"/>
      <c r="GV117" s="24"/>
      <c r="GW117" s="24"/>
      <c r="GX117" s="24"/>
      <c r="GY117" s="24"/>
      <c r="GZ117" s="24"/>
      <c r="HA117" s="24"/>
      <c r="HB117" s="24"/>
      <c r="HC117" s="24"/>
      <c r="HD117" s="24"/>
      <c r="HE117" s="24"/>
      <c r="HF117" s="24"/>
      <c r="HG117" s="24"/>
      <c r="HH117" s="24"/>
      <c r="HI117" s="24"/>
      <c r="HJ117" s="24"/>
      <c r="HK117" s="24"/>
      <c r="HL117" s="24"/>
      <c r="HM117" s="24"/>
      <c r="HN117" s="24"/>
      <c r="HO117" s="24"/>
      <c r="HP117" s="24"/>
      <c r="HQ117" s="24"/>
      <c r="HR117" s="24"/>
      <c r="HS117" s="24"/>
      <c r="HT117" s="24"/>
      <c r="HU117" s="24"/>
      <c r="HV117" s="24"/>
      <c r="HW117" s="24"/>
      <c r="HX117" s="24"/>
      <c r="HY117" s="24"/>
      <c r="HZ117" s="24"/>
      <c r="IA117" s="24"/>
      <c r="IB117" s="24"/>
      <c r="IC117" s="24"/>
      <c r="ID117" s="24"/>
      <c r="IE117" s="24"/>
      <c r="IF117" s="24"/>
      <c r="IG117" s="24"/>
      <c r="IH117" s="24"/>
      <c r="II117" s="24"/>
      <c r="IJ117" s="24"/>
      <c r="IK117" s="24"/>
      <c r="IL117" s="24"/>
      <c r="IM117" s="24"/>
      <c r="IN117" s="24"/>
      <c r="IO117" s="24"/>
      <c r="IP117" s="24"/>
      <c r="IQ117" s="24"/>
      <c r="IR117" s="24"/>
      <c r="IS117" s="24"/>
      <c r="IT117" s="24"/>
      <c r="IU117" s="24"/>
      <c r="IV117" s="24"/>
    </row>
    <row r="118" spans="1:256" ht="24.95" customHeight="1" thickTop="1" x14ac:dyDescent="0.35">
      <c r="A118" s="1690">
        <v>112</v>
      </c>
      <c r="B118" s="147"/>
      <c r="C118" s="1024" t="s">
        <v>143</v>
      </c>
      <c r="D118" s="1033" t="s">
        <v>790</v>
      </c>
      <c r="E118" s="61"/>
      <c r="F118" s="147"/>
      <c r="G118" s="147"/>
      <c r="H118" s="147"/>
      <c r="I118" s="147"/>
      <c r="J118" s="147"/>
      <c r="K118" s="147"/>
      <c r="L118" s="147"/>
      <c r="M118" s="147"/>
      <c r="N118" s="147"/>
      <c r="O118" s="147"/>
      <c r="P118" s="147"/>
      <c r="Q118" s="147"/>
      <c r="R118" s="147"/>
      <c r="S118" s="147"/>
      <c r="T118" s="147"/>
      <c r="U118" s="147"/>
      <c r="V118" s="147"/>
      <c r="W118" s="147"/>
      <c r="X118" s="147"/>
      <c r="Y118" s="147"/>
      <c r="Z118" s="147"/>
      <c r="AA118" s="147"/>
      <c r="AB118" s="147"/>
      <c r="AC118" s="147"/>
      <c r="AD118" s="147"/>
      <c r="AE118" s="147"/>
      <c r="AF118" s="147"/>
      <c r="AG118" s="147"/>
      <c r="AH118" s="147"/>
      <c r="AI118" s="147"/>
      <c r="AJ118" s="147"/>
      <c r="AK118" s="147"/>
      <c r="AL118" s="147"/>
      <c r="AM118" s="147"/>
      <c r="AN118" s="147"/>
      <c r="AO118" s="147"/>
      <c r="AP118" s="147"/>
      <c r="AQ118" s="147"/>
      <c r="AR118" s="147"/>
      <c r="AS118" s="147"/>
      <c r="AT118" s="147"/>
      <c r="AU118" s="147"/>
      <c r="AV118" s="147"/>
      <c r="AW118" s="147"/>
      <c r="AX118" s="147"/>
      <c r="AY118" s="147"/>
      <c r="AZ118" s="147"/>
      <c r="BA118" s="147"/>
      <c r="BB118" s="147"/>
      <c r="BC118" s="147"/>
      <c r="BD118" s="147"/>
      <c r="BE118" s="147"/>
      <c r="BF118" s="147"/>
      <c r="BG118" s="147"/>
      <c r="BH118" s="147"/>
      <c r="BI118" s="147"/>
      <c r="BJ118" s="147"/>
      <c r="BK118" s="147"/>
      <c r="BL118" s="147"/>
      <c r="BM118" s="147"/>
      <c r="BN118" s="147"/>
      <c r="BO118" s="147"/>
      <c r="BP118" s="147"/>
      <c r="BQ118" s="147"/>
      <c r="BR118" s="147"/>
      <c r="BS118" s="147"/>
      <c r="BT118" s="147"/>
      <c r="BU118" s="147"/>
      <c r="BV118" s="147"/>
      <c r="BW118" s="147"/>
      <c r="BX118" s="147"/>
      <c r="BY118" s="147"/>
      <c r="BZ118" s="147"/>
      <c r="CA118" s="147"/>
      <c r="CB118" s="147"/>
      <c r="CC118" s="147"/>
      <c r="CD118" s="147"/>
      <c r="CE118" s="147"/>
      <c r="CF118" s="147"/>
      <c r="CG118" s="147"/>
      <c r="CH118" s="147"/>
      <c r="CI118" s="147"/>
      <c r="CJ118" s="147"/>
      <c r="CK118" s="147"/>
      <c r="CL118" s="147"/>
      <c r="CM118" s="147"/>
      <c r="CN118" s="147"/>
      <c r="CO118" s="147"/>
      <c r="CP118" s="147"/>
      <c r="CQ118" s="147"/>
      <c r="CR118" s="147"/>
      <c r="CS118" s="147"/>
      <c r="CT118" s="147"/>
      <c r="CU118" s="147"/>
      <c r="CV118" s="147"/>
      <c r="CW118" s="147"/>
      <c r="CX118" s="147"/>
      <c r="CY118" s="147"/>
      <c r="CZ118" s="147"/>
      <c r="DA118" s="147"/>
      <c r="DB118" s="147"/>
      <c r="DC118" s="147"/>
      <c r="DD118" s="147"/>
      <c r="DE118" s="147"/>
      <c r="DF118" s="147"/>
      <c r="DG118" s="147"/>
      <c r="DH118" s="147"/>
      <c r="DI118" s="147"/>
      <c r="DJ118" s="147"/>
      <c r="DK118" s="147"/>
      <c r="DL118" s="147"/>
      <c r="DM118" s="147"/>
      <c r="DN118" s="147"/>
      <c r="DO118" s="147"/>
      <c r="DP118" s="147"/>
      <c r="DQ118" s="147"/>
      <c r="DR118" s="147"/>
      <c r="DS118" s="147"/>
      <c r="DT118" s="147"/>
      <c r="DU118" s="147"/>
      <c r="DV118" s="147"/>
      <c r="DW118" s="147"/>
      <c r="DX118" s="147"/>
      <c r="DY118" s="147"/>
      <c r="DZ118" s="147"/>
      <c r="EA118" s="147"/>
      <c r="EB118" s="147"/>
      <c r="EC118" s="147"/>
      <c r="ED118" s="147"/>
      <c r="EE118" s="147"/>
      <c r="EF118" s="147"/>
      <c r="EG118" s="147"/>
      <c r="EH118" s="147"/>
      <c r="EI118" s="147"/>
      <c r="EJ118" s="147"/>
      <c r="EK118" s="147"/>
      <c r="EL118" s="147"/>
      <c r="EM118" s="147"/>
      <c r="EN118" s="147"/>
      <c r="EO118" s="147"/>
      <c r="EP118" s="147"/>
      <c r="EQ118" s="147"/>
      <c r="ER118" s="147"/>
      <c r="ES118" s="147"/>
      <c r="ET118" s="147"/>
      <c r="EU118" s="147"/>
      <c r="EV118" s="147"/>
      <c r="EW118" s="147"/>
      <c r="EX118" s="147"/>
      <c r="EY118" s="147"/>
      <c r="EZ118" s="147"/>
      <c r="FA118" s="147"/>
      <c r="FB118" s="147"/>
      <c r="FC118" s="147"/>
      <c r="FD118" s="147"/>
      <c r="FE118" s="147"/>
      <c r="FF118" s="147"/>
      <c r="FG118" s="147"/>
      <c r="FH118" s="147"/>
      <c r="FI118" s="147"/>
      <c r="FJ118" s="147"/>
      <c r="FK118" s="147"/>
      <c r="FL118" s="147"/>
      <c r="FM118" s="147"/>
      <c r="FN118" s="147"/>
      <c r="FO118" s="147"/>
      <c r="FP118" s="147"/>
      <c r="FQ118" s="147"/>
      <c r="FR118" s="147"/>
      <c r="FS118" s="147"/>
      <c r="FT118" s="147"/>
      <c r="FU118" s="147"/>
      <c r="FV118" s="147"/>
      <c r="FW118" s="147"/>
      <c r="FX118" s="147"/>
      <c r="FY118" s="147"/>
      <c r="FZ118" s="147"/>
      <c r="GA118" s="147"/>
      <c r="GB118" s="147"/>
      <c r="GC118" s="147"/>
      <c r="GD118" s="147"/>
      <c r="GE118" s="147"/>
      <c r="GF118" s="147"/>
      <c r="GG118" s="147"/>
      <c r="GH118" s="147"/>
      <c r="GI118" s="147"/>
      <c r="GJ118" s="147"/>
      <c r="GK118" s="147"/>
      <c r="GL118" s="147"/>
      <c r="GM118" s="147"/>
      <c r="GN118" s="147"/>
      <c r="GO118" s="147"/>
      <c r="GP118" s="147"/>
      <c r="GQ118" s="147"/>
      <c r="GR118" s="147"/>
      <c r="GS118" s="147"/>
      <c r="GT118" s="147"/>
      <c r="GU118" s="147"/>
      <c r="GV118" s="147"/>
      <c r="GW118" s="147"/>
      <c r="GX118" s="147"/>
      <c r="GY118" s="147"/>
      <c r="GZ118" s="147"/>
      <c r="HA118" s="147"/>
      <c r="HB118" s="147"/>
      <c r="HC118" s="147"/>
      <c r="HD118" s="147"/>
      <c r="HE118" s="147"/>
      <c r="HF118" s="147"/>
      <c r="HG118" s="147"/>
      <c r="HH118" s="147"/>
      <c r="HI118" s="147"/>
      <c r="HJ118" s="147"/>
      <c r="HK118" s="147"/>
      <c r="HL118" s="147"/>
      <c r="HM118" s="147"/>
      <c r="HN118" s="147"/>
      <c r="HO118" s="147"/>
      <c r="HP118" s="147"/>
      <c r="HQ118" s="147"/>
      <c r="HR118" s="147"/>
      <c r="HS118" s="147"/>
      <c r="HT118" s="147"/>
      <c r="HU118" s="147"/>
      <c r="HV118" s="147"/>
      <c r="HW118" s="147"/>
      <c r="HX118" s="147"/>
      <c r="HY118" s="147"/>
      <c r="HZ118" s="147"/>
      <c r="IA118" s="147"/>
      <c r="IB118" s="147"/>
      <c r="IC118" s="147"/>
      <c r="ID118" s="147"/>
      <c r="IE118" s="147"/>
      <c r="IF118" s="147"/>
      <c r="IG118" s="147"/>
      <c r="IH118" s="147"/>
      <c r="II118" s="147"/>
      <c r="IJ118" s="147"/>
      <c r="IK118" s="147"/>
      <c r="IL118" s="147"/>
      <c r="IM118" s="147"/>
      <c r="IN118" s="147"/>
      <c r="IO118" s="147"/>
      <c r="IP118" s="147"/>
      <c r="IQ118" s="147"/>
      <c r="IR118" s="147"/>
      <c r="IS118" s="147"/>
      <c r="IT118" s="147"/>
      <c r="IU118" s="147"/>
      <c r="IV118" s="147"/>
    </row>
    <row r="119" spans="1:256" ht="24.95" customHeight="1" x14ac:dyDescent="0.35">
      <c r="A119" s="1690">
        <v>113</v>
      </c>
      <c r="B119" s="147"/>
      <c r="C119" s="1034"/>
      <c r="D119" s="1033" t="s">
        <v>42</v>
      </c>
      <c r="E119" s="61"/>
      <c r="F119" s="147"/>
      <c r="G119" s="147"/>
      <c r="H119" s="147"/>
      <c r="I119" s="147"/>
      <c r="J119" s="147"/>
      <c r="K119" s="147"/>
      <c r="L119" s="147"/>
      <c r="M119" s="147"/>
      <c r="N119" s="147"/>
      <c r="O119" s="147"/>
      <c r="P119" s="147"/>
      <c r="Q119" s="147"/>
      <c r="R119" s="147"/>
      <c r="S119" s="147"/>
      <c r="T119" s="147"/>
      <c r="U119" s="147"/>
      <c r="V119" s="147"/>
      <c r="W119" s="147"/>
      <c r="X119" s="147"/>
      <c r="Y119" s="147"/>
      <c r="Z119" s="147"/>
      <c r="AA119" s="147"/>
      <c r="AB119" s="147"/>
      <c r="AC119" s="147"/>
      <c r="AD119" s="147"/>
      <c r="AE119" s="147"/>
      <c r="AF119" s="147"/>
      <c r="AG119" s="147"/>
      <c r="AH119" s="147"/>
      <c r="AI119" s="147"/>
      <c r="AJ119" s="147"/>
      <c r="AK119" s="147"/>
      <c r="AL119" s="147"/>
      <c r="AM119" s="147"/>
      <c r="AN119" s="147"/>
      <c r="AO119" s="147"/>
      <c r="AP119" s="147"/>
      <c r="AQ119" s="147"/>
      <c r="AR119" s="147"/>
      <c r="AS119" s="147"/>
      <c r="AT119" s="147"/>
      <c r="AU119" s="147"/>
      <c r="AV119" s="147"/>
      <c r="AW119" s="147"/>
      <c r="AX119" s="147"/>
      <c r="AY119" s="147"/>
      <c r="AZ119" s="147"/>
      <c r="BA119" s="147"/>
      <c r="BB119" s="147"/>
      <c r="BC119" s="147"/>
      <c r="BD119" s="147"/>
      <c r="BE119" s="147"/>
      <c r="BF119" s="147"/>
      <c r="BG119" s="147"/>
      <c r="BH119" s="147"/>
      <c r="BI119" s="147"/>
      <c r="BJ119" s="147"/>
      <c r="BK119" s="147"/>
      <c r="BL119" s="147"/>
      <c r="BM119" s="147"/>
      <c r="BN119" s="147"/>
      <c r="BO119" s="147"/>
      <c r="BP119" s="147"/>
      <c r="BQ119" s="147"/>
      <c r="BR119" s="147"/>
      <c r="BS119" s="147"/>
      <c r="BT119" s="147"/>
      <c r="BU119" s="147"/>
      <c r="BV119" s="147"/>
      <c r="BW119" s="147"/>
      <c r="BX119" s="147"/>
      <c r="BY119" s="147"/>
      <c r="BZ119" s="147"/>
      <c r="CA119" s="147"/>
      <c r="CB119" s="147"/>
      <c r="CC119" s="147"/>
      <c r="CD119" s="147"/>
      <c r="CE119" s="147"/>
      <c r="CF119" s="147"/>
      <c r="CG119" s="147"/>
      <c r="CH119" s="147"/>
      <c r="CI119" s="147"/>
      <c r="CJ119" s="147"/>
      <c r="CK119" s="147"/>
      <c r="CL119" s="147"/>
      <c r="CM119" s="147"/>
      <c r="CN119" s="147"/>
      <c r="CO119" s="147"/>
      <c r="CP119" s="147"/>
      <c r="CQ119" s="147"/>
      <c r="CR119" s="147"/>
      <c r="CS119" s="147"/>
      <c r="CT119" s="147"/>
      <c r="CU119" s="147"/>
      <c r="CV119" s="147"/>
      <c r="CW119" s="147"/>
      <c r="CX119" s="147"/>
      <c r="CY119" s="147"/>
      <c r="CZ119" s="147"/>
      <c r="DA119" s="147"/>
      <c r="DB119" s="147"/>
      <c r="DC119" s="147"/>
      <c r="DD119" s="147"/>
      <c r="DE119" s="147"/>
      <c r="DF119" s="147"/>
      <c r="DG119" s="147"/>
      <c r="DH119" s="147"/>
      <c r="DI119" s="147"/>
      <c r="DJ119" s="147"/>
      <c r="DK119" s="147"/>
      <c r="DL119" s="147"/>
      <c r="DM119" s="147"/>
      <c r="DN119" s="147"/>
      <c r="DO119" s="147"/>
      <c r="DP119" s="147"/>
      <c r="DQ119" s="147"/>
      <c r="DR119" s="147"/>
      <c r="DS119" s="147"/>
      <c r="DT119" s="147"/>
      <c r="DU119" s="147"/>
      <c r="DV119" s="147"/>
      <c r="DW119" s="147"/>
      <c r="DX119" s="147"/>
      <c r="DY119" s="147"/>
      <c r="DZ119" s="147"/>
      <c r="EA119" s="147"/>
      <c r="EB119" s="147"/>
      <c r="EC119" s="147"/>
      <c r="ED119" s="147"/>
      <c r="EE119" s="147"/>
      <c r="EF119" s="147"/>
      <c r="EG119" s="147"/>
      <c r="EH119" s="147"/>
      <c r="EI119" s="147"/>
      <c r="EJ119" s="147"/>
      <c r="EK119" s="147"/>
      <c r="EL119" s="147"/>
      <c r="EM119" s="147"/>
      <c r="EN119" s="147"/>
      <c r="EO119" s="147"/>
      <c r="EP119" s="147"/>
      <c r="EQ119" s="147"/>
      <c r="ER119" s="147"/>
      <c r="ES119" s="147"/>
      <c r="ET119" s="147"/>
      <c r="EU119" s="147"/>
      <c r="EV119" s="147"/>
      <c r="EW119" s="147"/>
      <c r="EX119" s="147"/>
      <c r="EY119" s="147"/>
      <c r="EZ119" s="147"/>
      <c r="FA119" s="147"/>
      <c r="FB119" s="147"/>
      <c r="FC119" s="147"/>
      <c r="FD119" s="147"/>
      <c r="FE119" s="147"/>
      <c r="FF119" s="147"/>
      <c r="FG119" s="147"/>
      <c r="FH119" s="147"/>
      <c r="FI119" s="147"/>
      <c r="FJ119" s="147"/>
      <c r="FK119" s="147"/>
      <c r="FL119" s="147"/>
      <c r="FM119" s="147"/>
      <c r="FN119" s="147"/>
      <c r="FO119" s="147"/>
      <c r="FP119" s="147"/>
      <c r="FQ119" s="147"/>
      <c r="FR119" s="147"/>
      <c r="FS119" s="147"/>
      <c r="FT119" s="147"/>
      <c r="FU119" s="147"/>
      <c r="FV119" s="147"/>
      <c r="FW119" s="147"/>
      <c r="FX119" s="147"/>
      <c r="FY119" s="147"/>
      <c r="FZ119" s="147"/>
      <c r="GA119" s="147"/>
      <c r="GB119" s="147"/>
      <c r="GC119" s="147"/>
      <c r="GD119" s="147"/>
      <c r="GE119" s="147"/>
      <c r="GF119" s="147"/>
      <c r="GG119" s="147"/>
      <c r="GH119" s="147"/>
      <c r="GI119" s="147"/>
      <c r="GJ119" s="147"/>
      <c r="GK119" s="147"/>
      <c r="GL119" s="147"/>
      <c r="GM119" s="147"/>
      <c r="GN119" s="147"/>
      <c r="GO119" s="147"/>
      <c r="GP119" s="147"/>
      <c r="GQ119" s="147"/>
      <c r="GR119" s="147"/>
      <c r="GS119" s="147"/>
      <c r="GT119" s="147"/>
      <c r="GU119" s="147"/>
      <c r="GV119" s="147"/>
      <c r="GW119" s="147"/>
      <c r="GX119" s="147"/>
      <c r="GY119" s="147"/>
      <c r="GZ119" s="147"/>
      <c r="HA119" s="147"/>
      <c r="HB119" s="147"/>
      <c r="HC119" s="147"/>
      <c r="HD119" s="147"/>
      <c r="HE119" s="147"/>
      <c r="HF119" s="147"/>
      <c r="HG119" s="147"/>
      <c r="HH119" s="147"/>
      <c r="HI119" s="147"/>
      <c r="HJ119" s="147"/>
      <c r="HK119" s="147"/>
      <c r="HL119" s="147"/>
      <c r="HM119" s="147"/>
      <c r="HN119" s="147"/>
      <c r="HO119" s="147"/>
      <c r="HP119" s="147"/>
      <c r="HQ119" s="147"/>
      <c r="HR119" s="147"/>
      <c r="HS119" s="147"/>
      <c r="HT119" s="147"/>
      <c r="HU119" s="147"/>
      <c r="HV119" s="147"/>
      <c r="HW119" s="147"/>
      <c r="HX119" s="147"/>
      <c r="HY119" s="147"/>
      <c r="HZ119" s="147"/>
      <c r="IA119" s="147"/>
      <c r="IB119" s="147"/>
      <c r="IC119" s="147"/>
      <c r="ID119" s="147"/>
      <c r="IE119" s="147"/>
      <c r="IF119" s="147"/>
      <c r="IG119" s="147"/>
      <c r="IH119" s="147"/>
      <c r="II119" s="147"/>
      <c r="IJ119" s="147"/>
      <c r="IK119" s="147"/>
      <c r="IL119" s="147"/>
      <c r="IM119" s="147"/>
      <c r="IN119" s="147"/>
      <c r="IO119" s="147"/>
      <c r="IP119" s="147"/>
      <c r="IQ119" s="147"/>
      <c r="IR119" s="147"/>
      <c r="IS119" s="147"/>
      <c r="IT119" s="147"/>
      <c r="IU119" s="147"/>
      <c r="IV119" s="147"/>
    </row>
    <row r="120" spans="1:256" ht="22.5" customHeight="1" x14ac:dyDescent="0.35">
      <c r="A120" s="1690">
        <v>114</v>
      </c>
      <c r="C120" s="1029"/>
      <c r="D120" s="991" t="s">
        <v>337</v>
      </c>
      <c r="E120" s="2"/>
    </row>
    <row r="121" spans="1:256" ht="18" customHeight="1" x14ac:dyDescent="0.3">
      <c r="A121" s="1690">
        <v>115</v>
      </c>
      <c r="C121" s="1029"/>
      <c r="D121" s="995" t="s">
        <v>1378</v>
      </c>
      <c r="E121" s="2">
        <v>4</v>
      </c>
    </row>
    <row r="122" spans="1:256" ht="18" customHeight="1" x14ac:dyDescent="0.3">
      <c r="A122" s="1690">
        <v>116</v>
      </c>
      <c r="C122" s="1029"/>
      <c r="D122" s="995" t="s">
        <v>1447</v>
      </c>
      <c r="E122" s="2">
        <v>-500</v>
      </c>
    </row>
    <row r="123" spans="1:256" ht="18" customHeight="1" x14ac:dyDescent="0.3">
      <c r="A123" s="1690">
        <v>117</v>
      </c>
      <c r="C123" s="1029"/>
      <c r="D123" s="995" t="s">
        <v>1448</v>
      </c>
      <c r="E123" s="2">
        <v>500</v>
      </c>
    </row>
    <row r="124" spans="1:256" ht="22.5" customHeight="1" x14ac:dyDescent="0.35">
      <c r="A124" s="1690">
        <v>118</v>
      </c>
      <c r="C124" s="1029"/>
      <c r="D124" s="991" t="s">
        <v>336</v>
      </c>
      <c r="E124" s="2"/>
    </row>
    <row r="125" spans="1:256" ht="18" customHeight="1" x14ac:dyDescent="0.3">
      <c r="A125" s="1690">
        <v>119</v>
      </c>
      <c r="C125" s="1029"/>
      <c r="D125" s="995" t="s">
        <v>1378</v>
      </c>
      <c r="E125" s="2">
        <v>14</v>
      </c>
    </row>
    <row r="126" spans="1:256" ht="18" customHeight="1" x14ac:dyDescent="0.3">
      <c r="A126" s="1690">
        <v>120</v>
      </c>
      <c r="C126" s="1029"/>
      <c r="D126" s="1003" t="s">
        <v>1415</v>
      </c>
      <c r="E126" s="2">
        <v>-900</v>
      </c>
    </row>
    <row r="127" spans="1:256" ht="18" customHeight="1" x14ac:dyDescent="0.3">
      <c r="A127" s="1690">
        <v>121</v>
      </c>
      <c r="C127" s="1029"/>
      <c r="D127" s="995" t="s">
        <v>1416</v>
      </c>
      <c r="E127" s="2">
        <v>900</v>
      </c>
    </row>
    <row r="128" spans="1:256" ht="22.5" customHeight="1" x14ac:dyDescent="0.35">
      <c r="A128" s="1690">
        <v>122</v>
      </c>
      <c r="C128" s="1029"/>
      <c r="D128" s="991" t="s">
        <v>285</v>
      </c>
      <c r="E128" s="2"/>
    </row>
    <row r="129" spans="1:5" ht="18" customHeight="1" x14ac:dyDescent="0.3">
      <c r="A129" s="1690">
        <v>123</v>
      </c>
      <c r="C129" s="1029"/>
      <c r="D129" s="995" t="s">
        <v>1378</v>
      </c>
      <c r="E129" s="2">
        <v>4</v>
      </c>
    </row>
    <row r="130" spans="1:5" ht="22.5" customHeight="1" x14ac:dyDescent="0.35">
      <c r="A130" s="1690">
        <v>124</v>
      </c>
      <c r="C130" s="1029"/>
      <c r="D130" s="991" t="s">
        <v>284</v>
      </c>
      <c r="E130" s="2"/>
    </row>
    <row r="131" spans="1:5" ht="18" customHeight="1" x14ac:dyDescent="0.3">
      <c r="A131" s="1690">
        <v>125</v>
      </c>
      <c r="C131" s="1029"/>
      <c r="D131" s="995" t="s">
        <v>1378</v>
      </c>
      <c r="E131" s="2">
        <v>2</v>
      </c>
    </row>
    <row r="132" spans="1:5" ht="22.5" customHeight="1" x14ac:dyDescent="0.35">
      <c r="A132" s="1690">
        <v>126</v>
      </c>
      <c r="C132" s="1029"/>
      <c r="D132" s="991" t="s">
        <v>286</v>
      </c>
      <c r="E132" s="2"/>
    </row>
    <row r="133" spans="1:5" ht="18" customHeight="1" x14ac:dyDescent="0.3">
      <c r="A133" s="1690">
        <v>127</v>
      </c>
      <c r="C133" s="1029"/>
      <c r="D133" s="1693" t="s">
        <v>1407</v>
      </c>
      <c r="E133" s="723">
        <v>-1900</v>
      </c>
    </row>
    <row r="134" spans="1:5" ht="22.5" customHeight="1" x14ac:dyDescent="0.35">
      <c r="A134" s="1690">
        <v>128</v>
      </c>
      <c r="C134" s="1029"/>
      <c r="D134" s="991" t="s">
        <v>358</v>
      </c>
      <c r="E134" s="2"/>
    </row>
    <row r="135" spans="1:5" ht="18" customHeight="1" x14ac:dyDescent="0.3">
      <c r="A135" s="1690">
        <v>129</v>
      </c>
      <c r="C135" s="1029"/>
      <c r="D135" s="995" t="s">
        <v>1376</v>
      </c>
      <c r="E135" s="2">
        <v>1013</v>
      </c>
    </row>
    <row r="136" spans="1:5" ht="18" customHeight="1" x14ac:dyDescent="0.3">
      <c r="A136" s="1690">
        <v>130</v>
      </c>
      <c r="C136" s="1029"/>
      <c r="D136" s="995" t="s">
        <v>1378</v>
      </c>
      <c r="E136" s="2">
        <v>329</v>
      </c>
    </row>
    <row r="137" spans="1:5" ht="18" customHeight="1" x14ac:dyDescent="0.3">
      <c r="A137" s="1690">
        <v>131</v>
      </c>
      <c r="C137" s="1029"/>
      <c r="D137" s="995" t="s">
        <v>1407</v>
      </c>
      <c r="E137" s="723">
        <v>-900</v>
      </c>
    </row>
    <row r="138" spans="1:5" ht="22.5" customHeight="1" x14ac:dyDescent="0.35">
      <c r="A138" s="1690">
        <v>132</v>
      </c>
      <c r="C138" s="1029"/>
      <c r="D138" s="991" t="s">
        <v>130</v>
      </c>
      <c r="E138" s="2"/>
    </row>
    <row r="139" spans="1:5" ht="18" customHeight="1" x14ac:dyDescent="0.3">
      <c r="A139" s="1690">
        <v>133</v>
      </c>
      <c r="C139" s="1029"/>
      <c r="D139" s="995" t="s">
        <v>1376</v>
      </c>
      <c r="E139" s="2">
        <v>776</v>
      </c>
    </row>
    <row r="140" spans="1:5" ht="18" customHeight="1" x14ac:dyDescent="0.3">
      <c r="A140" s="1690">
        <v>134</v>
      </c>
      <c r="C140" s="1029"/>
      <c r="D140" s="995" t="s">
        <v>1378</v>
      </c>
      <c r="E140" s="2">
        <v>41</v>
      </c>
    </row>
    <row r="141" spans="1:5" ht="33.75" customHeight="1" x14ac:dyDescent="0.35">
      <c r="A141" s="1690">
        <v>135</v>
      </c>
      <c r="C141" s="1029"/>
      <c r="D141" s="991" t="s">
        <v>559</v>
      </c>
      <c r="E141" s="2"/>
    </row>
    <row r="142" spans="1:5" ht="18" customHeight="1" x14ac:dyDescent="0.3">
      <c r="A142" s="1690">
        <v>136</v>
      </c>
      <c r="C142" s="1029"/>
      <c r="D142" s="995" t="s">
        <v>1376</v>
      </c>
      <c r="E142" s="2">
        <v>4046</v>
      </c>
    </row>
    <row r="143" spans="1:5" ht="18" customHeight="1" x14ac:dyDescent="0.3">
      <c r="A143" s="1690">
        <v>137</v>
      </c>
      <c r="C143" s="1029"/>
      <c r="D143" s="995" t="s">
        <v>1378</v>
      </c>
      <c r="E143" s="2">
        <v>220</v>
      </c>
    </row>
    <row r="144" spans="1:5" ht="33.75" customHeight="1" x14ac:dyDescent="0.3">
      <c r="A144" s="1690">
        <v>138</v>
      </c>
      <c r="C144" s="1029"/>
      <c r="D144" s="995" t="s">
        <v>1406</v>
      </c>
      <c r="E144" s="723">
        <v>1284</v>
      </c>
    </row>
    <row r="145" spans="1:5" ht="22.5" customHeight="1" x14ac:dyDescent="0.35">
      <c r="A145" s="1690">
        <v>139</v>
      </c>
      <c r="C145" s="1029"/>
      <c r="D145" s="991" t="s">
        <v>560</v>
      </c>
      <c r="E145" s="2"/>
    </row>
    <row r="146" spans="1:5" ht="18" customHeight="1" x14ac:dyDescent="0.3">
      <c r="A146" s="1690">
        <v>140</v>
      </c>
      <c r="C146" s="1029"/>
      <c r="D146" s="995" t="s">
        <v>1375</v>
      </c>
      <c r="E146" s="2">
        <v>521</v>
      </c>
    </row>
    <row r="147" spans="1:5" ht="18" customHeight="1" x14ac:dyDescent="0.3">
      <c r="A147" s="1690">
        <v>141</v>
      </c>
      <c r="C147" s="1029"/>
      <c r="D147" s="995" t="s">
        <v>1378</v>
      </c>
      <c r="E147" s="2">
        <v>2</v>
      </c>
    </row>
    <row r="148" spans="1:5" ht="18" customHeight="1" x14ac:dyDescent="0.3">
      <c r="A148" s="1690">
        <v>142</v>
      </c>
      <c r="C148" s="1029"/>
      <c r="D148" s="995" t="s">
        <v>1421</v>
      </c>
      <c r="E148" s="2">
        <v>400</v>
      </c>
    </row>
    <row r="149" spans="1:5" ht="22.5" customHeight="1" x14ac:dyDescent="0.35">
      <c r="A149" s="1690">
        <v>143</v>
      </c>
      <c r="C149" s="1029"/>
      <c r="D149" s="991" t="s">
        <v>531</v>
      </c>
      <c r="E149" s="2"/>
    </row>
    <row r="150" spans="1:5" ht="18" customHeight="1" x14ac:dyDescent="0.3">
      <c r="A150" s="1690">
        <v>144</v>
      </c>
      <c r="C150" s="1029"/>
      <c r="D150" s="995" t="s">
        <v>1375</v>
      </c>
      <c r="E150" s="2">
        <v>493</v>
      </c>
    </row>
    <row r="151" spans="1:5" ht="18" customHeight="1" x14ac:dyDescent="0.3">
      <c r="A151" s="1690">
        <v>145</v>
      </c>
      <c r="C151" s="1029"/>
      <c r="D151" s="995" t="s">
        <v>1378</v>
      </c>
      <c r="E151" s="2">
        <v>9</v>
      </c>
    </row>
    <row r="152" spans="1:5" ht="17.25" customHeight="1" x14ac:dyDescent="0.3">
      <c r="A152" s="1690">
        <v>146</v>
      </c>
      <c r="C152" s="1029"/>
      <c r="D152" s="995" t="s">
        <v>1407</v>
      </c>
      <c r="E152" s="723">
        <v>-150</v>
      </c>
    </row>
    <row r="153" spans="1:5" ht="18" customHeight="1" x14ac:dyDescent="0.3">
      <c r="A153" s="1690">
        <v>147</v>
      </c>
      <c r="C153" s="1029"/>
      <c r="D153" s="995" t="s">
        <v>1424</v>
      </c>
      <c r="E153" s="723">
        <v>-2900</v>
      </c>
    </row>
    <row r="154" spans="1:5" ht="18" customHeight="1" x14ac:dyDescent="0.3">
      <c r="A154" s="1690">
        <v>148</v>
      </c>
      <c r="C154" s="1029"/>
      <c r="D154" s="995" t="s">
        <v>1459</v>
      </c>
      <c r="E154" s="723">
        <v>12</v>
      </c>
    </row>
    <row r="155" spans="1:5" ht="22.5" customHeight="1" x14ac:dyDescent="0.35">
      <c r="A155" s="1690">
        <v>149</v>
      </c>
      <c r="C155" s="1029"/>
      <c r="D155" s="991" t="s">
        <v>26</v>
      </c>
      <c r="E155" s="2"/>
    </row>
    <row r="156" spans="1:5" ht="18" customHeight="1" x14ac:dyDescent="0.3">
      <c r="A156" s="1690">
        <v>150</v>
      </c>
      <c r="C156" s="1029"/>
      <c r="D156" s="995" t="s">
        <v>1375</v>
      </c>
      <c r="E156" s="2">
        <v>1254</v>
      </c>
    </row>
    <row r="157" spans="1:5" ht="18" customHeight="1" x14ac:dyDescent="0.3">
      <c r="A157" s="1690">
        <v>151</v>
      </c>
      <c r="C157" s="1029"/>
      <c r="D157" s="995" t="s">
        <v>1378</v>
      </c>
      <c r="E157" s="2">
        <v>55</v>
      </c>
    </row>
    <row r="158" spans="1:5" ht="18" customHeight="1" x14ac:dyDescent="0.3">
      <c r="A158" s="1690">
        <v>152</v>
      </c>
      <c r="C158" s="1029"/>
      <c r="D158" s="995" t="s">
        <v>1428</v>
      </c>
      <c r="E158" s="2">
        <v>18</v>
      </c>
    </row>
    <row r="159" spans="1:5" ht="22.5" customHeight="1" x14ac:dyDescent="0.35">
      <c r="A159" s="1690">
        <v>153</v>
      </c>
      <c r="C159" s="1029"/>
      <c r="D159" s="991" t="s">
        <v>36</v>
      </c>
      <c r="E159" s="2"/>
    </row>
    <row r="160" spans="1:5" ht="18" customHeight="1" x14ac:dyDescent="0.3">
      <c r="A160" s="1690">
        <v>154</v>
      </c>
      <c r="C160" s="1029"/>
      <c r="D160" s="995" t="s">
        <v>1375</v>
      </c>
      <c r="E160" s="2">
        <v>1124</v>
      </c>
    </row>
    <row r="161" spans="1:5" ht="18" customHeight="1" x14ac:dyDescent="0.3">
      <c r="A161" s="1690">
        <v>155</v>
      </c>
      <c r="C161" s="1029"/>
      <c r="D161" s="995" t="s">
        <v>1378</v>
      </c>
      <c r="E161" s="2">
        <v>4</v>
      </c>
    </row>
    <row r="162" spans="1:5" ht="33" customHeight="1" x14ac:dyDescent="0.3">
      <c r="A162" s="1690">
        <v>156</v>
      </c>
      <c r="C162" s="1029"/>
      <c r="D162" s="995" t="s">
        <v>1434</v>
      </c>
      <c r="E162" s="723">
        <v>29700</v>
      </c>
    </row>
    <row r="163" spans="1:5" ht="17.25" customHeight="1" x14ac:dyDescent="0.3">
      <c r="A163" s="1690">
        <v>157</v>
      </c>
      <c r="C163" s="1029"/>
      <c r="D163" s="995" t="s">
        <v>1435</v>
      </c>
      <c r="E163" s="723">
        <v>-300</v>
      </c>
    </row>
    <row r="164" spans="1:5" ht="22.5" customHeight="1" x14ac:dyDescent="0.35">
      <c r="A164" s="1690">
        <v>158</v>
      </c>
      <c r="C164" s="1029"/>
      <c r="D164" s="991" t="s">
        <v>532</v>
      </c>
      <c r="E164" s="2"/>
    </row>
    <row r="165" spans="1:5" ht="18" customHeight="1" x14ac:dyDescent="0.3">
      <c r="A165" s="1690">
        <v>159</v>
      </c>
      <c r="C165" s="1029"/>
      <c r="D165" s="995" t="s">
        <v>1375</v>
      </c>
      <c r="E165" s="2">
        <v>402</v>
      </c>
    </row>
    <row r="166" spans="1:5" ht="18" customHeight="1" x14ac:dyDescent="0.3">
      <c r="A166" s="1690">
        <v>160</v>
      </c>
      <c r="C166" s="1029"/>
      <c r="D166" s="995" t="s">
        <v>1444</v>
      </c>
      <c r="E166" s="723">
        <v>2275</v>
      </c>
    </row>
    <row r="167" spans="1:5" ht="22.5" customHeight="1" x14ac:dyDescent="0.35">
      <c r="A167" s="1690">
        <v>161</v>
      </c>
      <c r="C167" s="1029"/>
      <c r="D167" s="991" t="s">
        <v>164</v>
      </c>
      <c r="E167" s="2"/>
    </row>
    <row r="168" spans="1:5" ht="18" customHeight="1" x14ac:dyDescent="0.3">
      <c r="A168" s="1690">
        <v>162</v>
      </c>
      <c r="C168" s="1029"/>
      <c r="D168" s="995" t="s">
        <v>1375</v>
      </c>
      <c r="E168" s="2">
        <v>1467</v>
      </c>
    </row>
    <row r="169" spans="1:5" ht="18" customHeight="1" x14ac:dyDescent="0.3">
      <c r="A169" s="1690">
        <v>163</v>
      </c>
      <c r="C169" s="1029"/>
      <c r="D169" s="995" t="s">
        <v>1378</v>
      </c>
      <c r="E169" s="2">
        <v>6</v>
      </c>
    </row>
    <row r="170" spans="1:5" ht="33" customHeight="1" x14ac:dyDescent="0.3">
      <c r="A170" s="1690">
        <v>164</v>
      </c>
      <c r="C170" s="1029"/>
      <c r="D170" s="995" t="s">
        <v>1465</v>
      </c>
      <c r="E170" s="723">
        <v>90113</v>
      </c>
    </row>
    <row r="171" spans="1:5" ht="18" customHeight="1" x14ac:dyDescent="0.3">
      <c r="A171" s="1690">
        <v>165</v>
      </c>
      <c r="C171" s="1029"/>
      <c r="D171" s="995" t="s">
        <v>1485</v>
      </c>
      <c r="E171" s="723">
        <v>384</v>
      </c>
    </row>
    <row r="172" spans="1:5" ht="22.5" customHeight="1" x14ac:dyDescent="0.35">
      <c r="A172" s="1690">
        <v>166</v>
      </c>
      <c r="C172" s="1029"/>
      <c r="D172" s="991" t="s">
        <v>287</v>
      </c>
      <c r="E172" s="2"/>
    </row>
    <row r="173" spans="1:5" ht="18" customHeight="1" x14ac:dyDescent="0.3">
      <c r="A173" s="1690">
        <v>167</v>
      </c>
      <c r="C173" s="1029"/>
      <c r="D173" s="995" t="s">
        <v>1378</v>
      </c>
      <c r="E173" s="2">
        <v>2</v>
      </c>
    </row>
    <row r="174" spans="1:5" ht="22.5" customHeight="1" x14ac:dyDescent="0.35">
      <c r="A174" s="1690">
        <v>168</v>
      </c>
      <c r="C174" s="1029"/>
      <c r="D174" s="221" t="s">
        <v>791</v>
      </c>
      <c r="E174" s="1021"/>
    </row>
    <row r="175" spans="1:5" ht="18" customHeight="1" x14ac:dyDescent="0.3">
      <c r="A175" s="1690">
        <v>169</v>
      </c>
      <c r="C175" s="1029"/>
      <c r="D175" s="1047" t="s">
        <v>1264</v>
      </c>
      <c r="E175" s="1021"/>
    </row>
    <row r="176" spans="1:5" ht="18" customHeight="1" x14ac:dyDescent="0.3">
      <c r="A176" s="1690">
        <v>170</v>
      </c>
      <c r="C176" s="1029"/>
      <c r="D176" s="1523" t="s">
        <v>1378</v>
      </c>
      <c r="E176" s="1021">
        <v>132</v>
      </c>
    </row>
    <row r="177" spans="1:8" ht="18" customHeight="1" x14ac:dyDescent="0.3">
      <c r="A177" s="1690">
        <v>171</v>
      </c>
      <c r="C177" s="1029"/>
      <c r="D177" s="1701" t="s">
        <v>448</v>
      </c>
      <c r="E177" s="1021"/>
    </row>
    <row r="178" spans="1:8" ht="18" customHeight="1" x14ac:dyDescent="0.3">
      <c r="A178" s="1690">
        <v>172</v>
      </c>
      <c r="C178" s="1029"/>
      <c r="D178" s="1003" t="s">
        <v>1449</v>
      </c>
      <c r="E178" s="1021">
        <v>-3</v>
      </c>
    </row>
    <row r="179" spans="1:8" ht="18" customHeight="1" x14ac:dyDescent="0.3">
      <c r="A179" s="1690">
        <v>173</v>
      </c>
      <c r="C179" s="1029"/>
      <c r="D179" s="1003" t="s">
        <v>1416</v>
      </c>
      <c r="E179" s="1021">
        <v>3</v>
      </c>
    </row>
    <row r="180" spans="1:8" ht="18" customHeight="1" x14ac:dyDescent="0.3">
      <c r="A180" s="1690">
        <v>174</v>
      </c>
      <c r="C180" s="1029"/>
      <c r="D180" s="1701" t="s">
        <v>682</v>
      </c>
      <c r="E180" s="1021"/>
    </row>
    <row r="181" spans="1:8" ht="18" customHeight="1" x14ac:dyDescent="0.3">
      <c r="A181" s="1690">
        <v>175</v>
      </c>
      <c r="C181" s="1029"/>
      <c r="D181" s="1003" t="s">
        <v>1447</v>
      </c>
      <c r="E181" s="1021">
        <v>-60</v>
      </c>
    </row>
    <row r="182" spans="1:8" ht="18" customHeight="1" x14ac:dyDescent="0.3">
      <c r="A182" s="1690">
        <v>176</v>
      </c>
      <c r="C182" s="1029"/>
      <c r="D182" s="1003" t="s">
        <v>1416</v>
      </c>
      <c r="E182" s="1728">
        <v>60</v>
      </c>
    </row>
    <row r="183" spans="1:8" ht="21.95" customHeight="1" x14ac:dyDescent="0.35">
      <c r="A183" s="1690">
        <v>177</v>
      </c>
      <c r="C183" s="1029"/>
      <c r="D183" s="1687" t="s">
        <v>792</v>
      </c>
      <c r="E183" s="1427">
        <f>SUM(E121:E182)</f>
        <v>129956</v>
      </c>
      <c r="H183" s="991"/>
    </row>
    <row r="184" spans="1:8" ht="20.100000000000001" customHeight="1" x14ac:dyDescent="0.35">
      <c r="A184" s="1690">
        <v>178</v>
      </c>
      <c r="C184" s="1029"/>
      <c r="D184" s="1035" t="s">
        <v>793</v>
      </c>
    </row>
    <row r="185" spans="1:8" ht="20.100000000000001" customHeight="1" x14ac:dyDescent="0.35">
      <c r="A185" s="1690">
        <v>179</v>
      </c>
      <c r="C185" s="1029"/>
      <c r="D185" s="1035" t="s">
        <v>247</v>
      </c>
    </row>
    <row r="186" spans="1:8" ht="20.100000000000001" customHeight="1" x14ac:dyDescent="0.35">
      <c r="A186" s="1690">
        <v>180</v>
      </c>
      <c r="C186" s="1029"/>
      <c r="D186" s="221" t="s">
        <v>337</v>
      </c>
    </row>
    <row r="187" spans="1:8" ht="18" customHeight="1" x14ac:dyDescent="0.3">
      <c r="A187" s="1690">
        <v>181</v>
      </c>
      <c r="C187" s="1029"/>
      <c r="D187" s="1003" t="s">
        <v>1418</v>
      </c>
      <c r="E187" s="65">
        <v>-200</v>
      </c>
    </row>
    <row r="188" spans="1:8" ht="20.100000000000001" customHeight="1" x14ac:dyDescent="0.35">
      <c r="A188" s="1690">
        <v>182</v>
      </c>
      <c r="C188" s="1029"/>
      <c r="D188" s="221" t="s">
        <v>286</v>
      </c>
    </row>
    <row r="189" spans="1:8" ht="17.25" customHeight="1" x14ac:dyDescent="0.3">
      <c r="A189" s="1690">
        <v>183</v>
      </c>
      <c r="C189" s="1029"/>
      <c r="D189" s="995" t="s">
        <v>1409</v>
      </c>
      <c r="E189" s="65">
        <v>1500</v>
      </c>
    </row>
    <row r="190" spans="1:8" ht="17.25" customHeight="1" x14ac:dyDescent="0.3">
      <c r="A190" s="1690">
        <v>184</v>
      </c>
      <c r="C190" s="1029"/>
      <c r="D190" s="995" t="s">
        <v>1414</v>
      </c>
      <c r="E190" s="65">
        <v>85</v>
      </c>
    </row>
    <row r="191" spans="1:8" ht="17.25" customHeight="1" x14ac:dyDescent="0.3">
      <c r="A191" s="1690">
        <v>185</v>
      </c>
      <c r="C191" s="1029"/>
      <c r="D191" s="995" t="s">
        <v>1410</v>
      </c>
      <c r="E191" s="65">
        <v>200</v>
      </c>
    </row>
    <row r="192" spans="1:8" ht="17.25" customHeight="1" x14ac:dyDescent="0.35">
      <c r="A192" s="1690">
        <v>186</v>
      </c>
      <c r="C192" s="1029"/>
      <c r="D192" s="1524" t="s">
        <v>458</v>
      </c>
      <c r="E192" s="1000"/>
    </row>
    <row r="193" spans="1:13" ht="17.25" customHeight="1" x14ac:dyDescent="0.3">
      <c r="A193" s="1690">
        <v>187</v>
      </c>
      <c r="C193" s="1029"/>
      <c r="D193" s="995" t="s">
        <v>1413</v>
      </c>
      <c r="E193" s="1000">
        <v>115</v>
      </c>
    </row>
    <row r="194" spans="1:13" ht="20.100000000000001" customHeight="1" x14ac:dyDescent="0.35">
      <c r="A194" s="1690">
        <v>188</v>
      </c>
      <c r="C194" s="1029"/>
      <c r="D194" s="221" t="s">
        <v>1364</v>
      </c>
    </row>
    <row r="195" spans="1:13" ht="18" customHeight="1" x14ac:dyDescent="0.35">
      <c r="A195" s="1690">
        <v>189</v>
      </c>
      <c r="C195" s="1029"/>
      <c r="D195" s="1524" t="s">
        <v>463</v>
      </c>
    </row>
    <row r="196" spans="1:13" ht="33" customHeight="1" x14ac:dyDescent="0.3">
      <c r="A196" s="1690">
        <v>190</v>
      </c>
      <c r="C196" s="1029"/>
      <c r="D196" s="995" t="s">
        <v>1327</v>
      </c>
      <c r="E196" s="1000">
        <v>900</v>
      </c>
    </row>
    <row r="197" spans="1:13" ht="20.100000000000001" customHeight="1" x14ac:dyDescent="0.35">
      <c r="A197" s="1690">
        <v>191</v>
      </c>
      <c r="C197" s="1029"/>
      <c r="D197" s="221" t="s">
        <v>531</v>
      </c>
      <c r="E197" s="1569"/>
    </row>
    <row r="198" spans="1:13" ht="17.25" customHeight="1" x14ac:dyDescent="0.3">
      <c r="A198" s="1690">
        <v>192</v>
      </c>
      <c r="C198" s="1029"/>
      <c r="D198" s="1003" t="s">
        <v>1426</v>
      </c>
      <c r="E198" s="1569">
        <v>150</v>
      </c>
    </row>
    <row r="199" spans="1:13" ht="17.25" customHeight="1" x14ac:dyDescent="0.3">
      <c r="A199" s="1690">
        <v>193</v>
      </c>
      <c r="C199" s="1029"/>
      <c r="D199" s="1003" t="s">
        <v>1488</v>
      </c>
      <c r="E199" s="1569">
        <v>222</v>
      </c>
    </row>
    <row r="200" spans="1:13" ht="20.100000000000001" customHeight="1" x14ac:dyDescent="0.35">
      <c r="A200" s="1690">
        <v>194</v>
      </c>
      <c r="C200" s="1029"/>
      <c r="D200" s="221" t="s">
        <v>560</v>
      </c>
      <c r="E200" s="1569"/>
    </row>
    <row r="201" spans="1:13" ht="17.25" customHeight="1" x14ac:dyDescent="0.3">
      <c r="A201" s="1690">
        <v>195</v>
      </c>
      <c r="C201" s="1029"/>
      <c r="D201" s="1523" t="s">
        <v>1489</v>
      </c>
      <c r="E201" s="1569">
        <v>334</v>
      </c>
    </row>
    <row r="202" spans="1:13" ht="20.100000000000001" customHeight="1" x14ac:dyDescent="0.35">
      <c r="A202" s="1690">
        <v>196</v>
      </c>
      <c r="C202" s="1029"/>
      <c r="D202" s="221" t="s">
        <v>36</v>
      </c>
      <c r="E202" s="723"/>
      <c r="M202" s="1003"/>
    </row>
    <row r="203" spans="1:13" ht="17.25" customHeight="1" x14ac:dyDescent="0.3">
      <c r="A203" s="1690">
        <v>197</v>
      </c>
      <c r="C203" s="1029"/>
      <c r="D203" s="1523" t="s">
        <v>1436</v>
      </c>
      <c r="E203" s="723">
        <v>2000</v>
      </c>
      <c r="M203" s="1003"/>
    </row>
    <row r="204" spans="1:13" ht="17.25" customHeight="1" x14ac:dyDescent="0.3">
      <c r="A204" s="1690">
        <v>198</v>
      </c>
      <c r="C204" s="1029"/>
      <c r="D204" s="1523" t="s">
        <v>1336</v>
      </c>
      <c r="E204" s="723">
        <v>500</v>
      </c>
      <c r="M204" s="1003"/>
    </row>
    <row r="205" spans="1:13" ht="17.25" customHeight="1" x14ac:dyDescent="0.3">
      <c r="A205" s="1690">
        <v>199</v>
      </c>
      <c r="C205" s="1029"/>
      <c r="D205" s="1523" t="s">
        <v>1437</v>
      </c>
      <c r="E205" s="723">
        <v>-2000</v>
      </c>
      <c r="M205" s="1003"/>
    </row>
    <row r="206" spans="1:13" ht="17.25" customHeight="1" x14ac:dyDescent="0.3">
      <c r="A206" s="1690">
        <v>200</v>
      </c>
      <c r="C206" s="1029"/>
      <c r="D206" s="1523" t="s">
        <v>1438</v>
      </c>
      <c r="E206" s="723">
        <v>1500</v>
      </c>
      <c r="M206" s="1003"/>
    </row>
    <row r="207" spans="1:13" ht="17.25" customHeight="1" x14ac:dyDescent="0.3">
      <c r="A207" s="1690">
        <v>201</v>
      </c>
      <c r="C207" s="1029"/>
      <c r="D207" s="1523" t="s">
        <v>1439</v>
      </c>
      <c r="E207" s="723">
        <v>500</v>
      </c>
      <c r="M207" s="1003"/>
    </row>
    <row r="208" spans="1:13" ht="20.100000000000001" customHeight="1" x14ac:dyDescent="0.35">
      <c r="A208" s="1690">
        <v>202</v>
      </c>
      <c r="C208" s="1029"/>
      <c r="D208" s="221" t="s">
        <v>164</v>
      </c>
      <c r="E208" s="723"/>
      <c r="M208" s="1003"/>
    </row>
    <row r="209" spans="1:256" ht="17.25" customHeight="1" x14ac:dyDescent="0.3">
      <c r="A209" s="1690">
        <v>203</v>
      </c>
      <c r="C209" s="1029"/>
      <c r="D209" s="1523" t="s">
        <v>1466</v>
      </c>
      <c r="E209" s="723">
        <v>12510</v>
      </c>
      <c r="M209" s="1003"/>
    </row>
    <row r="210" spans="1:256" ht="17.25" customHeight="1" x14ac:dyDescent="0.3">
      <c r="A210" s="1690">
        <v>204</v>
      </c>
      <c r="C210" s="1029"/>
      <c r="D210" s="1523" t="s">
        <v>1467</v>
      </c>
      <c r="E210" s="723">
        <v>279</v>
      </c>
      <c r="M210" s="1003"/>
    </row>
    <row r="211" spans="1:256" ht="17.25" customHeight="1" x14ac:dyDescent="0.3">
      <c r="A211" s="1690">
        <v>205</v>
      </c>
      <c r="C211" s="1029"/>
      <c r="D211" s="1523" t="s">
        <v>1469</v>
      </c>
      <c r="E211" s="723">
        <v>53</v>
      </c>
      <c r="M211" s="1003"/>
    </row>
    <row r="212" spans="1:256" ht="17.25" customHeight="1" x14ac:dyDescent="0.3">
      <c r="A212" s="1690">
        <v>206</v>
      </c>
      <c r="C212" s="1029"/>
      <c r="D212" s="1523" t="s">
        <v>1470</v>
      </c>
      <c r="E212" s="723">
        <v>368</v>
      </c>
      <c r="M212" s="1003"/>
    </row>
    <row r="213" spans="1:256" ht="17.25" customHeight="1" x14ac:dyDescent="0.3">
      <c r="A213" s="1690">
        <v>207</v>
      </c>
      <c r="C213" s="1029"/>
      <c r="D213" s="1523" t="s">
        <v>1471</v>
      </c>
      <c r="E213" s="996">
        <v>91</v>
      </c>
      <c r="M213" s="1003"/>
    </row>
    <row r="214" spans="1:256" ht="21.95" customHeight="1" x14ac:dyDescent="0.3">
      <c r="A214" s="1690">
        <v>208</v>
      </c>
      <c r="C214" s="1029"/>
      <c r="D214" s="1686" t="s">
        <v>359</v>
      </c>
      <c r="E214" s="1027">
        <f>SUM(E187:E213)</f>
        <v>19107</v>
      </c>
      <c r="M214" s="1003"/>
    </row>
    <row r="215" spans="1:256" ht="24.95" customHeight="1" x14ac:dyDescent="0.35">
      <c r="A215" s="1690">
        <v>209</v>
      </c>
      <c r="C215" s="1029"/>
      <c r="D215" s="1035" t="s">
        <v>248</v>
      </c>
      <c r="E215" s="1027"/>
      <c r="M215" s="1003"/>
    </row>
    <row r="216" spans="1:256" ht="17.25" customHeight="1" x14ac:dyDescent="0.3">
      <c r="A216" s="1690">
        <v>210</v>
      </c>
      <c r="C216" s="1029"/>
      <c r="D216" s="995" t="s">
        <v>1419</v>
      </c>
      <c r="E216" s="1027">
        <v>200</v>
      </c>
      <c r="M216" s="1003"/>
    </row>
    <row r="217" spans="1:256" ht="24.95" customHeight="1" thickBot="1" x14ac:dyDescent="0.35">
      <c r="A217" s="1690">
        <v>211</v>
      </c>
      <c r="B217" s="1036"/>
      <c r="C217" s="1036"/>
      <c r="D217" s="1037" t="s">
        <v>795</v>
      </c>
      <c r="E217" s="1017">
        <f>E183+E214+E216</f>
        <v>149263</v>
      </c>
      <c r="F217" s="24"/>
      <c r="G217" s="24"/>
      <c r="H217" s="24"/>
      <c r="I217" s="24"/>
      <c r="J217" s="24"/>
      <c r="K217" s="24"/>
      <c r="L217" s="24"/>
      <c r="M217" s="24"/>
      <c r="N217" s="24"/>
      <c r="O217" s="24"/>
      <c r="P217" s="24"/>
      <c r="Q217" s="24"/>
      <c r="R217" s="24"/>
      <c r="S217" s="24"/>
      <c r="T217" s="24"/>
      <c r="U217" s="24"/>
      <c r="V217" s="24"/>
      <c r="W217" s="24"/>
      <c r="X217" s="24"/>
      <c r="Y217" s="24"/>
      <c r="Z217" s="24"/>
      <c r="AA217" s="24"/>
      <c r="AB217" s="24"/>
      <c r="AC217" s="24"/>
      <c r="AD217" s="24"/>
      <c r="AE217" s="24"/>
      <c r="AF217" s="24"/>
      <c r="AG217" s="24"/>
      <c r="AH217" s="24"/>
      <c r="AI217" s="24"/>
      <c r="AJ217" s="24"/>
      <c r="AK217" s="24"/>
      <c r="AL217" s="24"/>
      <c r="AM217" s="24"/>
      <c r="AN217" s="24"/>
      <c r="AO217" s="24"/>
      <c r="AP217" s="24"/>
      <c r="AQ217" s="24"/>
      <c r="AR217" s="24"/>
      <c r="AS217" s="24"/>
      <c r="AT217" s="24"/>
      <c r="AU217" s="24"/>
      <c r="AV217" s="24"/>
      <c r="AW217" s="24"/>
      <c r="AX217" s="24"/>
      <c r="AY217" s="24"/>
      <c r="AZ217" s="24"/>
      <c r="BA217" s="24"/>
      <c r="BB217" s="24"/>
      <c r="BC217" s="24"/>
      <c r="BD217" s="24"/>
      <c r="BE217" s="24"/>
      <c r="BF217" s="24"/>
      <c r="BG217" s="24"/>
      <c r="BH217" s="24"/>
      <c r="BI217" s="24"/>
      <c r="BJ217" s="24"/>
      <c r="BK217" s="24"/>
      <c r="BL217" s="24"/>
      <c r="BM217" s="24"/>
      <c r="BN217" s="24"/>
      <c r="BO217" s="24"/>
      <c r="BP217" s="24"/>
      <c r="BQ217" s="24"/>
      <c r="BR217" s="24"/>
      <c r="BS217" s="24"/>
      <c r="BT217" s="24"/>
      <c r="BU217" s="24"/>
      <c r="BV217" s="24"/>
      <c r="BW217" s="24"/>
      <c r="BX217" s="24"/>
      <c r="BY217" s="24"/>
      <c r="BZ217" s="24"/>
      <c r="CA217" s="24"/>
      <c r="CB217" s="24"/>
      <c r="CC217" s="24"/>
      <c r="CD217" s="24"/>
      <c r="CE217" s="24"/>
      <c r="CF217" s="24"/>
      <c r="CG217" s="24"/>
      <c r="CH217" s="24"/>
      <c r="CI217" s="24"/>
      <c r="CJ217" s="24"/>
      <c r="CK217" s="24"/>
      <c r="CL217" s="24"/>
      <c r="CM217" s="24"/>
      <c r="CN217" s="24"/>
      <c r="CO217" s="24"/>
      <c r="CP217" s="24"/>
      <c r="CQ217" s="24"/>
      <c r="CR217" s="24"/>
      <c r="CS217" s="24"/>
      <c r="CT217" s="24"/>
      <c r="CU217" s="24"/>
      <c r="CV217" s="24"/>
      <c r="CW217" s="24"/>
      <c r="CX217" s="24"/>
      <c r="CY217" s="24"/>
      <c r="CZ217" s="24"/>
      <c r="DA217" s="24"/>
      <c r="DB217" s="24"/>
      <c r="DC217" s="24"/>
      <c r="DD217" s="24"/>
      <c r="DE217" s="24"/>
      <c r="DF217" s="24"/>
      <c r="DG217" s="24"/>
      <c r="DH217" s="24"/>
      <c r="DI217" s="24"/>
      <c r="DJ217" s="24"/>
      <c r="DK217" s="24"/>
      <c r="DL217" s="24"/>
      <c r="DM217" s="24"/>
      <c r="DN217" s="24"/>
      <c r="DO217" s="24"/>
      <c r="DP217" s="24"/>
      <c r="DQ217" s="24"/>
      <c r="DR217" s="24"/>
      <c r="DS217" s="24"/>
      <c r="DT217" s="24"/>
      <c r="DU217" s="24"/>
      <c r="DV217" s="24"/>
      <c r="DW217" s="24"/>
      <c r="DX217" s="24"/>
      <c r="DY217" s="24"/>
      <c r="DZ217" s="24"/>
      <c r="EA217" s="24"/>
      <c r="EB217" s="24"/>
      <c r="EC217" s="24"/>
      <c r="ED217" s="24"/>
      <c r="EE217" s="24"/>
      <c r="EF217" s="24"/>
      <c r="EG217" s="24"/>
      <c r="EH217" s="24"/>
      <c r="EI217" s="24"/>
      <c r="EJ217" s="24"/>
      <c r="EK217" s="24"/>
      <c r="EL217" s="24"/>
      <c r="EM217" s="24"/>
      <c r="EN217" s="24"/>
      <c r="EO217" s="24"/>
      <c r="EP217" s="24"/>
      <c r="EQ217" s="24"/>
      <c r="ER217" s="24"/>
      <c r="ES217" s="24"/>
      <c r="ET217" s="24"/>
      <c r="EU217" s="24"/>
      <c r="EV217" s="24"/>
      <c r="EW217" s="24"/>
      <c r="EX217" s="24"/>
      <c r="EY217" s="24"/>
      <c r="EZ217" s="24"/>
      <c r="FA217" s="24"/>
      <c r="FB217" s="24"/>
      <c r="FC217" s="24"/>
      <c r="FD217" s="24"/>
      <c r="FE217" s="24"/>
      <c r="FF217" s="24"/>
      <c r="FG217" s="24"/>
      <c r="FH217" s="24"/>
      <c r="FI217" s="24"/>
      <c r="FJ217" s="24"/>
      <c r="FK217" s="24"/>
      <c r="FL217" s="24"/>
      <c r="FM217" s="24"/>
      <c r="FN217" s="24"/>
      <c r="FO217" s="24"/>
      <c r="FP217" s="24"/>
      <c r="FQ217" s="24"/>
      <c r="FR217" s="24"/>
      <c r="FS217" s="24"/>
      <c r="FT217" s="24"/>
      <c r="FU217" s="24"/>
      <c r="FV217" s="24"/>
      <c r="FW217" s="24"/>
      <c r="FX217" s="24"/>
      <c r="FY217" s="24"/>
      <c r="FZ217" s="24"/>
      <c r="GA217" s="24"/>
      <c r="GB217" s="24"/>
      <c r="GC217" s="24"/>
      <c r="GD217" s="24"/>
      <c r="GE217" s="24"/>
      <c r="GF217" s="24"/>
      <c r="GG217" s="24"/>
      <c r="GH217" s="24"/>
      <c r="GI217" s="24"/>
      <c r="GJ217" s="24"/>
      <c r="GK217" s="24"/>
      <c r="GL217" s="24"/>
      <c r="GM217" s="24"/>
      <c r="GN217" s="24"/>
      <c r="GO217" s="24"/>
      <c r="GP217" s="24"/>
      <c r="GQ217" s="24"/>
      <c r="GR217" s="24"/>
      <c r="GS217" s="24"/>
      <c r="GT217" s="24"/>
      <c r="GU217" s="24"/>
      <c r="GV217" s="24"/>
      <c r="GW217" s="24"/>
      <c r="GX217" s="24"/>
      <c r="GY217" s="24"/>
      <c r="GZ217" s="24"/>
      <c r="HA217" s="24"/>
      <c r="HB217" s="24"/>
      <c r="HC217" s="24"/>
      <c r="HD217" s="24"/>
      <c r="HE217" s="24"/>
      <c r="HF217" s="24"/>
      <c r="HG217" s="24"/>
      <c r="HH217" s="24"/>
      <c r="HI217" s="24"/>
      <c r="HJ217" s="24"/>
      <c r="HK217" s="24"/>
      <c r="HL217" s="24"/>
      <c r="HM217" s="24"/>
      <c r="HN217" s="24"/>
      <c r="HO217" s="24"/>
      <c r="HP217" s="24"/>
      <c r="HQ217" s="24"/>
      <c r="HR217" s="24"/>
      <c r="HS217" s="24"/>
      <c r="HT217" s="24"/>
      <c r="HU217" s="24"/>
      <c r="HV217" s="24"/>
      <c r="HW217" s="24"/>
      <c r="HX217" s="24"/>
      <c r="HY217" s="24"/>
      <c r="HZ217" s="24"/>
      <c r="IA217" s="24"/>
      <c r="IB217" s="24"/>
      <c r="IC217" s="24"/>
      <c r="ID217" s="24"/>
      <c r="IE217" s="24"/>
      <c r="IF217" s="24"/>
      <c r="IG217" s="24"/>
      <c r="IH217" s="24"/>
      <c r="II217" s="24"/>
      <c r="IJ217" s="24"/>
      <c r="IK217" s="24"/>
      <c r="IL217" s="24"/>
      <c r="IM217" s="24"/>
      <c r="IN217" s="24"/>
      <c r="IO217" s="24"/>
      <c r="IP217" s="24"/>
      <c r="IQ217" s="24"/>
      <c r="IR217" s="24"/>
      <c r="IS217" s="24"/>
      <c r="IT217" s="24"/>
      <c r="IU217" s="24"/>
      <c r="IV217" s="24"/>
    </row>
    <row r="218" spans="1:256" ht="24.95" customHeight="1" thickTop="1" x14ac:dyDescent="0.35">
      <c r="A218" s="1690">
        <v>212</v>
      </c>
      <c r="B218" s="972"/>
      <c r="C218" s="1024" t="s">
        <v>144</v>
      </c>
      <c r="D218" s="1035" t="s">
        <v>221</v>
      </c>
      <c r="F218" s="24"/>
      <c r="G218" s="24"/>
      <c r="H218" s="24"/>
      <c r="I218" s="24"/>
      <c r="J218" s="24"/>
      <c r="K218" s="24"/>
      <c r="L218" s="24"/>
      <c r="M218" s="24"/>
      <c r="N218" s="24"/>
      <c r="O218" s="24"/>
      <c r="P218" s="24"/>
      <c r="Q218" s="24"/>
      <c r="R218" s="24"/>
      <c r="S218" s="24"/>
      <c r="T218" s="24"/>
      <c r="U218" s="24"/>
      <c r="V218" s="24"/>
      <c r="W218" s="24"/>
      <c r="X218" s="24"/>
      <c r="Y218" s="24"/>
      <c r="Z218" s="24"/>
      <c r="AA218" s="24"/>
      <c r="AB218" s="24"/>
      <c r="AC218" s="24"/>
      <c r="AD218" s="24"/>
      <c r="AE218" s="24"/>
      <c r="AF218" s="24"/>
      <c r="AG218" s="24"/>
      <c r="AH218" s="24"/>
      <c r="AI218" s="24"/>
      <c r="AJ218" s="24"/>
      <c r="AK218" s="24"/>
      <c r="AL218" s="24"/>
      <c r="AM218" s="24"/>
      <c r="AN218" s="24"/>
      <c r="AO218" s="24"/>
      <c r="AP218" s="24"/>
      <c r="AQ218" s="24"/>
      <c r="AR218" s="24"/>
      <c r="AS218" s="24"/>
      <c r="AT218" s="24"/>
      <c r="AU218" s="24"/>
      <c r="AV218" s="24"/>
      <c r="AW218" s="24"/>
      <c r="AX218" s="24"/>
      <c r="AY218" s="24"/>
      <c r="AZ218" s="24"/>
      <c r="BA218" s="24"/>
      <c r="BB218" s="24"/>
      <c r="BC218" s="24"/>
      <c r="BD218" s="24"/>
      <c r="BE218" s="24"/>
      <c r="BF218" s="24"/>
      <c r="BG218" s="24"/>
      <c r="BH218" s="24"/>
      <c r="BI218" s="24"/>
      <c r="BJ218" s="24"/>
      <c r="BK218" s="24"/>
      <c r="BL218" s="24"/>
      <c r="BM218" s="24"/>
      <c r="BN218" s="24"/>
      <c r="BO218" s="24"/>
      <c r="BP218" s="24"/>
      <c r="BQ218" s="24"/>
      <c r="BR218" s="24"/>
      <c r="BS218" s="24"/>
      <c r="BT218" s="24"/>
      <c r="BU218" s="24"/>
      <c r="BV218" s="24"/>
      <c r="BW218" s="24"/>
      <c r="BX218" s="24"/>
      <c r="BY218" s="24"/>
      <c r="BZ218" s="24"/>
      <c r="CA218" s="24"/>
      <c r="CB218" s="24"/>
      <c r="CC218" s="24"/>
      <c r="CD218" s="24"/>
      <c r="CE218" s="24"/>
      <c r="CF218" s="24"/>
      <c r="CG218" s="24"/>
      <c r="CH218" s="24"/>
      <c r="CI218" s="24"/>
      <c r="CJ218" s="24"/>
      <c r="CK218" s="24"/>
      <c r="CL218" s="24"/>
      <c r="CM218" s="24"/>
      <c r="CN218" s="24"/>
      <c r="CO218" s="24"/>
      <c r="CP218" s="24"/>
      <c r="CQ218" s="24"/>
      <c r="CR218" s="24"/>
      <c r="CS218" s="24"/>
      <c r="CT218" s="24"/>
      <c r="CU218" s="24"/>
      <c r="CV218" s="24"/>
      <c r="CW218" s="24"/>
      <c r="CX218" s="24"/>
      <c r="CY218" s="24"/>
      <c r="CZ218" s="24"/>
      <c r="DA218" s="24"/>
      <c r="DB218" s="24"/>
      <c r="DC218" s="24"/>
      <c r="DD218" s="24"/>
      <c r="DE218" s="24"/>
      <c r="DF218" s="24"/>
      <c r="DG218" s="24"/>
      <c r="DH218" s="24"/>
      <c r="DI218" s="24"/>
      <c r="DJ218" s="24"/>
      <c r="DK218" s="24"/>
      <c r="DL218" s="24"/>
      <c r="DM218" s="24"/>
      <c r="DN218" s="24"/>
      <c r="DO218" s="24"/>
      <c r="DP218" s="24"/>
      <c r="DQ218" s="24"/>
      <c r="DR218" s="24"/>
      <c r="DS218" s="24"/>
      <c r="DT218" s="24"/>
      <c r="DU218" s="24"/>
      <c r="DV218" s="24"/>
      <c r="DW218" s="24"/>
      <c r="DX218" s="24"/>
      <c r="DY218" s="24"/>
      <c r="DZ218" s="24"/>
      <c r="EA218" s="24"/>
      <c r="EB218" s="24"/>
      <c r="EC218" s="24"/>
      <c r="ED218" s="24"/>
      <c r="EE218" s="24"/>
      <c r="EF218" s="24"/>
      <c r="EG218" s="24"/>
      <c r="EH218" s="24"/>
      <c r="EI218" s="24"/>
      <c r="EJ218" s="24"/>
      <c r="EK218" s="24"/>
      <c r="EL218" s="24"/>
      <c r="EM218" s="24"/>
      <c r="EN218" s="24"/>
      <c r="EO218" s="24"/>
      <c r="EP218" s="24"/>
      <c r="EQ218" s="24"/>
      <c r="ER218" s="24"/>
      <c r="ES218" s="24"/>
      <c r="ET218" s="24"/>
      <c r="EU218" s="24"/>
      <c r="EV218" s="24"/>
      <c r="EW218" s="24"/>
      <c r="EX218" s="24"/>
      <c r="EY218" s="24"/>
      <c r="EZ218" s="24"/>
      <c r="FA218" s="24"/>
      <c r="FB218" s="24"/>
      <c r="FC218" s="24"/>
      <c r="FD218" s="24"/>
      <c r="FE218" s="24"/>
      <c r="FF218" s="24"/>
      <c r="FG218" s="24"/>
      <c r="FH218" s="24"/>
      <c r="FI218" s="24"/>
      <c r="FJ218" s="24"/>
      <c r="FK218" s="24"/>
      <c r="FL218" s="24"/>
      <c r="FM218" s="24"/>
      <c r="FN218" s="24"/>
      <c r="FO218" s="24"/>
      <c r="FP218" s="24"/>
      <c r="FQ218" s="24"/>
      <c r="FR218" s="24"/>
      <c r="FS218" s="24"/>
      <c r="FT218" s="24"/>
      <c r="FU218" s="24"/>
      <c r="FV218" s="24"/>
      <c r="FW218" s="24"/>
      <c r="FX218" s="24"/>
      <c r="FY218" s="24"/>
      <c r="FZ218" s="24"/>
      <c r="GA218" s="24"/>
      <c r="GB218" s="24"/>
      <c r="GC218" s="24"/>
      <c r="GD218" s="24"/>
      <c r="GE218" s="24"/>
      <c r="GF218" s="24"/>
      <c r="GG218" s="24"/>
      <c r="GH218" s="24"/>
      <c r="GI218" s="24"/>
      <c r="GJ218" s="24"/>
      <c r="GK218" s="24"/>
      <c r="GL218" s="24"/>
      <c r="GM218" s="24"/>
      <c r="GN218" s="24"/>
      <c r="GO218" s="24"/>
      <c r="GP218" s="24"/>
      <c r="GQ218" s="24"/>
      <c r="GR218" s="24"/>
      <c r="GS218" s="24"/>
      <c r="GT218" s="24"/>
      <c r="GU218" s="24"/>
      <c r="GV218" s="24"/>
      <c r="GW218" s="24"/>
      <c r="GX218" s="24"/>
      <c r="GY218" s="24"/>
      <c r="GZ218" s="24"/>
      <c r="HA218" s="24"/>
      <c r="HB218" s="24"/>
      <c r="HC218" s="24"/>
      <c r="HD218" s="24"/>
      <c r="HE218" s="24"/>
      <c r="HF218" s="24"/>
      <c r="HG218" s="24"/>
      <c r="HH218" s="24"/>
      <c r="HI218" s="24"/>
      <c r="HJ218" s="24"/>
      <c r="HK218" s="24"/>
      <c r="HL218" s="24"/>
      <c r="HM218" s="24"/>
      <c r="HN218" s="24"/>
      <c r="HO218" s="24"/>
      <c r="HP218" s="24"/>
      <c r="HQ218" s="24"/>
      <c r="HR218" s="24"/>
      <c r="HS218" s="24"/>
      <c r="HT218" s="24"/>
      <c r="HU218" s="24"/>
      <c r="HV218" s="24"/>
      <c r="HW218" s="24"/>
      <c r="HX218" s="24"/>
      <c r="HY218" s="24"/>
      <c r="HZ218" s="24"/>
      <c r="IA218" s="24"/>
      <c r="IB218" s="24"/>
      <c r="IC218" s="24"/>
      <c r="ID218" s="24"/>
      <c r="IE218" s="24"/>
      <c r="IF218" s="24"/>
      <c r="IG218" s="24"/>
      <c r="IH218" s="24"/>
      <c r="II218" s="24"/>
      <c r="IJ218" s="24"/>
      <c r="IK218" s="24"/>
      <c r="IL218" s="24"/>
      <c r="IM218" s="24"/>
      <c r="IN218" s="24"/>
      <c r="IO218" s="24"/>
      <c r="IP218" s="24"/>
      <c r="IQ218" s="24"/>
      <c r="IR218" s="24"/>
      <c r="IS218" s="24"/>
      <c r="IT218" s="24"/>
      <c r="IU218" s="24"/>
      <c r="IV218" s="24"/>
    </row>
    <row r="219" spans="1:256" ht="20.100000000000001" customHeight="1" x14ac:dyDescent="0.35">
      <c r="A219" s="1690">
        <v>213</v>
      </c>
      <c r="B219" s="972"/>
      <c r="C219" s="972"/>
      <c r="D219" s="1013" t="s">
        <v>796</v>
      </c>
      <c r="F219" s="24"/>
      <c r="G219" s="24"/>
      <c r="H219" s="24"/>
      <c r="I219" s="24"/>
      <c r="J219" s="24"/>
      <c r="K219" s="24"/>
      <c r="L219" s="24"/>
      <c r="M219" s="24"/>
      <c r="N219" s="24"/>
      <c r="O219" s="24"/>
      <c r="P219" s="24"/>
      <c r="Q219" s="24"/>
      <c r="R219" s="24"/>
      <c r="S219" s="24"/>
      <c r="T219" s="24"/>
      <c r="U219" s="24"/>
      <c r="V219" s="24"/>
      <c r="W219" s="24"/>
      <c r="X219" s="24"/>
      <c r="Y219" s="24"/>
      <c r="Z219" s="24"/>
      <c r="AA219" s="24"/>
      <c r="AB219" s="24"/>
      <c r="AC219" s="24"/>
      <c r="AD219" s="24"/>
      <c r="AE219" s="24"/>
      <c r="AF219" s="24"/>
      <c r="AG219" s="24"/>
      <c r="AH219" s="24"/>
      <c r="AI219" s="24"/>
      <c r="AJ219" s="24"/>
      <c r="AK219" s="24"/>
      <c r="AL219" s="24"/>
      <c r="AM219" s="24"/>
      <c r="AN219" s="24"/>
      <c r="AO219" s="24"/>
      <c r="AP219" s="24"/>
      <c r="AQ219" s="24"/>
      <c r="AR219" s="24"/>
      <c r="AS219" s="24"/>
      <c r="AT219" s="24"/>
      <c r="AU219" s="24"/>
      <c r="AV219" s="24"/>
      <c r="AW219" s="24"/>
      <c r="AX219" s="24"/>
      <c r="AY219" s="24"/>
      <c r="AZ219" s="24"/>
      <c r="BA219" s="24"/>
      <c r="BB219" s="24"/>
      <c r="BC219" s="24"/>
      <c r="BD219" s="24"/>
      <c r="BE219" s="24"/>
      <c r="BF219" s="24"/>
      <c r="BG219" s="24"/>
      <c r="BH219" s="24"/>
      <c r="BI219" s="24"/>
      <c r="BJ219" s="24"/>
      <c r="BK219" s="24"/>
      <c r="BL219" s="24"/>
      <c r="BM219" s="24"/>
      <c r="BN219" s="24"/>
      <c r="BO219" s="24"/>
      <c r="BP219" s="24"/>
      <c r="BQ219" s="24"/>
      <c r="BR219" s="24"/>
      <c r="BS219" s="24"/>
      <c r="BT219" s="24"/>
      <c r="BU219" s="24"/>
      <c r="BV219" s="24"/>
      <c r="BW219" s="24"/>
      <c r="BX219" s="24"/>
      <c r="BY219" s="24"/>
      <c r="BZ219" s="24"/>
      <c r="CA219" s="24"/>
      <c r="CB219" s="24"/>
      <c r="CC219" s="24"/>
      <c r="CD219" s="24"/>
      <c r="CE219" s="24"/>
      <c r="CF219" s="24"/>
      <c r="CG219" s="24"/>
      <c r="CH219" s="24"/>
      <c r="CI219" s="24"/>
      <c r="CJ219" s="24"/>
      <c r="CK219" s="24"/>
      <c r="CL219" s="24"/>
      <c r="CM219" s="24"/>
      <c r="CN219" s="24"/>
      <c r="CO219" s="24"/>
      <c r="CP219" s="24"/>
      <c r="CQ219" s="24"/>
      <c r="CR219" s="24"/>
      <c r="CS219" s="24"/>
      <c r="CT219" s="24"/>
      <c r="CU219" s="24"/>
      <c r="CV219" s="24"/>
      <c r="CW219" s="24"/>
      <c r="CX219" s="24"/>
      <c r="CY219" s="24"/>
      <c r="CZ219" s="24"/>
      <c r="DA219" s="24"/>
      <c r="DB219" s="24"/>
      <c r="DC219" s="24"/>
      <c r="DD219" s="24"/>
      <c r="DE219" s="24"/>
      <c r="DF219" s="24"/>
      <c r="DG219" s="24"/>
      <c r="DH219" s="24"/>
      <c r="DI219" s="24"/>
      <c r="DJ219" s="24"/>
      <c r="DK219" s="24"/>
      <c r="DL219" s="24"/>
      <c r="DM219" s="24"/>
      <c r="DN219" s="24"/>
      <c r="DO219" s="24"/>
      <c r="DP219" s="24"/>
      <c r="DQ219" s="24"/>
      <c r="DR219" s="24"/>
      <c r="DS219" s="24"/>
      <c r="DT219" s="24"/>
      <c r="DU219" s="24"/>
      <c r="DV219" s="24"/>
      <c r="DW219" s="24"/>
      <c r="DX219" s="24"/>
      <c r="DY219" s="24"/>
      <c r="DZ219" s="24"/>
      <c r="EA219" s="24"/>
      <c r="EB219" s="24"/>
      <c r="EC219" s="24"/>
      <c r="ED219" s="24"/>
      <c r="EE219" s="24"/>
      <c r="EF219" s="24"/>
      <c r="EG219" s="24"/>
      <c r="EH219" s="24"/>
      <c r="EI219" s="24"/>
      <c r="EJ219" s="24"/>
      <c r="EK219" s="24"/>
      <c r="EL219" s="24"/>
      <c r="EM219" s="24"/>
      <c r="EN219" s="24"/>
      <c r="EO219" s="24"/>
      <c r="EP219" s="24"/>
      <c r="EQ219" s="24"/>
      <c r="ER219" s="24"/>
      <c r="ES219" s="24"/>
      <c r="ET219" s="24"/>
      <c r="EU219" s="24"/>
      <c r="EV219" s="24"/>
      <c r="EW219" s="24"/>
      <c r="EX219" s="24"/>
      <c r="EY219" s="24"/>
      <c r="EZ219" s="24"/>
      <c r="FA219" s="24"/>
      <c r="FB219" s="24"/>
      <c r="FC219" s="24"/>
      <c r="FD219" s="24"/>
      <c r="FE219" s="24"/>
      <c r="FF219" s="24"/>
      <c r="FG219" s="24"/>
      <c r="FH219" s="24"/>
      <c r="FI219" s="24"/>
      <c r="FJ219" s="24"/>
      <c r="FK219" s="24"/>
      <c r="FL219" s="24"/>
      <c r="FM219" s="24"/>
      <c r="FN219" s="24"/>
      <c r="FO219" s="24"/>
      <c r="FP219" s="24"/>
      <c r="FQ219" s="24"/>
      <c r="FR219" s="24"/>
      <c r="FS219" s="24"/>
      <c r="FT219" s="24"/>
      <c r="FU219" s="24"/>
      <c r="FV219" s="24"/>
      <c r="FW219" s="24"/>
      <c r="FX219" s="24"/>
      <c r="FY219" s="24"/>
      <c r="FZ219" s="24"/>
      <c r="GA219" s="24"/>
      <c r="GB219" s="24"/>
      <c r="GC219" s="24"/>
      <c r="GD219" s="24"/>
      <c r="GE219" s="24"/>
      <c r="GF219" s="24"/>
      <c r="GG219" s="24"/>
      <c r="GH219" s="24"/>
      <c r="GI219" s="24"/>
      <c r="GJ219" s="24"/>
      <c r="GK219" s="24"/>
      <c r="GL219" s="24"/>
      <c r="GM219" s="24"/>
      <c r="GN219" s="24"/>
      <c r="GO219" s="24"/>
      <c r="GP219" s="24"/>
      <c r="GQ219" s="24"/>
      <c r="GR219" s="24"/>
      <c r="GS219" s="24"/>
      <c r="GT219" s="24"/>
      <c r="GU219" s="24"/>
      <c r="GV219" s="24"/>
      <c r="GW219" s="24"/>
      <c r="GX219" s="24"/>
      <c r="GY219" s="24"/>
      <c r="GZ219" s="24"/>
      <c r="HA219" s="24"/>
      <c r="HB219" s="24"/>
      <c r="HC219" s="24"/>
      <c r="HD219" s="24"/>
      <c r="HE219" s="24"/>
      <c r="HF219" s="24"/>
      <c r="HG219" s="24"/>
      <c r="HH219" s="24"/>
      <c r="HI219" s="24"/>
      <c r="HJ219" s="24"/>
      <c r="HK219" s="24"/>
      <c r="HL219" s="24"/>
      <c r="HM219" s="24"/>
      <c r="HN219" s="24"/>
      <c r="HO219" s="24"/>
      <c r="HP219" s="24"/>
      <c r="HQ219" s="24"/>
      <c r="HR219" s="24"/>
      <c r="HS219" s="24"/>
      <c r="HT219" s="24"/>
      <c r="HU219" s="24"/>
      <c r="HV219" s="24"/>
      <c r="HW219" s="24"/>
      <c r="HX219" s="24"/>
      <c r="HY219" s="24"/>
      <c r="HZ219" s="24"/>
      <c r="IA219" s="24"/>
      <c r="IB219" s="24"/>
      <c r="IC219" s="24"/>
      <c r="ID219" s="24"/>
      <c r="IE219" s="24"/>
      <c r="IF219" s="24"/>
      <c r="IG219" s="24"/>
      <c r="IH219" s="24"/>
      <c r="II219" s="24"/>
      <c r="IJ219" s="24"/>
      <c r="IK219" s="24"/>
      <c r="IL219" s="24"/>
      <c r="IM219" s="24"/>
      <c r="IN219" s="24"/>
      <c r="IO219" s="24"/>
      <c r="IP219" s="24"/>
      <c r="IQ219" s="24"/>
      <c r="IR219" s="24"/>
      <c r="IS219" s="24"/>
      <c r="IT219" s="24"/>
      <c r="IU219" s="24"/>
      <c r="IV219" s="24"/>
    </row>
    <row r="220" spans="1:256" ht="17.25" customHeight="1" x14ac:dyDescent="0.3">
      <c r="A220" s="1690">
        <v>214</v>
      </c>
      <c r="B220" s="972"/>
      <c r="C220" s="972"/>
      <c r="D220" s="145" t="s">
        <v>1361</v>
      </c>
      <c r="E220" s="64">
        <v>-384</v>
      </c>
      <c r="K220" s="24"/>
      <c r="L220" s="24"/>
      <c r="M220" s="24"/>
      <c r="N220" s="24"/>
      <c r="O220" s="24"/>
      <c r="P220" s="24"/>
      <c r="Q220" s="24"/>
      <c r="R220" s="24"/>
      <c r="S220" s="24"/>
      <c r="T220" s="24"/>
      <c r="U220" s="24"/>
      <c r="V220" s="24"/>
      <c r="W220" s="24"/>
      <c r="X220" s="24"/>
      <c r="Y220" s="24"/>
      <c r="Z220" s="24"/>
      <c r="AA220" s="24"/>
      <c r="AB220" s="24"/>
      <c r="AC220" s="24"/>
      <c r="AD220" s="24"/>
      <c r="AE220" s="24"/>
      <c r="AF220" s="24"/>
      <c r="AG220" s="24"/>
      <c r="AH220" s="24"/>
      <c r="AI220" s="24"/>
      <c r="AJ220" s="24"/>
      <c r="AK220" s="24"/>
      <c r="AL220" s="24"/>
      <c r="AM220" s="24"/>
      <c r="AN220" s="24"/>
      <c r="AO220" s="24"/>
      <c r="AP220" s="24"/>
      <c r="AQ220" s="24"/>
      <c r="AR220" s="24"/>
      <c r="AS220" s="24"/>
      <c r="AT220" s="24"/>
      <c r="AU220" s="24"/>
      <c r="AV220" s="24"/>
      <c r="AW220" s="24"/>
      <c r="AX220" s="24"/>
      <c r="AY220" s="24"/>
      <c r="AZ220" s="24"/>
      <c r="BA220" s="24"/>
      <c r="BB220" s="24"/>
      <c r="BC220" s="24"/>
      <c r="BD220" s="24"/>
      <c r="BE220" s="24"/>
      <c r="BF220" s="24"/>
      <c r="BG220" s="24"/>
      <c r="BH220" s="24"/>
      <c r="BI220" s="24"/>
      <c r="BJ220" s="24"/>
      <c r="BK220" s="24"/>
      <c r="BL220" s="24"/>
      <c r="BM220" s="24"/>
      <c r="BN220" s="24"/>
      <c r="BO220" s="24"/>
      <c r="BP220" s="24"/>
      <c r="BQ220" s="24"/>
      <c r="BR220" s="24"/>
      <c r="BS220" s="24"/>
      <c r="BT220" s="24"/>
      <c r="BU220" s="24"/>
      <c r="BV220" s="24"/>
      <c r="BW220" s="24"/>
      <c r="BX220" s="24"/>
      <c r="BY220" s="24"/>
      <c r="BZ220" s="24"/>
      <c r="CA220" s="24"/>
      <c r="CB220" s="24"/>
      <c r="CC220" s="24"/>
      <c r="CD220" s="24"/>
      <c r="CE220" s="24"/>
      <c r="CF220" s="24"/>
      <c r="CG220" s="24"/>
      <c r="CH220" s="24"/>
      <c r="CI220" s="24"/>
      <c r="CJ220" s="24"/>
      <c r="CK220" s="24"/>
      <c r="CL220" s="24"/>
      <c r="CM220" s="24"/>
      <c r="CN220" s="24"/>
      <c r="CO220" s="24"/>
      <c r="CP220" s="24"/>
      <c r="CQ220" s="24"/>
      <c r="CR220" s="24"/>
      <c r="CS220" s="24"/>
      <c r="CT220" s="24"/>
      <c r="CU220" s="24"/>
      <c r="CV220" s="24"/>
      <c r="CW220" s="24"/>
      <c r="CX220" s="24"/>
      <c r="CY220" s="24"/>
      <c r="CZ220" s="24"/>
      <c r="DA220" s="24"/>
      <c r="DB220" s="24"/>
      <c r="DC220" s="24"/>
      <c r="DD220" s="24"/>
      <c r="DE220" s="24"/>
      <c r="DF220" s="24"/>
      <c r="DG220" s="24"/>
      <c r="DH220" s="24"/>
      <c r="DI220" s="24"/>
      <c r="DJ220" s="24"/>
      <c r="DK220" s="24"/>
      <c r="DL220" s="24"/>
      <c r="DM220" s="24"/>
      <c r="DN220" s="24"/>
      <c r="DO220" s="24"/>
      <c r="DP220" s="24"/>
      <c r="DQ220" s="24"/>
      <c r="DR220" s="24"/>
      <c r="DS220" s="24"/>
      <c r="DT220" s="24"/>
      <c r="DU220" s="24"/>
      <c r="DV220" s="24"/>
      <c r="DW220" s="24"/>
      <c r="DX220" s="24"/>
      <c r="DY220" s="24"/>
      <c r="DZ220" s="24"/>
      <c r="EA220" s="24"/>
      <c r="EB220" s="24"/>
      <c r="EC220" s="24"/>
      <c r="ED220" s="24"/>
      <c r="EE220" s="24"/>
      <c r="EF220" s="24"/>
      <c r="EG220" s="24"/>
      <c r="EH220" s="24"/>
      <c r="EI220" s="24"/>
      <c r="EJ220" s="24"/>
      <c r="EK220" s="24"/>
      <c r="EL220" s="24"/>
      <c r="EM220" s="24"/>
      <c r="EN220" s="24"/>
      <c r="EO220" s="24"/>
      <c r="EP220" s="24"/>
      <c r="EQ220" s="24"/>
      <c r="ER220" s="24"/>
      <c r="ES220" s="24"/>
      <c r="ET220" s="24"/>
      <c r="EU220" s="24"/>
      <c r="EV220" s="24"/>
      <c r="EW220" s="24"/>
      <c r="EX220" s="24"/>
      <c r="EY220" s="24"/>
      <c r="EZ220" s="24"/>
      <c r="FA220" s="24"/>
      <c r="FB220" s="24"/>
      <c r="FC220" s="24"/>
      <c r="FD220" s="24"/>
      <c r="FE220" s="24"/>
      <c r="FF220" s="24"/>
      <c r="FG220" s="24"/>
      <c r="FH220" s="24"/>
      <c r="FI220" s="24"/>
      <c r="FJ220" s="24"/>
      <c r="FK220" s="24"/>
      <c r="FL220" s="24"/>
      <c r="FM220" s="24"/>
      <c r="FN220" s="24"/>
      <c r="FO220" s="24"/>
      <c r="FP220" s="24"/>
      <c r="FQ220" s="24"/>
      <c r="FR220" s="24"/>
      <c r="FS220" s="24"/>
      <c r="FT220" s="24"/>
      <c r="FU220" s="24"/>
      <c r="FV220" s="24"/>
      <c r="FW220" s="24"/>
      <c r="FX220" s="24"/>
      <c r="FY220" s="24"/>
      <c r="FZ220" s="24"/>
      <c r="GA220" s="24"/>
      <c r="GB220" s="24"/>
      <c r="GC220" s="24"/>
      <c r="GD220" s="24"/>
      <c r="GE220" s="24"/>
      <c r="GF220" s="24"/>
      <c r="GG220" s="24"/>
      <c r="GH220" s="24"/>
      <c r="GI220" s="24"/>
      <c r="GJ220" s="24"/>
      <c r="GK220" s="24"/>
      <c r="GL220" s="24"/>
      <c r="GM220" s="24"/>
      <c r="GN220" s="24"/>
      <c r="GO220" s="24"/>
      <c r="GP220" s="24"/>
      <c r="GQ220" s="24"/>
      <c r="GR220" s="24"/>
      <c r="GS220" s="24"/>
      <c r="GT220" s="24"/>
      <c r="GU220" s="24"/>
      <c r="GV220" s="24"/>
      <c r="GW220" s="24"/>
      <c r="GX220" s="24"/>
      <c r="GY220" s="24"/>
      <c r="GZ220" s="24"/>
      <c r="HA220" s="24"/>
      <c r="HB220" s="24"/>
      <c r="HC220" s="24"/>
      <c r="HD220" s="24"/>
      <c r="HE220" s="24"/>
      <c r="HF220" s="24"/>
      <c r="HG220" s="24"/>
      <c r="HH220" s="24"/>
      <c r="HI220" s="24"/>
      <c r="HJ220" s="24"/>
      <c r="HK220" s="24"/>
      <c r="HL220" s="24"/>
      <c r="HM220" s="24"/>
      <c r="HN220" s="24"/>
      <c r="HO220" s="24"/>
      <c r="HP220" s="24"/>
      <c r="HQ220" s="24"/>
      <c r="HR220" s="24"/>
      <c r="HS220" s="24"/>
      <c r="HT220" s="24"/>
      <c r="HU220" s="24"/>
      <c r="HV220" s="24"/>
      <c r="HW220" s="24"/>
      <c r="HX220" s="24"/>
      <c r="HY220" s="24"/>
      <c r="HZ220" s="24"/>
      <c r="IA220" s="24"/>
      <c r="IB220" s="24"/>
      <c r="IC220" s="24"/>
      <c r="ID220" s="24"/>
      <c r="IE220" s="24"/>
      <c r="IF220" s="24"/>
      <c r="IG220" s="24"/>
      <c r="IH220" s="24"/>
      <c r="II220" s="24"/>
      <c r="IJ220" s="24"/>
      <c r="IK220" s="24"/>
      <c r="IL220" s="24"/>
      <c r="IM220" s="24"/>
      <c r="IN220" s="24"/>
      <c r="IO220" s="24"/>
      <c r="IP220" s="24"/>
      <c r="IQ220" s="24"/>
      <c r="IR220" s="24"/>
      <c r="IS220" s="24"/>
      <c r="IT220" s="24"/>
      <c r="IU220" s="24"/>
      <c r="IV220" s="24"/>
    </row>
    <row r="221" spans="1:256" s="221" customFormat="1" ht="20.100000000000001" customHeight="1" thickBot="1" x14ac:dyDescent="0.4">
      <c r="A221" s="1690">
        <v>215</v>
      </c>
      <c r="B221" s="1695"/>
      <c r="C221" s="1695"/>
      <c r="D221" s="1696" t="s">
        <v>935</v>
      </c>
      <c r="E221" s="1427">
        <f>E220</f>
        <v>-384</v>
      </c>
      <c r="F221" s="31"/>
      <c r="G221" s="31"/>
      <c r="H221" s="1014"/>
      <c r="I221" s="31"/>
      <c r="J221" s="31"/>
      <c r="K221" s="31"/>
      <c r="L221" s="31"/>
      <c r="M221" s="31"/>
      <c r="N221" s="31"/>
      <c r="O221" s="31"/>
      <c r="P221" s="31"/>
      <c r="Q221" s="31"/>
      <c r="R221" s="31"/>
      <c r="S221" s="31"/>
      <c r="T221" s="31"/>
      <c r="U221" s="31"/>
      <c r="V221" s="31"/>
      <c r="W221" s="31"/>
      <c r="X221" s="31"/>
      <c r="Y221" s="31"/>
      <c r="Z221" s="31"/>
      <c r="AA221" s="31"/>
      <c r="AB221" s="31"/>
      <c r="AC221" s="31"/>
      <c r="AD221" s="31"/>
      <c r="AE221" s="31"/>
      <c r="AF221" s="31"/>
      <c r="AG221" s="31"/>
      <c r="AH221" s="31"/>
      <c r="AI221" s="31"/>
      <c r="AJ221" s="31"/>
      <c r="AK221" s="31"/>
      <c r="AL221" s="31"/>
      <c r="AM221" s="31"/>
      <c r="AN221" s="31"/>
      <c r="AO221" s="31"/>
      <c r="AP221" s="31"/>
      <c r="AQ221" s="31"/>
      <c r="AR221" s="31"/>
      <c r="AS221" s="31"/>
      <c r="AT221" s="31"/>
      <c r="AU221" s="31"/>
      <c r="AV221" s="31"/>
      <c r="AW221" s="31"/>
      <c r="AX221" s="31"/>
      <c r="AY221" s="31"/>
      <c r="AZ221" s="31"/>
      <c r="BA221" s="31"/>
      <c r="BB221" s="31"/>
      <c r="BC221" s="31"/>
      <c r="BD221" s="31"/>
      <c r="BE221" s="31"/>
      <c r="BF221" s="31"/>
      <c r="BG221" s="31"/>
      <c r="BH221" s="31"/>
      <c r="BI221" s="31"/>
      <c r="BJ221" s="31"/>
      <c r="BK221" s="31"/>
      <c r="BL221" s="31"/>
      <c r="BM221" s="31"/>
      <c r="BN221" s="31"/>
      <c r="BO221" s="31"/>
      <c r="BP221" s="31"/>
      <c r="BQ221" s="31"/>
      <c r="BR221" s="31"/>
      <c r="BS221" s="31"/>
      <c r="BT221" s="31"/>
      <c r="BU221" s="31"/>
      <c r="BV221" s="31"/>
      <c r="BW221" s="31"/>
      <c r="BX221" s="31"/>
      <c r="BY221" s="31"/>
      <c r="BZ221" s="31"/>
      <c r="CA221" s="31"/>
      <c r="CB221" s="31"/>
      <c r="CC221" s="31"/>
      <c r="CD221" s="31"/>
      <c r="CE221" s="31"/>
      <c r="CF221" s="31"/>
      <c r="CG221" s="31"/>
      <c r="CH221" s="31"/>
      <c r="CI221" s="31"/>
      <c r="CJ221" s="31"/>
      <c r="CK221" s="31"/>
      <c r="CL221" s="31"/>
      <c r="CM221" s="31"/>
      <c r="CN221" s="31"/>
      <c r="CO221" s="31"/>
      <c r="CP221" s="31"/>
      <c r="CQ221" s="31"/>
      <c r="CR221" s="31"/>
      <c r="CS221" s="31"/>
      <c r="CT221" s="31"/>
      <c r="CU221" s="31"/>
      <c r="CV221" s="31"/>
      <c r="CW221" s="31"/>
      <c r="CX221" s="31"/>
      <c r="CY221" s="31"/>
      <c r="CZ221" s="31"/>
      <c r="DA221" s="31"/>
      <c r="DB221" s="31"/>
      <c r="DC221" s="31"/>
      <c r="DD221" s="31"/>
      <c r="DE221" s="31"/>
      <c r="DF221" s="31"/>
      <c r="DG221" s="31"/>
      <c r="DH221" s="31"/>
      <c r="DI221" s="31"/>
      <c r="DJ221" s="31"/>
      <c r="DK221" s="31"/>
      <c r="DL221" s="31"/>
      <c r="DM221" s="31"/>
      <c r="DN221" s="31"/>
      <c r="DO221" s="31"/>
      <c r="DP221" s="31"/>
      <c r="DQ221" s="31"/>
      <c r="DR221" s="31"/>
      <c r="DS221" s="31"/>
      <c r="DT221" s="31"/>
      <c r="DU221" s="31"/>
      <c r="DV221" s="31"/>
      <c r="DW221" s="31"/>
      <c r="DX221" s="31"/>
      <c r="DY221" s="31"/>
      <c r="DZ221" s="31"/>
      <c r="EA221" s="31"/>
      <c r="EB221" s="31"/>
      <c r="EC221" s="31"/>
      <c r="ED221" s="31"/>
      <c r="EE221" s="31"/>
      <c r="EF221" s="31"/>
      <c r="EG221" s="31"/>
      <c r="EH221" s="31"/>
      <c r="EI221" s="31"/>
      <c r="EJ221" s="31"/>
      <c r="EK221" s="31"/>
      <c r="EL221" s="31"/>
      <c r="EM221" s="31"/>
      <c r="EN221" s="31"/>
      <c r="EO221" s="31"/>
      <c r="EP221" s="31"/>
      <c r="EQ221" s="31"/>
      <c r="ER221" s="31"/>
      <c r="ES221" s="31"/>
      <c r="ET221" s="31"/>
      <c r="EU221" s="31"/>
      <c r="EV221" s="31"/>
      <c r="EW221" s="31"/>
      <c r="EX221" s="31"/>
      <c r="EY221" s="31"/>
      <c r="EZ221" s="31"/>
      <c r="FA221" s="31"/>
      <c r="FB221" s="31"/>
      <c r="FC221" s="31"/>
      <c r="FD221" s="31"/>
      <c r="FE221" s="31"/>
      <c r="FF221" s="31"/>
      <c r="FG221" s="31"/>
      <c r="FH221" s="31"/>
      <c r="FI221" s="31"/>
      <c r="FJ221" s="31"/>
      <c r="FK221" s="31"/>
      <c r="FL221" s="31"/>
      <c r="FM221" s="31"/>
      <c r="FN221" s="31"/>
      <c r="FO221" s="31"/>
      <c r="FP221" s="31"/>
      <c r="FQ221" s="31"/>
      <c r="FR221" s="31"/>
      <c r="FS221" s="31"/>
      <c r="FT221" s="31"/>
      <c r="FU221" s="31"/>
      <c r="FV221" s="31"/>
      <c r="FW221" s="31"/>
      <c r="FX221" s="31"/>
      <c r="FY221" s="31"/>
      <c r="FZ221" s="31"/>
      <c r="GA221" s="31"/>
      <c r="GB221" s="31"/>
      <c r="GC221" s="31"/>
      <c r="GD221" s="31"/>
      <c r="GE221" s="31"/>
      <c r="GF221" s="31"/>
      <c r="GG221" s="31"/>
      <c r="GH221" s="31"/>
      <c r="GI221" s="31"/>
      <c r="GJ221" s="31"/>
      <c r="GK221" s="31"/>
      <c r="GL221" s="31"/>
      <c r="GM221" s="31"/>
      <c r="GN221" s="31"/>
      <c r="GO221" s="31"/>
      <c r="GP221" s="31"/>
      <c r="GQ221" s="31"/>
      <c r="GR221" s="31"/>
      <c r="GS221" s="31"/>
      <c r="GT221" s="31"/>
      <c r="GU221" s="31"/>
      <c r="GV221" s="31"/>
      <c r="GW221" s="31"/>
      <c r="GX221" s="31"/>
      <c r="GY221" s="31"/>
      <c r="GZ221" s="31"/>
      <c r="HA221" s="31"/>
      <c r="HB221" s="31"/>
      <c r="HC221" s="31"/>
      <c r="HD221" s="31"/>
      <c r="HE221" s="31"/>
      <c r="HF221" s="31"/>
      <c r="HG221" s="31"/>
      <c r="HH221" s="31"/>
      <c r="HI221" s="31"/>
      <c r="HJ221" s="31"/>
      <c r="HK221" s="31"/>
      <c r="HL221" s="31"/>
      <c r="HM221" s="31"/>
      <c r="HN221" s="31"/>
      <c r="HO221" s="31"/>
      <c r="HP221" s="31"/>
      <c r="HQ221" s="31"/>
      <c r="HR221" s="31"/>
      <c r="HS221" s="31"/>
      <c r="HT221" s="31"/>
      <c r="HU221" s="31"/>
      <c r="HV221" s="31"/>
      <c r="HW221" s="31"/>
      <c r="HX221" s="31"/>
      <c r="HY221" s="31"/>
      <c r="HZ221" s="31"/>
      <c r="IA221" s="31"/>
      <c r="IB221" s="31"/>
      <c r="IC221" s="31"/>
      <c r="ID221" s="31"/>
      <c r="IE221" s="31"/>
      <c r="IF221" s="31"/>
      <c r="IG221" s="31"/>
      <c r="IH221" s="31"/>
      <c r="II221" s="31"/>
      <c r="IJ221" s="31"/>
      <c r="IK221" s="31"/>
      <c r="IL221" s="31"/>
      <c r="IM221" s="31"/>
      <c r="IN221" s="31"/>
      <c r="IO221" s="31"/>
      <c r="IP221" s="31"/>
      <c r="IQ221" s="31"/>
      <c r="IR221" s="31"/>
      <c r="IS221" s="31"/>
      <c r="IT221" s="31"/>
      <c r="IU221" s="31"/>
      <c r="IV221" s="31"/>
    </row>
    <row r="222" spans="1:256" ht="24.95" customHeight="1" thickBot="1" x14ac:dyDescent="0.35">
      <c r="A222" s="1690">
        <v>216</v>
      </c>
      <c r="B222" s="986"/>
      <c r="C222" s="1007"/>
      <c r="D222" s="1008" t="s">
        <v>797</v>
      </c>
      <c r="E222" s="1009">
        <f>SUM(E217,E95)+E117+E221</f>
        <v>159505</v>
      </c>
      <c r="F222" s="24"/>
      <c r="G222" s="24"/>
      <c r="H222" s="24"/>
      <c r="I222" s="24"/>
      <c r="J222" s="24"/>
      <c r="K222" s="24"/>
      <c r="L222" s="24"/>
      <c r="M222" s="24"/>
      <c r="N222" s="24"/>
      <c r="O222" s="24"/>
      <c r="P222" s="24"/>
      <c r="Q222" s="24"/>
      <c r="R222" s="24"/>
      <c r="S222" s="24"/>
      <c r="T222" s="24"/>
      <c r="U222" s="24"/>
      <c r="V222" s="24"/>
      <c r="W222" s="24"/>
      <c r="X222" s="24"/>
      <c r="Y222" s="24"/>
      <c r="Z222" s="24"/>
      <c r="AA222" s="24"/>
      <c r="AB222" s="24"/>
      <c r="AC222" s="24"/>
      <c r="AD222" s="24"/>
      <c r="AE222" s="24"/>
      <c r="AF222" s="24"/>
      <c r="AG222" s="24"/>
      <c r="AH222" s="24"/>
      <c r="AI222" s="24"/>
      <c r="AJ222" s="24"/>
      <c r="AK222" s="24"/>
      <c r="AL222" s="24"/>
      <c r="AM222" s="24"/>
      <c r="AN222" s="24"/>
      <c r="AO222" s="24"/>
      <c r="AP222" s="24"/>
      <c r="AQ222" s="24"/>
      <c r="AR222" s="24"/>
      <c r="AS222" s="24"/>
      <c r="AT222" s="24"/>
      <c r="AU222" s="24"/>
      <c r="AV222" s="24"/>
      <c r="AW222" s="24"/>
      <c r="AX222" s="24"/>
      <c r="AY222" s="24"/>
      <c r="AZ222" s="24"/>
      <c r="BA222" s="24"/>
      <c r="BB222" s="24"/>
      <c r="BC222" s="24"/>
      <c r="BD222" s="24"/>
      <c r="BE222" s="24"/>
      <c r="BF222" s="24"/>
      <c r="BG222" s="24"/>
      <c r="BH222" s="24"/>
      <c r="BI222" s="24"/>
      <c r="BJ222" s="24"/>
      <c r="BK222" s="24"/>
      <c r="BL222" s="24"/>
      <c r="BM222" s="24"/>
      <c r="BN222" s="24"/>
      <c r="BO222" s="24"/>
      <c r="BP222" s="24"/>
      <c r="BQ222" s="24"/>
      <c r="BR222" s="24"/>
      <c r="BS222" s="24"/>
      <c r="BT222" s="24"/>
      <c r="BU222" s="24"/>
      <c r="BV222" s="24"/>
      <c r="BW222" s="24"/>
      <c r="BX222" s="24"/>
      <c r="BY222" s="24"/>
      <c r="BZ222" s="24"/>
      <c r="CA222" s="24"/>
      <c r="CB222" s="24"/>
      <c r="CC222" s="24"/>
      <c r="CD222" s="24"/>
      <c r="CE222" s="24"/>
      <c r="CF222" s="24"/>
      <c r="CG222" s="24"/>
      <c r="CH222" s="24"/>
      <c r="CI222" s="24"/>
      <c r="CJ222" s="24"/>
      <c r="CK222" s="24"/>
      <c r="CL222" s="24"/>
      <c r="CM222" s="24"/>
      <c r="CN222" s="24"/>
      <c r="CO222" s="24"/>
      <c r="CP222" s="24"/>
      <c r="CQ222" s="24"/>
      <c r="CR222" s="24"/>
      <c r="CS222" s="24"/>
      <c r="CT222" s="24"/>
      <c r="CU222" s="24"/>
      <c r="CV222" s="24"/>
      <c r="CW222" s="24"/>
      <c r="CX222" s="24"/>
      <c r="CY222" s="24"/>
      <c r="CZ222" s="24"/>
      <c r="DA222" s="24"/>
      <c r="DB222" s="24"/>
      <c r="DC222" s="24"/>
      <c r="DD222" s="24"/>
      <c r="DE222" s="24"/>
      <c r="DF222" s="24"/>
      <c r="DG222" s="24"/>
      <c r="DH222" s="24"/>
      <c r="DI222" s="24"/>
      <c r="DJ222" s="24"/>
      <c r="DK222" s="24"/>
      <c r="DL222" s="24"/>
      <c r="DM222" s="24"/>
      <c r="DN222" s="24"/>
      <c r="DO222" s="24"/>
      <c r="DP222" s="24"/>
      <c r="DQ222" s="24"/>
      <c r="DR222" s="24"/>
      <c r="DS222" s="24"/>
      <c r="DT222" s="24"/>
      <c r="DU222" s="24"/>
      <c r="DV222" s="24"/>
      <c r="DW222" s="24"/>
      <c r="DX222" s="24"/>
      <c r="DY222" s="24"/>
      <c r="DZ222" s="24"/>
      <c r="EA222" s="24"/>
      <c r="EB222" s="24"/>
      <c r="EC222" s="24"/>
      <c r="ED222" s="24"/>
      <c r="EE222" s="24"/>
      <c r="EF222" s="24"/>
      <c r="EG222" s="24"/>
      <c r="EH222" s="24"/>
      <c r="EI222" s="24"/>
      <c r="EJ222" s="24"/>
      <c r="EK222" s="24"/>
      <c r="EL222" s="24"/>
      <c r="EM222" s="24"/>
      <c r="EN222" s="24"/>
      <c r="EO222" s="24"/>
      <c r="EP222" s="24"/>
      <c r="EQ222" s="24"/>
      <c r="ER222" s="24"/>
      <c r="ES222" s="24"/>
      <c r="ET222" s="24"/>
      <c r="EU222" s="24"/>
      <c r="EV222" s="24"/>
      <c r="EW222" s="24"/>
      <c r="EX222" s="24"/>
      <c r="EY222" s="24"/>
      <c r="EZ222" s="24"/>
      <c r="FA222" s="24"/>
      <c r="FB222" s="24"/>
      <c r="FC222" s="24"/>
      <c r="FD222" s="24"/>
      <c r="FE222" s="24"/>
      <c r="FF222" s="24"/>
      <c r="FG222" s="24"/>
      <c r="FH222" s="24"/>
      <c r="FI222" s="24"/>
      <c r="FJ222" s="24"/>
      <c r="FK222" s="24"/>
      <c r="FL222" s="24"/>
      <c r="FM222" s="24"/>
      <c r="FN222" s="24"/>
      <c r="FO222" s="24"/>
      <c r="FP222" s="24"/>
      <c r="FQ222" s="24"/>
      <c r="FR222" s="24"/>
      <c r="FS222" s="24"/>
      <c r="FT222" s="24"/>
      <c r="FU222" s="24"/>
      <c r="FV222" s="24"/>
      <c r="FW222" s="24"/>
      <c r="FX222" s="24"/>
      <c r="FY222" s="24"/>
      <c r="FZ222" s="24"/>
      <c r="GA222" s="24"/>
      <c r="GB222" s="24"/>
      <c r="GC222" s="24"/>
      <c r="GD222" s="24"/>
      <c r="GE222" s="24"/>
      <c r="GF222" s="24"/>
      <c r="GG222" s="24"/>
      <c r="GH222" s="24"/>
      <c r="GI222" s="24"/>
      <c r="GJ222" s="24"/>
      <c r="GK222" s="24"/>
      <c r="GL222" s="24"/>
      <c r="GM222" s="24"/>
      <c r="GN222" s="24"/>
      <c r="GO222" s="24"/>
      <c r="GP222" s="24"/>
      <c r="GQ222" s="24"/>
      <c r="GR222" s="24"/>
      <c r="GS222" s="24"/>
      <c r="GT222" s="24"/>
      <c r="GU222" s="24"/>
      <c r="GV222" s="24"/>
      <c r="GW222" s="24"/>
      <c r="GX222" s="24"/>
      <c r="GY222" s="24"/>
      <c r="GZ222" s="24"/>
      <c r="HA222" s="24"/>
      <c r="HB222" s="24"/>
      <c r="HC222" s="24"/>
      <c r="HD222" s="24"/>
      <c r="HE222" s="24"/>
      <c r="HF222" s="24"/>
      <c r="HG222" s="24"/>
      <c r="HH222" s="24"/>
      <c r="HI222" s="24"/>
      <c r="HJ222" s="24"/>
      <c r="HK222" s="24"/>
      <c r="HL222" s="24"/>
      <c r="HM222" s="24"/>
      <c r="HN222" s="24"/>
      <c r="HO222" s="24"/>
      <c r="HP222" s="24"/>
      <c r="HQ222" s="24"/>
      <c r="HR222" s="24"/>
      <c r="HS222" s="24"/>
      <c r="HT222" s="24"/>
      <c r="HU222" s="24"/>
      <c r="HV222" s="24"/>
      <c r="HW222" s="24"/>
      <c r="HX222" s="24"/>
      <c r="HY222" s="24"/>
      <c r="HZ222" s="24"/>
      <c r="IA222" s="24"/>
      <c r="IB222" s="24"/>
      <c r="IC222" s="24"/>
      <c r="ID222" s="24"/>
      <c r="IE222" s="24"/>
      <c r="IF222" s="24"/>
      <c r="IG222" s="24"/>
      <c r="IH222" s="24"/>
      <c r="II222" s="24"/>
      <c r="IJ222" s="24"/>
      <c r="IK222" s="24"/>
      <c r="IL222" s="24"/>
      <c r="IM222" s="24"/>
      <c r="IN222" s="24"/>
      <c r="IO222" s="24"/>
      <c r="IP222" s="24"/>
      <c r="IQ222" s="24"/>
      <c r="IR222" s="24"/>
      <c r="IS222" s="24"/>
      <c r="IT222" s="24"/>
      <c r="IU222" s="24"/>
      <c r="IV222" s="24"/>
    </row>
    <row r="223" spans="1:256" ht="17.25" x14ac:dyDescent="0.3">
      <c r="D223" s="1039"/>
    </row>
    <row r="239" spans="2:5" ht="17.25" x14ac:dyDescent="0.35">
      <c r="B239" s="918"/>
      <c r="C239" s="1040"/>
      <c r="E239" s="12"/>
    </row>
    <row r="240" spans="2:5" ht="17.25" x14ac:dyDescent="0.35">
      <c r="B240" s="918"/>
      <c r="C240" s="1040"/>
      <c r="D240" s="1041"/>
      <c r="E240" s="12"/>
    </row>
    <row r="241" spans="2:5" ht="17.25" x14ac:dyDescent="0.35">
      <c r="B241" s="918"/>
      <c r="C241" s="1040"/>
      <c r="D241" s="1041"/>
      <c r="E241" s="12"/>
    </row>
    <row r="242" spans="2:5" ht="17.25" x14ac:dyDescent="0.35">
      <c r="B242" s="918"/>
      <c r="C242" s="1040"/>
      <c r="D242" s="1041"/>
      <c r="E242" s="12"/>
    </row>
    <row r="243" spans="2:5" ht="17.25" x14ac:dyDescent="0.35">
      <c r="B243" s="918"/>
      <c r="C243" s="1040"/>
      <c r="D243" s="1041"/>
      <c r="E243" s="12"/>
    </row>
    <row r="244" spans="2:5" ht="17.25" x14ac:dyDescent="0.35">
      <c r="B244" s="146"/>
      <c r="C244" s="148"/>
      <c r="D244" s="1041"/>
      <c r="E244" s="2"/>
    </row>
    <row r="245" spans="2:5" x14ac:dyDescent="0.3">
      <c r="C245" s="148"/>
      <c r="D245" s="583"/>
    </row>
    <row r="246" spans="2:5" x14ac:dyDescent="0.3">
      <c r="C246" s="148"/>
    </row>
    <row r="247" spans="2:5" x14ac:dyDescent="0.3">
      <c r="C247" s="148"/>
    </row>
    <row r="248" spans="2:5" x14ac:dyDescent="0.3">
      <c r="C248" s="148"/>
    </row>
    <row r="249" spans="2:5" x14ac:dyDescent="0.3">
      <c r="C249" s="148"/>
    </row>
    <row r="250" spans="2:5" x14ac:dyDescent="0.3">
      <c r="C250" s="148"/>
    </row>
    <row r="251" spans="2:5" x14ac:dyDescent="0.3">
      <c r="C251" s="148"/>
    </row>
    <row r="262" spans="2:5" x14ac:dyDescent="0.3">
      <c r="B262" s="144"/>
      <c r="C262" s="222"/>
      <c r="E262" s="2"/>
    </row>
    <row r="263" spans="2:5" x14ac:dyDescent="0.3">
      <c r="D263" s="1042"/>
    </row>
    <row r="312" spans="2:5" x14ac:dyDescent="0.3">
      <c r="B312" s="146"/>
      <c r="C312" s="148"/>
      <c r="E312" s="960"/>
    </row>
    <row r="313" spans="2:5" x14ac:dyDescent="0.3">
      <c r="B313" s="144"/>
      <c r="C313" s="222"/>
      <c r="D313" s="583"/>
      <c r="E313" s="2"/>
    </row>
    <row r="314" spans="2:5" x14ac:dyDescent="0.3">
      <c r="B314" s="146"/>
      <c r="C314" s="222"/>
      <c r="D314" s="1042"/>
      <c r="E314" s="212"/>
    </row>
    <row r="315" spans="2:5" x14ac:dyDescent="0.3">
      <c r="B315" s="144"/>
      <c r="C315" s="222"/>
      <c r="D315" s="1042"/>
      <c r="E315" s="2"/>
    </row>
    <row r="316" spans="2:5" x14ac:dyDescent="0.3">
      <c r="B316" s="146"/>
      <c r="C316" s="148"/>
      <c r="D316" s="1042"/>
      <c r="E316" s="2"/>
    </row>
    <row r="317" spans="2:5" ht="17.25" x14ac:dyDescent="0.35">
      <c r="B317" s="918"/>
      <c r="C317" s="1040"/>
      <c r="D317" s="583"/>
      <c r="E317" s="2"/>
    </row>
    <row r="318" spans="2:5" ht="17.25" x14ac:dyDescent="0.35">
      <c r="B318" s="146"/>
      <c r="C318" s="148"/>
      <c r="D318" s="1041"/>
      <c r="E318" s="2"/>
    </row>
    <row r="319" spans="2:5" ht="17.25" x14ac:dyDescent="0.3">
      <c r="B319" s="146"/>
      <c r="C319" s="1029"/>
      <c r="D319" s="1043"/>
      <c r="E319" s="2"/>
    </row>
    <row r="320" spans="2:5" ht="17.25" x14ac:dyDescent="0.35">
      <c r="B320" s="146"/>
      <c r="C320" s="148"/>
      <c r="D320" s="1044"/>
      <c r="E320" s="2"/>
    </row>
    <row r="321" spans="4:4" x14ac:dyDescent="0.3">
      <c r="D321" s="583"/>
    </row>
    <row r="365" spans="2:5" x14ac:dyDescent="0.3">
      <c r="B365" s="146"/>
      <c r="C365" s="148"/>
      <c r="E365" s="960"/>
    </row>
    <row r="366" spans="2:5" x14ac:dyDescent="0.3">
      <c r="B366" s="144"/>
      <c r="C366" s="222"/>
      <c r="D366" s="583"/>
      <c r="E366" s="2"/>
    </row>
    <row r="367" spans="2:5" x14ac:dyDescent="0.3">
      <c r="B367" s="146"/>
      <c r="C367" s="222"/>
      <c r="D367" s="1042"/>
      <c r="E367" s="212"/>
    </row>
    <row r="368" spans="2:5" x14ac:dyDescent="0.3">
      <c r="B368" s="144"/>
      <c r="C368" s="222"/>
      <c r="D368" s="1042"/>
      <c r="E368" s="2"/>
    </row>
    <row r="369" spans="2:5" x14ac:dyDescent="0.3">
      <c r="B369" s="146"/>
      <c r="C369" s="148"/>
      <c r="D369" s="1042"/>
      <c r="E369" s="2"/>
    </row>
    <row r="370" spans="2:5" x14ac:dyDescent="0.3">
      <c r="D370" s="583"/>
    </row>
    <row r="385" spans="1:256" s="982" customFormat="1" x14ac:dyDescent="0.3">
      <c r="A385" s="1690"/>
      <c r="B385" s="145"/>
      <c r="C385" s="148"/>
      <c r="E385" s="65"/>
      <c r="F385" s="145"/>
      <c r="G385" s="145"/>
      <c r="H385" s="145"/>
      <c r="I385" s="145"/>
      <c r="J385" s="145"/>
      <c r="K385" s="145"/>
      <c r="L385" s="145"/>
      <c r="M385" s="145"/>
      <c r="N385" s="145"/>
      <c r="O385" s="145"/>
      <c r="P385" s="145"/>
      <c r="Q385" s="145"/>
      <c r="R385" s="145"/>
      <c r="S385" s="145"/>
      <c r="T385" s="145"/>
      <c r="U385" s="145"/>
      <c r="V385" s="145"/>
      <c r="W385" s="145"/>
      <c r="X385" s="145"/>
      <c r="Y385" s="145"/>
      <c r="Z385" s="145"/>
      <c r="AA385" s="145"/>
      <c r="AB385" s="145"/>
      <c r="AC385" s="145"/>
      <c r="AD385" s="145"/>
      <c r="AE385" s="145"/>
      <c r="AF385" s="145"/>
      <c r="AG385" s="145"/>
      <c r="AH385" s="145"/>
      <c r="AI385" s="145"/>
      <c r="AJ385" s="145"/>
      <c r="AK385" s="145"/>
      <c r="AL385" s="145"/>
      <c r="AM385" s="145"/>
      <c r="AN385" s="145"/>
      <c r="AO385" s="145"/>
      <c r="AP385" s="145"/>
      <c r="AQ385" s="145"/>
      <c r="AR385" s="145"/>
      <c r="AS385" s="145"/>
      <c r="AT385" s="145"/>
      <c r="AU385" s="145"/>
      <c r="AV385" s="145"/>
      <c r="AW385" s="145"/>
      <c r="AX385" s="145"/>
      <c r="AY385" s="145"/>
      <c r="AZ385" s="145"/>
      <c r="BA385" s="145"/>
      <c r="BB385" s="145"/>
      <c r="BC385" s="145"/>
      <c r="BD385" s="145"/>
      <c r="BE385" s="145"/>
      <c r="BF385" s="145"/>
      <c r="BG385" s="145"/>
      <c r="BH385" s="145"/>
      <c r="BI385" s="145"/>
      <c r="BJ385" s="145"/>
      <c r="BK385" s="145"/>
      <c r="BL385" s="145"/>
      <c r="BM385" s="145"/>
      <c r="BN385" s="145"/>
      <c r="BO385" s="145"/>
      <c r="BP385" s="145"/>
      <c r="BQ385" s="145"/>
      <c r="BR385" s="145"/>
      <c r="BS385" s="145"/>
      <c r="BT385" s="145"/>
      <c r="BU385" s="145"/>
      <c r="BV385" s="145"/>
      <c r="BW385" s="145"/>
      <c r="BX385" s="145"/>
      <c r="BY385" s="145"/>
      <c r="BZ385" s="145"/>
      <c r="CA385" s="145"/>
      <c r="CB385" s="145"/>
      <c r="CC385" s="145"/>
      <c r="CD385" s="145"/>
      <c r="CE385" s="145"/>
      <c r="CF385" s="145"/>
      <c r="CG385" s="145"/>
      <c r="CH385" s="145"/>
      <c r="CI385" s="145"/>
      <c r="CJ385" s="145"/>
      <c r="CK385" s="145"/>
      <c r="CL385" s="145"/>
      <c r="CM385" s="145"/>
      <c r="CN385" s="145"/>
      <c r="CO385" s="145"/>
      <c r="CP385" s="145"/>
      <c r="CQ385" s="145"/>
      <c r="CR385" s="145"/>
      <c r="CS385" s="145"/>
      <c r="CT385" s="145"/>
      <c r="CU385" s="145"/>
      <c r="CV385" s="145"/>
      <c r="CW385" s="145"/>
      <c r="CX385" s="145"/>
      <c r="CY385" s="145"/>
      <c r="CZ385" s="145"/>
      <c r="DA385" s="145"/>
      <c r="DB385" s="145"/>
      <c r="DC385" s="145"/>
      <c r="DD385" s="145"/>
      <c r="DE385" s="145"/>
      <c r="DF385" s="145"/>
      <c r="DG385" s="145"/>
      <c r="DH385" s="145"/>
      <c r="DI385" s="145"/>
      <c r="DJ385" s="145"/>
      <c r="DK385" s="145"/>
      <c r="DL385" s="145"/>
      <c r="DM385" s="145"/>
      <c r="DN385" s="145"/>
      <c r="DO385" s="145"/>
      <c r="DP385" s="145"/>
      <c r="DQ385" s="145"/>
      <c r="DR385" s="145"/>
      <c r="DS385" s="145"/>
      <c r="DT385" s="145"/>
      <c r="DU385" s="145"/>
      <c r="DV385" s="145"/>
      <c r="DW385" s="145"/>
      <c r="DX385" s="145"/>
      <c r="DY385" s="145"/>
      <c r="DZ385" s="145"/>
      <c r="EA385" s="145"/>
      <c r="EB385" s="145"/>
      <c r="EC385" s="145"/>
      <c r="ED385" s="145"/>
      <c r="EE385" s="145"/>
      <c r="EF385" s="145"/>
      <c r="EG385" s="145"/>
      <c r="EH385" s="145"/>
      <c r="EI385" s="145"/>
      <c r="EJ385" s="145"/>
      <c r="EK385" s="145"/>
      <c r="EL385" s="145"/>
      <c r="EM385" s="145"/>
      <c r="EN385" s="145"/>
      <c r="EO385" s="145"/>
      <c r="EP385" s="145"/>
      <c r="EQ385" s="145"/>
      <c r="ER385" s="145"/>
      <c r="ES385" s="145"/>
      <c r="ET385" s="145"/>
      <c r="EU385" s="145"/>
      <c r="EV385" s="145"/>
      <c r="EW385" s="145"/>
      <c r="EX385" s="145"/>
      <c r="EY385" s="145"/>
      <c r="EZ385" s="145"/>
      <c r="FA385" s="145"/>
      <c r="FB385" s="145"/>
      <c r="FC385" s="145"/>
      <c r="FD385" s="145"/>
      <c r="FE385" s="145"/>
      <c r="FF385" s="145"/>
      <c r="FG385" s="145"/>
      <c r="FH385" s="145"/>
      <c r="FI385" s="145"/>
      <c r="FJ385" s="145"/>
      <c r="FK385" s="145"/>
      <c r="FL385" s="145"/>
      <c r="FM385" s="145"/>
      <c r="FN385" s="145"/>
      <c r="FO385" s="145"/>
      <c r="FP385" s="145"/>
      <c r="FQ385" s="145"/>
      <c r="FR385" s="145"/>
      <c r="FS385" s="145"/>
      <c r="FT385" s="145"/>
      <c r="FU385" s="145"/>
      <c r="FV385" s="145"/>
      <c r="FW385" s="145"/>
      <c r="FX385" s="145"/>
      <c r="FY385" s="145"/>
      <c r="FZ385" s="145"/>
      <c r="GA385" s="145"/>
      <c r="GB385" s="145"/>
      <c r="GC385" s="145"/>
      <c r="GD385" s="145"/>
      <c r="GE385" s="145"/>
      <c r="GF385" s="145"/>
      <c r="GG385" s="145"/>
      <c r="GH385" s="145"/>
      <c r="GI385" s="145"/>
      <c r="GJ385" s="145"/>
      <c r="GK385" s="145"/>
      <c r="GL385" s="145"/>
      <c r="GM385" s="145"/>
      <c r="GN385" s="145"/>
      <c r="GO385" s="145"/>
      <c r="GP385" s="145"/>
      <c r="GQ385" s="145"/>
      <c r="GR385" s="145"/>
      <c r="GS385" s="145"/>
      <c r="GT385" s="145"/>
      <c r="GU385" s="145"/>
      <c r="GV385" s="145"/>
      <c r="GW385" s="145"/>
      <c r="GX385" s="145"/>
      <c r="GY385" s="145"/>
      <c r="GZ385" s="145"/>
      <c r="HA385" s="145"/>
      <c r="HB385" s="145"/>
      <c r="HC385" s="145"/>
      <c r="HD385" s="145"/>
      <c r="HE385" s="145"/>
      <c r="HF385" s="145"/>
      <c r="HG385" s="145"/>
      <c r="HH385" s="145"/>
      <c r="HI385" s="145"/>
      <c r="HJ385" s="145"/>
      <c r="HK385" s="145"/>
      <c r="HL385" s="145"/>
      <c r="HM385" s="145"/>
      <c r="HN385" s="145"/>
      <c r="HO385" s="145"/>
      <c r="HP385" s="145"/>
      <c r="HQ385" s="145"/>
      <c r="HR385" s="145"/>
      <c r="HS385" s="145"/>
      <c r="HT385" s="145"/>
      <c r="HU385" s="145"/>
      <c r="HV385" s="145"/>
      <c r="HW385" s="145"/>
      <c r="HX385" s="145"/>
      <c r="HY385" s="145"/>
      <c r="HZ385" s="145"/>
      <c r="IA385" s="145"/>
      <c r="IB385" s="145"/>
      <c r="IC385" s="145"/>
      <c r="ID385" s="145"/>
      <c r="IE385" s="145"/>
      <c r="IF385" s="145"/>
      <c r="IG385" s="145"/>
      <c r="IH385" s="145"/>
      <c r="II385" s="145"/>
      <c r="IJ385" s="145"/>
      <c r="IK385" s="145"/>
      <c r="IL385" s="145"/>
      <c r="IM385" s="145"/>
      <c r="IN385" s="145"/>
      <c r="IO385" s="145"/>
      <c r="IP385" s="145"/>
      <c r="IQ385" s="145"/>
      <c r="IR385" s="145"/>
      <c r="IS385" s="145"/>
      <c r="IT385" s="145"/>
      <c r="IU385" s="145"/>
      <c r="IV385" s="145"/>
    </row>
    <row r="406" spans="2:5" x14ac:dyDescent="0.3">
      <c r="B406" s="146"/>
      <c r="C406" s="148"/>
      <c r="E406" s="2"/>
    </row>
    <row r="407" spans="2:5" ht="17.25" x14ac:dyDescent="0.35">
      <c r="B407" s="146"/>
      <c r="C407" s="1029"/>
      <c r="D407" s="583"/>
      <c r="E407" s="1045"/>
    </row>
    <row r="408" spans="2:5" ht="17.25" x14ac:dyDescent="0.35">
      <c r="B408" s="146"/>
      <c r="C408" s="1029"/>
      <c r="D408" s="1044"/>
      <c r="E408" s="1045"/>
    </row>
    <row r="409" spans="2:5" ht="17.25" x14ac:dyDescent="0.35">
      <c r="B409" s="146"/>
      <c r="C409" s="148"/>
      <c r="D409" s="1044"/>
      <c r="E409" s="2"/>
    </row>
    <row r="410" spans="2:5" ht="17.25" x14ac:dyDescent="0.3">
      <c r="B410" s="146"/>
      <c r="C410" s="1029"/>
      <c r="D410" s="583"/>
      <c r="E410" s="2"/>
    </row>
    <row r="411" spans="2:5" ht="17.25" x14ac:dyDescent="0.35">
      <c r="B411" s="146"/>
      <c r="C411" s="148"/>
      <c r="D411" s="1044"/>
      <c r="E411" s="2"/>
    </row>
    <row r="412" spans="2:5" x14ac:dyDescent="0.3">
      <c r="B412" s="146"/>
      <c r="C412" s="148"/>
      <c r="D412" s="583"/>
      <c r="E412" s="2"/>
    </row>
    <row r="413" spans="2:5" x14ac:dyDescent="0.3">
      <c r="B413" s="146"/>
      <c r="C413" s="148"/>
      <c r="D413" s="583"/>
      <c r="E413" s="2"/>
    </row>
    <row r="414" spans="2:5" x14ac:dyDescent="0.3">
      <c r="B414" s="146"/>
      <c r="C414" s="148"/>
      <c r="D414" s="583"/>
      <c r="E414" s="2"/>
    </row>
    <row r="415" spans="2:5" x14ac:dyDescent="0.3">
      <c r="B415" s="146"/>
      <c r="C415" s="148"/>
      <c r="D415" s="583"/>
      <c r="E415" s="2"/>
    </row>
    <row r="416" spans="2:5" ht="17.25" x14ac:dyDescent="0.35">
      <c r="B416" s="146"/>
      <c r="C416" s="1029"/>
      <c r="D416" s="583"/>
      <c r="E416" s="1045"/>
    </row>
    <row r="417" spans="2:5" ht="17.25" x14ac:dyDescent="0.35">
      <c r="B417" s="146"/>
      <c r="C417" s="148"/>
      <c r="D417" s="1044"/>
      <c r="E417" s="2"/>
    </row>
    <row r="418" spans="2:5" x14ac:dyDescent="0.3">
      <c r="B418" s="146"/>
      <c r="C418" s="148"/>
      <c r="D418" s="583"/>
      <c r="E418" s="2"/>
    </row>
    <row r="419" spans="2:5" x14ac:dyDescent="0.3">
      <c r="B419" s="146"/>
      <c r="C419" s="148"/>
      <c r="D419" s="583"/>
      <c r="E419" s="960"/>
    </row>
    <row r="420" spans="2:5" x14ac:dyDescent="0.3">
      <c r="B420" s="144"/>
      <c r="C420" s="222"/>
      <c r="D420" s="583"/>
      <c r="E420" s="2"/>
    </row>
    <row r="421" spans="2:5" x14ac:dyDescent="0.3">
      <c r="B421" s="146"/>
      <c r="C421" s="222"/>
      <c r="D421" s="1042"/>
      <c r="E421" s="212"/>
    </row>
    <row r="422" spans="2:5" x14ac:dyDescent="0.3">
      <c r="B422" s="144"/>
      <c r="C422" s="222"/>
      <c r="D422" s="1042"/>
      <c r="E422" s="2"/>
    </row>
    <row r="423" spans="2:5" x14ac:dyDescent="0.3">
      <c r="B423" s="146"/>
      <c r="C423" s="148"/>
      <c r="D423" s="1042"/>
      <c r="E423" s="2"/>
    </row>
    <row r="424" spans="2:5" ht="17.25" x14ac:dyDescent="0.3">
      <c r="B424" s="146"/>
      <c r="C424" s="1029"/>
      <c r="D424" s="583"/>
      <c r="E424" s="2"/>
    </row>
    <row r="425" spans="2:5" ht="17.25" x14ac:dyDescent="0.35">
      <c r="B425" s="146"/>
      <c r="C425" s="148"/>
      <c r="D425" s="1044"/>
      <c r="E425" s="2"/>
    </row>
    <row r="426" spans="2:5" x14ac:dyDescent="0.3">
      <c r="B426" s="146"/>
      <c r="C426" s="148"/>
      <c r="D426" s="583"/>
      <c r="E426" s="2"/>
    </row>
    <row r="427" spans="2:5" x14ac:dyDescent="0.3">
      <c r="B427" s="146"/>
      <c r="C427" s="148"/>
      <c r="D427" s="583"/>
      <c r="E427" s="2"/>
    </row>
    <row r="428" spans="2:5" x14ac:dyDescent="0.3">
      <c r="B428" s="146"/>
      <c r="C428" s="148"/>
      <c r="D428" s="583"/>
      <c r="E428" s="2"/>
    </row>
    <row r="429" spans="2:5" ht="17.25" x14ac:dyDescent="0.35">
      <c r="B429" s="146"/>
      <c r="C429" s="1029"/>
      <c r="D429" s="583"/>
      <c r="E429" s="1045"/>
    </row>
    <row r="430" spans="2:5" ht="17.25" x14ac:dyDescent="0.35">
      <c r="B430" s="146"/>
      <c r="C430" s="148"/>
      <c r="D430" s="1044"/>
      <c r="E430" s="2"/>
    </row>
    <row r="431" spans="2:5" ht="17.25" x14ac:dyDescent="0.3">
      <c r="B431" s="146"/>
      <c r="C431" s="1029"/>
      <c r="D431" s="583"/>
      <c r="E431" s="2"/>
    </row>
    <row r="432" spans="2:5" ht="17.25" x14ac:dyDescent="0.35">
      <c r="B432" s="146"/>
      <c r="C432" s="148"/>
      <c r="D432" s="1044"/>
      <c r="E432" s="2"/>
    </row>
    <row r="433" spans="2:5" x14ac:dyDescent="0.3">
      <c r="B433" s="146"/>
      <c r="C433" s="148"/>
      <c r="D433" s="583"/>
      <c r="E433" s="2"/>
    </row>
    <row r="434" spans="2:5" x14ac:dyDescent="0.3">
      <c r="B434" s="146"/>
      <c r="C434" s="148"/>
      <c r="D434" s="583"/>
      <c r="E434" s="2"/>
    </row>
    <row r="435" spans="2:5" x14ac:dyDescent="0.3">
      <c r="B435" s="146"/>
      <c r="C435" s="148"/>
      <c r="D435" s="583"/>
      <c r="E435" s="2"/>
    </row>
    <row r="436" spans="2:5" x14ac:dyDescent="0.3">
      <c r="B436" s="146"/>
      <c r="C436" s="148"/>
      <c r="D436" s="583"/>
      <c r="E436" s="2"/>
    </row>
    <row r="437" spans="2:5" x14ac:dyDescent="0.3">
      <c r="B437" s="146"/>
      <c r="C437" s="148"/>
      <c r="D437" s="583"/>
      <c r="E437" s="2"/>
    </row>
    <row r="438" spans="2:5" x14ac:dyDescent="0.3">
      <c r="B438" s="146"/>
      <c r="C438" s="148"/>
      <c r="D438" s="583"/>
      <c r="E438" s="2"/>
    </row>
    <row r="439" spans="2:5" x14ac:dyDescent="0.3">
      <c r="B439" s="146"/>
      <c r="C439" s="148"/>
      <c r="D439" s="583"/>
      <c r="E439" s="2"/>
    </row>
    <row r="440" spans="2:5" x14ac:dyDescent="0.3">
      <c r="B440" s="146"/>
      <c r="C440" s="148"/>
      <c r="D440" s="583"/>
      <c r="E440" s="2"/>
    </row>
    <row r="441" spans="2:5" x14ac:dyDescent="0.3">
      <c r="B441" s="146"/>
      <c r="C441" s="148"/>
      <c r="D441" s="583"/>
      <c r="E441" s="2"/>
    </row>
    <row r="442" spans="2:5" x14ac:dyDescent="0.3">
      <c r="B442" s="146"/>
      <c r="C442" s="148"/>
      <c r="D442" s="583"/>
      <c r="E442" s="2"/>
    </row>
    <row r="443" spans="2:5" x14ac:dyDescent="0.3">
      <c r="B443" s="146"/>
      <c r="C443" s="148"/>
      <c r="D443" s="583"/>
      <c r="E443" s="2"/>
    </row>
    <row r="444" spans="2:5" x14ac:dyDescent="0.3">
      <c r="B444" s="146"/>
      <c r="C444" s="148"/>
      <c r="D444" s="583"/>
      <c r="E444" s="2"/>
    </row>
    <row r="445" spans="2:5" x14ac:dyDescent="0.3">
      <c r="B445" s="146"/>
      <c r="C445" s="148"/>
      <c r="D445" s="583"/>
      <c r="E445" s="2"/>
    </row>
    <row r="446" spans="2:5" ht="17.25" x14ac:dyDescent="0.35">
      <c r="B446" s="146"/>
      <c r="C446" s="1029"/>
      <c r="D446" s="583"/>
      <c r="E446" s="1045"/>
    </row>
    <row r="447" spans="2:5" ht="17.25" x14ac:dyDescent="0.35">
      <c r="B447" s="146"/>
      <c r="C447" s="148"/>
      <c r="D447" s="1044"/>
      <c r="E447" s="2"/>
    </row>
    <row r="448" spans="2:5" ht="17.25" x14ac:dyDescent="0.3">
      <c r="B448" s="146"/>
      <c r="C448" s="1029"/>
      <c r="D448" s="583"/>
      <c r="E448" s="2"/>
    </row>
    <row r="449" spans="2:5" ht="17.25" x14ac:dyDescent="0.35">
      <c r="B449" s="146"/>
      <c r="C449" s="148"/>
      <c r="D449" s="1044"/>
      <c r="E449" s="2"/>
    </row>
    <row r="450" spans="2:5" x14ac:dyDescent="0.3">
      <c r="B450" s="146"/>
      <c r="C450" s="148"/>
      <c r="D450" s="583"/>
      <c r="E450" s="2"/>
    </row>
    <row r="451" spans="2:5" x14ac:dyDescent="0.3">
      <c r="B451" s="146"/>
      <c r="C451" s="148"/>
      <c r="D451" s="583"/>
      <c r="E451" s="2"/>
    </row>
    <row r="452" spans="2:5" x14ac:dyDescent="0.3">
      <c r="B452" s="146"/>
      <c r="C452" s="148"/>
      <c r="D452" s="583"/>
      <c r="E452" s="2"/>
    </row>
    <row r="453" spans="2:5" x14ac:dyDescent="0.3">
      <c r="B453" s="146"/>
      <c r="C453" s="148"/>
      <c r="D453" s="583"/>
      <c r="E453" s="2"/>
    </row>
    <row r="454" spans="2:5" x14ac:dyDescent="0.3">
      <c r="B454" s="146"/>
      <c r="C454" s="148"/>
      <c r="D454" s="583"/>
      <c r="E454" s="2"/>
    </row>
    <row r="455" spans="2:5" x14ac:dyDescent="0.3">
      <c r="B455" s="146"/>
      <c r="C455" s="148"/>
      <c r="D455" s="583"/>
      <c r="E455" s="2"/>
    </row>
    <row r="456" spans="2:5" x14ac:dyDescent="0.3">
      <c r="B456" s="146"/>
      <c r="C456" s="148"/>
      <c r="D456" s="583"/>
      <c r="E456" s="2"/>
    </row>
    <row r="457" spans="2:5" x14ac:dyDescent="0.3">
      <c r="B457" s="146"/>
      <c r="C457" s="148"/>
      <c r="D457" s="583"/>
      <c r="E457" s="2"/>
    </row>
    <row r="458" spans="2:5" x14ac:dyDescent="0.3">
      <c r="B458" s="146"/>
      <c r="C458" s="148"/>
      <c r="D458" s="583"/>
      <c r="E458" s="2"/>
    </row>
    <row r="459" spans="2:5" x14ac:dyDescent="0.3">
      <c r="B459" s="146"/>
      <c r="C459" s="148"/>
      <c r="D459" s="583"/>
      <c r="E459" s="2"/>
    </row>
    <row r="460" spans="2:5" x14ac:dyDescent="0.3">
      <c r="B460" s="146"/>
      <c r="C460" s="148"/>
      <c r="D460" s="583"/>
      <c r="E460" s="2"/>
    </row>
    <row r="461" spans="2:5" x14ac:dyDescent="0.3">
      <c r="B461" s="146"/>
      <c r="C461" s="148"/>
      <c r="D461" s="583"/>
      <c r="E461" s="2"/>
    </row>
    <row r="462" spans="2:5" x14ac:dyDescent="0.3">
      <c r="B462" s="146"/>
      <c r="C462" s="148"/>
      <c r="D462" s="583"/>
      <c r="E462" s="2"/>
    </row>
    <row r="463" spans="2:5" x14ac:dyDescent="0.3">
      <c r="B463" s="146"/>
      <c r="C463" s="148"/>
      <c r="D463" s="583"/>
      <c r="E463" s="2"/>
    </row>
    <row r="464" spans="2:5" x14ac:dyDescent="0.3">
      <c r="B464" s="146"/>
      <c r="C464" s="148"/>
      <c r="D464" s="583"/>
      <c r="E464" s="2"/>
    </row>
    <row r="465" spans="2:5" x14ac:dyDescent="0.3">
      <c r="B465" s="146"/>
      <c r="C465" s="148"/>
      <c r="D465" s="583"/>
      <c r="E465" s="2"/>
    </row>
    <row r="466" spans="2:5" x14ac:dyDescent="0.3">
      <c r="B466" s="146"/>
      <c r="C466" s="148"/>
      <c r="D466" s="583"/>
      <c r="E466" s="2"/>
    </row>
    <row r="467" spans="2:5" x14ac:dyDescent="0.3">
      <c r="B467" s="146"/>
      <c r="C467" s="148"/>
      <c r="D467" s="583"/>
      <c r="E467" s="2"/>
    </row>
    <row r="468" spans="2:5" x14ac:dyDescent="0.3">
      <c r="B468" s="146"/>
      <c r="C468" s="148"/>
      <c r="D468" s="583"/>
      <c r="E468" s="2"/>
    </row>
    <row r="469" spans="2:5" x14ac:dyDescent="0.3">
      <c r="B469" s="146"/>
      <c r="C469" s="148"/>
      <c r="D469" s="583"/>
      <c r="E469" s="2"/>
    </row>
    <row r="470" spans="2:5" x14ac:dyDescent="0.3">
      <c r="B470" s="146"/>
      <c r="C470" s="148"/>
      <c r="D470" s="583"/>
      <c r="E470" s="2"/>
    </row>
    <row r="471" spans="2:5" x14ac:dyDescent="0.3">
      <c r="B471" s="146"/>
      <c r="C471" s="148"/>
      <c r="D471" s="583"/>
      <c r="E471" s="2"/>
    </row>
    <row r="472" spans="2:5" x14ac:dyDescent="0.3">
      <c r="B472" s="146"/>
      <c r="C472" s="148"/>
      <c r="D472" s="583"/>
      <c r="E472" s="2"/>
    </row>
    <row r="473" spans="2:5" x14ac:dyDescent="0.3">
      <c r="B473" s="146"/>
      <c r="C473" s="148"/>
      <c r="D473" s="583"/>
      <c r="E473" s="2"/>
    </row>
    <row r="474" spans="2:5" x14ac:dyDescent="0.3">
      <c r="B474" s="146"/>
      <c r="C474" s="148"/>
      <c r="D474" s="583"/>
      <c r="E474" s="2"/>
    </row>
    <row r="475" spans="2:5" x14ac:dyDescent="0.3">
      <c r="B475" s="146"/>
      <c r="C475" s="148"/>
      <c r="D475" s="583"/>
      <c r="E475" s="2"/>
    </row>
    <row r="476" spans="2:5" x14ac:dyDescent="0.3">
      <c r="B476" s="146"/>
      <c r="C476" s="148"/>
      <c r="D476" s="583"/>
      <c r="E476" s="2"/>
    </row>
    <row r="477" spans="2:5" x14ac:dyDescent="0.3">
      <c r="B477" s="146"/>
      <c r="C477" s="148"/>
      <c r="D477" s="583"/>
      <c r="E477" s="2"/>
    </row>
    <row r="478" spans="2:5" x14ac:dyDescent="0.3">
      <c r="B478" s="146"/>
      <c r="C478" s="148"/>
      <c r="D478" s="583"/>
      <c r="E478" s="1046"/>
    </row>
    <row r="479" spans="2:5" ht="17.25" x14ac:dyDescent="0.35">
      <c r="B479" s="146"/>
      <c r="C479" s="1029"/>
      <c r="D479" s="583"/>
      <c r="E479" s="1045"/>
    </row>
    <row r="480" spans="2:5" ht="17.25" x14ac:dyDescent="0.35">
      <c r="B480" s="146"/>
      <c r="C480" s="148"/>
      <c r="D480" s="1044"/>
      <c r="E480" s="2"/>
    </row>
    <row r="481" spans="2:5" ht="17.25" x14ac:dyDescent="0.3">
      <c r="B481" s="146"/>
      <c r="C481" s="1029"/>
      <c r="D481" s="583"/>
      <c r="E481" s="2"/>
    </row>
    <row r="482" spans="2:5" ht="17.25" x14ac:dyDescent="0.35">
      <c r="B482" s="146"/>
      <c r="C482" s="148"/>
      <c r="D482" s="1044"/>
      <c r="E482" s="2"/>
    </row>
    <row r="483" spans="2:5" x14ac:dyDescent="0.3">
      <c r="B483" s="146"/>
      <c r="C483" s="148"/>
      <c r="D483" s="1043"/>
      <c r="E483" s="2"/>
    </row>
    <row r="484" spans="2:5" x14ac:dyDescent="0.3">
      <c r="B484" s="146"/>
      <c r="C484" s="148"/>
      <c r="D484" s="583"/>
      <c r="E484" s="2"/>
    </row>
    <row r="485" spans="2:5" x14ac:dyDescent="0.3">
      <c r="B485" s="146"/>
      <c r="C485" s="148"/>
      <c r="D485" s="583"/>
      <c r="E485" s="2"/>
    </row>
    <row r="486" spans="2:5" x14ac:dyDescent="0.3">
      <c r="B486" s="146"/>
      <c r="C486" s="148"/>
      <c r="D486" s="583"/>
      <c r="E486" s="2"/>
    </row>
    <row r="487" spans="2:5" x14ac:dyDescent="0.3">
      <c r="B487" s="146"/>
      <c r="C487" s="148"/>
      <c r="D487" s="583"/>
      <c r="E487" s="2"/>
    </row>
    <row r="488" spans="2:5" x14ac:dyDescent="0.3">
      <c r="B488" s="146"/>
      <c r="C488" s="148"/>
      <c r="D488" s="583"/>
      <c r="E488" s="2"/>
    </row>
    <row r="489" spans="2:5" x14ac:dyDescent="0.3">
      <c r="B489" s="146"/>
      <c r="C489" s="148"/>
      <c r="D489" s="583"/>
      <c r="E489" s="2"/>
    </row>
    <row r="490" spans="2:5" x14ac:dyDescent="0.3">
      <c r="B490" s="146"/>
      <c r="C490" s="148"/>
      <c r="D490" s="583"/>
      <c r="E490" s="2"/>
    </row>
    <row r="491" spans="2:5" x14ac:dyDescent="0.3">
      <c r="B491" s="146"/>
      <c r="C491" s="148"/>
      <c r="D491" s="583"/>
      <c r="E491" s="2"/>
    </row>
    <row r="492" spans="2:5" x14ac:dyDescent="0.3">
      <c r="B492" s="146"/>
      <c r="C492" s="148"/>
      <c r="D492" s="583"/>
      <c r="E492" s="2"/>
    </row>
    <row r="493" spans="2:5" x14ac:dyDescent="0.3">
      <c r="B493" s="146"/>
      <c r="C493" s="148"/>
      <c r="D493" s="583"/>
      <c r="E493" s="2"/>
    </row>
    <row r="494" spans="2:5" x14ac:dyDescent="0.3">
      <c r="B494" s="146"/>
      <c r="C494" s="148"/>
      <c r="D494" s="583"/>
      <c r="E494" s="2"/>
    </row>
    <row r="495" spans="2:5" x14ac:dyDescent="0.3">
      <c r="B495" s="146"/>
      <c r="C495" s="148"/>
      <c r="D495" s="583"/>
      <c r="E495" s="2"/>
    </row>
    <row r="496" spans="2:5" x14ac:dyDescent="0.3">
      <c r="B496" s="146"/>
      <c r="C496" s="148"/>
      <c r="D496" s="583"/>
      <c r="E496" s="2"/>
    </row>
    <row r="497" spans="2:5" ht="17.25" x14ac:dyDescent="0.35">
      <c r="B497" s="146"/>
      <c r="C497" s="1029"/>
      <c r="D497" s="583"/>
      <c r="E497" s="1045"/>
    </row>
    <row r="498" spans="2:5" ht="17.25" x14ac:dyDescent="0.35">
      <c r="B498" s="146"/>
      <c r="C498" s="148"/>
      <c r="D498" s="1044"/>
      <c r="E498" s="2"/>
    </row>
    <row r="499" spans="2:5" x14ac:dyDescent="0.3">
      <c r="D499" s="1043"/>
    </row>
    <row r="505" spans="2:5" x14ac:dyDescent="0.3">
      <c r="D505" s="1047"/>
    </row>
    <row r="512" spans="2:5" x14ac:dyDescent="0.3">
      <c r="E512" s="1048"/>
    </row>
    <row r="518" spans="2:5" x14ac:dyDescent="0.3">
      <c r="B518" s="146"/>
      <c r="C518" s="148"/>
      <c r="E518" s="960"/>
    </row>
    <row r="519" spans="2:5" x14ac:dyDescent="0.3">
      <c r="B519" s="144"/>
      <c r="C519" s="222"/>
      <c r="D519" s="583"/>
      <c r="E519" s="2"/>
    </row>
    <row r="520" spans="2:5" x14ac:dyDescent="0.3">
      <c r="B520" s="146"/>
      <c r="C520" s="222"/>
      <c r="D520" s="1042"/>
      <c r="E520" s="212"/>
    </row>
    <row r="521" spans="2:5" x14ac:dyDescent="0.3">
      <c r="B521" s="144"/>
      <c r="C521" s="222"/>
      <c r="D521" s="1042"/>
      <c r="E521" s="2"/>
    </row>
    <row r="522" spans="2:5" x14ac:dyDescent="0.3">
      <c r="B522" s="146"/>
      <c r="C522" s="148"/>
      <c r="D522" s="1042"/>
      <c r="E522" s="2"/>
    </row>
    <row r="523" spans="2:5" x14ac:dyDescent="0.3">
      <c r="D523" s="583"/>
    </row>
    <row r="524" spans="2:5" x14ac:dyDescent="0.3">
      <c r="D524" s="1047"/>
    </row>
    <row r="532" spans="2:5" x14ac:dyDescent="0.3">
      <c r="E532" s="1048"/>
    </row>
    <row r="536" spans="2:5" ht="17.25" x14ac:dyDescent="0.35">
      <c r="B536" s="146"/>
      <c r="C536" s="148"/>
      <c r="E536" s="1045"/>
    </row>
    <row r="537" spans="2:5" ht="17.25" x14ac:dyDescent="0.35">
      <c r="B537" s="146"/>
      <c r="C537" s="148"/>
      <c r="D537" s="1044"/>
      <c r="E537" s="1045"/>
    </row>
    <row r="538" spans="2:5" ht="17.25" x14ac:dyDescent="0.35">
      <c r="B538" s="146"/>
      <c r="C538" s="148"/>
      <c r="D538" s="1044"/>
      <c r="E538" s="2"/>
    </row>
    <row r="539" spans="2:5" x14ac:dyDescent="0.3">
      <c r="D539" s="583"/>
    </row>
    <row r="555" spans="4:5" ht="17.25" x14ac:dyDescent="0.35">
      <c r="E555" s="1038"/>
    </row>
    <row r="556" spans="4:5" ht="17.25" x14ac:dyDescent="0.35">
      <c r="D556" s="1049"/>
    </row>
    <row r="557" spans="4:5" x14ac:dyDescent="0.3">
      <c r="E557" s="2"/>
    </row>
    <row r="558" spans="4:5" x14ac:dyDescent="0.3">
      <c r="D558" s="1043"/>
      <c r="E558" s="2"/>
    </row>
    <row r="559" spans="4:5" x14ac:dyDescent="0.3">
      <c r="D559" s="583"/>
      <c r="E559" s="2"/>
    </row>
    <row r="560" spans="4:5" x14ac:dyDescent="0.3">
      <c r="D560" s="583"/>
      <c r="E560" s="2"/>
    </row>
    <row r="561" spans="2:5" x14ac:dyDescent="0.3">
      <c r="D561" s="583"/>
      <c r="E561" s="2"/>
    </row>
    <row r="562" spans="2:5" x14ac:dyDescent="0.3">
      <c r="D562" s="583"/>
      <c r="E562" s="2"/>
    </row>
    <row r="563" spans="2:5" x14ac:dyDescent="0.3">
      <c r="D563" s="583"/>
      <c r="E563" s="2"/>
    </row>
    <row r="564" spans="2:5" x14ac:dyDescent="0.3">
      <c r="D564" s="583"/>
      <c r="E564" s="2"/>
    </row>
    <row r="565" spans="2:5" x14ac:dyDescent="0.3">
      <c r="D565" s="583"/>
      <c r="E565" s="2"/>
    </row>
    <row r="566" spans="2:5" x14ac:dyDescent="0.3">
      <c r="D566" s="583"/>
      <c r="E566" s="2"/>
    </row>
    <row r="567" spans="2:5" x14ac:dyDescent="0.3">
      <c r="D567" s="583"/>
      <c r="E567" s="2"/>
    </row>
    <row r="568" spans="2:5" x14ac:dyDescent="0.3">
      <c r="D568" s="583"/>
      <c r="E568" s="1046"/>
    </row>
    <row r="569" spans="2:5" x14ac:dyDescent="0.3">
      <c r="D569" s="583"/>
      <c r="E569" s="2"/>
    </row>
    <row r="570" spans="2:5" x14ac:dyDescent="0.3">
      <c r="D570" s="583"/>
      <c r="E570" s="2"/>
    </row>
    <row r="571" spans="2:5" x14ac:dyDescent="0.3">
      <c r="B571" s="146"/>
      <c r="C571" s="148"/>
      <c r="D571" s="583"/>
      <c r="E571" s="960"/>
    </row>
    <row r="572" spans="2:5" x14ac:dyDescent="0.3">
      <c r="B572" s="144"/>
      <c r="C572" s="222"/>
      <c r="D572" s="583"/>
      <c r="E572" s="2"/>
    </row>
    <row r="573" spans="2:5" x14ac:dyDescent="0.3">
      <c r="B573" s="146"/>
      <c r="C573" s="222"/>
      <c r="D573" s="1042"/>
      <c r="E573" s="212"/>
    </row>
    <row r="574" spans="2:5" x14ac:dyDescent="0.3">
      <c r="B574" s="144"/>
      <c r="C574" s="222"/>
      <c r="D574" s="1042"/>
      <c r="E574" s="2"/>
    </row>
    <row r="575" spans="2:5" x14ac:dyDescent="0.3">
      <c r="B575" s="146"/>
      <c r="C575" s="148"/>
      <c r="D575" s="1042"/>
      <c r="E575" s="2"/>
    </row>
    <row r="576" spans="2:5" x14ac:dyDescent="0.3">
      <c r="D576" s="583"/>
    </row>
    <row r="577" spans="4:4" ht="17.25" x14ac:dyDescent="0.35">
      <c r="D577" s="1049"/>
    </row>
    <row r="579" spans="4:4" x14ac:dyDescent="0.3">
      <c r="D579" s="1047"/>
    </row>
    <row r="625" spans="2:5" x14ac:dyDescent="0.3">
      <c r="B625" s="146"/>
      <c r="C625" s="148"/>
      <c r="E625" s="960"/>
    </row>
    <row r="626" spans="2:5" x14ac:dyDescent="0.3">
      <c r="B626" s="144"/>
      <c r="C626" s="222"/>
      <c r="D626" s="583"/>
      <c r="E626" s="2"/>
    </row>
    <row r="627" spans="2:5" x14ac:dyDescent="0.3">
      <c r="B627" s="146"/>
      <c r="C627" s="222"/>
      <c r="D627" s="1042"/>
      <c r="E627" s="212"/>
    </row>
    <row r="628" spans="2:5" x14ac:dyDescent="0.3">
      <c r="B628" s="144"/>
      <c r="C628" s="222"/>
      <c r="D628" s="1042"/>
      <c r="E628" s="2"/>
    </row>
    <row r="629" spans="2:5" x14ac:dyDescent="0.3">
      <c r="B629" s="146"/>
      <c r="C629" s="148"/>
      <c r="D629" s="1042"/>
      <c r="E629" s="2"/>
    </row>
    <row r="630" spans="2:5" x14ac:dyDescent="0.3">
      <c r="B630" s="146"/>
      <c r="C630" s="148"/>
      <c r="D630" s="583"/>
      <c r="E630" s="1046"/>
    </row>
    <row r="631" spans="2:5" x14ac:dyDescent="0.3">
      <c r="D631" s="583"/>
      <c r="E631" s="2"/>
    </row>
    <row r="632" spans="2:5" x14ac:dyDescent="0.3">
      <c r="D632" s="583"/>
      <c r="E632" s="2"/>
    </row>
    <row r="633" spans="2:5" x14ac:dyDescent="0.3">
      <c r="D633" s="583"/>
      <c r="E633" s="2"/>
    </row>
    <row r="634" spans="2:5" x14ac:dyDescent="0.3">
      <c r="D634" s="583"/>
      <c r="E634" s="2"/>
    </row>
    <row r="635" spans="2:5" ht="17.25" x14ac:dyDescent="0.35">
      <c r="D635" s="583"/>
      <c r="E635" s="1045"/>
    </row>
    <row r="636" spans="2:5" ht="17.25" x14ac:dyDescent="0.35">
      <c r="D636" s="1044"/>
      <c r="E636" s="2"/>
    </row>
    <row r="637" spans="2:5" x14ac:dyDescent="0.3">
      <c r="D637" s="583"/>
      <c r="E637" s="2"/>
    </row>
    <row r="638" spans="2:5" x14ac:dyDescent="0.3">
      <c r="D638" s="583"/>
      <c r="E638" s="2"/>
    </row>
    <row r="639" spans="2:5" x14ac:dyDescent="0.3">
      <c r="D639" s="1043"/>
      <c r="E639" s="2"/>
    </row>
    <row r="640" spans="2:5" x14ac:dyDescent="0.3">
      <c r="D640" s="583"/>
      <c r="E640" s="2"/>
    </row>
    <row r="641" spans="4:5" x14ac:dyDescent="0.3">
      <c r="D641" s="583"/>
      <c r="E641" s="2"/>
    </row>
    <row r="642" spans="4:5" x14ac:dyDescent="0.3">
      <c r="D642" s="583"/>
      <c r="E642" s="2"/>
    </row>
    <row r="643" spans="4:5" x14ac:dyDescent="0.3">
      <c r="D643" s="583"/>
      <c r="E643" s="2"/>
    </row>
    <row r="644" spans="4:5" x14ac:dyDescent="0.3">
      <c r="D644" s="583"/>
      <c r="E644" s="2"/>
    </row>
    <row r="645" spans="4:5" x14ac:dyDescent="0.3">
      <c r="D645" s="583"/>
      <c r="E645" s="2"/>
    </row>
    <row r="646" spans="4:5" x14ac:dyDescent="0.3">
      <c r="D646" s="583"/>
      <c r="E646" s="2"/>
    </row>
    <row r="647" spans="4:5" x14ac:dyDescent="0.3">
      <c r="D647" s="1043"/>
    </row>
    <row r="662" spans="2:256" x14ac:dyDescent="0.3">
      <c r="E662" s="2"/>
    </row>
    <row r="663" spans="2:256" x14ac:dyDescent="0.3">
      <c r="D663" s="583"/>
    </row>
    <row r="665" spans="2:256" ht="17.25" x14ac:dyDescent="0.35">
      <c r="B665" s="221"/>
      <c r="C665" s="990"/>
      <c r="E665" s="1050"/>
      <c r="F665" s="221"/>
      <c r="G665" s="221"/>
      <c r="H665" s="221"/>
      <c r="I665" s="221"/>
      <c r="J665" s="221"/>
      <c r="K665" s="221"/>
      <c r="L665" s="221"/>
      <c r="M665" s="221"/>
      <c r="N665" s="221"/>
      <c r="O665" s="221"/>
      <c r="P665" s="221"/>
      <c r="Q665" s="221"/>
      <c r="R665" s="221"/>
      <c r="S665" s="221"/>
      <c r="T665" s="221"/>
      <c r="U665" s="221"/>
      <c r="V665" s="221"/>
      <c r="W665" s="221"/>
      <c r="X665" s="221"/>
      <c r="Y665" s="221"/>
      <c r="Z665" s="221"/>
      <c r="AA665" s="221"/>
      <c r="AB665" s="221"/>
      <c r="AC665" s="221"/>
      <c r="AD665" s="221"/>
      <c r="AE665" s="221"/>
      <c r="AF665" s="221"/>
      <c r="AG665" s="221"/>
      <c r="AH665" s="221"/>
      <c r="AI665" s="221"/>
      <c r="AJ665" s="221"/>
      <c r="AK665" s="221"/>
      <c r="AL665" s="221"/>
      <c r="AM665" s="221"/>
      <c r="AN665" s="221"/>
      <c r="AO665" s="221"/>
      <c r="AP665" s="221"/>
      <c r="AQ665" s="221"/>
      <c r="AR665" s="221"/>
      <c r="AS665" s="221"/>
      <c r="AT665" s="221"/>
      <c r="AU665" s="221"/>
      <c r="AV665" s="221"/>
      <c r="AW665" s="221"/>
      <c r="AX665" s="221"/>
      <c r="AY665" s="221"/>
      <c r="AZ665" s="221"/>
      <c r="BA665" s="221"/>
      <c r="BB665" s="221"/>
      <c r="BC665" s="221"/>
      <c r="BD665" s="221"/>
      <c r="BE665" s="221"/>
      <c r="BF665" s="221"/>
      <c r="BG665" s="221"/>
      <c r="BH665" s="221"/>
      <c r="BI665" s="221"/>
      <c r="BJ665" s="221"/>
      <c r="BK665" s="221"/>
      <c r="BL665" s="221"/>
      <c r="BM665" s="221"/>
      <c r="BN665" s="221"/>
      <c r="BO665" s="221"/>
      <c r="BP665" s="221"/>
      <c r="BQ665" s="221"/>
      <c r="BR665" s="221"/>
      <c r="BS665" s="221"/>
      <c r="BT665" s="221"/>
      <c r="BU665" s="221"/>
      <c r="BV665" s="221"/>
      <c r="BW665" s="221"/>
      <c r="BX665" s="221"/>
      <c r="BY665" s="221"/>
      <c r="BZ665" s="221"/>
      <c r="CA665" s="221"/>
      <c r="CB665" s="221"/>
      <c r="CC665" s="221"/>
      <c r="CD665" s="221"/>
      <c r="CE665" s="221"/>
      <c r="CF665" s="221"/>
      <c r="CG665" s="221"/>
      <c r="CH665" s="221"/>
      <c r="CI665" s="221"/>
      <c r="CJ665" s="221"/>
      <c r="CK665" s="221"/>
      <c r="CL665" s="221"/>
      <c r="CM665" s="221"/>
      <c r="CN665" s="221"/>
      <c r="CO665" s="221"/>
      <c r="CP665" s="221"/>
      <c r="CQ665" s="221"/>
      <c r="CR665" s="221"/>
      <c r="CS665" s="221"/>
      <c r="CT665" s="221"/>
      <c r="CU665" s="221"/>
      <c r="CV665" s="221"/>
      <c r="CW665" s="221"/>
      <c r="CX665" s="221"/>
      <c r="CY665" s="221"/>
      <c r="CZ665" s="221"/>
      <c r="DA665" s="221"/>
      <c r="DB665" s="221"/>
      <c r="DC665" s="221"/>
      <c r="DD665" s="221"/>
      <c r="DE665" s="221"/>
      <c r="DF665" s="221"/>
      <c r="DG665" s="221"/>
      <c r="DH665" s="221"/>
      <c r="DI665" s="221"/>
      <c r="DJ665" s="221"/>
      <c r="DK665" s="221"/>
      <c r="DL665" s="221"/>
      <c r="DM665" s="221"/>
      <c r="DN665" s="221"/>
      <c r="DO665" s="221"/>
      <c r="DP665" s="221"/>
      <c r="DQ665" s="221"/>
      <c r="DR665" s="221"/>
      <c r="DS665" s="221"/>
      <c r="DT665" s="221"/>
      <c r="DU665" s="221"/>
      <c r="DV665" s="221"/>
      <c r="DW665" s="221"/>
      <c r="DX665" s="221"/>
      <c r="DY665" s="221"/>
      <c r="DZ665" s="221"/>
      <c r="EA665" s="221"/>
      <c r="EB665" s="221"/>
      <c r="EC665" s="221"/>
      <c r="ED665" s="221"/>
      <c r="EE665" s="221"/>
      <c r="EF665" s="221"/>
      <c r="EG665" s="221"/>
      <c r="EH665" s="221"/>
      <c r="EI665" s="221"/>
      <c r="EJ665" s="221"/>
      <c r="EK665" s="221"/>
      <c r="EL665" s="221"/>
      <c r="EM665" s="221"/>
      <c r="EN665" s="221"/>
      <c r="EO665" s="221"/>
      <c r="EP665" s="221"/>
      <c r="EQ665" s="221"/>
      <c r="ER665" s="221"/>
      <c r="ES665" s="221"/>
      <c r="ET665" s="221"/>
      <c r="EU665" s="221"/>
      <c r="EV665" s="221"/>
      <c r="EW665" s="221"/>
      <c r="EX665" s="221"/>
      <c r="EY665" s="221"/>
      <c r="EZ665" s="221"/>
      <c r="FA665" s="221"/>
      <c r="FB665" s="221"/>
      <c r="FC665" s="221"/>
      <c r="FD665" s="221"/>
      <c r="FE665" s="221"/>
      <c r="FF665" s="221"/>
      <c r="FG665" s="221"/>
      <c r="FH665" s="221"/>
      <c r="FI665" s="221"/>
      <c r="FJ665" s="221"/>
      <c r="FK665" s="221"/>
      <c r="FL665" s="221"/>
      <c r="FM665" s="221"/>
      <c r="FN665" s="221"/>
      <c r="FO665" s="221"/>
      <c r="FP665" s="221"/>
      <c r="FQ665" s="221"/>
      <c r="FR665" s="221"/>
      <c r="FS665" s="221"/>
      <c r="FT665" s="221"/>
      <c r="FU665" s="221"/>
      <c r="FV665" s="221"/>
      <c r="FW665" s="221"/>
      <c r="FX665" s="221"/>
      <c r="FY665" s="221"/>
      <c r="FZ665" s="221"/>
      <c r="GA665" s="221"/>
      <c r="GB665" s="221"/>
      <c r="GC665" s="221"/>
      <c r="GD665" s="221"/>
      <c r="GE665" s="221"/>
      <c r="GF665" s="221"/>
      <c r="GG665" s="221"/>
      <c r="GH665" s="221"/>
      <c r="GI665" s="221"/>
      <c r="GJ665" s="221"/>
      <c r="GK665" s="221"/>
      <c r="GL665" s="221"/>
      <c r="GM665" s="221"/>
      <c r="GN665" s="221"/>
      <c r="GO665" s="221"/>
      <c r="GP665" s="221"/>
      <c r="GQ665" s="221"/>
      <c r="GR665" s="221"/>
      <c r="GS665" s="221"/>
      <c r="GT665" s="221"/>
      <c r="GU665" s="221"/>
      <c r="GV665" s="221"/>
      <c r="GW665" s="221"/>
      <c r="GX665" s="221"/>
      <c r="GY665" s="221"/>
      <c r="GZ665" s="221"/>
      <c r="HA665" s="221"/>
      <c r="HB665" s="221"/>
      <c r="HC665" s="221"/>
      <c r="HD665" s="221"/>
      <c r="HE665" s="221"/>
      <c r="HF665" s="221"/>
      <c r="HG665" s="221"/>
      <c r="HH665" s="221"/>
      <c r="HI665" s="221"/>
      <c r="HJ665" s="221"/>
      <c r="HK665" s="221"/>
      <c r="HL665" s="221"/>
      <c r="HM665" s="221"/>
      <c r="HN665" s="221"/>
      <c r="HO665" s="221"/>
      <c r="HP665" s="221"/>
      <c r="HQ665" s="221"/>
      <c r="HR665" s="221"/>
      <c r="HS665" s="221"/>
      <c r="HT665" s="221"/>
      <c r="HU665" s="221"/>
      <c r="HV665" s="221"/>
      <c r="HW665" s="221"/>
      <c r="HX665" s="221"/>
      <c r="HY665" s="221"/>
      <c r="HZ665" s="221"/>
      <c r="IA665" s="221"/>
      <c r="IB665" s="221"/>
      <c r="IC665" s="221"/>
      <c r="ID665" s="221"/>
      <c r="IE665" s="221"/>
      <c r="IF665" s="221"/>
      <c r="IG665" s="221"/>
      <c r="IH665" s="221"/>
      <c r="II665" s="221"/>
      <c r="IJ665" s="221"/>
      <c r="IK665" s="221"/>
      <c r="IL665" s="221"/>
      <c r="IM665" s="221"/>
      <c r="IN665" s="221"/>
      <c r="IO665" s="221"/>
      <c r="IP665" s="221"/>
      <c r="IQ665" s="221"/>
      <c r="IR665" s="221"/>
      <c r="IS665" s="221"/>
      <c r="IT665" s="221"/>
      <c r="IU665" s="221"/>
      <c r="IV665" s="221"/>
    </row>
    <row r="666" spans="2:256" ht="17.25" x14ac:dyDescent="0.35">
      <c r="D666" s="991"/>
    </row>
  </sheetData>
  <mergeCells count="4">
    <mergeCell ref="D111:E111"/>
    <mergeCell ref="B1:E1"/>
    <mergeCell ref="B2:E2"/>
    <mergeCell ref="B3:E3"/>
  </mergeCells>
  <printOptions horizontalCentered="1"/>
  <pageMargins left="0.70866141732283472" right="0.70866141732283472" top="0.74803149606299213" bottom="0.74803149606299213" header="0.31496062992125984" footer="0.31496062992125984"/>
  <pageSetup paperSize="9" scale="80" fitToHeight="10" orientation="portrait" r:id="rId1"/>
  <headerFooter>
    <oddFooter>&amp;C-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4"/>
  <sheetViews>
    <sheetView view="pageBreakPreview" zoomScale="90" zoomScaleNormal="100" zoomScaleSheetLayoutView="90" workbookViewId="0">
      <selection activeCell="B1" sqref="B1:F1"/>
    </sheetView>
  </sheetViews>
  <sheetFormatPr defaultColWidth="9.140625" defaultRowHeight="17.25" x14ac:dyDescent="0.35"/>
  <cols>
    <col min="1" max="1" width="3.7109375" style="246" customWidth="1"/>
    <col min="2" max="5" width="5.7109375" style="246" customWidth="1"/>
    <col min="6" max="6" width="59.7109375" style="145" customWidth="1"/>
    <col min="7" max="10" width="13.7109375" style="65" customWidth="1"/>
    <col min="11" max="11" width="15.7109375" style="287" customWidth="1"/>
    <col min="12" max="12" width="15.7109375" style="1038" customWidth="1"/>
    <col min="13" max="13" width="15.7109375" style="145" customWidth="1"/>
    <col min="14" max="16384" width="9.140625" style="145"/>
  </cols>
  <sheetData>
    <row r="1" spans="1:22" x14ac:dyDescent="0.35">
      <c r="B1" s="1745" t="s">
        <v>1493</v>
      </c>
      <c r="C1" s="1745"/>
      <c r="D1" s="1745"/>
      <c r="E1" s="1745"/>
      <c r="F1" s="1745"/>
      <c r="G1" s="119"/>
      <c r="H1" s="119"/>
      <c r="I1" s="119"/>
      <c r="J1" s="119"/>
      <c r="K1" s="286"/>
    </row>
    <row r="2" spans="1:22" s="24" customFormat="1" ht="25.15" customHeight="1" x14ac:dyDescent="0.3">
      <c r="A2" s="246"/>
      <c r="B2" s="1746" t="s">
        <v>184</v>
      </c>
      <c r="C2" s="1746"/>
      <c r="D2" s="1746"/>
      <c r="E2" s="1746"/>
      <c r="F2" s="1746"/>
      <c r="G2" s="1746"/>
      <c r="H2" s="1746"/>
      <c r="I2" s="1746"/>
      <c r="J2" s="1746"/>
      <c r="K2" s="1746"/>
      <c r="L2" s="1746"/>
      <c r="M2" s="1746"/>
    </row>
    <row r="3" spans="1:22" s="24" customFormat="1" ht="25.15" customHeight="1" x14ac:dyDescent="0.3">
      <c r="A3" s="246"/>
      <c r="B3" s="1747" t="s">
        <v>1380</v>
      </c>
      <c r="C3" s="1747"/>
      <c r="D3" s="1747"/>
      <c r="E3" s="1747"/>
      <c r="F3" s="1747"/>
      <c r="G3" s="1747"/>
      <c r="H3" s="1747"/>
      <c r="I3" s="1747"/>
      <c r="J3" s="1747"/>
      <c r="K3" s="1747"/>
      <c r="L3" s="1747"/>
      <c r="M3" s="1747"/>
    </row>
    <row r="4" spans="1:22" x14ac:dyDescent="0.35">
      <c r="B4" s="144"/>
      <c r="C4" s="144"/>
      <c r="D4" s="144"/>
      <c r="E4" s="144"/>
      <c r="F4" s="144"/>
      <c r="G4" s="212"/>
      <c r="H4" s="212"/>
      <c r="M4" s="187" t="s">
        <v>0</v>
      </c>
    </row>
    <row r="5" spans="1:22" thickBot="1" x14ac:dyDescent="0.35">
      <c r="B5" s="144" t="s">
        <v>1</v>
      </c>
      <c r="C5" s="144" t="s">
        <v>3</v>
      </c>
      <c r="D5" s="144" t="s">
        <v>2</v>
      </c>
      <c r="E5" s="144" t="s">
        <v>4</v>
      </c>
      <c r="F5" s="144" t="s">
        <v>5</v>
      </c>
      <c r="G5" s="212" t="s">
        <v>16</v>
      </c>
      <c r="H5" s="212" t="s">
        <v>17</v>
      </c>
      <c r="I5" s="212" t="s">
        <v>18</v>
      </c>
      <c r="J5" s="212" t="s">
        <v>39</v>
      </c>
      <c r="K5" s="212" t="s">
        <v>31</v>
      </c>
      <c r="L5" s="985" t="s">
        <v>24</v>
      </c>
      <c r="M5" s="246" t="s">
        <v>40</v>
      </c>
    </row>
    <row r="6" spans="1:22" s="66" customFormat="1" ht="80.099999999999994" customHeight="1" thickBot="1" x14ac:dyDescent="0.35">
      <c r="A6" s="108"/>
      <c r="B6" s="422" t="s">
        <v>19</v>
      </c>
      <c r="C6" s="423" t="s">
        <v>20</v>
      </c>
      <c r="D6" s="421" t="s">
        <v>185</v>
      </c>
      <c r="E6" s="421" t="s">
        <v>186</v>
      </c>
      <c r="F6" s="424" t="s">
        <v>6</v>
      </c>
      <c r="G6" s="425" t="s">
        <v>528</v>
      </c>
      <c r="H6" s="288" t="s">
        <v>529</v>
      </c>
      <c r="I6" s="1165" t="s">
        <v>924</v>
      </c>
      <c r="J6" s="814" t="s">
        <v>735</v>
      </c>
      <c r="K6" s="1616" t="s">
        <v>1305</v>
      </c>
      <c r="L6" s="917" t="s">
        <v>128</v>
      </c>
      <c r="M6" s="824" t="s">
        <v>1381</v>
      </c>
      <c r="N6" s="78"/>
      <c r="O6" s="78"/>
      <c r="P6" s="78"/>
      <c r="Q6" s="78"/>
      <c r="R6" s="78"/>
      <c r="S6" s="78"/>
      <c r="T6" s="78"/>
      <c r="U6" s="78"/>
      <c r="V6" s="78"/>
    </row>
    <row r="7" spans="1:22" s="217" customFormat="1" ht="36" customHeight="1" x14ac:dyDescent="0.35">
      <c r="A7" s="108">
        <v>1</v>
      </c>
      <c r="B7" s="407"/>
      <c r="C7" s="213"/>
      <c r="D7" s="214">
        <v>1</v>
      </c>
      <c r="E7" s="214"/>
      <c r="F7" s="215" t="s">
        <v>147</v>
      </c>
      <c r="G7" s="426">
        <f>SUM(G8,G15,G25,G31,G32,G14,G30)</f>
        <v>12957199</v>
      </c>
      <c r="H7" s="426">
        <f>SUM(H8,H15,H25,H31,H32,H14,H30)</f>
        <v>12105550</v>
      </c>
      <c r="I7" s="426">
        <f>SUM(I8,I15,I25,I31,I32,I14,I30)</f>
        <v>14062643</v>
      </c>
      <c r="J7" s="815">
        <f>SUM(J8,J15,J25,J31,J32,J14,J30)</f>
        <v>12977517</v>
      </c>
      <c r="K7" s="426">
        <f>SUM(K8,K15,K25,K31,K32,K14,K30)</f>
        <v>14368932</v>
      </c>
      <c r="L7" s="1265">
        <f t="shared" ref="L7:M7" si="0">SUM(L8,L15,L25,L31,L32,L14,L30)</f>
        <v>150049</v>
      </c>
      <c r="M7" s="825">
        <f t="shared" si="0"/>
        <v>14518981</v>
      </c>
      <c r="N7" s="216"/>
      <c r="O7" s="216"/>
      <c r="P7" s="216"/>
      <c r="Q7" s="216"/>
      <c r="R7" s="216"/>
      <c r="S7" s="216"/>
      <c r="T7" s="216"/>
      <c r="U7" s="216"/>
      <c r="V7" s="216"/>
    </row>
    <row r="8" spans="1:22" s="217" customFormat="1" ht="36" customHeight="1" x14ac:dyDescent="0.35">
      <c r="A8" s="108">
        <v>2</v>
      </c>
      <c r="B8" s="408">
        <v>18</v>
      </c>
      <c r="C8" s="218"/>
      <c r="D8" s="219"/>
      <c r="E8" s="219">
        <v>1</v>
      </c>
      <c r="F8" s="218" t="s">
        <v>187</v>
      </c>
      <c r="G8" s="58">
        <f>SUM(G9,G12:G12)</f>
        <v>3469686</v>
      </c>
      <c r="H8" s="58">
        <f>SUM(H9,H12:H12)</f>
        <v>3257505</v>
      </c>
      <c r="I8" s="58">
        <f>SUM(I9,I12:I12)</f>
        <v>3706565</v>
      </c>
      <c r="J8" s="816">
        <f>SUM(J9,J12:J12)</f>
        <v>3419289</v>
      </c>
      <c r="K8" s="58">
        <f>SUM(K9,K12:K12)</f>
        <v>4475077</v>
      </c>
      <c r="L8" s="1266">
        <f t="shared" ref="L8" si="1">SUM(L9,L12:L12)</f>
        <v>17642</v>
      </c>
      <c r="M8" s="826">
        <f>SUM(M9,M12:M12)</f>
        <v>4492719</v>
      </c>
      <c r="N8" s="216"/>
      <c r="O8" s="216"/>
      <c r="P8" s="216"/>
      <c r="Q8" s="216"/>
      <c r="R8" s="216"/>
      <c r="S8" s="216"/>
      <c r="T8" s="216"/>
      <c r="U8" s="216"/>
      <c r="V8" s="216"/>
    </row>
    <row r="9" spans="1:22" s="221" customFormat="1" x14ac:dyDescent="0.35">
      <c r="A9" s="108">
        <v>3</v>
      </c>
      <c r="B9" s="117"/>
      <c r="C9" s="189"/>
      <c r="D9" s="144"/>
      <c r="E9" s="144"/>
      <c r="F9" s="220" t="s">
        <v>188</v>
      </c>
      <c r="G9" s="12">
        <f>SUM(G10:G11)</f>
        <v>3090134</v>
      </c>
      <c r="H9" s="12">
        <f>SUM(H10:H11)</f>
        <v>2929761</v>
      </c>
      <c r="I9" s="12">
        <f>SUM(I10:I11)</f>
        <v>3341151</v>
      </c>
      <c r="J9" s="817">
        <f>SUM(J10:J11)</f>
        <v>3194545</v>
      </c>
      <c r="K9" s="1453">
        <f>SUM(K10:K11)</f>
        <v>3527476</v>
      </c>
      <c r="L9" s="1267">
        <f t="shared" ref="L9" si="2">SUM(L10:L11)</f>
        <v>16358</v>
      </c>
      <c r="M9" s="827">
        <f>SUM(M10:M11)</f>
        <v>3543834</v>
      </c>
    </row>
    <row r="10" spans="1:22" ht="33" customHeight="1" x14ac:dyDescent="0.35">
      <c r="A10" s="706">
        <v>4</v>
      </c>
      <c r="B10" s="120"/>
      <c r="C10" s="222"/>
      <c r="D10" s="222"/>
      <c r="E10" s="222"/>
      <c r="F10" s="60" t="s">
        <v>318</v>
      </c>
      <c r="G10" s="2">
        <v>2986827</v>
      </c>
      <c r="H10" s="2">
        <v>2929761</v>
      </c>
      <c r="I10" s="2">
        <v>3286398</v>
      </c>
      <c r="J10" s="1624">
        <v>3194545</v>
      </c>
      <c r="K10" s="960">
        <v>3497336</v>
      </c>
      <c r="L10" s="1045">
        <v>16358</v>
      </c>
      <c r="M10" s="830">
        <f>SUM(K10:L10)</f>
        <v>3513694</v>
      </c>
    </row>
    <row r="11" spans="1:22" ht="33.75" x14ac:dyDescent="0.35">
      <c r="A11" s="706">
        <v>5</v>
      </c>
      <c r="B11" s="117"/>
      <c r="C11" s="222"/>
      <c r="D11" s="222"/>
      <c r="E11" s="222"/>
      <c r="F11" s="60" t="s">
        <v>189</v>
      </c>
      <c r="G11" s="2">
        <v>103307</v>
      </c>
      <c r="H11" s="2"/>
      <c r="I11" s="2">
        <v>54753</v>
      </c>
      <c r="J11" s="1624"/>
      <c r="K11" s="960">
        <v>30140</v>
      </c>
      <c r="L11" s="1045"/>
      <c r="M11" s="830">
        <f>SUM(K11:L11)</f>
        <v>30140</v>
      </c>
    </row>
    <row r="12" spans="1:22" s="221" customFormat="1" x14ac:dyDescent="0.35">
      <c r="A12" s="108">
        <v>6</v>
      </c>
      <c r="B12" s="117"/>
      <c r="C12" s="223"/>
      <c r="D12" s="222"/>
      <c r="E12" s="222"/>
      <c r="F12" s="59" t="s">
        <v>190</v>
      </c>
      <c r="G12" s="12">
        <v>379552</v>
      </c>
      <c r="H12" s="12">
        <v>327744</v>
      </c>
      <c r="I12" s="12">
        <v>365414</v>
      </c>
      <c r="J12" s="1623">
        <v>224744</v>
      </c>
      <c r="K12" s="1453">
        <v>947601</v>
      </c>
      <c r="L12" s="998">
        <v>1284</v>
      </c>
      <c r="M12" s="830">
        <f>SUM(K12:L12)</f>
        <v>948885</v>
      </c>
    </row>
    <row r="13" spans="1:22" ht="16.5" customHeight="1" x14ac:dyDescent="0.35">
      <c r="A13" s="108">
        <v>7</v>
      </c>
      <c r="B13" s="117"/>
      <c r="C13" s="222"/>
      <c r="D13" s="222"/>
      <c r="E13" s="222"/>
      <c r="F13" s="60" t="s">
        <v>191</v>
      </c>
      <c r="G13" s="2">
        <v>140289</v>
      </c>
      <c r="H13" s="2">
        <v>151000</v>
      </c>
      <c r="I13" s="2">
        <v>148540</v>
      </c>
      <c r="J13" s="1624">
        <v>147600</v>
      </c>
      <c r="K13" s="960">
        <v>158410</v>
      </c>
      <c r="L13" s="1045"/>
      <c r="M13" s="828">
        <f>SUM(K13:L13)</f>
        <v>158410</v>
      </c>
    </row>
    <row r="14" spans="1:22" ht="36" customHeight="1" x14ac:dyDescent="0.35">
      <c r="A14" s="70">
        <v>8</v>
      </c>
      <c r="B14" s="409" t="s">
        <v>565</v>
      </c>
      <c r="C14" s="222"/>
      <c r="D14" s="222"/>
      <c r="E14" s="289">
        <v>2</v>
      </c>
      <c r="F14" s="218" t="s">
        <v>192</v>
      </c>
      <c r="G14" s="12">
        <v>190782</v>
      </c>
      <c r="H14" s="12">
        <v>155331</v>
      </c>
      <c r="I14" s="12">
        <v>216590</v>
      </c>
      <c r="J14" s="1623">
        <v>117496</v>
      </c>
      <c r="K14" s="1453">
        <v>334554</v>
      </c>
      <c r="L14" s="1045">
        <v>59347</v>
      </c>
      <c r="M14" s="830">
        <f>SUM(K14:L14)</f>
        <v>393901</v>
      </c>
    </row>
    <row r="15" spans="1:22" s="147" customFormat="1" ht="36" customHeight="1" x14ac:dyDescent="0.35">
      <c r="A15" s="108">
        <v>9</v>
      </c>
      <c r="B15" s="117">
        <v>18</v>
      </c>
      <c r="C15" s="189"/>
      <c r="D15" s="144"/>
      <c r="E15" s="144">
        <v>3</v>
      </c>
      <c r="F15" s="190" t="s">
        <v>193</v>
      </c>
      <c r="G15" s="61">
        <f>SUM(G16,G24:G24)</f>
        <v>7624249</v>
      </c>
      <c r="H15" s="61">
        <f>SUM(H16,H24:H24)</f>
        <v>7128500</v>
      </c>
      <c r="I15" s="61">
        <f>SUM(I16,I24:I24)</f>
        <v>8049548</v>
      </c>
      <c r="J15" s="817">
        <f>SUM(J16,J24:J24)</f>
        <v>7765600</v>
      </c>
      <c r="K15" s="1453">
        <f>SUM(K16,K24:K24)</f>
        <v>7765600</v>
      </c>
      <c r="L15" s="1267">
        <f t="shared" ref="L15:M15" si="3">SUM(L16,L24:L24)</f>
        <v>0</v>
      </c>
      <c r="M15" s="827">
        <f t="shared" si="3"/>
        <v>7765600</v>
      </c>
    </row>
    <row r="16" spans="1:22" s="221" customFormat="1" x14ac:dyDescent="0.35">
      <c r="A16" s="108">
        <v>10</v>
      </c>
      <c r="B16" s="117"/>
      <c r="C16" s="189"/>
      <c r="D16" s="144"/>
      <c r="E16" s="144"/>
      <c r="F16" s="59" t="s">
        <v>194</v>
      </c>
      <c r="G16" s="12">
        <f>SUM(G17:G23)</f>
        <v>7606629</v>
      </c>
      <c r="H16" s="12">
        <f>SUM(H17:H23)</f>
        <v>7128000</v>
      </c>
      <c r="I16" s="12">
        <f>SUM(I17:I23)</f>
        <v>8043412</v>
      </c>
      <c r="J16" s="817">
        <f>SUM(J17:J23)</f>
        <v>7760000</v>
      </c>
      <c r="K16" s="1453">
        <f>SUM(K17:K23)</f>
        <v>7760000</v>
      </c>
      <c r="L16" s="1267">
        <f t="shared" ref="L16:M16" si="4">SUM(L17:L23)</f>
        <v>0</v>
      </c>
      <c r="M16" s="827">
        <f t="shared" si="4"/>
        <v>7760000</v>
      </c>
    </row>
    <row r="17" spans="1:13" x14ac:dyDescent="0.35">
      <c r="A17" s="108">
        <v>11</v>
      </c>
      <c r="B17" s="117"/>
      <c r="C17" s="144"/>
      <c r="D17" s="144"/>
      <c r="E17" s="144"/>
      <c r="F17" s="60" t="s">
        <v>137</v>
      </c>
      <c r="G17" s="2">
        <v>1435111</v>
      </c>
      <c r="H17" s="2">
        <v>1250000</v>
      </c>
      <c r="I17" s="2">
        <v>1300333</v>
      </c>
      <c r="J17" s="1624">
        <v>1300000</v>
      </c>
      <c r="K17" s="960">
        <v>1300000</v>
      </c>
      <c r="L17" s="1045"/>
      <c r="M17" s="828">
        <f>SUM(K17:L17)</f>
        <v>1300000</v>
      </c>
    </row>
    <row r="18" spans="1:13" x14ac:dyDescent="0.35">
      <c r="A18" s="108">
        <v>12</v>
      </c>
      <c r="B18" s="117"/>
      <c r="C18" s="144"/>
      <c r="D18" s="144"/>
      <c r="E18" s="144"/>
      <c r="F18" s="60" t="s">
        <v>140</v>
      </c>
      <c r="G18" s="2">
        <v>46098</v>
      </c>
      <c r="H18" s="2">
        <v>40000</v>
      </c>
      <c r="I18" s="2">
        <v>44141</v>
      </c>
      <c r="J18" s="1624">
        <v>45000</v>
      </c>
      <c r="K18" s="960">
        <v>45000</v>
      </c>
      <c r="L18" s="1045"/>
      <c r="M18" s="828">
        <f t="shared" ref="M18:M24" si="5">SUM(K18:L18)</f>
        <v>45000</v>
      </c>
    </row>
    <row r="19" spans="1:13" x14ac:dyDescent="0.35">
      <c r="A19" s="108">
        <v>13</v>
      </c>
      <c r="B19" s="117"/>
      <c r="C19" s="144"/>
      <c r="D19" s="144"/>
      <c r="E19" s="144"/>
      <c r="F19" s="60" t="s">
        <v>139</v>
      </c>
      <c r="G19" s="2">
        <v>145905</v>
      </c>
      <c r="H19" s="2">
        <v>138000</v>
      </c>
      <c r="I19" s="2">
        <v>143422</v>
      </c>
      <c r="J19" s="1624">
        <v>145000</v>
      </c>
      <c r="K19" s="960">
        <v>145000</v>
      </c>
      <c r="L19" s="1045"/>
      <c r="M19" s="828">
        <f t="shared" si="5"/>
        <v>145000</v>
      </c>
    </row>
    <row r="20" spans="1:13" x14ac:dyDescent="0.35">
      <c r="A20" s="108">
        <v>14</v>
      </c>
      <c r="B20" s="117"/>
      <c r="C20" s="144"/>
      <c r="D20" s="144"/>
      <c r="E20" s="144"/>
      <c r="F20" s="60" t="s">
        <v>138</v>
      </c>
      <c r="G20" s="2">
        <v>111756</v>
      </c>
      <c r="H20" s="2">
        <v>95000</v>
      </c>
      <c r="I20" s="2">
        <v>95735</v>
      </c>
      <c r="J20" s="1624">
        <v>95000</v>
      </c>
      <c r="K20" s="960">
        <v>95000</v>
      </c>
      <c r="L20" s="1045"/>
      <c r="M20" s="828">
        <f t="shared" si="5"/>
        <v>95000</v>
      </c>
    </row>
    <row r="21" spans="1:13" x14ac:dyDescent="0.35">
      <c r="A21" s="108">
        <v>15</v>
      </c>
      <c r="B21" s="117"/>
      <c r="C21" s="144"/>
      <c r="D21" s="144"/>
      <c r="E21" s="144"/>
      <c r="F21" s="60" t="s">
        <v>136</v>
      </c>
      <c r="G21" s="2">
        <v>5584394</v>
      </c>
      <c r="H21" s="2">
        <v>5400000</v>
      </c>
      <c r="I21" s="2">
        <v>6222826</v>
      </c>
      <c r="J21" s="1624">
        <v>5950000</v>
      </c>
      <c r="K21" s="960">
        <v>5950000</v>
      </c>
      <c r="L21" s="1045"/>
      <c r="M21" s="828">
        <f t="shared" si="5"/>
        <v>5950000</v>
      </c>
    </row>
    <row r="22" spans="1:13" x14ac:dyDescent="0.35">
      <c r="A22" s="108">
        <v>16</v>
      </c>
      <c r="B22" s="117"/>
      <c r="C22" s="144"/>
      <c r="D22" s="144"/>
      <c r="E22" s="144"/>
      <c r="F22" s="60" t="s">
        <v>141</v>
      </c>
      <c r="G22" s="2">
        <v>209256</v>
      </c>
      <c r="H22" s="2">
        <v>200000</v>
      </c>
      <c r="I22" s="2">
        <v>215843</v>
      </c>
      <c r="J22" s="1624">
        <v>210000</v>
      </c>
      <c r="K22" s="960">
        <v>210000</v>
      </c>
      <c r="L22" s="1045"/>
      <c r="M22" s="828">
        <f t="shared" si="5"/>
        <v>210000</v>
      </c>
    </row>
    <row r="23" spans="1:13" x14ac:dyDescent="0.35">
      <c r="A23" s="108">
        <v>17</v>
      </c>
      <c r="B23" s="117"/>
      <c r="C23" s="144"/>
      <c r="D23" s="144"/>
      <c r="E23" s="144"/>
      <c r="F23" s="60" t="s">
        <v>195</v>
      </c>
      <c r="G23" s="2">
        <v>74109</v>
      </c>
      <c r="H23" s="2">
        <v>5000</v>
      </c>
      <c r="I23" s="2">
        <v>21112</v>
      </c>
      <c r="J23" s="1624">
        <v>15000</v>
      </c>
      <c r="K23" s="960">
        <v>15000</v>
      </c>
      <c r="L23" s="1045"/>
      <c r="M23" s="828">
        <f t="shared" si="5"/>
        <v>15000</v>
      </c>
    </row>
    <row r="24" spans="1:13" s="221" customFormat="1" ht="34.5" x14ac:dyDescent="0.35">
      <c r="A24" s="706">
        <v>18</v>
      </c>
      <c r="B24" s="117"/>
      <c r="C24" s="189"/>
      <c r="D24" s="144"/>
      <c r="E24" s="144"/>
      <c r="F24" s="59" t="s">
        <v>196</v>
      </c>
      <c r="G24" s="12">
        <v>17620</v>
      </c>
      <c r="H24" s="12">
        <v>500</v>
      </c>
      <c r="I24" s="12">
        <v>6136</v>
      </c>
      <c r="J24" s="1623">
        <v>5600</v>
      </c>
      <c r="K24" s="1453">
        <v>5600</v>
      </c>
      <c r="L24" s="998"/>
      <c r="M24" s="828">
        <f t="shared" si="5"/>
        <v>5600</v>
      </c>
    </row>
    <row r="25" spans="1:13" s="147" customFormat="1" ht="36" customHeight="1" x14ac:dyDescent="0.35">
      <c r="A25" s="108">
        <v>19</v>
      </c>
      <c r="B25" s="117">
        <v>18</v>
      </c>
      <c r="C25" s="189"/>
      <c r="D25" s="144"/>
      <c r="E25" s="144">
        <v>4</v>
      </c>
      <c r="F25" s="190" t="s">
        <v>151</v>
      </c>
      <c r="G25" s="61">
        <f t="shared" ref="G25:L25" si="6">SUM(G26:G29)</f>
        <v>774567</v>
      </c>
      <c r="H25" s="61">
        <f t="shared" si="6"/>
        <v>725000</v>
      </c>
      <c r="I25" s="61">
        <f t="shared" si="6"/>
        <v>1035546</v>
      </c>
      <c r="J25" s="817">
        <f t="shared" si="6"/>
        <v>765238</v>
      </c>
      <c r="K25" s="1453">
        <f t="shared" si="6"/>
        <v>827968</v>
      </c>
      <c r="L25" s="1267">
        <f t="shared" si="6"/>
        <v>0</v>
      </c>
      <c r="M25" s="827">
        <f t="shared" ref="M25" si="7">SUM(M26:M29)</f>
        <v>827968</v>
      </c>
    </row>
    <row r="26" spans="1:13" ht="16.5" customHeight="1" x14ac:dyDescent="0.35">
      <c r="A26" s="108">
        <v>20</v>
      </c>
      <c r="B26" s="117"/>
      <c r="C26" s="144"/>
      <c r="D26" s="144"/>
      <c r="E26" s="144"/>
      <c r="F26" s="60" t="s">
        <v>314</v>
      </c>
      <c r="G26" s="2">
        <v>334282</v>
      </c>
      <c r="H26" s="2">
        <v>345000</v>
      </c>
      <c r="I26" s="2">
        <v>319006</v>
      </c>
      <c r="J26" s="1624">
        <v>367526</v>
      </c>
      <c r="K26" s="960">
        <v>287073</v>
      </c>
      <c r="L26" s="1045"/>
      <c r="M26" s="828">
        <f>SUM(K26:L26)</f>
        <v>287073</v>
      </c>
    </row>
    <row r="27" spans="1:13" ht="16.5" customHeight="1" x14ac:dyDescent="0.35">
      <c r="A27" s="108">
        <v>21</v>
      </c>
      <c r="B27" s="117"/>
      <c r="C27" s="144"/>
      <c r="D27" s="144"/>
      <c r="E27" s="144"/>
      <c r="F27" s="60" t="s">
        <v>315</v>
      </c>
      <c r="G27" s="2">
        <v>189655</v>
      </c>
      <c r="H27" s="2">
        <v>192000</v>
      </c>
      <c r="I27" s="2">
        <v>155541</v>
      </c>
      <c r="J27" s="1624">
        <v>192783</v>
      </c>
      <c r="K27" s="960">
        <v>277610</v>
      </c>
      <c r="L27" s="1045"/>
      <c r="M27" s="828">
        <f t="shared" ref="M27:M29" si="8">SUM(K27:L27)</f>
        <v>277610</v>
      </c>
    </row>
    <row r="28" spans="1:13" ht="16.5" customHeight="1" x14ac:dyDescent="0.35">
      <c r="A28" s="108">
        <v>22</v>
      </c>
      <c r="B28" s="117"/>
      <c r="C28" s="144"/>
      <c r="D28" s="144"/>
      <c r="E28" s="144"/>
      <c r="F28" s="60" t="s">
        <v>316</v>
      </c>
      <c r="G28" s="2">
        <v>163912</v>
      </c>
      <c r="H28" s="2">
        <v>188000</v>
      </c>
      <c r="I28" s="2">
        <v>490423</v>
      </c>
      <c r="J28" s="1624">
        <v>204929</v>
      </c>
      <c r="K28" s="960">
        <v>255826</v>
      </c>
      <c r="L28" s="187"/>
      <c r="M28" s="828">
        <f t="shared" si="8"/>
        <v>255826</v>
      </c>
    </row>
    <row r="29" spans="1:13" ht="16.5" customHeight="1" x14ac:dyDescent="0.35">
      <c r="A29" s="108">
        <v>23</v>
      </c>
      <c r="B29" s="117"/>
      <c r="C29" s="144"/>
      <c r="D29" s="144"/>
      <c r="E29" s="144"/>
      <c r="F29" s="60" t="s">
        <v>317</v>
      </c>
      <c r="G29" s="2">
        <v>86718</v>
      </c>
      <c r="H29" s="2"/>
      <c r="I29" s="2">
        <v>70576</v>
      </c>
      <c r="J29" s="1624"/>
      <c r="K29" s="960">
        <v>7459</v>
      </c>
      <c r="L29" s="187"/>
      <c r="M29" s="828">
        <f t="shared" si="8"/>
        <v>7459</v>
      </c>
    </row>
    <row r="30" spans="1:13" s="147" customFormat="1" ht="36" customHeight="1" x14ac:dyDescent="0.35">
      <c r="A30" s="108">
        <v>24</v>
      </c>
      <c r="B30" s="410" t="s">
        <v>565</v>
      </c>
      <c r="C30" s="189"/>
      <c r="D30" s="144"/>
      <c r="E30" s="144">
        <v>5</v>
      </c>
      <c r="F30" s="190" t="s">
        <v>197</v>
      </c>
      <c r="G30" s="61">
        <v>887056</v>
      </c>
      <c r="H30" s="61">
        <v>839214</v>
      </c>
      <c r="I30" s="61">
        <v>998980</v>
      </c>
      <c r="J30" s="1625">
        <v>909894</v>
      </c>
      <c r="K30" s="1453">
        <v>956710</v>
      </c>
      <c r="L30" s="1268">
        <v>73042</v>
      </c>
      <c r="M30" s="831">
        <f>SUM(K30:L30)</f>
        <v>1029752</v>
      </c>
    </row>
    <row r="31" spans="1:13" s="147" customFormat="1" ht="36" customHeight="1" x14ac:dyDescent="0.35">
      <c r="A31" s="108">
        <v>25</v>
      </c>
      <c r="B31" s="117">
        <v>18</v>
      </c>
      <c r="C31" s="189"/>
      <c r="D31" s="144"/>
      <c r="E31" s="144">
        <v>6</v>
      </c>
      <c r="F31" s="190" t="s">
        <v>198</v>
      </c>
      <c r="G31" s="61">
        <v>4377</v>
      </c>
      <c r="H31" s="61"/>
      <c r="I31" s="61">
        <v>41080</v>
      </c>
      <c r="J31" s="1625"/>
      <c r="K31" s="1453">
        <v>2954</v>
      </c>
      <c r="L31" s="1268"/>
      <c r="M31" s="831">
        <f>SUM(K31:L31)</f>
        <v>2954</v>
      </c>
    </row>
    <row r="32" spans="1:13" s="221" customFormat="1" ht="36" customHeight="1" x14ac:dyDescent="0.35">
      <c r="A32" s="706">
        <v>26</v>
      </c>
      <c r="B32" s="411" t="s">
        <v>565</v>
      </c>
      <c r="C32" s="224"/>
      <c r="D32" s="224"/>
      <c r="E32" s="225">
        <v>7</v>
      </c>
      <c r="F32" s="226" t="s">
        <v>199</v>
      </c>
      <c r="G32" s="427">
        <v>6482</v>
      </c>
      <c r="H32" s="427"/>
      <c r="I32" s="427">
        <v>14334</v>
      </c>
      <c r="J32" s="1623"/>
      <c r="K32" s="1453">
        <v>6069</v>
      </c>
      <c r="L32" s="1045">
        <v>18</v>
      </c>
      <c r="M32" s="831">
        <f>SUM(K32:L32)</f>
        <v>6087</v>
      </c>
    </row>
    <row r="33" spans="1:22" s="217" customFormat="1" ht="36" customHeight="1" x14ac:dyDescent="0.35">
      <c r="A33" s="108">
        <v>27</v>
      </c>
      <c r="B33" s="412"/>
      <c r="C33" s="227"/>
      <c r="D33" s="228">
        <v>2</v>
      </c>
      <c r="E33" s="228"/>
      <c r="F33" s="229" t="s">
        <v>148</v>
      </c>
      <c r="G33" s="428">
        <f t="shared" ref="G33:L33" si="9">SUM(G34,G38:G39,G42:G44)</f>
        <v>3340220</v>
      </c>
      <c r="H33" s="428">
        <f t="shared" si="9"/>
        <v>7712589</v>
      </c>
      <c r="I33" s="1617">
        <f t="shared" si="9"/>
        <v>12772481</v>
      </c>
      <c r="J33" s="823">
        <f t="shared" si="9"/>
        <v>5648160</v>
      </c>
      <c r="K33" s="1617">
        <f t="shared" si="9"/>
        <v>10387611</v>
      </c>
      <c r="L33" s="1269">
        <f t="shared" si="9"/>
        <v>9456</v>
      </c>
      <c r="M33" s="834">
        <f t="shared" ref="M33" si="10">SUM(M34,M38:M39,M42:M44)</f>
        <v>10397067</v>
      </c>
      <c r="N33" s="216"/>
      <c r="O33" s="216"/>
      <c r="P33" s="216"/>
      <c r="Q33" s="216"/>
      <c r="R33" s="216"/>
      <c r="S33" s="216"/>
      <c r="T33" s="216"/>
      <c r="U33" s="216"/>
      <c r="V33" s="216"/>
    </row>
    <row r="34" spans="1:22" s="147" customFormat="1" ht="36" customHeight="1" x14ac:dyDescent="0.35">
      <c r="A34" s="108">
        <v>28</v>
      </c>
      <c r="B34" s="117"/>
      <c r="C34" s="189"/>
      <c r="D34" s="144"/>
      <c r="E34" s="144">
        <v>8</v>
      </c>
      <c r="F34" s="190" t="s">
        <v>200</v>
      </c>
      <c r="G34" s="61">
        <f t="shared" ref="G34:L34" si="11">SUM(G35,G37)</f>
        <v>2353026</v>
      </c>
      <c r="H34" s="61">
        <f t="shared" si="11"/>
        <v>7497589</v>
      </c>
      <c r="I34" s="61">
        <f t="shared" si="11"/>
        <v>12588575</v>
      </c>
      <c r="J34" s="817">
        <f t="shared" si="11"/>
        <v>5270260</v>
      </c>
      <c r="K34" s="1453">
        <f t="shared" si="11"/>
        <v>9446326</v>
      </c>
      <c r="L34" s="1267">
        <f t="shared" si="11"/>
        <v>6456</v>
      </c>
      <c r="M34" s="827">
        <f t="shared" ref="M34" si="12">SUM(M35,M37)</f>
        <v>9452782</v>
      </c>
    </row>
    <row r="35" spans="1:22" s="221" customFormat="1" x14ac:dyDescent="0.35">
      <c r="A35" s="108">
        <v>29</v>
      </c>
      <c r="B35" s="117">
        <v>18</v>
      </c>
      <c r="C35" s="189"/>
      <c r="D35" s="144"/>
      <c r="E35" s="144"/>
      <c r="F35" s="59" t="s">
        <v>201</v>
      </c>
      <c r="G35" s="12">
        <f>+G36</f>
        <v>728440</v>
      </c>
      <c r="H35" s="12">
        <f>+H36</f>
        <v>723000</v>
      </c>
      <c r="I35" s="12">
        <f>+I36</f>
        <v>4325400</v>
      </c>
      <c r="J35" s="1623"/>
      <c r="K35" s="1453">
        <f>+K36</f>
        <v>0</v>
      </c>
      <c r="L35" s="1267">
        <f>+L36</f>
        <v>6456</v>
      </c>
      <c r="M35" s="827">
        <f>+M36</f>
        <v>6456</v>
      </c>
    </row>
    <row r="36" spans="1:22" x14ac:dyDescent="0.35">
      <c r="A36" s="108">
        <v>30</v>
      </c>
      <c r="B36" s="117"/>
      <c r="C36" s="222"/>
      <c r="D36" s="222"/>
      <c r="E36" s="222"/>
      <c r="F36" s="60" t="s">
        <v>202</v>
      </c>
      <c r="G36" s="2">
        <v>728440</v>
      </c>
      <c r="H36" s="2">
        <v>723000</v>
      </c>
      <c r="I36" s="2">
        <v>4325400</v>
      </c>
      <c r="J36" s="1624"/>
      <c r="K36" s="960"/>
      <c r="L36" s="1045">
        <v>6456</v>
      </c>
      <c r="M36" s="828">
        <f>SUM(K36:L36)</f>
        <v>6456</v>
      </c>
    </row>
    <row r="37" spans="1:22" s="221" customFormat="1" x14ac:dyDescent="0.35">
      <c r="A37" s="108">
        <v>31</v>
      </c>
      <c r="B37" s="117">
        <v>18</v>
      </c>
      <c r="C37" s="223"/>
      <c r="D37" s="222"/>
      <c r="E37" s="222"/>
      <c r="F37" s="59" t="s">
        <v>203</v>
      </c>
      <c r="G37" s="12">
        <v>1624586</v>
      </c>
      <c r="H37" s="12">
        <v>6774589</v>
      </c>
      <c r="I37" s="12">
        <v>8263175</v>
      </c>
      <c r="J37" s="1623">
        <v>5270260</v>
      </c>
      <c r="K37" s="1453">
        <v>9446326</v>
      </c>
      <c r="L37" s="1045"/>
      <c r="M37" s="830">
        <f>SUM(K37:L37)</f>
        <v>9446326</v>
      </c>
    </row>
    <row r="38" spans="1:22" s="221" customFormat="1" ht="36" customHeight="1" x14ac:dyDescent="0.35">
      <c r="A38" s="706">
        <v>32</v>
      </c>
      <c r="B38" s="411" t="s">
        <v>565</v>
      </c>
      <c r="C38" s="223"/>
      <c r="D38" s="223"/>
      <c r="E38" s="222">
        <v>9</v>
      </c>
      <c r="F38" s="59" t="s">
        <v>204</v>
      </c>
      <c r="G38" s="12">
        <v>3078</v>
      </c>
      <c r="H38" s="12"/>
      <c r="I38" s="12">
        <v>40469</v>
      </c>
      <c r="J38" s="1623">
        <v>2900</v>
      </c>
      <c r="K38" s="1453">
        <v>11183</v>
      </c>
      <c r="L38" s="1045">
        <v>3000</v>
      </c>
      <c r="M38" s="830">
        <f>SUM(K38:L38)</f>
        <v>14183</v>
      </c>
    </row>
    <row r="39" spans="1:22" s="147" customFormat="1" ht="36" customHeight="1" x14ac:dyDescent="0.35">
      <c r="A39" s="108">
        <v>33</v>
      </c>
      <c r="B39" s="117">
        <v>18</v>
      </c>
      <c r="C39" s="189"/>
      <c r="D39" s="144"/>
      <c r="E39" s="144">
        <v>10</v>
      </c>
      <c r="F39" s="190" t="s">
        <v>205</v>
      </c>
      <c r="G39" s="61">
        <f>SUM(G40:G41)</f>
        <v>982437</v>
      </c>
      <c r="H39" s="61">
        <f>SUM(H40:H41)</f>
        <v>185000</v>
      </c>
      <c r="I39" s="61">
        <f>SUM(I40:I41)</f>
        <v>136583</v>
      </c>
      <c r="J39" s="817">
        <f>SUM(J40:J41)</f>
        <v>225000</v>
      </c>
      <c r="K39" s="1453">
        <f>SUM(K40:K41)</f>
        <v>299400</v>
      </c>
      <c r="L39" s="1267">
        <f t="shared" ref="L39:M39" si="13">SUM(L40:L41)</f>
        <v>0</v>
      </c>
      <c r="M39" s="827">
        <f t="shared" si="13"/>
        <v>299400</v>
      </c>
    </row>
    <row r="40" spans="1:22" x14ac:dyDescent="0.35">
      <c r="A40" s="108">
        <v>34</v>
      </c>
      <c r="B40" s="117"/>
      <c r="C40" s="144"/>
      <c r="D40" s="144"/>
      <c r="E40" s="144"/>
      <c r="F40" s="60" t="s">
        <v>206</v>
      </c>
      <c r="G40" s="2">
        <v>982437</v>
      </c>
      <c r="H40" s="2">
        <v>170000</v>
      </c>
      <c r="I40" s="2">
        <v>136583</v>
      </c>
      <c r="J40" s="1624">
        <v>225000</v>
      </c>
      <c r="K40" s="960">
        <v>299400</v>
      </c>
      <c r="L40" s="1045"/>
      <c r="M40" s="828">
        <f>SUM(K40:L40)</f>
        <v>299400</v>
      </c>
    </row>
    <row r="41" spans="1:22" x14ac:dyDescent="0.35">
      <c r="A41" s="108">
        <v>35</v>
      </c>
      <c r="B41" s="117"/>
      <c r="C41" s="144"/>
      <c r="D41" s="144"/>
      <c r="E41" s="144"/>
      <c r="F41" s="60" t="s">
        <v>399</v>
      </c>
      <c r="G41" s="2"/>
      <c r="H41" s="2">
        <v>15000</v>
      </c>
      <c r="I41" s="2"/>
      <c r="J41" s="1624"/>
      <c r="K41" s="960"/>
      <c r="L41" s="1045"/>
      <c r="M41" s="829"/>
    </row>
    <row r="42" spans="1:22" ht="36" customHeight="1" x14ac:dyDescent="0.35">
      <c r="A42" s="108">
        <v>36</v>
      </c>
      <c r="B42" s="117"/>
      <c r="C42" s="144"/>
      <c r="D42" s="144"/>
      <c r="E42" s="144">
        <v>11</v>
      </c>
      <c r="F42" s="59" t="s">
        <v>207</v>
      </c>
      <c r="G42" s="12">
        <v>165</v>
      </c>
      <c r="H42" s="12"/>
      <c r="I42" s="12">
        <v>957</v>
      </c>
      <c r="J42" s="1623"/>
      <c r="K42" s="1453">
        <v>3000</v>
      </c>
      <c r="L42" s="1045"/>
      <c r="M42" s="830">
        <f>SUM(K42:L42)</f>
        <v>3000</v>
      </c>
    </row>
    <row r="43" spans="1:22" s="147" customFormat="1" ht="36" customHeight="1" x14ac:dyDescent="0.35">
      <c r="A43" s="108">
        <v>37</v>
      </c>
      <c r="B43" s="117">
        <v>18</v>
      </c>
      <c r="C43" s="189"/>
      <c r="D43" s="144"/>
      <c r="E43" s="144">
        <v>12</v>
      </c>
      <c r="F43" s="190" t="s">
        <v>208</v>
      </c>
      <c r="G43" s="61">
        <v>719</v>
      </c>
      <c r="H43" s="61">
        <v>30000</v>
      </c>
      <c r="I43" s="61">
        <v>5897</v>
      </c>
      <c r="J43" s="1625">
        <v>150000</v>
      </c>
      <c r="K43" s="1453">
        <v>627702</v>
      </c>
      <c r="L43" s="1268"/>
      <c r="M43" s="831">
        <f>SUM(K43:L43)</f>
        <v>627702</v>
      </c>
    </row>
    <row r="44" spans="1:22" s="221" customFormat="1" ht="36" customHeight="1" x14ac:dyDescent="0.35">
      <c r="A44" s="706">
        <v>38</v>
      </c>
      <c r="B44" s="411" t="s">
        <v>565</v>
      </c>
      <c r="C44" s="223"/>
      <c r="D44" s="223"/>
      <c r="E44" s="222">
        <v>13</v>
      </c>
      <c r="F44" s="230" t="s">
        <v>209</v>
      </c>
      <c r="G44" s="12">
        <v>795</v>
      </c>
      <c r="H44" s="12"/>
      <c r="I44" s="12"/>
      <c r="J44" s="1623"/>
      <c r="K44" s="1453"/>
      <c r="L44" s="998"/>
      <c r="M44" s="833"/>
    </row>
    <row r="45" spans="1:22" s="31" customFormat="1" ht="36" customHeight="1" x14ac:dyDescent="0.2">
      <c r="A45" s="70">
        <v>39</v>
      </c>
      <c r="B45" s="28">
        <v>18</v>
      </c>
      <c r="C45" s="231"/>
      <c r="D45" s="232"/>
      <c r="E45" s="232"/>
      <c r="F45" s="678" t="s">
        <v>210</v>
      </c>
      <c r="G45" s="62">
        <f>SUM(G46:G46)</f>
        <v>0</v>
      </c>
      <c r="H45" s="62">
        <f>SUM(H46:H46)</f>
        <v>0</v>
      </c>
      <c r="I45" s="62">
        <f>SUM(I46:I46)</f>
        <v>700</v>
      </c>
      <c r="J45" s="818">
        <f>SUM(J46:J46)</f>
        <v>0</v>
      </c>
      <c r="K45" s="1618">
        <f>SUM(K46:K46)</f>
        <v>0</v>
      </c>
      <c r="L45" s="1270">
        <f t="shared" ref="L45:M45" si="14">SUM(L46:L46)</f>
        <v>0</v>
      </c>
      <c r="M45" s="835">
        <f t="shared" si="14"/>
        <v>0</v>
      </c>
    </row>
    <row r="46" spans="1:22" ht="33.75" x14ac:dyDescent="0.35">
      <c r="A46" s="70">
        <v>40</v>
      </c>
      <c r="B46" s="117"/>
      <c r="C46" s="233"/>
      <c r="D46" s="233"/>
      <c r="E46" s="233"/>
      <c r="F46" s="679" t="s">
        <v>277</v>
      </c>
      <c r="G46" s="64"/>
      <c r="H46" s="64"/>
      <c r="I46" s="996">
        <v>700</v>
      </c>
      <c r="J46" s="1626"/>
      <c r="K46" s="1619"/>
      <c r="L46" s="1045"/>
      <c r="M46" s="829"/>
    </row>
    <row r="47" spans="1:22" s="31" customFormat="1" ht="40.15" customHeight="1" thickBot="1" x14ac:dyDescent="0.25">
      <c r="A47" s="70">
        <v>41</v>
      </c>
      <c r="B47" s="413"/>
      <c r="C47" s="234"/>
      <c r="D47" s="235"/>
      <c r="E47" s="235"/>
      <c r="F47" s="236" t="s">
        <v>211</v>
      </c>
      <c r="G47" s="429">
        <f>SUM(G7,G33,G45)</f>
        <v>16297419</v>
      </c>
      <c r="H47" s="429">
        <f>SUM(H7,H33,H45)</f>
        <v>19818139</v>
      </c>
      <c r="I47" s="429">
        <f>SUM(I7,I33,I45)</f>
        <v>26835824</v>
      </c>
      <c r="J47" s="819">
        <f>SUM(J7,J33,J45)</f>
        <v>18625677</v>
      </c>
      <c r="K47" s="1620">
        <f>SUM(K7,K33,K45)</f>
        <v>24756543</v>
      </c>
      <c r="L47" s="1271">
        <f t="shared" ref="L47:M47" si="15">SUM(L7,L33,L45)</f>
        <v>159505</v>
      </c>
      <c r="M47" s="836">
        <f t="shared" si="15"/>
        <v>24916048</v>
      </c>
    </row>
    <row r="48" spans="1:22" s="31" customFormat="1" ht="40.15" customHeight="1" thickTop="1" thickBot="1" x14ac:dyDescent="0.25">
      <c r="A48" s="70">
        <v>42</v>
      </c>
      <c r="B48" s="414"/>
      <c r="C48" s="237"/>
      <c r="D48" s="238"/>
      <c r="E48" s="238"/>
      <c r="F48" s="239" t="s">
        <v>212</v>
      </c>
      <c r="G48" s="63">
        <f>+G47-'2.Onki'!G33</f>
        <v>2729527</v>
      </c>
      <c r="H48" s="63">
        <f>+H47-'2.Onki'!H33</f>
        <v>-2049654</v>
      </c>
      <c r="I48" s="63">
        <f>+I47-'2.Onki'!I33</f>
        <v>6257189</v>
      </c>
      <c r="J48" s="820">
        <f>+J47-'2.Onki'!J33</f>
        <v>-8870872</v>
      </c>
      <c r="K48" s="1621">
        <f>+K47-'2.Onki'!K33</f>
        <v>-13553930</v>
      </c>
      <c r="L48" s="1272">
        <f>+L47-'2.Onki'!L33</f>
        <v>0</v>
      </c>
      <c r="M48" s="837">
        <f>+M47-'2.Onki'!M33</f>
        <v>-13553930</v>
      </c>
    </row>
    <row r="49" spans="1:13" s="31" customFormat="1" ht="36" customHeight="1" x14ac:dyDescent="0.2">
      <c r="A49" s="70">
        <v>43</v>
      </c>
      <c r="B49" s="28"/>
      <c r="C49" s="1679"/>
      <c r="D49" s="211"/>
      <c r="E49" s="211">
        <v>14</v>
      </c>
      <c r="F49" s="203" t="s">
        <v>213</v>
      </c>
      <c r="G49" s="430">
        <f>SUM(G51,G60)+G50</f>
        <v>4365983</v>
      </c>
      <c r="H49" s="430">
        <f>SUM(H51,H60)+H50</f>
        <v>2252983</v>
      </c>
      <c r="I49" s="430">
        <f>SUM(I51,I60)+I50</f>
        <v>7032676</v>
      </c>
      <c r="J49" s="821">
        <f>SUM(J51,J60)+J50</f>
        <v>9080507</v>
      </c>
      <c r="K49" s="1457">
        <f>SUM(K51,K60)+K50</f>
        <v>13763565</v>
      </c>
      <c r="L49" s="1273">
        <f t="shared" ref="L49:M49" si="16">SUM(L51,L60)+L50</f>
        <v>0</v>
      </c>
      <c r="M49" s="838">
        <f t="shared" si="16"/>
        <v>13763565</v>
      </c>
    </row>
    <row r="50" spans="1:13" s="31" customFormat="1" ht="36" customHeight="1" x14ac:dyDescent="0.2">
      <c r="A50" s="70">
        <v>44</v>
      </c>
      <c r="B50" s="28"/>
      <c r="C50" s="1679"/>
      <c r="D50" s="211">
        <v>1</v>
      </c>
      <c r="E50" s="211"/>
      <c r="F50" s="203" t="s">
        <v>281</v>
      </c>
      <c r="G50" s="430">
        <v>125962</v>
      </c>
      <c r="H50" s="430"/>
      <c r="I50" s="430">
        <f>101444+6062</f>
        <v>107506</v>
      </c>
      <c r="J50" s="1627"/>
      <c r="K50" s="1457"/>
      <c r="L50" s="1427"/>
      <c r="M50" s="839"/>
    </row>
    <row r="51" spans="1:13" s="31" customFormat="1" ht="33" customHeight="1" x14ac:dyDescent="0.2">
      <c r="A51" s="70">
        <v>45</v>
      </c>
      <c r="B51" s="415"/>
      <c r="C51" s="231"/>
      <c r="D51" s="232"/>
      <c r="E51" s="232"/>
      <c r="F51" s="240" t="s">
        <v>319</v>
      </c>
      <c r="G51" s="62">
        <f>SUM(G52,G56)</f>
        <v>4240021</v>
      </c>
      <c r="H51" s="62">
        <f>SUM(H52,H56)</f>
        <v>2153983</v>
      </c>
      <c r="I51" s="62">
        <f>SUM(I52,I56)</f>
        <v>6873658</v>
      </c>
      <c r="J51" s="818">
        <f>SUM(J52,J56)</f>
        <v>8404019</v>
      </c>
      <c r="K51" s="1618">
        <f>SUM(K52,K56)</f>
        <v>13087077</v>
      </c>
      <c r="L51" s="1270">
        <f t="shared" ref="L51:M51" si="17">SUM(L52,L56)</f>
        <v>0</v>
      </c>
      <c r="M51" s="835">
        <f t="shared" si="17"/>
        <v>13087077</v>
      </c>
    </row>
    <row r="52" spans="1:13" s="147" customFormat="1" ht="24" customHeight="1" x14ac:dyDescent="0.35">
      <c r="A52" s="70">
        <v>46</v>
      </c>
      <c r="B52" s="117"/>
      <c r="C52" s="189"/>
      <c r="D52" s="144">
        <v>1</v>
      </c>
      <c r="E52" s="144"/>
      <c r="F52" s="190" t="s">
        <v>279</v>
      </c>
      <c r="G52" s="61">
        <f>SUM(G53:G55)</f>
        <v>1445783</v>
      </c>
      <c r="H52" s="61">
        <f>SUM(H53:H55)</f>
        <v>816136</v>
      </c>
      <c r="I52" s="61">
        <f>SUM(I53:I55)</f>
        <v>1957723</v>
      </c>
      <c r="J52" s="817">
        <f>SUM(J53:J55)</f>
        <v>1315949</v>
      </c>
      <c r="K52" s="1453">
        <f>SUM(K53:K55)</f>
        <v>2879946</v>
      </c>
      <c r="L52" s="1267">
        <f t="shared" ref="L52:M52" si="18">SUM(L53:L55)</f>
        <v>0</v>
      </c>
      <c r="M52" s="827">
        <f t="shared" si="18"/>
        <v>2879946</v>
      </c>
    </row>
    <row r="53" spans="1:13" x14ac:dyDescent="0.35">
      <c r="A53" s="108">
        <v>47</v>
      </c>
      <c r="B53" s="409" t="s">
        <v>398</v>
      </c>
      <c r="C53" s="144"/>
      <c r="D53" s="144"/>
      <c r="E53" s="144"/>
      <c r="F53" s="60" t="s">
        <v>214</v>
      </c>
      <c r="G53" s="2">
        <v>375129</v>
      </c>
      <c r="H53" s="2">
        <v>220402</v>
      </c>
      <c r="I53" s="2">
        <v>612577</v>
      </c>
      <c r="J53" s="1624">
        <v>137936</v>
      </c>
      <c r="K53" s="960">
        <v>573305</v>
      </c>
      <c r="L53" s="1045"/>
      <c r="M53" s="828">
        <f>SUM(K53:L53)</f>
        <v>573305</v>
      </c>
    </row>
    <row r="54" spans="1:13" x14ac:dyDescent="0.35">
      <c r="A54" s="108">
        <v>48</v>
      </c>
      <c r="B54" s="117">
        <v>17</v>
      </c>
      <c r="C54" s="144"/>
      <c r="D54" s="144"/>
      <c r="E54" s="144"/>
      <c r="F54" s="60" t="s">
        <v>215</v>
      </c>
      <c r="G54" s="2">
        <v>235809</v>
      </c>
      <c r="H54" s="2"/>
      <c r="I54" s="2">
        <v>251672</v>
      </c>
      <c r="J54" s="1624">
        <v>14861</v>
      </c>
      <c r="K54" s="960">
        <v>294771</v>
      </c>
      <c r="L54" s="1045"/>
      <c r="M54" s="828">
        <f t="shared" ref="M54:M55" si="19">SUM(K54:L54)</f>
        <v>294771</v>
      </c>
    </row>
    <row r="55" spans="1:13" x14ac:dyDescent="0.35">
      <c r="A55" s="108">
        <v>49</v>
      </c>
      <c r="B55" s="117">
        <v>18</v>
      </c>
      <c r="C55" s="144"/>
      <c r="D55" s="144"/>
      <c r="E55" s="144"/>
      <c r="F55" s="60" t="s">
        <v>132</v>
      </c>
      <c r="G55" s="2">
        <v>834845</v>
      </c>
      <c r="H55" s="2">
        <v>595734</v>
      </c>
      <c r="I55" s="2">
        <v>1093474</v>
      </c>
      <c r="J55" s="1624">
        <v>1163152</v>
      </c>
      <c r="K55" s="960">
        <v>2011870</v>
      </c>
      <c r="L55" s="1045"/>
      <c r="M55" s="828">
        <f t="shared" si="19"/>
        <v>2011870</v>
      </c>
    </row>
    <row r="56" spans="1:13" s="147" customFormat="1" ht="24" customHeight="1" x14ac:dyDescent="0.35">
      <c r="A56" s="70">
        <v>50</v>
      </c>
      <c r="B56" s="117"/>
      <c r="C56" s="189"/>
      <c r="D56" s="144">
        <v>2</v>
      </c>
      <c r="E56" s="144"/>
      <c r="F56" s="190" t="s">
        <v>278</v>
      </c>
      <c r="G56" s="61">
        <f>SUM(G57:G59)</f>
        <v>2794238</v>
      </c>
      <c r="H56" s="61">
        <f>H57+H59</f>
        <v>1337847</v>
      </c>
      <c r="I56" s="61">
        <f>SUM(I57:I59)</f>
        <v>4915935</v>
      </c>
      <c r="J56" s="817">
        <f>SUM(J57:J59)</f>
        <v>7088070</v>
      </c>
      <c r="K56" s="1453">
        <f>SUM(K57:K59)</f>
        <v>10207131</v>
      </c>
      <c r="L56" s="1267">
        <f t="shared" ref="L56:M56" si="20">SUM(L57:L59)</f>
        <v>0</v>
      </c>
      <c r="M56" s="827">
        <f t="shared" si="20"/>
        <v>10207131</v>
      </c>
    </row>
    <row r="57" spans="1:13" s="221" customFormat="1" x14ac:dyDescent="0.35">
      <c r="A57" s="108">
        <v>51</v>
      </c>
      <c r="B57" s="410" t="s">
        <v>398</v>
      </c>
      <c r="C57" s="144"/>
      <c r="D57" s="144"/>
      <c r="E57" s="144"/>
      <c r="F57" s="241" t="s">
        <v>214</v>
      </c>
      <c r="G57" s="2">
        <v>36696</v>
      </c>
      <c r="H57" s="2"/>
      <c r="I57" s="2">
        <v>48512</v>
      </c>
      <c r="J57" s="1624">
        <v>58070</v>
      </c>
      <c r="K57" s="960">
        <v>127144</v>
      </c>
      <c r="L57" s="1045"/>
      <c r="M57" s="828">
        <f>SUM(K57:L57)</f>
        <v>127144</v>
      </c>
    </row>
    <row r="58" spans="1:13" s="221" customFormat="1" x14ac:dyDescent="0.35">
      <c r="A58" s="108">
        <v>52</v>
      </c>
      <c r="B58" s="410" t="s">
        <v>348</v>
      </c>
      <c r="C58" s="144"/>
      <c r="D58" s="144"/>
      <c r="E58" s="144"/>
      <c r="F58" s="60" t="s">
        <v>215</v>
      </c>
      <c r="G58" s="2">
        <v>5940</v>
      </c>
      <c r="H58" s="2"/>
      <c r="I58" s="2">
        <v>16696</v>
      </c>
      <c r="J58" s="1624"/>
      <c r="K58" s="960">
        <v>24251</v>
      </c>
      <c r="L58" s="1045"/>
      <c r="M58" s="828">
        <f>SUM(K58:L58)</f>
        <v>24251</v>
      </c>
    </row>
    <row r="59" spans="1:13" s="221" customFormat="1" x14ac:dyDescent="0.35">
      <c r="A59" s="108">
        <v>53</v>
      </c>
      <c r="B59" s="117">
        <v>18</v>
      </c>
      <c r="C59" s="144"/>
      <c r="D59" s="144"/>
      <c r="E59" s="144"/>
      <c r="F59" s="241" t="s">
        <v>380</v>
      </c>
      <c r="G59" s="2">
        <v>2751602</v>
      </c>
      <c r="H59" s="2">
        <v>1337847</v>
      </c>
      <c r="I59" s="2">
        <v>4850727</v>
      </c>
      <c r="J59" s="1624">
        <v>7030000</v>
      </c>
      <c r="K59" s="960">
        <v>10055736</v>
      </c>
      <c r="L59" s="1045"/>
      <c r="M59" s="828">
        <f>SUM(K59:L59)</f>
        <v>10055736</v>
      </c>
    </row>
    <row r="60" spans="1:13" s="31" customFormat="1" ht="30" customHeight="1" x14ac:dyDescent="0.2">
      <c r="A60" s="70">
        <v>54</v>
      </c>
      <c r="B60" s="415"/>
      <c r="C60" s="231"/>
      <c r="D60" s="232"/>
      <c r="E60" s="232"/>
      <c r="F60" s="240" t="s">
        <v>320</v>
      </c>
      <c r="G60" s="62">
        <f>SUM(G61:G63)</f>
        <v>0</v>
      </c>
      <c r="H60" s="62">
        <f>SUM(H61:H63)</f>
        <v>99000</v>
      </c>
      <c r="I60" s="62">
        <f>SUM(I61:I63)</f>
        <v>51512</v>
      </c>
      <c r="J60" s="818">
        <f>SUM(J61:J63)</f>
        <v>676488</v>
      </c>
      <c r="K60" s="1618">
        <f>SUM(K61:K63)</f>
        <v>676488</v>
      </c>
      <c r="L60" s="1270">
        <f t="shared" ref="L60:M60" si="21">SUM(L61:L63)</f>
        <v>0</v>
      </c>
      <c r="M60" s="835">
        <f t="shared" si="21"/>
        <v>676488</v>
      </c>
    </row>
    <row r="61" spans="1:13" s="147" customFormat="1" ht="24" customHeight="1" x14ac:dyDescent="0.35">
      <c r="A61" s="108">
        <v>55</v>
      </c>
      <c r="B61" s="117">
        <v>18</v>
      </c>
      <c r="C61" s="189"/>
      <c r="D61" s="144">
        <v>2</v>
      </c>
      <c r="E61" s="144"/>
      <c r="F61" s="190" t="s">
        <v>216</v>
      </c>
      <c r="G61" s="61"/>
      <c r="H61" s="61"/>
      <c r="I61" s="61"/>
      <c r="J61" s="1625"/>
      <c r="K61" s="1453"/>
      <c r="L61" s="1426"/>
      <c r="M61" s="832"/>
    </row>
    <row r="62" spans="1:13" x14ac:dyDescent="0.35">
      <c r="A62" s="108">
        <v>56</v>
      </c>
      <c r="B62" s="117"/>
      <c r="C62" s="144"/>
      <c r="D62" s="144"/>
      <c r="E62" s="144"/>
      <c r="F62" s="60" t="s">
        <v>216</v>
      </c>
      <c r="G62" s="2"/>
      <c r="H62" s="2"/>
      <c r="I62" s="2"/>
      <c r="J62" s="1624">
        <v>629000</v>
      </c>
      <c r="K62" s="960">
        <f>475000+1000+153000</f>
        <v>629000</v>
      </c>
      <c r="L62" s="1045"/>
      <c r="M62" s="828">
        <f>SUM(K62:L62)</f>
        <v>629000</v>
      </c>
    </row>
    <row r="63" spans="1:13" x14ac:dyDescent="0.35">
      <c r="A63" s="108">
        <v>57</v>
      </c>
      <c r="B63" s="117"/>
      <c r="C63" s="144"/>
      <c r="D63" s="144"/>
      <c r="E63" s="144"/>
      <c r="F63" s="242" t="s">
        <v>217</v>
      </c>
      <c r="G63" s="64"/>
      <c r="H63" s="64">
        <v>99000</v>
      </c>
      <c r="I63" s="64">
        <v>51512</v>
      </c>
      <c r="J63" s="1624">
        <v>47488</v>
      </c>
      <c r="K63" s="960">
        <v>47488</v>
      </c>
      <c r="L63" s="1045"/>
      <c r="M63" s="828">
        <f>SUM(K63:L63)</f>
        <v>47488</v>
      </c>
    </row>
    <row r="64" spans="1:13" s="31" customFormat="1" ht="36" customHeight="1" thickBot="1" x14ac:dyDescent="0.25">
      <c r="A64" s="70">
        <v>58</v>
      </c>
      <c r="B64" s="416"/>
      <c r="C64" s="243"/>
      <c r="D64" s="244"/>
      <c r="E64" s="244"/>
      <c r="F64" s="245" t="s">
        <v>218</v>
      </c>
      <c r="G64" s="431">
        <f>SUM(G47,G49)</f>
        <v>20663402</v>
      </c>
      <c r="H64" s="431">
        <f>SUM(H47,H49)</f>
        <v>22071122</v>
      </c>
      <c r="I64" s="431">
        <f>SUM(I47,I49)</f>
        <v>33868500</v>
      </c>
      <c r="J64" s="822">
        <f>SUM(J47,J49)</f>
        <v>27706184</v>
      </c>
      <c r="K64" s="1622">
        <f>SUM(K47,K49)</f>
        <v>38520108</v>
      </c>
      <c r="L64" s="1274">
        <f t="shared" ref="L64:M64" si="22">SUM(L47,L49)</f>
        <v>159505</v>
      </c>
      <c r="M64" s="840">
        <f t="shared" si="22"/>
        <v>38679613</v>
      </c>
    </row>
  </sheetData>
  <mergeCells count="3">
    <mergeCell ref="B1:F1"/>
    <mergeCell ref="B2:M2"/>
    <mergeCell ref="B3:M3"/>
  </mergeCells>
  <printOptions horizontalCentered="1"/>
  <pageMargins left="0.19685039370078741" right="0.19685039370078741" top="0.59055118110236227" bottom="0.59055118110236227" header="0.51181102362204722" footer="0.51181102362204722"/>
  <pageSetup paperSize="9" scale="53" fitToHeight="2" orientation="portrait" r:id="rId1"/>
  <headerFooter alignWithMargins="0">
    <oddFooter>&amp;C- &amp;P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6"/>
  <sheetViews>
    <sheetView view="pageBreakPreview" zoomScale="85" zoomScaleNormal="100" zoomScaleSheetLayoutView="85" workbookViewId="0">
      <selection activeCell="B1" sqref="B1:F1"/>
    </sheetView>
  </sheetViews>
  <sheetFormatPr defaultColWidth="9.140625" defaultRowHeight="17.25" x14ac:dyDescent="0.35"/>
  <cols>
    <col min="1" max="1" width="3.7109375" style="70" customWidth="1"/>
    <col min="2" max="2" width="6.7109375" style="106" customWidth="1"/>
    <col min="3" max="5" width="5.7109375" style="108" customWidth="1"/>
    <col min="6" max="6" width="59.7109375" style="66" customWidth="1"/>
    <col min="7" max="10" width="13.7109375" style="66" customWidth="1"/>
    <col min="11" max="11" width="15.7109375" style="66" customWidth="1"/>
    <col min="12" max="12" width="15.7109375" style="88" customWidth="1"/>
    <col min="13" max="13" width="15.7109375" style="66" customWidth="1"/>
    <col min="14" max="16384" width="9.140625" style="66"/>
  </cols>
  <sheetData>
    <row r="1" spans="1:13" x14ac:dyDescent="0.35">
      <c r="B1" s="1748" t="s">
        <v>1494</v>
      </c>
      <c r="C1" s="1748"/>
      <c r="D1" s="1748"/>
      <c r="E1" s="1748"/>
      <c r="F1" s="1748"/>
      <c r="H1" s="67"/>
      <c r="I1" s="68"/>
      <c r="J1" s="68"/>
      <c r="K1" s="68"/>
    </row>
    <row r="2" spans="1:13" s="69" customFormat="1" ht="24.95" customHeight="1" x14ac:dyDescent="0.2">
      <c r="A2" s="70"/>
      <c r="B2" s="1749" t="s">
        <v>184</v>
      </c>
      <c r="C2" s="1749"/>
      <c r="D2" s="1749"/>
      <c r="E2" s="1749"/>
      <c r="F2" s="1749"/>
      <c r="G2" s="1749"/>
      <c r="H2" s="1749"/>
      <c r="I2" s="1749"/>
      <c r="J2" s="1749"/>
      <c r="K2" s="1749"/>
      <c r="L2" s="1749"/>
      <c r="M2" s="1749"/>
    </row>
    <row r="3" spans="1:13" s="69" customFormat="1" ht="24.95" customHeight="1" x14ac:dyDescent="0.2">
      <c r="A3" s="70"/>
      <c r="B3" s="1749" t="s">
        <v>1383</v>
      </c>
      <c r="C3" s="1749"/>
      <c r="D3" s="1749"/>
      <c r="E3" s="1749"/>
      <c r="F3" s="1749"/>
      <c r="G3" s="1749"/>
      <c r="H3" s="1749"/>
      <c r="I3" s="1749"/>
      <c r="J3" s="1749"/>
      <c r="K3" s="1749"/>
      <c r="L3" s="1749"/>
      <c r="M3" s="1749"/>
    </row>
    <row r="4" spans="1:13" x14ac:dyDescent="0.35">
      <c r="C4" s="107"/>
      <c r="E4" s="107"/>
      <c r="F4" s="107"/>
      <c r="G4" s="107"/>
      <c r="H4" s="67"/>
      <c r="M4" s="432" t="s">
        <v>0</v>
      </c>
    </row>
    <row r="5" spans="1:13" s="108" customFormat="1" thickBot="1" x14ac:dyDescent="0.35">
      <c r="A5" s="70"/>
      <c r="B5" s="106" t="s">
        <v>1</v>
      </c>
      <c r="C5" s="108" t="s">
        <v>3</v>
      </c>
      <c r="D5" s="108" t="s">
        <v>2</v>
      </c>
      <c r="E5" s="108" t="s">
        <v>4</v>
      </c>
      <c r="F5" s="108" t="s">
        <v>5</v>
      </c>
      <c r="G5" s="108" t="s">
        <v>16</v>
      </c>
      <c r="H5" s="108" t="s">
        <v>17</v>
      </c>
      <c r="I5" s="77" t="s">
        <v>18</v>
      </c>
      <c r="J5" s="77" t="s">
        <v>39</v>
      </c>
      <c r="K5" s="77" t="s">
        <v>31</v>
      </c>
      <c r="L5" s="108" t="s">
        <v>24</v>
      </c>
      <c r="M5" s="108" t="s">
        <v>40</v>
      </c>
    </row>
    <row r="6" spans="1:13" s="70" customFormat="1" ht="80.099999999999994" customHeight="1" thickBot="1" x14ac:dyDescent="0.25">
      <c r="B6" s="433" t="s">
        <v>219</v>
      </c>
      <c r="C6" s="434" t="s">
        <v>20</v>
      </c>
      <c r="D6" s="421" t="s">
        <v>185</v>
      </c>
      <c r="E6" s="421" t="s">
        <v>186</v>
      </c>
      <c r="F6" s="435" t="s">
        <v>6</v>
      </c>
      <c r="G6" s="288" t="s">
        <v>528</v>
      </c>
      <c r="H6" s="288" t="s">
        <v>529</v>
      </c>
      <c r="I6" s="425" t="s">
        <v>934</v>
      </c>
      <c r="J6" s="814" t="s">
        <v>1235</v>
      </c>
      <c r="K6" s="1616" t="s">
        <v>1382</v>
      </c>
      <c r="L6" s="917" t="s">
        <v>128</v>
      </c>
      <c r="M6" s="824" t="s">
        <v>1381</v>
      </c>
    </row>
    <row r="7" spans="1:13" s="75" customFormat="1" ht="30" customHeight="1" x14ac:dyDescent="0.35">
      <c r="A7" s="70">
        <v>1</v>
      </c>
      <c r="B7" s="417" t="s">
        <v>565</v>
      </c>
      <c r="C7" s="71"/>
      <c r="D7" s="72"/>
      <c r="E7" s="71"/>
      <c r="F7" s="73" t="s">
        <v>220</v>
      </c>
      <c r="G7" s="74">
        <f t="shared" ref="G7:L7" si="0">SUM(G8:G9)</f>
        <v>6705548</v>
      </c>
      <c r="H7" s="74">
        <f t="shared" si="0"/>
        <v>7096344</v>
      </c>
      <c r="I7" s="74">
        <f t="shared" si="0"/>
        <v>7353582</v>
      </c>
      <c r="J7" s="841">
        <f t="shared" si="0"/>
        <v>7596089</v>
      </c>
      <c r="K7" s="74">
        <f t="shared" si="0"/>
        <v>8959091</v>
      </c>
      <c r="L7" s="1628">
        <f t="shared" si="0"/>
        <v>149263</v>
      </c>
      <c r="M7" s="851">
        <f t="shared" ref="M7" si="1">SUM(M8:M9)</f>
        <v>9108354</v>
      </c>
    </row>
    <row r="8" spans="1:13" ht="26.1" customHeight="1" x14ac:dyDescent="0.35">
      <c r="A8" s="70">
        <v>2</v>
      </c>
      <c r="B8" s="76"/>
      <c r="C8" s="77"/>
      <c r="D8" s="77">
        <v>1</v>
      </c>
      <c r="E8" s="77"/>
      <c r="F8" s="78" t="s">
        <v>42</v>
      </c>
      <c r="G8" s="78">
        <v>6573836</v>
      </c>
      <c r="H8" s="78">
        <v>7023169</v>
      </c>
      <c r="I8" s="78">
        <v>7197678</v>
      </c>
      <c r="J8" s="842">
        <v>7431316</v>
      </c>
      <c r="K8" s="78">
        <v>8609494</v>
      </c>
      <c r="L8" s="87">
        <v>129956</v>
      </c>
      <c r="M8" s="856">
        <f>SUM(K8:L8)</f>
        <v>8739450</v>
      </c>
    </row>
    <row r="9" spans="1:13" ht="25.5" customHeight="1" x14ac:dyDescent="0.35">
      <c r="A9" s="70">
        <v>3</v>
      </c>
      <c r="B9" s="76"/>
      <c r="C9" s="77"/>
      <c r="D9" s="77">
        <v>2</v>
      </c>
      <c r="E9" s="77"/>
      <c r="F9" s="78" t="s">
        <v>172</v>
      </c>
      <c r="G9" s="78">
        <f t="shared" ref="G9:L9" si="2">SUM(G10:G11)</f>
        <v>131712</v>
      </c>
      <c r="H9" s="78">
        <f t="shared" si="2"/>
        <v>73175</v>
      </c>
      <c r="I9" s="78">
        <f t="shared" si="2"/>
        <v>155904</v>
      </c>
      <c r="J9" s="842">
        <f t="shared" si="2"/>
        <v>164773</v>
      </c>
      <c r="K9" s="78">
        <f t="shared" si="2"/>
        <v>349597</v>
      </c>
      <c r="L9" s="87">
        <f t="shared" si="2"/>
        <v>19307</v>
      </c>
      <c r="M9" s="856">
        <f t="shared" ref="M9:M11" si="3">SUM(K9:L9)</f>
        <v>368904</v>
      </c>
    </row>
    <row r="10" spans="1:13" x14ac:dyDescent="0.35">
      <c r="A10" s="70">
        <v>4</v>
      </c>
      <c r="B10" s="76"/>
      <c r="C10" s="77"/>
      <c r="D10" s="77"/>
      <c r="E10" s="77">
        <v>1</v>
      </c>
      <c r="F10" s="79" t="s">
        <v>247</v>
      </c>
      <c r="G10" s="78">
        <v>131598</v>
      </c>
      <c r="H10" s="78">
        <v>73175</v>
      </c>
      <c r="I10" s="78">
        <v>155449</v>
      </c>
      <c r="J10" s="842">
        <v>164773</v>
      </c>
      <c r="K10" s="78">
        <v>346217</v>
      </c>
      <c r="L10" s="87">
        <v>19107</v>
      </c>
      <c r="M10" s="856">
        <f t="shared" si="3"/>
        <v>365324</v>
      </c>
    </row>
    <row r="11" spans="1:13" x14ac:dyDescent="0.35">
      <c r="A11" s="70">
        <v>5</v>
      </c>
      <c r="B11" s="76"/>
      <c r="C11" s="77"/>
      <c r="D11" s="77"/>
      <c r="E11" s="77">
        <v>2</v>
      </c>
      <c r="F11" s="79" t="s">
        <v>248</v>
      </c>
      <c r="G11" s="78">
        <v>114</v>
      </c>
      <c r="H11" s="78"/>
      <c r="I11" s="78">
        <v>455</v>
      </c>
      <c r="J11" s="842"/>
      <c r="K11" s="78">
        <v>3380</v>
      </c>
      <c r="L11" s="87">
        <v>200</v>
      </c>
      <c r="M11" s="856">
        <f t="shared" si="3"/>
        <v>3580</v>
      </c>
    </row>
    <row r="12" spans="1:13" s="75" customFormat="1" ht="30" customHeight="1" x14ac:dyDescent="0.35">
      <c r="A12" s="70">
        <v>6</v>
      </c>
      <c r="B12" s="418" t="s">
        <v>566</v>
      </c>
      <c r="C12" s="80"/>
      <c r="D12" s="81"/>
      <c r="E12" s="81"/>
      <c r="F12" s="82" t="s">
        <v>132</v>
      </c>
      <c r="G12" s="82">
        <f>SUM(G13:G14,G25,G26)</f>
        <v>6862305</v>
      </c>
      <c r="H12" s="82">
        <f>SUM(H13:H14,H25,H26)</f>
        <v>14771449</v>
      </c>
      <c r="I12" s="82">
        <f>SUM(I13:I14,I25,I26)</f>
        <v>13225053</v>
      </c>
      <c r="J12" s="843">
        <f>SUM(J13:J14,J25,J26)</f>
        <v>19900460</v>
      </c>
      <c r="K12" s="82">
        <f>SUM(K13:K14,K25,K26)</f>
        <v>29351382</v>
      </c>
      <c r="L12" s="1629">
        <f t="shared" ref="L12:M12" si="4">SUM(L13:L14,L25,L26)</f>
        <v>10242</v>
      </c>
      <c r="M12" s="852">
        <f t="shared" si="4"/>
        <v>29361624</v>
      </c>
    </row>
    <row r="13" spans="1:13" s="75" customFormat="1" ht="25.5" customHeight="1" x14ac:dyDescent="0.35">
      <c r="A13" s="70">
        <v>7</v>
      </c>
      <c r="B13" s="76"/>
      <c r="C13" s="83"/>
      <c r="D13" s="77">
        <v>1</v>
      </c>
      <c r="E13" s="83"/>
      <c r="F13" s="84" t="s">
        <v>42</v>
      </c>
      <c r="G13" s="84">
        <v>4573500</v>
      </c>
      <c r="H13" s="84">
        <v>4616792</v>
      </c>
      <c r="I13" s="84">
        <v>4718378</v>
      </c>
      <c r="J13" s="844">
        <v>5579739</v>
      </c>
      <c r="K13" s="84">
        <v>7686451</v>
      </c>
      <c r="L13" s="1630">
        <v>9545</v>
      </c>
      <c r="M13" s="853">
        <f>SUM(K13:L13)</f>
        <v>7695996</v>
      </c>
    </row>
    <row r="14" spans="1:13" ht="25.5" customHeight="1" x14ac:dyDescent="0.35">
      <c r="A14" s="70">
        <v>8</v>
      </c>
      <c r="B14" s="76"/>
      <c r="C14" s="83"/>
      <c r="D14" s="83"/>
      <c r="E14" s="83"/>
      <c r="F14" s="84" t="s">
        <v>221</v>
      </c>
      <c r="G14" s="84">
        <f t="shared" ref="G14:M14" si="5">SUM(G15,G21)</f>
        <v>0</v>
      </c>
      <c r="H14" s="84">
        <f t="shared" si="5"/>
        <v>400033</v>
      </c>
      <c r="I14" s="84">
        <f t="shared" si="5"/>
        <v>0</v>
      </c>
      <c r="J14" s="844">
        <f>SUM(J15,J21)</f>
        <v>394518</v>
      </c>
      <c r="K14" s="84">
        <f>SUM(K15,K21)</f>
        <v>406918</v>
      </c>
      <c r="L14" s="1630">
        <f t="shared" si="5"/>
        <v>-384</v>
      </c>
      <c r="M14" s="853">
        <f t="shared" si="5"/>
        <v>406534</v>
      </c>
    </row>
    <row r="15" spans="1:13" s="88" customFormat="1" ht="25.5" customHeight="1" x14ac:dyDescent="0.35">
      <c r="A15" s="70">
        <v>9</v>
      </c>
      <c r="B15" s="419"/>
      <c r="C15" s="85"/>
      <c r="D15" s="77">
        <v>1</v>
      </c>
      <c r="E15" s="85"/>
      <c r="F15" s="86" t="s">
        <v>637</v>
      </c>
      <c r="G15" s="87">
        <f>SUM(G16:G19)</f>
        <v>0</v>
      </c>
      <c r="H15" s="87">
        <f>SUM(H16:H19)</f>
        <v>152545</v>
      </c>
      <c r="I15" s="87">
        <f>SUM(I16:I20)</f>
        <v>0</v>
      </c>
      <c r="J15" s="845">
        <f>SUM(J16:J19)+J20</f>
        <v>105109</v>
      </c>
      <c r="K15" s="87">
        <f>SUM(K16:K19)+K20</f>
        <v>1458</v>
      </c>
      <c r="L15" s="87">
        <f>SUM(L16:L20)</f>
        <v>-384</v>
      </c>
      <c r="M15" s="854">
        <f>SUM(M16:M20)</f>
        <v>1074</v>
      </c>
    </row>
    <row r="16" spans="1:13" x14ac:dyDescent="0.35">
      <c r="A16" s="70">
        <v>10</v>
      </c>
      <c r="B16" s="76"/>
      <c r="C16" s="77"/>
      <c r="D16" s="77"/>
      <c r="E16" s="77"/>
      <c r="F16" s="89" t="s">
        <v>222</v>
      </c>
      <c r="G16" s="78"/>
      <c r="H16" s="78">
        <v>110965</v>
      </c>
      <c r="I16" s="78"/>
      <c r="J16" s="842">
        <v>76368</v>
      </c>
      <c r="K16" s="78">
        <v>1282</v>
      </c>
      <c r="L16" s="87">
        <v>-384</v>
      </c>
      <c r="M16" s="856">
        <f>SUM(K16:L16)</f>
        <v>898</v>
      </c>
    </row>
    <row r="17" spans="1:15" x14ac:dyDescent="0.35">
      <c r="A17" s="70">
        <v>11</v>
      </c>
      <c r="B17" s="76"/>
      <c r="C17" s="77"/>
      <c r="D17" s="77"/>
      <c r="E17" s="77"/>
      <c r="F17" s="89" t="s">
        <v>223</v>
      </c>
      <c r="G17" s="78"/>
      <c r="H17" s="78">
        <v>24000</v>
      </c>
      <c r="I17" s="78"/>
      <c r="J17" s="842">
        <v>24000</v>
      </c>
      <c r="K17" s="78">
        <v>176</v>
      </c>
      <c r="L17" s="87"/>
      <c r="M17" s="856">
        <f t="shared" ref="M17:M20" si="6">SUM(K17:L17)</f>
        <v>176</v>
      </c>
    </row>
    <row r="18" spans="1:15" x14ac:dyDescent="0.35">
      <c r="A18" s="70">
        <v>12</v>
      </c>
      <c r="B18" s="76"/>
      <c r="C18" s="77"/>
      <c r="D18" s="77"/>
      <c r="E18" s="77"/>
      <c r="F18" s="89" t="s">
        <v>727</v>
      </c>
      <c r="G18" s="78"/>
      <c r="H18" s="78">
        <v>17580</v>
      </c>
      <c r="I18" s="78"/>
      <c r="J18" s="842">
        <v>4741</v>
      </c>
      <c r="K18" s="78">
        <v>0</v>
      </c>
      <c r="L18" s="87"/>
      <c r="M18" s="856">
        <f t="shared" si="6"/>
        <v>0</v>
      </c>
    </row>
    <row r="19" spans="1:15" x14ac:dyDescent="0.35">
      <c r="A19" s="70">
        <v>13</v>
      </c>
      <c r="B19" s="76"/>
      <c r="C19" s="77"/>
      <c r="D19" s="77"/>
      <c r="E19" s="77"/>
      <c r="F19" s="89" t="s">
        <v>1227</v>
      </c>
      <c r="G19" s="78"/>
      <c r="H19" s="78"/>
      <c r="I19" s="78"/>
      <c r="J19" s="842"/>
      <c r="K19" s="78">
        <v>0</v>
      </c>
      <c r="L19" s="87"/>
      <c r="M19" s="856">
        <f t="shared" si="6"/>
        <v>0</v>
      </c>
    </row>
    <row r="20" spans="1:15" x14ac:dyDescent="0.35">
      <c r="A20" s="70">
        <v>14</v>
      </c>
      <c r="B20" s="76"/>
      <c r="C20" s="77"/>
      <c r="D20" s="77"/>
      <c r="E20" s="77"/>
      <c r="F20" s="89" t="s">
        <v>928</v>
      </c>
      <c r="G20" s="78"/>
      <c r="H20" s="78"/>
      <c r="I20" s="78"/>
      <c r="J20" s="842"/>
      <c r="K20" s="78">
        <v>0</v>
      </c>
      <c r="L20" s="87"/>
      <c r="M20" s="856">
        <f t="shared" si="6"/>
        <v>0</v>
      </c>
    </row>
    <row r="21" spans="1:15" s="88" customFormat="1" ht="25.5" customHeight="1" x14ac:dyDescent="0.35">
      <c r="A21" s="70">
        <v>15</v>
      </c>
      <c r="B21" s="419"/>
      <c r="C21" s="85"/>
      <c r="D21" s="77">
        <v>2</v>
      </c>
      <c r="E21" s="85"/>
      <c r="F21" s="86" t="s">
        <v>638</v>
      </c>
      <c r="G21" s="87">
        <f>SUM(G22:G24)</f>
        <v>0</v>
      </c>
      <c r="H21" s="87">
        <f t="shared" ref="H21:M21" si="7">SUM(H22:H24)</f>
        <v>247488</v>
      </c>
      <c r="I21" s="87">
        <f t="shared" si="7"/>
        <v>0</v>
      </c>
      <c r="J21" s="845">
        <f t="shared" si="7"/>
        <v>289409</v>
      </c>
      <c r="K21" s="87">
        <f t="shared" si="7"/>
        <v>405460</v>
      </c>
      <c r="L21" s="87">
        <f t="shared" si="7"/>
        <v>0</v>
      </c>
      <c r="M21" s="854">
        <f t="shared" si="7"/>
        <v>405460</v>
      </c>
    </row>
    <row r="22" spans="1:15" x14ac:dyDescent="0.35">
      <c r="A22" s="70">
        <v>16</v>
      </c>
      <c r="B22" s="76"/>
      <c r="C22" s="77"/>
      <c r="D22" s="85"/>
      <c r="E22" s="77"/>
      <c r="F22" s="89" t="s">
        <v>224</v>
      </c>
      <c r="G22" s="78"/>
      <c r="H22" s="78">
        <v>47488</v>
      </c>
      <c r="I22" s="78"/>
      <c r="J22" s="842"/>
      <c r="K22" s="78"/>
      <c r="L22" s="87"/>
      <c r="M22" s="856"/>
    </row>
    <row r="23" spans="1:15" x14ac:dyDescent="0.35">
      <c r="A23" s="70">
        <v>17</v>
      </c>
      <c r="B23" s="76"/>
      <c r="C23" s="77"/>
      <c r="D23" s="85"/>
      <c r="E23" s="77"/>
      <c r="F23" s="747" t="s">
        <v>726</v>
      </c>
      <c r="G23" s="78"/>
      <c r="H23" s="748">
        <v>200000</v>
      </c>
      <c r="I23" s="748"/>
      <c r="J23" s="846">
        <v>248370</v>
      </c>
      <c r="K23" s="748">
        <v>0</v>
      </c>
      <c r="L23" s="87"/>
      <c r="M23" s="856">
        <f>SUM(K23:L23)</f>
        <v>0</v>
      </c>
    </row>
    <row r="24" spans="1:15" x14ac:dyDescent="0.35">
      <c r="A24" s="70">
        <v>18</v>
      </c>
      <c r="B24" s="76"/>
      <c r="C24" s="77"/>
      <c r="D24" s="85"/>
      <c r="E24" s="77"/>
      <c r="F24" s="89" t="s">
        <v>530</v>
      </c>
      <c r="G24" s="78"/>
      <c r="H24" s="78"/>
      <c r="I24" s="78"/>
      <c r="J24" s="842">
        <v>41039</v>
      </c>
      <c r="K24" s="78">
        <v>405460</v>
      </c>
      <c r="L24" s="87"/>
      <c r="M24" s="856">
        <f t="shared" ref="M24:M25" si="8">SUM(K24:L24)</f>
        <v>405460</v>
      </c>
    </row>
    <row r="25" spans="1:15" s="69" customFormat="1" ht="25.5" customHeight="1" x14ac:dyDescent="0.2">
      <c r="A25" s="70">
        <v>19</v>
      </c>
      <c r="B25" s="420"/>
      <c r="C25" s="90"/>
      <c r="D25" s="90"/>
      <c r="E25" s="90"/>
      <c r="F25" s="91" t="s">
        <v>225</v>
      </c>
      <c r="G25" s="91"/>
      <c r="H25" s="91">
        <v>50000</v>
      </c>
      <c r="I25" s="91"/>
      <c r="J25" s="847">
        <v>150000</v>
      </c>
      <c r="K25" s="91">
        <v>0</v>
      </c>
      <c r="L25" s="1631"/>
      <c r="M25" s="857">
        <f t="shared" si="8"/>
        <v>0</v>
      </c>
    </row>
    <row r="26" spans="1:15" s="75" customFormat="1" ht="25.5" customHeight="1" x14ac:dyDescent="0.35">
      <c r="A26" s="70">
        <v>20</v>
      </c>
      <c r="B26" s="76"/>
      <c r="C26" s="83"/>
      <c r="D26" s="77">
        <v>2</v>
      </c>
      <c r="E26" s="83"/>
      <c r="F26" s="84" t="s">
        <v>172</v>
      </c>
      <c r="G26" s="84">
        <f>SUM(G27:G29)</f>
        <v>2288805</v>
      </c>
      <c r="H26" s="84">
        <f>SUM(H27:H29)</f>
        <v>9704624</v>
      </c>
      <c r="I26" s="84">
        <f>SUM(I27:I29)</f>
        <v>8506675</v>
      </c>
      <c r="J26" s="844">
        <f>SUM(J27:J29)</f>
        <v>13776203</v>
      </c>
      <c r="K26" s="84">
        <f>SUM(K27:K29)</f>
        <v>21258013</v>
      </c>
      <c r="L26" s="1630">
        <f t="shared" ref="L26:M26" si="9">SUM(L27:L29)</f>
        <v>1081</v>
      </c>
      <c r="M26" s="853">
        <f t="shared" si="9"/>
        <v>21259094</v>
      </c>
    </row>
    <row r="27" spans="1:15" x14ac:dyDescent="0.35">
      <c r="A27" s="70">
        <v>21</v>
      </c>
      <c r="B27" s="76"/>
      <c r="C27" s="83"/>
      <c r="D27" s="77"/>
      <c r="E27" s="77">
        <v>1</v>
      </c>
      <c r="F27" s="79" t="s">
        <v>247</v>
      </c>
      <c r="G27" s="78">
        <v>1959718</v>
      </c>
      <c r="H27" s="78">
        <v>9249545</v>
      </c>
      <c r="I27" s="78">
        <v>7792799</v>
      </c>
      <c r="J27" s="842">
        <v>13014190</v>
      </c>
      <c r="K27" s="78">
        <v>20471232</v>
      </c>
      <c r="L27" s="87">
        <v>7376</v>
      </c>
      <c r="M27" s="856">
        <f>SUM(K27:L27)</f>
        <v>20478608</v>
      </c>
    </row>
    <row r="28" spans="1:15" x14ac:dyDescent="0.35">
      <c r="A28" s="70">
        <v>22</v>
      </c>
      <c r="B28" s="76"/>
      <c r="C28" s="83"/>
      <c r="D28" s="77"/>
      <c r="E28" s="77">
        <v>2</v>
      </c>
      <c r="F28" s="79" t="s">
        <v>173</v>
      </c>
      <c r="G28" s="78">
        <v>141526</v>
      </c>
      <c r="H28" s="78">
        <v>5630</v>
      </c>
      <c r="I28" s="78">
        <v>502120</v>
      </c>
      <c r="J28" s="842">
        <v>197022</v>
      </c>
      <c r="K28" s="78">
        <v>101216</v>
      </c>
      <c r="L28" s="87">
        <v>-3039</v>
      </c>
      <c r="M28" s="856">
        <f t="shared" ref="M28:M29" si="10">SUM(K28:L28)</f>
        <v>98177</v>
      </c>
    </row>
    <row r="29" spans="1:15" x14ac:dyDescent="0.35">
      <c r="A29" s="70">
        <v>23</v>
      </c>
      <c r="B29" s="76"/>
      <c r="C29" s="83"/>
      <c r="D29" s="77"/>
      <c r="E29" s="77">
        <v>3</v>
      </c>
      <c r="F29" s="79" t="s">
        <v>248</v>
      </c>
      <c r="G29" s="78">
        <v>187561</v>
      </c>
      <c r="H29" s="78">
        <v>449449</v>
      </c>
      <c r="I29" s="78">
        <v>211756</v>
      </c>
      <c r="J29" s="842">
        <v>564991</v>
      </c>
      <c r="K29" s="78">
        <v>685565</v>
      </c>
      <c r="L29" s="87">
        <v>-3256</v>
      </c>
      <c r="M29" s="856">
        <f t="shared" si="10"/>
        <v>682309</v>
      </c>
      <c r="O29" s="78"/>
    </row>
    <row r="30" spans="1:15" s="75" customFormat="1" ht="30" customHeight="1" x14ac:dyDescent="0.35">
      <c r="A30" s="70">
        <v>24</v>
      </c>
      <c r="B30" s="418" t="s">
        <v>566</v>
      </c>
      <c r="C30" s="80"/>
      <c r="D30" s="81"/>
      <c r="E30" s="80"/>
      <c r="F30" s="82" t="s">
        <v>226</v>
      </c>
      <c r="G30" s="82">
        <f>SUM(G31:G32)</f>
        <v>39</v>
      </c>
      <c r="H30" s="82">
        <f>SUM(H31:H32)</f>
        <v>0</v>
      </c>
      <c r="I30" s="82">
        <f>SUM(I31:I32)</f>
        <v>0</v>
      </c>
      <c r="J30" s="843">
        <f>SUM(J31:J32)</f>
        <v>0</v>
      </c>
      <c r="K30" s="82">
        <f>SUM(K31:K32)</f>
        <v>0</v>
      </c>
      <c r="L30" s="1629">
        <f t="shared" ref="L30:M30" si="11">SUM(L31:L32)</f>
        <v>0</v>
      </c>
      <c r="M30" s="852">
        <f t="shared" si="11"/>
        <v>0</v>
      </c>
    </row>
    <row r="31" spans="1:15" x14ac:dyDescent="0.35">
      <c r="A31" s="70">
        <v>25</v>
      </c>
      <c r="B31" s="76"/>
      <c r="C31" s="77"/>
      <c r="D31" s="77">
        <v>1</v>
      </c>
      <c r="E31" s="77"/>
      <c r="F31" s="92" t="s">
        <v>42</v>
      </c>
      <c r="G31" s="78">
        <v>39</v>
      </c>
      <c r="H31" s="78"/>
      <c r="I31" s="78"/>
      <c r="J31" s="842"/>
      <c r="K31" s="78"/>
      <c r="L31" s="87"/>
      <c r="M31" s="856"/>
    </row>
    <row r="32" spans="1:15" s="97" customFormat="1" ht="24" customHeight="1" thickBot="1" x14ac:dyDescent="0.25">
      <c r="A32" s="70">
        <v>26</v>
      </c>
      <c r="B32" s="93"/>
      <c r="C32" s="94"/>
      <c r="D32" s="94">
        <v>2</v>
      </c>
      <c r="E32" s="94"/>
      <c r="F32" s="95" t="s">
        <v>172</v>
      </c>
      <c r="G32" s="96"/>
      <c r="H32" s="96"/>
      <c r="I32" s="96"/>
      <c r="J32" s="848"/>
      <c r="K32" s="96"/>
      <c r="L32" s="1632"/>
      <c r="M32" s="858"/>
    </row>
    <row r="33" spans="1:13" s="91" customFormat="1" ht="39.950000000000003" customHeight="1" thickBot="1" x14ac:dyDescent="0.25">
      <c r="A33" s="70">
        <v>27</v>
      </c>
      <c r="B33" s="98"/>
      <c r="C33" s="99"/>
      <c r="D33" s="100"/>
      <c r="E33" s="99"/>
      <c r="F33" s="101" t="s">
        <v>227</v>
      </c>
      <c r="G33" s="101">
        <f>SUM(G7,G12,G30)</f>
        <v>13567892</v>
      </c>
      <c r="H33" s="101">
        <f>SUM(H7,H12,H30)</f>
        <v>21867793</v>
      </c>
      <c r="I33" s="101">
        <f>SUM(I7,I12,I30)</f>
        <v>20578635</v>
      </c>
      <c r="J33" s="849">
        <f>SUM(J7,J12,J30)</f>
        <v>27496549</v>
      </c>
      <c r="K33" s="101">
        <f>SUM(K7,K12,K30)</f>
        <v>38310473</v>
      </c>
      <c r="L33" s="1633">
        <f t="shared" ref="L33:M33" si="12">SUM(L7,L12,L30)</f>
        <v>159505</v>
      </c>
      <c r="M33" s="855">
        <f t="shared" si="12"/>
        <v>38469978</v>
      </c>
    </row>
    <row r="34" spans="1:13" s="68" customFormat="1" ht="30" customHeight="1" x14ac:dyDescent="0.35">
      <c r="A34" s="70">
        <v>28</v>
      </c>
      <c r="B34" s="76" t="s">
        <v>566</v>
      </c>
      <c r="C34" s="77"/>
      <c r="D34" s="77"/>
      <c r="E34" s="77"/>
      <c r="F34" s="84" t="s">
        <v>228</v>
      </c>
      <c r="G34" s="84">
        <f>SUM(G38:G39,G35:G36)</f>
        <v>221852</v>
      </c>
      <c r="H34" s="84">
        <f>SUM(H38:H39,H35:H36)</f>
        <v>203329</v>
      </c>
      <c r="I34" s="84">
        <f>SUM(I38:I39,I35:I36)</f>
        <v>215713</v>
      </c>
      <c r="J34" s="844">
        <f>SUM(J38:J39,J35:J36)</f>
        <v>209635</v>
      </c>
      <c r="K34" s="84">
        <f>SUM(K38:K39,K35:K36)</f>
        <v>209635</v>
      </c>
      <c r="L34" s="1634"/>
      <c r="M34" s="859">
        <f>SUM(K34:L34)</f>
        <v>209635</v>
      </c>
    </row>
    <row r="35" spans="1:13" s="68" customFormat="1" x14ac:dyDescent="0.35">
      <c r="A35" s="70">
        <v>29</v>
      </c>
      <c r="B35" s="76"/>
      <c r="C35" s="77"/>
      <c r="D35" s="77">
        <v>1</v>
      </c>
      <c r="E35" s="77"/>
      <c r="F35" s="102" t="s">
        <v>229</v>
      </c>
      <c r="G35" s="102"/>
      <c r="H35" s="102"/>
      <c r="I35" s="102"/>
      <c r="J35" s="850"/>
      <c r="K35" s="102"/>
      <c r="L35" s="1634"/>
      <c r="M35" s="859"/>
    </row>
    <row r="36" spans="1:13" s="68" customFormat="1" x14ac:dyDescent="0.35">
      <c r="A36" s="70">
        <v>30</v>
      </c>
      <c r="B36" s="76"/>
      <c r="C36" s="77"/>
      <c r="D36" s="77">
        <v>1</v>
      </c>
      <c r="E36" s="77"/>
      <c r="F36" s="102" t="s">
        <v>282</v>
      </c>
      <c r="G36" s="102">
        <v>116478</v>
      </c>
      <c r="H36" s="102">
        <v>95734</v>
      </c>
      <c r="I36" s="102">
        <v>108118</v>
      </c>
      <c r="J36" s="850">
        <v>96040</v>
      </c>
      <c r="K36" s="102">
        <v>96040</v>
      </c>
      <c r="L36" s="1634"/>
      <c r="M36" s="859">
        <f t="shared" ref="M36:M38" si="13">SUM(K36:L36)</f>
        <v>96040</v>
      </c>
    </row>
    <row r="37" spans="1:13" x14ac:dyDescent="0.35">
      <c r="A37" s="70">
        <v>31</v>
      </c>
      <c r="B37" s="76"/>
      <c r="C37" s="77"/>
      <c r="D37" s="77">
        <v>2</v>
      </c>
      <c r="E37" s="77"/>
      <c r="F37" s="102" t="s">
        <v>230</v>
      </c>
      <c r="G37" s="78"/>
      <c r="H37" s="78"/>
      <c r="I37" s="78"/>
      <c r="J37" s="842"/>
      <c r="K37" s="102"/>
      <c r="L37" s="87"/>
      <c r="M37" s="859"/>
    </row>
    <row r="38" spans="1:13" x14ac:dyDescent="0.35">
      <c r="A38" s="70">
        <v>32</v>
      </c>
      <c r="B38" s="76"/>
      <c r="C38" s="77"/>
      <c r="D38" s="77"/>
      <c r="E38" s="77"/>
      <c r="F38" s="103" t="s">
        <v>231</v>
      </c>
      <c r="G38" s="78">
        <v>105374</v>
      </c>
      <c r="H38" s="78">
        <v>107595</v>
      </c>
      <c r="I38" s="78">
        <v>107595</v>
      </c>
      <c r="J38" s="842">
        <v>113595</v>
      </c>
      <c r="K38" s="102">
        <v>113595</v>
      </c>
      <c r="L38" s="87"/>
      <c r="M38" s="859">
        <f t="shared" si="13"/>
        <v>113595</v>
      </c>
    </row>
    <row r="39" spans="1:13" s="97" customFormat="1" ht="18" customHeight="1" thickBot="1" x14ac:dyDescent="0.35">
      <c r="A39" s="70">
        <v>33</v>
      </c>
      <c r="B39" s="93"/>
      <c r="C39" s="94"/>
      <c r="D39" s="94"/>
      <c r="E39" s="94"/>
      <c r="F39" s="104" t="s">
        <v>232</v>
      </c>
      <c r="G39" s="96"/>
      <c r="H39" s="96"/>
      <c r="I39" s="96"/>
      <c r="J39" s="848"/>
      <c r="K39" s="96"/>
      <c r="L39" s="1632"/>
      <c r="M39" s="859"/>
    </row>
    <row r="40" spans="1:13" s="91" customFormat="1" ht="39.950000000000003" customHeight="1" thickBot="1" x14ac:dyDescent="0.25">
      <c r="A40" s="70">
        <v>34</v>
      </c>
      <c r="B40" s="98"/>
      <c r="C40" s="99"/>
      <c r="D40" s="100"/>
      <c r="E40" s="99"/>
      <c r="F40" s="101" t="s">
        <v>233</v>
      </c>
      <c r="G40" s="101">
        <f>SUM(G33:G34)</f>
        <v>13789744</v>
      </c>
      <c r="H40" s="101">
        <f>SUM(H33:H34)</f>
        <v>22071122</v>
      </c>
      <c r="I40" s="101">
        <f>SUM(I33:I34)</f>
        <v>20794348</v>
      </c>
      <c r="J40" s="849">
        <f>SUM(J33:J34)</f>
        <v>27706184</v>
      </c>
      <c r="K40" s="101">
        <f>SUM(K33:K34)</f>
        <v>38520108</v>
      </c>
      <c r="L40" s="1633">
        <f t="shared" ref="L40:M40" si="14">SUM(L33:L34)</f>
        <v>159505</v>
      </c>
      <c r="M40" s="855">
        <f t="shared" si="14"/>
        <v>38679613</v>
      </c>
    </row>
    <row r="41" spans="1:13" x14ac:dyDescent="0.35">
      <c r="B41" s="105"/>
      <c r="C41" s="77"/>
      <c r="D41" s="77"/>
      <c r="E41" s="77"/>
      <c r="F41" s="78"/>
      <c r="G41" s="78">
        <f>+'1.Onbe'!G64-'2.Onki'!G40</f>
        <v>6873658</v>
      </c>
      <c r="H41" s="78">
        <f>+'1.Onbe'!H64-'2.Onki'!H40</f>
        <v>0</v>
      </c>
      <c r="I41" s="78">
        <f>+'1.Onbe'!I64-'2.Onki'!I40</f>
        <v>13074152</v>
      </c>
      <c r="J41" s="78"/>
      <c r="K41" s="78">
        <f>+'1.Onbe'!K64-'2.Onki'!K40</f>
        <v>0</v>
      </c>
      <c r="L41" s="87">
        <f>+'1.Onbe'!L64-'2.Onki'!L40</f>
        <v>0</v>
      </c>
      <c r="M41" s="78">
        <f>+'1.Onbe'!M64-'2.Onki'!M40</f>
        <v>0</v>
      </c>
    </row>
    <row r="42" spans="1:13" x14ac:dyDescent="0.35">
      <c r="B42" s="105"/>
      <c r="C42" s="77"/>
      <c r="D42" s="77"/>
      <c r="E42" s="77"/>
      <c r="F42" s="78"/>
      <c r="G42" s="78"/>
      <c r="H42" s="78"/>
      <c r="I42" s="78"/>
      <c r="J42" s="78"/>
    </row>
    <row r="43" spans="1:13" x14ac:dyDescent="0.35">
      <c r="B43" s="105"/>
      <c r="C43" s="77"/>
      <c r="D43" s="77"/>
      <c r="E43" s="77"/>
      <c r="F43" s="78"/>
      <c r="G43" s="78"/>
      <c r="H43" s="78"/>
      <c r="I43" s="78"/>
      <c r="J43" s="78"/>
    </row>
    <row r="44" spans="1:13" x14ac:dyDescent="0.35">
      <c r="B44" s="105"/>
      <c r="C44" s="77"/>
      <c r="D44" s="77"/>
      <c r="E44" s="77"/>
      <c r="F44" s="78"/>
      <c r="G44" s="78"/>
      <c r="H44" s="78"/>
      <c r="I44" s="78"/>
      <c r="J44" s="78"/>
    </row>
    <row r="45" spans="1:13" x14ac:dyDescent="0.35">
      <c r="B45" s="105"/>
      <c r="C45" s="83"/>
      <c r="D45" s="77"/>
      <c r="E45" s="83"/>
      <c r="F45" s="84"/>
      <c r="G45" s="84"/>
      <c r="H45" s="84"/>
      <c r="I45" s="84"/>
      <c r="J45" s="84"/>
    </row>
    <row r="46" spans="1:13" x14ac:dyDescent="0.35">
      <c r="B46" s="105"/>
      <c r="C46" s="77"/>
      <c r="D46" s="77"/>
      <c r="E46" s="77"/>
      <c r="F46" s="78"/>
      <c r="G46" s="78"/>
      <c r="H46" s="78"/>
      <c r="I46" s="78"/>
      <c r="J46" s="78"/>
    </row>
    <row r="47" spans="1:13" x14ac:dyDescent="0.35">
      <c r="B47" s="105"/>
      <c r="C47" s="77"/>
      <c r="D47" s="77"/>
      <c r="E47" s="77"/>
      <c r="F47" s="78"/>
      <c r="G47" s="78"/>
      <c r="H47" s="78"/>
      <c r="I47" s="78"/>
      <c r="J47" s="78"/>
    </row>
    <row r="56" spans="1:12" s="75" customFormat="1" x14ac:dyDescent="0.35">
      <c r="A56" s="750"/>
      <c r="B56" s="106"/>
      <c r="C56" s="107"/>
      <c r="D56" s="108"/>
      <c r="E56" s="107"/>
      <c r="L56" s="1635"/>
    </row>
    <row r="61" spans="1:12" s="75" customFormat="1" x14ac:dyDescent="0.35">
      <c r="A61" s="750"/>
      <c r="B61" s="106"/>
      <c r="C61" s="107"/>
      <c r="D61" s="108"/>
      <c r="E61" s="107"/>
      <c r="L61" s="1635"/>
    </row>
    <row r="63" spans="1:12" s="75" customFormat="1" x14ac:dyDescent="0.35">
      <c r="A63" s="750"/>
      <c r="B63" s="106"/>
      <c r="C63" s="107"/>
      <c r="D63" s="108"/>
      <c r="E63" s="107"/>
      <c r="L63" s="1635"/>
    </row>
    <row r="70" spans="6:6" x14ac:dyDescent="0.35">
      <c r="F70" s="78"/>
    </row>
    <row r="71" spans="6:6" x14ac:dyDescent="0.35">
      <c r="F71" s="78"/>
    </row>
    <row r="72" spans="6:6" x14ac:dyDescent="0.35">
      <c r="F72" s="78"/>
    </row>
    <row r="73" spans="6:6" x14ac:dyDescent="0.35">
      <c r="F73" s="78"/>
    </row>
    <row r="74" spans="6:6" x14ac:dyDescent="0.35">
      <c r="F74" s="78"/>
    </row>
    <row r="75" spans="6:6" x14ac:dyDescent="0.35">
      <c r="F75" s="78"/>
    </row>
    <row r="76" spans="6:6" x14ac:dyDescent="0.35">
      <c r="F76" s="78"/>
    </row>
  </sheetData>
  <mergeCells count="3">
    <mergeCell ref="B1:F1"/>
    <mergeCell ref="B2:M2"/>
    <mergeCell ref="B3:M3"/>
  </mergeCells>
  <printOptions horizontalCentered="1"/>
  <pageMargins left="0.19685039370078741" right="0.19685039370078741" top="0.59055118110236227" bottom="0.59055118110236227" header="0.51181102362204722" footer="0.51181102362204722"/>
  <pageSetup paperSize="9" scale="53" fitToHeight="2" orientation="portrait" r:id="rId1"/>
  <headerFooter alignWithMargins="0">
    <oddFooter>&amp;C-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13"/>
  <sheetViews>
    <sheetView view="pageBreakPreview" zoomScaleNormal="100" zoomScaleSheetLayoutView="100" workbookViewId="0">
      <selection activeCell="B1" sqref="B1:D1"/>
    </sheetView>
  </sheetViews>
  <sheetFormatPr defaultColWidth="9.140625" defaultRowHeight="12.75" x14ac:dyDescent="0.2"/>
  <cols>
    <col min="1" max="1" width="3.7109375" style="752" customWidth="1"/>
    <col min="2" max="2" width="4.140625" style="248" customWidth="1"/>
    <col min="3" max="3" width="5.85546875" style="248" bestFit="1" customWidth="1"/>
    <col min="4" max="4" width="51.7109375" style="248" customWidth="1"/>
    <col min="5" max="5" width="10" style="248" customWidth="1"/>
    <col min="6" max="6" width="14" style="248" bestFit="1" customWidth="1"/>
    <col min="7" max="7" width="11.7109375" style="248" customWidth="1"/>
    <col min="8" max="8" width="12.42578125" style="248" bestFit="1" customWidth="1"/>
    <col min="9" max="9" width="14" style="248" customWidth="1"/>
    <col min="10" max="11" width="12.7109375" style="248" customWidth="1"/>
    <col min="12" max="12" width="10.7109375" style="248" customWidth="1"/>
    <col min="13" max="13" width="12.7109375" style="249" customWidth="1"/>
    <col min="14" max="14" width="12.7109375" style="250" customWidth="1"/>
    <col min="15" max="16384" width="9.140625" style="248"/>
  </cols>
  <sheetData>
    <row r="1" spans="1:15" ht="18" customHeight="1" x14ac:dyDescent="0.2">
      <c r="A1" s="57"/>
      <c r="B1" s="1753" t="s">
        <v>1495</v>
      </c>
      <c r="C1" s="1753"/>
      <c r="D1" s="1753"/>
      <c r="E1" s="41"/>
      <c r="F1" s="41"/>
      <c r="G1" s="41"/>
      <c r="H1" s="41"/>
      <c r="I1" s="41"/>
      <c r="J1" s="41"/>
      <c r="K1" s="41"/>
      <c r="L1" s="41"/>
      <c r="M1" s="42"/>
      <c r="N1" s="50"/>
      <c r="O1" s="41"/>
    </row>
    <row r="2" spans="1:15" ht="18" customHeight="1" x14ac:dyDescent="0.2">
      <c r="A2" s="57"/>
      <c r="B2" s="1754" t="s">
        <v>146</v>
      </c>
      <c r="C2" s="1754"/>
      <c r="D2" s="1754"/>
      <c r="E2" s="1754"/>
      <c r="F2" s="1754"/>
      <c r="G2" s="1754"/>
      <c r="H2" s="1754"/>
      <c r="I2" s="1754"/>
      <c r="J2" s="1754"/>
      <c r="K2" s="1754"/>
      <c r="L2" s="1754"/>
      <c r="M2" s="1754"/>
      <c r="N2" s="1754"/>
      <c r="O2" s="41"/>
    </row>
    <row r="3" spans="1:15" ht="18" customHeight="1" x14ac:dyDescent="0.2">
      <c r="A3" s="57"/>
      <c r="B3" s="1754" t="s">
        <v>1380</v>
      </c>
      <c r="C3" s="1754"/>
      <c r="D3" s="1754"/>
      <c r="E3" s="1754"/>
      <c r="F3" s="1754"/>
      <c r="G3" s="1754"/>
      <c r="H3" s="1754"/>
      <c r="I3" s="1754"/>
      <c r="J3" s="1754"/>
      <c r="K3" s="1754"/>
      <c r="L3" s="1754"/>
      <c r="M3" s="1754"/>
      <c r="N3" s="1754"/>
      <c r="O3" s="41"/>
    </row>
    <row r="4" spans="1:15" ht="18" customHeight="1" x14ac:dyDescent="0.2">
      <c r="A4" s="57"/>
      <c r="B4" s="43"/>
      <c r="C4" s="41"/>
      <c r="D4" s="41"/>
      <c r="E4" s="44"/>
      <c r="F4" s="44"/>
      <c r="G4" s="44"/>
      <c r="H4" s="44"/>
      <c r="I4" s="44"/>
      <c r="J4" s="44"/>
      <c r="K4" s="41"/>
      <c r="L4" s="41"/>
      <c r="M4" s="1755" t="s">
        <v>0</v>
      </c>
      <c r="N4" s="1755"/>
      <c r="O4" s="41"/>
    </row>
    <row r="5" spans="1:15" s="54" customFormat="1" ht="18" customHeight="1" thickBot="1" x14ac:dyDescent="0.25">
      <c r="A5" s="57"/>
      <c r="B5" s="54" t="s">
        <v>1</v>
      </c>
      <c r="C5" s="54" t="s">
        <v>3</v>
      </c>
      <c r="D5" s="54" t="s">
        <v>2</v>
      </c>
      <c r="E5" s="124" t="s">
        <v>4</v>
      </c>
      <c r="F5" s="124" t="s">
        <v>5</v>
      </c>
      <c r="G5" s="124" t="s">
        <v>16</v>
      </c>
      <c r="H5" s="124" t="s">
        <v>17</v>
      </c>
      <c r="I5" s="124" t="s">
        <v>18</v>
      </c>
      <c r="J5" s="124" t="s">
        <v>39</v>
      </c>
      <c r="K5" s="54" t="s">
        <v>31</v>
      </c>
      <c r="L5" s="54" t="s">
        <v>24</v>
      </c>
      <c r="M5" s="54" t="s">
        <v>40</v>
      </c>
      <c r="N5" s="54" t="s">
        <v>41</v>
      </c>
    </row>
    <row r="6" spans="1:15" s="43" customFormat="1" ht="30" customHeight="1" x14ac:dyDescent="0.2">
      <c r="A6" s="57"/>
      <c r="B6" s="1756" t="s">
        <v>19</v>
      </c>
      <c r="C6" s="1758" t="s">
        <v>20</v>
      </c>
      <c r="D6" s="1760" t="s">
        <v>6</v>
      </c>
      <c r="E6" s="1762" t="s">
        <v>147</v>
      </c>
      <c r="F6" s="1762"/>
      <c r="G6" s="1762"/>
      <c r="H6" s="1763" t="s">
        <v>148</v>
      </c>
      <c r="I6" s="1763"/>
      <c r="J6" s="1763"/>
      <c r="K6" s="1763" t="s">
        <v>280</v>
      </c>
      <c r="L6" s="1763" t="s">
        <v>149</v>
      </c>
      <c r="M6" s="1763"/>
      <c r="N6" s="1750" t="s">
        <v>150</v>
      </c>
    </row>
    <row r="7" spans="1:15" ht="60.75" thickBot="1" x14ac:dyDescent="0.25">
      <c r="A7" s="57"/>
      <c r="B7" s="1757"/>
      <c r="C7" s="1759"/>
      <c r="D7" s="1761"/>
      <c r="E7" s="1724" t="s">
        <v>151</v>
      </c>
      <c r="F7" s="1724" t="s">
        <v>152</v>
      </c>
      <c r="G7" s="1724" t="s">
        <v>153</v>
      </c>
      <c r="H7" s="1724" t="s">
        <v>154</v>
      </c>
      <c r="I7" s="1724" t="s">
        <v>155</v>
      </c>
      <c r="J7" s="1724" t="s">
        <v>156</v>
      </c>
      <c r="K7" s="1764"/>
      <c r="L7" s="1724" t="s">
        <v>134</v>
      </c>
      <c r="M7" s="45" t="s">
        <v>382</v>
      </c>
      <c r="N7" s="1751"/>
      <c r="O7" s="41"/>
    </row>
    <row r="8" spans="1:15" s="46" customFormat="1" ht="22.5" customHeight="1" x14ac:dyDescent="0.3">
      <c r="A8" s="57">
        <v>1</v>
      </c>
      <c r="B8" s="290">
        <v>1</v>
      </c>
      <c r="C8" s="291"/>
      <c r="D8" s="361" t="s">
        <v>337</v>
      </c>
      <c r="E8" s="292"/>
      <c r="F8" s="292"/>
      <c r="G8" s="292"/>
      <c r="H8" s="292"/>
      <c r="I8" s="292"/>
      <c r="J8" s="292"/>
      <c r="K8" s="292"/>
      <c r="L8" s="292"/>
      <c r="M8" s="293"/>
      <c r="N8" s="325"/>
    </row>
    <row r="9" spans="1:15" s="46" customFormat="1" ht="18" customHeight="1" x14ac:dyDescent="0.3">
      <c r="A9" s="57">
        <v>2</v>
      </c>
      <c r="B9" s="295"/>
      <c r="C9" s="296"/>
      <c r="D9" s="297" t="s">
        <v>353</v>
      </c>
      <c r="E9" s="116"/>
      <c r="F9" s="116"/>
      <c r="G9" s="116"/>
      <c r="H9" s="116"/>
      <c r="I9" s="116"/>
      <c r="J9" s="116"/>
      <c r="K9" s="116"/>
      <c r="L9" s="116"/>
      <c r="M9" s="158"/>
      <c r="N9" s="322"/>
    </row>
    <row r="10" spans="1:15" ht="18" customHeight="1" x14ac:dyDescent="0.3">
      <c r="A10" s="57">
        <v>3</v>
      </c>
      <c r="B10" s="298"/>
      <c r="C10" s="299"/>
      <c r="D10" s="1052" t="s">
        <v>334</v>
      </c>
      <c r="E10" s="1053">
        <v>4458</v>
      </c>
      <c r="F10" s="1053"/>
      <c r="G10" s="1053"/>
      <c r="H10" s="1053"/>
      <c r="I10" s="1053"/>
      <c r="J10" s="1053"/>
      <c r="K10" s="1053"/>
      <c r="L10" s="1053">
        <v>204935</v>
      </c>
      <c r="M10" s="1054">
        <v>138149</v>
      </c>
      <c r="N10" s="1055">
        <f t="shared" ref="N10:N14" si="0">SUM(E10:L10)</f>
        <v>209393</v>
      </c>
      <c r="O10" s="41"/>
    </row>
    <row r="11" spans="1:15" ht="18" customHeight="1" x14ac:dyDescent="0.3">
      <c r="A11" s="57">
        <v>4</v>
      </c>
      <c r="B11" s="298"/>
      <c r="C11" s="299"/>
      <c r="D11" s="1091" t="s">
        <v>1307</v>
      </c>
      <c r="E11" s="1092">
        <v>4458</v>
      </c>
      <c r="F11" s="1092"/>
      <c r="G11" s="1092"/>
      <c r="H11" s="1092"/>
      <c r="I11" s="1092"/>
      <c r="J11" s="1092"/>
      <c r="K11" s="1092">
        <v>4819</v>
      </c>
      <c r="L11" s="1092">
        <v>209631</v>
      </c>
      <c r="M11" s="1101">
        <v>139106</v>
      </c>
      <c r="N11" s="322">
        <f t="shared" si="0"/>
        <v>218908</v>
      </c>
      <c r="O11" s="41"/>
    </row>
    <row r="12" spans="1:15" ht="18" customHeight="1" x14ac:dyDescent="0.3">
      <c r="A12" s="57">
        <v>5</v>
      </c>
      <c r="B12" s="298"/>
      <c r="C12" s="299"/>
      <c r="D12" s="1167" t="s">
        <v>1392</v>
      </c>
      <c r="E12" s="116"/>
      <c r="F12" s="116"/>
      <c r="G12" s="116"/>
      <c r="H12" s="116"/>
      <c r="I12" s="116"/>
      <c r="J12" s="116"/>
      <c r="K12" s="158"/>
      <c r="L12" s="158">
        <v>4</v>
      </c>
      <c r="M12" s="158">
        <v>4</v>
      </c>
      <c r="N12" s="1169">
        <f t="shared" si="0"/>
        <v>4</v>
      </c>
      <c r="O12" s="41"/>
    </row>
    <row r="13" spans="1:15" ht="18" customHeight="1" x14ac:dyDescent="0.3">
      <c r="A13" s="57">
        <v>6</v>
      </c>
      <c r="B13" s="298"/>
      <c r="C13" s="299"/>
      <c r="D13" s="1167" t="s">
        <v>1397</v>
      </c>
      <c r="E13" s="116"/>
      <c r="F13" s="116"/>
      <c r="G13" s="116"/>
      <c r="H13" s="116"/>
      <c r="I13" s="116"/>
      <c r="J13" s="116"/>
      <c r="K13" s="158"/>
      <c r="L13" s="158"/>
      <c r="M13" s="158">
        <v>3256</v>
      </c>
      <c r="N13" s="1169">
        <f t="shared" si="0"/>
        <v>0</v>
      </c>
      <c r="O13" s="41"/>
    </row>
    <row r="14" spans="1:15" ht="18" customHeight="1" x14ac:dyDescent="0.3">
      <c r="A14" s="57">
        <v>7</v>
      </c>
      <c r="B14" s="298"/>
      <c r="C14" s="299"/>
      <c r="D14" s="1091" t="s">
        <v>1391</v>
      </c>
      <c r="E14" s="1092">
        <f>SUM(E11:E13)</f>
        <v>4458</v>
      </c>
      <c r="F14" s="1092"/>
      <c r="G14" s="1092"/>
      <c r="H14" s="1092"/>
      <c r="I14" s="1092"/>
      <c r="J14" s="1092"/>
      <c r="K14" s="1092">
        <f>SUM(K11:K13)</f>
        <v>4819</v>
      </c>
      <c r="L14" s="1092">
        <f>SUM(L11:L13)</f>
        <v>209635</v>
      </c>
      <c r="M14" s="1092">
        <f>SUM(M11:M13)</f>
        <v>142366</v>
      </c>
      <c r="N14" s="322">
        <f t="shared" si="0"/>
        <v>218912</v>
      </c>
      <c r="O14" s="41"/>
    </row>
    <row r="15" spans="1:15" s="151" customFormat="1" ht="22.5" customHeight="1" x14ac:dyDescent="0.3">
      <c r="A15" s="57">
        <v>8</v>
      </c>
      <c r="B15" s="295">
        <v>2</v>
      </c>
      <c r="C15" s="296"/>
      <c r="D15" s="362" t="s">
        <v>381</v>
      </c>
      <c r="E15" s="307"/>
      <c r="F15" s="307"/>
      <c r="G15" s="307"/>
      <c r="H15" s="307"/>
      <c r="I15" s="307"/>
      <c r="J15" s="307"/>
      <c r="K15" s="307"/>
      <c r="L15" s="307"/>
      <c r="M15" s="308"/>
      <c r="N15" s="309"/>
    </row>
    <row r="16" spans="1:15" s="151" customFormat="1" ht="18" customHeight="1" x14ac:dyDescent="0.3">
      <c r="A16" s="57">
        <v>9</v>
      </c>
      <c r="B16" s="295"/>
      <c r="C16" s="296"/>
      <c r="D16" s="297" t="s">
        <v>335</v>
      </c>
      <c r="E16" s="307"/>
      <c r="F16" s="307"/>
      <c r="G16" s="307"/>
      <c r="H16" s="307"/>
      <c r="I16" s="307"/>
      <c r="J16" s="307"/>
      <c r="K16" s="307"/>
      <c r="L16" s="307"/>
      <c r="M16" s="308"/>
      <c r="N16" s="309"/>
    </row>
    <row r="17" spans="1:15" s="49" customFormat="1" ht="18" customHeight="1" x14ac:dyDescent="0.3">
      <c r="A17" s="57">
        <v>10</v>
      </c>
      <c r="B17" s="298"/>
      <c r="C17" s="299"/>
      <c r="D17" s="1052" t="s">
        <v>334</v>
      </c>
      <c r="E17" s="1053">
        <v>10813</v>
      </c>
      <c r="F17" s="1053"/>
      <c r="G17" s="1053"/>
      <c r="H17" s="1053"/>
      <c r="I17" s="1053"/>
      <c r="J17" s="1053"/>
      <c r="K17" s="1053"/>
      <c r="L17" s="1053">
        <v>345515</v>
      </c>
      <c r="M17" s="1054">
        <v>259748</v>
      </c>
      <c r="N17" s="1055">
        <f t="shared" ref="N17:N21" si="1">SUM(E17:L17)</f>
        <v>356328</v>
      </c>
    </row>
    <row r="18" spans="1:15" s="49" customFormat="1" ht="18" customHeight="1" x14ac:dyDescent="0.3">
      <c r="A18" s="57">
        <v>11</v>
      </c>
      <c r="B18" s="298"/>
      <c r="C18" s="299"/>
      <c r="D18" s="1091" t="s">
        <v>1307</v>
      </c>
      <c r="E18" s="1092">
        <v>10813</v>
      </c>
      <c r="F18" s="1092"/>
      <c r="G18" s="1092"/>
      <c r="H18" s="1092"/>
      <c r="I18" s="1092"/>
      <c r="J18" s="1092"/>
      <c r="K18" s="1092">
        <v>22828</v>
      </c>
      <c r="L18" s="1092">
        <v>355571</v>
      </c>
      <c r="M18" s="1092">
        <v>258902</v>
      </c>
      <c r="N18" s="322">
        <f t="shared" si="1"/>
        <v>389212</v>
      </c>
    </row>
    <row r="19" spans="1:15" s="49" customFormat="1" ht="18" customHeight="1" x14ac:dyDescent="0.3">
      <c r="A19" s="57">
        <v>12</v>
      </c>
      <c r="B19" s="298"/>
      <c r="C19" s="299"/>
      <c r="D19" s="1167" t="s">
        <v>1392</v>
      </c>
      <c r="E19" s="116"/>
      <c r="F19" s="116"/>
      <c r="G19" s="116"/>
      <c r="H19" s="116"/>
      <c r="I19" s="116"/>
      <c r="J19" s="116"/>
      <c r="K19" s="158"/>
      <c r="L19" s="158">
        <v>14</v>
      </c>
      <c r="M19" s="158">
        <v>14</v>
      </c>
      <c r="N19" s="1169">
        <f t="shared" si="1"/>
        <v>14</v>
      </c>
    </row>
    <row r="20" spans="1:15" s="49" customFormat="1" ht="18" customHeight="1" x14ac:dyDescent="0.3">
      <c r="A20" s="57">
        <v>13</v>
      </c>
      <c r="B20" s="298"/>
      <c r="C20" s="299"/>
      <c r="D20" s="1167" t="s">
        <v>1397</v>
      </c>
      <c r="E20" s="116"/>
      <c r="F20" s="116"/>
      <c r="G20" s="116"/>
      <c r="H20" s="116"/>
      <c r="I20" s="116"/>
      <c r="J20" s="116"/>
      <c r="K20" s="158"/>
      <c r="L20" s="158"/>
      <c r="M20" s="158">
        <v>5024</v>
      </c>
      <c r="N20" s="1169">
        <f t="shared" si="1"/>
        <v>0</v>
      </c>
    </row>
    <row r="21" spans="1:15" s="49" customFormat="1" ht="18" customHeight="1" x14ac:dyDescent="0.3">
      <c r="A21" s="57">
        <v>14</v>
      </c>
      <c r="B21" s="298"/>
      <c r="C21" s="299"/>
      <c r="D21" s="1091" t="s">
        <v>1391</v>
      </c>
      <c r="E21" s="1092">
        <f>SUM(E18:E20)</f>
        <v>10813</v>
      </c>
      <c r="F21" s="1092"/>
      <c r="G21" s="1092"/>
      <c r="H21" s="1092"/>
      <c r="I21" s="1092"/>
      <c r="J21" s="1092"/>
      <c r="K21" s="1092">
        <f>SUM(K18:K20)</f>
        <v>22828</v>
      </c>
      <c r="L21" s="1092">
        <f>SUM(L18:L20)</f>
        <v>355585</v>
      </c>
      <c r="M21" s="1092">
        <f>SUM(M18:M20)</f>
        <v>263940</v>
      </c>
      <c r="N21" s="322">
        <f t="shared" si="1"/>
        <v>389226</v>
      </c>
    </row>
    <row r="22" spans="1:15" s="150" customFormat="1" ht="22.5" customHeight="1" x14ac:dyDescent="0.3">
      <c r="A22" s="57">
        <v>15</v>
      </c>
      <c r="B22" s="295">
        <v>3</v>
      </c>
      <c r="C22" s="296"/>
      <c r="D22" s="362" t="s">
        <v>283</v>
      </c>
      <c r="E22" s="307"/>
      <c r="F22" s="307"/>
      <c r="G22" s="307"/>
      <c r="H22" s="307"/>
      <c r="I22" s="307"/>
      <c r="J22" s="307"/>
      <c r="K22" s="307"/>
      <c r="L22" s="307"/>
      <c r="M22" s="308"/>
      <c r="N22" s="309"/>
    </row>
    <row r="23" spans="1:15" s="46" customFormat="1" ht="18" customHeight="1" x14ac:dyDescent="0.3">
      <c r="A23" s="57">
        <v>16</v>
      </c>
      <c r="B23" s="298"/>
      <c r="C23" s="299"/>
      <c r="D23" s="300" t="s">
        <v>158</v>
      </c>
      <c r="E23" s="310"/>
      <c r="F23" s="310"/>
      <c r="G23" s="310"/>
      <c r="H23" s="310"/>
      <c r="I23" s="310"/>
      <c r="J23" s="310"/>
      <c r="K23" s="310"/>
      <c r="L23" s="310"/>
      <c r="M23" s="311"/>
      <c r="N23" s="326"/>
    </row>
    <row r="24" spans="1:15" ht="18" customHeight="1" x14ac:dyDescent="0.3">
      <c r="A24" s="57">
        <v>17</v>
      </c>
      <c r="B24" s="298"/>
      <c r="C24" s="299"/>
      <c r="D24" s="1052" t="s">
        <v>334</v>
      </c>
      <c r="E24" s="1053">
        <v>17490</v>
      </c>
      <c r="F24" s="1053"/>
      <c r="G24" s="1053"/>
      <c r="H24" s="1053"/>
      <c r="I24" s="1053"/>
      <c r="J24" s="1053"/>
      <c r="K24" s="1053"/>
      <c r="L24" s="1053">
        <v>407750</v>
      </c>
      <c r="M24" s="1054">
        <v>346182</v>
      </c>
      <c r="N24" s="1055">
        <f t="shared" ref="N24:N26" si="2">SUM(E24:L24)</f>
        <v>425240</v>
      </c>
      <c r="O24" s="41"/>
    </row>
    <row r="25" spans="1:15" ht="18" customHeight="1" x14ac:dyDescent="0.3">
      <c r="A25" s="57">
        <v>18</v>
      </c>
      <c r="B25" s="298"/>
      <c r="C25" s="299"/>
      <c r="D25" s="1091" t="s">
        <v>1307</v>
      </c>
      <c r="E25" s="1091">
        <v>18133</v>
      </c>
      <c r="F25" s="1091"/>
      <c r="G25" s="1091"/>
      <c r="H25" s="1091"/>
      <c r="I25" s="1091"/>
      <c r="J25" s="1091"/>
      <c r="K25" s="1091">
        <v>10575</v>
      </c>
      <c r="L25" s="1091">
        <v>419744</v>
      </c>
      <c r="M25" s="1091">
        <v>348623</v>
      </c>
      <c r="N25" s="322">
        <f t="shared" si="2"/>
        <v>448452</v>
      </c>
      <c r="O25" s="41"/>
    </row>
    <row r="26" spans="1:15" ht="18" customHeight="1" x14ac:dyDescent="0.3">
      <c r="A26" s="57">
        <v>19</v>
      </c>
      <c r="B26" s="298"/>
      <c r="C26" s="299"/>
      <c r="D26" s="1167" t="s">
        <v>1397</v>
      </c>
      <c r="E26" s="116"/>
      <c r="F26" s="116"/>
      <c r="G26" s="116"/>
      <c r="H26" s="116"/>
      <c r="I26" s="116"/>
      <c r="J26" s="116"/>
      <c r="K26" s="158"/>
      <c r="L26" s="158"/>
      <c r="M26" s="158">
        <v>6346</v>
      </c>
      <c r="N26" s="1169">
        <f t="shared" si="2"/>
        <v>0</v>
      </c>
      <c r="O26" s="41"/>
    </row>
    <row r="27" spans="1:15" ht="18" customHeight="1" x14ac:dyDescent="0.3">
      <c r="A27" s="57">
        <v>20</v>
      </c>
      <c r="B27" s="298"/>
      <c r="C27" s="299"/>
      <c r="D27" s="1091" t="s">
        <v>1391</v>
      </c>
      <c r="E27" s="1092">
        <f>SUM(E25:E26)</f>
        <v>18133</v>
      </c>
      <c r="F27" s="1092"/>
      <c r="G27" s="1092"/>
      <c r="H27" s="1092"/>
      <c r="I27" s="1092"/>
      <c r="J27" s="1092"/>
      <c r="K27" s="1092">
        <f>SUM(K25:K26)</f>
        <v>10575</v>
      </c>
      <c r="L27" s="1092">
        <f>SUM(L25:L26)</f>
        <v>419744</v>
      </c>
      <c r="M27" s="1092">
        <f>SUM(M25:M26)</f>
        <v>354969</v>
      </c>
      <c r="N27" s="322">
        <f>SUM(E27:L27)</f>
        <v>448452</v>
      </c>
      <c r="O27" s="41"/>
    </row>
    <row r="28" spans="1:15" s="151" customFormat="1" ht="22.5" customHeight="1" x14ac:dyDescent="0.3">
      <c r="A28" s="57">
        <v>21</v>
      </c>
      <c r="B28" s="295">
        <v>4</v>
      </c>
      <c r="C28" s="296"/>
      <c r="D28" s="363" t="s">
        <v>284</v>
      </c>
      <c r="E28" s="307"/>
      <c r="F28" s="307"/>
      <c r="G28" s="307"/>
      <c r="H28" s="307"/>
      <c r="I28" s="307"/>
      <c r="J28" s="307"/>
      <c r="K28" s="307"/>
      <c r="L28" s="307"/>
      <c r="M28" s="308"/>
      <c r="N28" s="309"/>
    </row>
    <row r="29" spans="1:15" s="150" customFormat="1" ht="18" customHeight="1" x14ac:dyDescent="0.2">
      <c r="A29" s="57">
        <v>22</v>
      </c>
      <c r="B29" s="298"/>
      <c r="C29" s="299"/>
      <c r="D29" s="300" t="s">
        <v>159</v>
      </c>
      <c r="E29" s="310"/>
      <c r="F29" s="310"/>
      <c r="G29" s="310"/>
      <c r="H29" s="310"/>
      <c r="I29" s="310"/>
      <c r="J29" s="310"/>
      <c r="K29" s="310"/>
      <c r="L29" s="310"/>
      <c r="M29" s="311"/>
      <c r="N29" s="326"/>
    </row>
    <row r="30" spans="1:15" s="46" customFormat="1" ht="18" customHeight="1" x14ac:dyDescent="0.3">
      <c r="A30" s="57">
        <v>23</v>
      </c>
      <c r="B30" s="298"/>
      <c r="C30" s="299"/>
      <c r="D30" s="1052" t="s">
        <v>334</v>
      </c>
      <c r="E30" s="1053">
        <v>13993</v>
      </c>
      <c r="F30" s="1053"/>
      <c r="G30" s="1053"/>
      <c r="H30" s="1053"/>
      <c r="I30" s="1053"/>
      <c r="J30" s="1053"/>
      <c r="K30" s="1053"/>
      <c r="L30" s="1053">
        <v>296535</v>
      </c>
      <c r="M30" s="1054">
        <v>239376</v>
      </c>
      <c r="N30" s="1055">
        <f>SUM(E30:L30)</f>
        <v>310528</v>
      </c>
    </row>
    <row r="31" spans="1:15" s="46" customFormat="1" ht="18" customHeight="1" x14ac:dyDescent="0.3">
      <c r="A31" s="57">
        <v>24</v>
      </c>
      <c r="B31" s="298"/>
      <c r="C31" s="299"/>
      <c r="D31" s="1091" t="s">
        <v>1307</v>
      </c>
      <c r="E31" s="1091">
        <v>11639</v>
      </c>
      <c r="F31" s="1091">
        <v>200</v>
      </c>
      <c r="G31" s="1091">
        <v>30</v>
      </c>
      <c r="H31" s="1091"/>
      <c r="I31" s="1091"/>
      <c r="J31" s="1091"/>
      <c r="K31" s="1091">
        <v>26421</v>
      </c>
      <c r="L31" s="1091">
        <v>299946</v>
      </c>
      <c r="M31" s="1091">
        <v>239890</v>
      </c>
      <c r="N31" s="1564">
        <f>SUM(E31:L31)</f>
        <v>338236</v>
      </c>
    </row>
    <row r="32" spans="1:15" s="46" customFormat="1" ht="18" customHeight="1" x14ac:dyDescent="0.3">
      <c r="A32" s="57">
        <v>25</v>
      </c>
      <c r="B32" s="298"/>
      <c r="C32" s="299"/>
      <c r="D32" s="1167" t="s">
        <v>1392</v>
      </c>
      <c r="E32" s="116"/>
      <c r="F32" s="116"/>
      <c r="G32" s="116"/>
      <c r="H32" s="116"/>
      <c r="I32" s="116"/>
      <c r="J32" s="116"/>
      <c r="K32" s="158"/>
      <c r="L32" s="158">
        <v>2</v>
      </c>
      <c r="M32" s="158">
        <v>2</v>
      </c>
      <c r="N32" s="1169">
        <f>SUM(E32:L32)</f>
        <v>2</v>
      </c>
    </row>
    <row r="33" spans="1:15" s="46" customFormat="1" ht="18" customHeight="1" x14ac:dyDescent="0.3">
      <c r="A33" s="57">
        <v>26</v>
      </c>
      <c r="B33" s="298"/>
      <c r="C33" s="299"/>
      <c r="D33" s="1167" t="s">
        <v>1397</v>
      </c>
      <c r="E33" s="116"/>
      <c r="F33" s="116"/>
      <c r="G33" s="116"/>
      <c r="H33" s="116"/>
      <c r="I33" s="116"/>
      <c r="J33" s="116"/>
      <c r="K33" s="158"/>
      <c r="L33" s="158"/>
      <c r="M33" s="158">
        <v>4638</v>
      </c>
      <c r="N33" s="1169">
        <f>SUM(E33:L33)</f>
        <v>0</v>
      </c>
    </row>
    <row r="34" spans="1:15" s="46" customFormat="1" ht="18" customHeight="1" x14ac:dyDescent="0.3">
      <c r="A34" s="57">
        <v>27</v>
      </c>
      <c r="B34" s="298"/>
      <c r="C34" s="299"/>
      <c r="D34" s="1091" t="s">
        <v>1391</v>
      </c>
      <c r="E34" s="1092">
        <f>SUM(E31:E33)</f>
        <v>11639</v>
      </c>
      <c r="F34" s="1092">
        <f>SUM(F31:F33)</f>
        <v>200</v>
      </c>
      <c r="G34" s="1092">
        <f>SUM(G31:G33)</f>
        <v>30</v>
      </c>
      <c r="H34" s="1092"/>
      <c r="I34" s="1092"/>
      <c r="J34" s="1092"/>
      <c r="K34" s="1092">
        <f>SUM(K31:K33)</f>
        <v>26421</v>
      </c>
      <c r="L34" s="1092">
        <f>SUM(L31:L33)</f>
        <v>299948</v>
      </c>
      <c r="M34" s="1092">
        <f>SUM(M31:M33)</f>
        <v>244530</v>
      </c>
      <c r="N34" s="322">
        <f>SUM(E34:L34)</f>
        <v>338238</v>
      </c>
    </row>
    <row r="35" spans="1:15" s="49" customFormat="1" ht="22.5" customHeight="1" x14ac:dyDescent="0.3">
      <c r="A35" s="57">
        <v>28</v>
      </c>
      <c r="B35" s="295">
        <v>5</v>
      </c>
      <c r="C35" s="296"/>
      <c r="D35" s="363" t="s">
        <v>285</v>
      </c>
      <c r="E35" s="307"/>
      <c r="F35" s="307"/>
      <c r="G35" s="307"/>
      <c r="H35" s="307"/>
      <c r="I35" s="307"/>
      <c r="J35" s="307"/>
      <c r="K35" s="307"/>
      <c r="L35" s="307"/>
      <c r="M35" s="308"/>
      <c r="N35" s="309"/>
    </row>
    <row r="36" spans="1:15" s="151" customFormat="1" ht="18" customHeight="1" x14ac:dyDescent="0.2">
      <c r="A36" s="57">
        <v>29</v>
      </c>
      <c r="B36" s="298"/>
      <c r="C36" s="299"/>
      <c r="D36" s="300" t="s">
        <v>160</v>
      </c>
      <c r="E36" s="310"/>
      <c r="F36" s="310"/>
      <c r="G36" s="310"/>
      <c r="H36" s="310"/>
      <c r="I36" s="310"/>
      <c r="J36" s="310"/>
      <c r="K36" s="310"/>
      <c r="L36" s="310"/>
      <c r="M36" s="311"/>
      <c r="N36" s="326"/>
    </row>
    <row r="37" spans="1:15" s="150" customFormat="1" ht="18" customHeight="1" x14ac:dyDescent="0.3">
      <c r="A37" s="57">
        <v>30</v>
      </c>
      <c r="B37" s="298"/>
      <c r="C37" s="299"/>
      <c r="D37" s="1052" t="s">
        <v>334</v>
      </c>
      <c r="E37" s="1053">
        <v>15663</v>
      </c>
      <c r="F37" s="1053"/>
      <c r="G37" s="1053"/>
      <c r="H37" s="1053"/>
      <c r="I37" s="1053"/>
      <c r="J37" s="1053"/>
      <c r="K37" s="1053">
        <v>500</v>
      </c>
      <c r="L37" s="1053">
        <v>322898</v>
      </c>
      <c r="M37" s="1054">
        <v>233271</v>
      </c>
      <c r="N37" s="1055">
        <f t="shared" ref="N37:N41" si="3">SUM(E37:L37)</f>
        <v>339061</v>
      </c>
    </row>
    <row r="38" spans="1:15" s="150" customFormat="1" ht="18" customHeight="1" x14ac:dyDescent="0.2">
      <c r="A38" s="57">
        <v>31</v>
      </c>
      <c r="B38" s="298"/>
      <c r="C38" s="299"/>
      <c r="D38" s="1091" t="s">
        <v>1307</v>
      </c>
      <c r="E38" s="1091">
        <v>15663</v>
      </c>
      <c r="F38" s="1091"/>
      <c r="G38" s="1091"/>
      <c r="H38" s="1091"/>
      <c r="I38" s="1091"/>
      <c r="J38" s="1091"/>
      <c r="K38" s="1091">
        <v>15374</v>
      </c>
      <c r="L38" s="1091">
        <v>329387</v>
      </c>
      <c r="M38" s="1091">
        <v>233309</v>
      </c>
      <c r="N38" s="1564">
        <f t="shared" si="3"/>
        <v>360424</v>
      </c>
    </row>
    <row r="39" spans="1:15" s="150" customFormat="1" ht="18" customHeight="1" x14ac:dyDescent="0.3">
      <c r="A39" s="57">
        <v>32</v>
      </c>
      <c r="B39" s="298"/>
      <c r="C39" s="299"/>
      <c r="D39" s="1167" t="s">
        <v>1392</v>
      </c>
      <c r="E39" s="116"/>
      <c r="F39" s="116"/>
      <c r="G39" s="116"/>
      <c r="H39" s="116"/>
      <c r="I39" s="116"/>
      <c r="J39" s="116"/>
      <c r="K39" s="158"/>
      <c r="L39" s="158">
        <v>4</v>
      </c>
      <c r="M39" s="158">
        <v>4</v>
      </c>
      <c r="N39" s="1169">
        <f t="shared" si="3"/>
        <v>4</v>
      </c>
    </row>
    <row r="40" spans="1:15" s="150" customFormat="1" ht="18" customHeight="1" x14ac:dyDescent="0.3">
      <c r="A40" s="57">
        <v>33</v>
      </c>
      <c r="B40" s="298"/>
      <c r="C40" s="299"/>
      <c r="D40" s="1167" t="s">
        <v>1397</v>
      </c>
      <c r="E40" s="116"/>
      <c r="F40" s="116"/>
      <c r="G40" s="116"/>
      <c r="H40" s="116"/>
      <c r="I40" s="116"/>
      <c r="J40" s="116"/>
      <c r="K40" s="158"/>
      <c r="L40" s="158"/>
      <c r="M40" s="158">
        <v>5608</v>
      </c>
      <c r="N40" s="1169">
        <f t="shared" si="3"/>
        <v>0</v>
      </c>
    </row>
    <row r="41" spans="1:15" s="150" customFormat="1" ht="18" customHeight="1" x14ac:dyDescent="0.3">
      <c r="A41" s="57">
        <v>34</v>
      </c>
      <c r="B41" s="298"/>
      <c r="C41" s="299"/>
      <c r="D41" s="1091" t="s">
        <v>1391</v>
      </c>
      <c r="E41" s="1092">
        <f>SUM(E38:E40)</f>
        <v>15663</v>
      </c>
      <c r="F41" s="1092"/>
      <c r="G41" s="1092"/>
      <c r="H41" s="1092"/>
      <c r="I41" s="1092"/>
      <c r="J41" s="1092"/>
      <c r="K41" s="1092">
        <f>SUM(K38:K40)</f>
        <v>15374</v>
      </c>
      <c r="L41" s="1092">
        <f>SUM(L38:L40)</f>
        <v>329391</v>
      </c>
      <c r="M41" s="1092">
        <f>SUM(M38:M40)</f>
        <v>238921</v>
      </c>
      <c r="N41" s="322">
        <f t="shared" si="3"/>
        <v>360428</v>
      </c>
    </row>
    <row r="42" spans="1:15" s="49" customFormat="1" ht="22.5" customHeight="1" x14ac:dyDescent="0.3">
      <c r="A42" s="57">
        <v>35</v>
      </c>
      <c r="B42" s="295">
        <v>6</v>
      </c>
      <c r="C42" s="296"/>
      <c r="D42" s="363" t="s">
        <v>286</v>
      </c>
      <c r="E42" s="307"/>
      <c r="F42" s="307"/>
      <c r="G42" s="307"/>
      <c r="H42" s="307"/>
      <c r="I42" s="307"/>
      <c r="J42" s="307"/>
      <c r="K42" s="307"/>
      <c r="L42" s="307"/>
      <c r="M42" s="308"/>
      <c r="N42" s="309"/>
    </row>
    <row r="43" spans="1:15" s="49" customFormat="1" ht="18" customHeight="1" x14ac:dyDescent="0.2">
      <c r="A43" s="57">
        <v>36</v>
      </c>
      <c r="B43" s="298"/>
      <c r="C43" s="299"/>
      <c r="D43" s="300" t="s">
        <v>161</v>
      </c>
      <c r="E43" s="310"/>
      <c r="F43" s="310"/>
      <c r="G43" s="310"/>
      <c r="H43" s="310"/>
      <c r="I43" s="310"/>
      <c r="J43" s="310"/>
      <c r="K43" s="310"/>
      <c r="L43" s="310"/>
      <c r="M43" s="311"/>
      <c r="N43" s="326"/>
    </row>
    <row r="44" spans="1:15" s="151" customFormat="1" ht="18" customHeight="1" x14ac:dyDescent="0.3">
      <c r="A44" s="57">
        <v>37</v>
      </c>
      <c r="B44" s="298"/>
      <c r="C44" s="299"/>
      <c r="D44" s="1052" t="s">
        <v>334</v>
      </c>
      <c r="E44" s="1053">
        <v>3794</v>
      </c>
      <c r="F44" s="1053"/>
      <c r="G44" s="1053"/>
      <c r="H44" s="1053"/>
      <c r="I44" s="1053"/>
      <c r="J44" s="1053"/>
      <c r="K44" s="1053"/>
      <c r="L44" s="1053">
        <v>161890</v>
      </c>
      <c r="M44" s="1054">
        <v>114171</v>
      </c>
      <c r="N44" s="1055">
        <f>SUM(E44:L44)</f>
        <v>165684</v>
      </c>
    </row>
    <row r="45" spans="1:15" s="151" customFormat="1" ht="18" customHeight="1" x14ac:dyDescent="0.3">
      <c r="A45" s="57">
        <v>38</v>
      </c>
      <c r="B45" s="298"/>
      <c r="C45" s="299"/>
      <c r="D45" s="1091" t="s">
        <v>1307</v>
      </c>
      <c r="E45" s="1091">
        <v>3794</v>
      </c>
      <c r="F45" s="1091"/>
      <c r="G45" s="1091"/>
      <c r="H45" s="1091"/>
      <c r="I45" s="1091"/>
      <c r="J45" s="1091"/>
      <c r="K45" s="1091">
        <v>11967</v>
      </c>
      <c r="L45" s="1091">
        <v>167702</v>
      </c>
      <c r="M45" s="1091">
        <v>114171</v>
      </c>
      <c r="N45" s="322">
        <f>SUM(E45:L45)</f>
        <v>183463</v>
      </c>
    </row>
    <row r="46" spans="1:15" s="151" customFormat="1" ht="18" customHeight="1" x14ac:dyDescent="0.3">
      <c r="A46" s="57">
        <v>39</v>
      </c>
      <c r="B46" s="298"/>
      <c r="C46" s="299"/>
      <c r="D46" s="1167" t="s">
        <v>1398</v>
      </c>
      <c r="E46" s="116"/>
      <c r="F46" s="116"/>
      <c r="G46" s="116"/>
      <c r="H46" s="116"/>
      <c r="I46" s="116"/>
      <c r="J46" s="116"/>
      <c r="K46" s="158"/>
      <c r="L46" s="158"/>
      <c r="M46" s="158">
        <v>2032</v>
      </c>
      <c r="N46" s="1169">
        <f t="shared" ref="N46" si="4">SUM(E46:L46)</f>
        <v>0</v>
      </c>
    </row>
    <row r="47" spans="1:15" s="151" customFormat="1" ht="18" customHeight="1" x14ac:dyDescent="0.3">
      <c r="A47" s="57">
        <v>40</v>
      </c>
      <c r="B47" s="298"/>
      <c r="C47" s="299"/>
      <c r="D47" s="1091" t="s">
        <v>1391</v>
      </c>
      <c r="E47" s="1092">
        <f>SUM(E45:E46)</f>
        <v>3794</v>
      </c>
      <c r="F47" s="1092"/>
      <c r="G47" s="1092"/>
      <c r="H47" s="1092"/>
      <c r="I47" s="1092"/>
      <c r="J47" s="1092"/>
      <c r="K47" s="1092">
        <f>SUM(K45:K46)</f>
        <v>11967</v>
      </c>
      <c r="L47" s="1092">
        <f>SUM(L45:L46)</f>
        <v>167702</v>
      </c>
      <c r="M47" s="1092">
        <f>SUM(M45:M46)</f>
        <v>116203</v>
      </c>
      <c r="N47" s="322">
        <f>SUM(E47:L47)</f>
        <v>183463</v>
      </c>
    </row>
    <row r="48" spans="1:15" ht="18" customHeight="1" x14ac:dyDescent="0.2">
      <c r="A48" s="57">
        <v>41</v>
      </c>
      <c r="B48" s="301"/>
      <c r="C48" s="302">
        <v>1</v>
      </c>
      <c r="D48" s="303" t="s">
        <v>157</v>
      </c>
      <c r="E48" s="304"/>
      <c r="F48" s="304"/>
      <c r="G48" s="304"/>
      <c r="H48" s="304"/>
      <c r="I48" s="304"/>
      <c r="J48" s="304"/>
      <c r="K48" s="304"/>
      <c r="L48" s="304"/>
      <c r="M48" s="305"/>
      <c r="N48" s="306"/>
      <c r="O48" s="41"/>
    </row>
    <row r="49" spans="1:15" ht="18" customHeight="1" x14ac:dyDescent="0.2">
      <c r="A49" s="57">
        <v>42</v>
      </c>
      <c r="B49" s="301"/>
      <c r="C49" s="312"/>
      <c r="D49" s="1056" t="s">
        <v>334</v>
      </c>
      <c r="E49" s="1057"/>
      <c r="F49" s="1057">
        <v>2245</v>
      </c>
      <c r="G49" s="1057"/>
      <c r="H49" s="1057"/>
      <c r="I49" s="1057"/>
      <c r="J49" s="1057"/>
      <c r="K49" s="1057"/>
      <c r="L49" s="1057"/>
      <c r="M49" s="1058"/>
      <c r="N49" s="1059">
        <f>SUM(E49:L49)</f>
        <v>2245</v>
      </c>
      <c r="O49" s="41"/>
    </row>
    <row r="50" spans="1:15" ht="18" customHeight="1" x14ac:dyDescent="0.3">
      <c r="A50" s="57">
        <v>43</v>
      </c>
      <c r="B50" s="301"/>
      <c r="C50" s="312"/>
      <c r="D50" s="1096" t="s">
        <v>1307</v>
      </c>
      <c r="E50" s="1057"/>
      <c r="F50" s="1097">
        <v>2245</v>
      </c>
      <c r="G50" s="1097"/>
      <c r="H50" s="1097"/>
      <c r="I50" s="1097"/>
      <c r="J50" s="1097"/>
      <c r="K50" s="1097">
        <v>90</v>
      </c>
      <c r="L50" s="1097"/>
      <c r="M50" s="1100"/>
      <c r="N50" s="322">
        <f>SUM(E50:L50)</f>
        <v>2335</v>
      </c>
      <c r="O50" s="41"/>
    </row>
    <row r="51" spans="1:15" ht="18" customHeight="1" x14ac:dyDescent="0.3">
      <c r="A51" s="57">
        <v>44</v>
      </c>
      <c r="B51" s="301"/>
      <c r="C51" s="302"/>
      <c r="D51" s="1435" t="s">
        <v>834</v>
      </c>
      <c r="E51" s="307"/>
      <c r="F51" s="307"/>
      <c r="G51" s="307"/>
      <c r="H51" s="307"/>
      <c r="I51" s="307"/>
      <c r="J51" s="307"/>
      <c r="K51" s="308"/>
      <c r="L51" s="307"/>
      <c r="M51" s="308"/>
      <c r="N51" s="1169">
        <f t="shared" ref="N51" si="5">SUM(E51:L51)</f>
        <v>0</v>
      </c>
      <c r="O51" s="41"/>
    </row>
    <row r="52" spans="1:15" ht="18" customHeight="1" thickBot="1" x14ac:dyDescent="0.25">
      <c r="A52" s="57">
        <v>45</v>
      </c>
      <c r="B52" s="301"/>
      <c r="C52" s="1060"/>
      <c r="D52" s="1093" t="s">
        <v>1391</v>
      </c>
      <c r="E52" s="1094"/>
      <c r="F52" s="1094">
        <f>SUM(F50:F51)</f>
        <v>2245</v>
      </c>
      <c r="G52" s="1094"/>
      <c r="H52" s="1094"/>
      <c r="I52" s="1094"/>
      <c r="J52" s="1094"/>
      <c r="K52" s="1094">
        <f>SUM(K50:K51)</f>
        <v>90</v>
      </c>
      <c r="L52" s="1094"/>
      <c r="M52" s="1094"/>
      <c r="N52" s="1061">
        <f>SUM(E52:L52)</f>
        <v>2335</v>
      </c>
      <c r="O52" s="41"/>
    </row>
    <row r="53" spans="1:15" ht="18" customHeight="1" thickTop="1" x14ac:dyDescent="0.2">
      <c r="A53" s="57">
        <v>46</v>
      </c>
      <c r="B53" s="301"/>
      <c r="C53" s="1064"/>
      <c r="D53" s="860" t="s">
        <v>162</v>
      </c>
      <c r="E53" s="1065"/>
      <c r="F53" s="1065"/>
      <c r="G53" s="1065"/>
      <c r="H53" s="1065"/>
      <c r="I53" s="1065"/>
      <c r="J53" s="1065"/>
      <c r="K53" s="1065"/>
      <c r="L53" s="1065"/>
      <c r="M53" s="1065"/>
      <c r="N53" s="1066"/>
      <c r="O53" s="41"/>
    </row>
    <row r="54" spans="1:15" s="49" customFormat="1" ht="20.100000000000001" customHeight="1" x14ac:dyDescent="0.2">
      <c r="A54" s="57">
        <v>47</v>
      </c>
      <c r="B54" s="298"/>
      <c r="C54" s="299"/>
      <c r="D54" s="1429" t="s">
        <v>334</v>
      </c>
      <c r="E54" s="1430">
        <f t="shared" ref="E54:M54" si="6">SUM(E49,E44,E37,E30,E24,E17,E10)</f>
        <v>66211</v>
      </c>
      <c r="F54" s="1430">
        <f t="shared" si="6"/>
        <v>2245</v>
      </c>
      <c r="G54" s="1430">
        <f t="shared" si="6"/>
        <v>0</v>
      </c>
      <c r="H54" s="1430">
        <f t="shared" si="6"/>
        <v>0</v>
      </c>
      <c r="I54" s="1430">
        <f t="shared" si="6"/>
        <v>0</v>
      </c>
      <c r="J54" s="1430">
        <f t="shared" si="6"/>
        <v>0</v>
      </c>
      <c r="K54" s="1430">
        <f t="shared" si="6"/>
        <v>500</v>
      </c>
      <c r="L54" s="1430">
        <f t="shared" si="6"/>
        <v>1739523</v>
      </c>
      <c r="M54" s="1431">
        <f t="shared" si="6"/>
        <v>1330897</v>
      </c>
      <c r="N54" s="1075">
        <f>SUM(E54:L54)</f>
        <v>1808479</v>
      </c>
    </row>
    <row r="55" spans="1:15" s="49" customFormat="1" ht="20.100000000000001" customHeight="1" x14ac:dyDescent="0.3">
      <c r="A55" s="57">
        <v>48</v>
      </c>
      <c r="B55" s="767"/>
      <c r="C55" s="337"/>
      <c r="D55" s="1091" t="s">
        <v>1307</v>
      </c>
      <c r="E55" s="861">
        <f t="shared" ref="E55:M55" si="7">E50+E45+E38+E31+E25+E18+E11</f>
        <v>64500</v>
      </c>
      <c r="F55" s="861">
        <f t="shared" si="7"/>
        <v>2445</v>
      </c>
      <c r="G55" s="861">
        <f t="shared" si="7"/>
        <v>30</v>
      </c>
      <c r="H55" s="861">
        <f t="shared" si="7"/>
        <v>0</v>
      </c>
      <c r="I55" s="861">
        <f t="shared" si="7"/>
        <v>0</v>
      </c>
      <c r="J55" s="861">
        <f t="shared" si="7"/>
        <v>0</v>
      </c>
      <c r="K55" s="861">
        <f t="shared" si="7"/>
        <v>92074</v>
      </c>
      <c r="L55" s="861">
        <f t="shared" si="7"/>
        <v>1781981</v>
      </c>
      <c r="M55" s="861">
        <f t="shared" si="7"/>
        <v>1334001</v>
      </c>
      <c r="N55" s="322">
        <f>SUM(E55:L55)</f>
        <v>1941030</v>
      </c>
    </row>
    <row r="56" spans="1:15" s="208" customFormat="1" ht="20.100000000000001" customHeight="1" x14ac:dyDescent="0.2">
      <c r="A56" s="57">
        <v>49</v>
      </c>
      <c r="B56" s="869"/>
      <c r="C56" s="371"/>
      <c r="D56" s="1225" t="s">
        <v>733</v>
      </c>
      <c r="E56" s="388">
        <f>E51+E46+E39+E32+E26+E20+E19+E13+E12+E33+E40</f>
        <v>0</v>
      </c>
      <c r="F56" s="388">
        <f t="shared" ref="F56:M56" si="8">F51+F46+F39+F32+F26+F20+F19+F13+F12+F33+F40</f>
        <v>0</v>
      </c>
      <c r="G56" s="388">
        <f t="shared" si="8"/>
        <v>0</v>
      </c>
      <c r="H56" s="388">
        <f t="shared" si="8"/>
        <v>0</v>
      </c>
      <c r="I56" s="388">
        <f t="shared" si="8"/>
        <v>0</v>
      </c>
      <c r="J56" s="388">
        <f t="shared" si="8"/>
        <v>0</v>
      </c>
      <c r="K56" s="388">
        <f t="shared" si="8"/>
        <v>0</v>
      </c>
      <c r="L56" s="388">
        <f t="shared" si="8"/>
        <v>24</v>
      </c>
      <c r="M56" s="388">
        <f t="shared" si="8"/>
        <v>26928</v>
      </c>
      <c r="N56" s="1212">
        <f>SUM(E56:L56)</f>
        <v>24</v>
      </c>
    </row>
    <row r="57" spans="1:15" s="49" customFormat="1" ht="20.100000000000001" customHeight="1" thickBot="1" x14ac:dyDescent="0.35">
      <c r="A57" s="57">
        <v>50</v>
      </c>
      <c r="B57" s="767"/>
      <c r="C57" s="768"/>
      <c r="D57" s="1095" t="s">
        <v>1391</v>
      </c>
      <c r="E57" s="865">
        <f>SUM(E55:E56)</f>
        <v>64500</v>
      </c>
      <c r="F57" s="865">
        <f t="shared" ref="F57:M57" si="9">SUM(F55:F56)</f>
        <v>2445</v>
      </c>
      <c r="G57" s="865">
        <f t="shared" si="9"/>
        <v>30</v>
      </c>
      <c r="H57" s="865">
        <f t="shared" si="9"/>
        <v>0</v>
      </c>
      <c r="I57" s="865">
        <f t="shared" si="9"/>
        <v>0</v>
      </c>
      <c r="J57" s="865">
        <f t="shared" si="9"/>
        <v>0</v>
      </c>
      <c r="K57" s="865">
        <f t="shared" si="9"/>
        <v>92074</v>
      </c>
      <c r="L57" s="865">
        <f t="shared" si="9"/>
        <v>1782005</v>
      </c>
      <c r="M57" s="865">
        <f t="shared" si="9"/>
        <v>1360929</v>
      </c>
      <c r="N57" s="867">
        <f>SUM(E57:L57)</f>
        <v>1941054</v>
      </c>
    </row>
    <row r="58" spans="1:15" s="46" customFormat="1" ht="22.5" customHeight="1" thickTop="1" x14ac:dyDescent="0.3">
      <c r="A58" s="57">
        <v>51</v>
      </c>
      <c r="B58" s="315">
        <v>7</v>
      </c>
      <c r="C58" s="316"/>
      <c r="D58" s="366" t="s">
        <v>358</v>
      </c>
      <c r="E58" s="317"/>
      <c r="F58" s="317"/>
      <c r="G58" s="317"/>
      <c r="H58" s="317"/>
      <c r="I58" s="317"/>
      <c r="J58" s="317"/>
      <c r="K58" s="317"/>
      <c r="L58" s="317"/>
      <c r="M58" s="318"/>
      <c r="N58" s="319"/>
    </row>
    <row r="59" spans="1:15" s="50" customFormat="1" ht="18" customHeight="1" x14ac:dyDescent="0.2">
      <c r="A59" s="57">
        <v>52</v>
      </c>
      <c r="B59" s="298"/>
      <c r="C59" s="299"/>
      <c r="D59" s="1052" t="s">
        <v>334</v>
      </c>
      <c r="E59" s="1074">
        <v>19344</v>
      </c>
      <c r="F59" s="1074">
        <v>1445</v>
      </c>
      <c r="G59" s="1074"/>
      <c r="H59" s="1074"/>
      <c r="I59" s="1074"/>
      <c r="J59" s="1074"/>
      <c r="K59" s="1074"/>
      <c r="L59" s="1074">
        <v>862197</v>
      </c>
      <c r="M59" s="1077">
        <v>524297</v>
      </c>
      <c r="N59" s="1075">
        <f>SUM(E59:L59)</f>
        <v>882986</v>
      </c>
      <c r="O59" s="41"/>
    </row>
    <row r="60" spans="1:15" s="50" customFormat="1" ht="18" customHeight="1" x14ac:dyDescent="0.2">
      <c r="A60" s="57">
        <v>53</v>
      </c>
      <c r="B60" s="298"/>
      <c r="C60" s="299"/>
      <c r="D60" s="1091" t="s">
        <v>1307</v>
      </c>
      <c r="E60" s="863">
        <v>22800</v>
      </c>
      <c r="F60" s="863">
        <v>14865</v>
      </c>
      <c r="G60" s="863"/>
      <c r="H60" s="863"/>
      <c r="I60" s="863"/>
      <c r="J60" s="863"/>
      <c r="K60" s="863">
        <v>51906</v>
      </c>
      <c r="L60" s="863">
        <v>900330</v>
      </c>
      <c r="M60" s="862">
        <v>696055</v>
      </c>
      <c r="N60" s="306">
        <f>SUM(E60:L60)</f>
        <v>989901</v>
      </c>
      <c r="O60" s="41"/>
    </row>
    <row r="61" spans="1:15" s="50" customFormat="1" ht="18" customHeight="1" x14ac:dyDescent="0.3">
      <c r="A61" s="57">
        <v>54</v>
      </c>
      <c r="B61" s="298"/>
      <c r="C61" s="299"/>
      <c r="D61" s="1167" t="s">
        <v>1392</v>
      </c>
      <c r="E61" s="305"/>
      <c r="F61" s="305"/>
      <c r="G61" s="305"/>
      <c r="H61" s="305"/>
      <c r="I61" s="305"/>
      <c r="J61" s="305"/>
      <c r="K61" s="305"/>
      <c r="L61" s="305">
        <v>329</v>
      </c>
      <c r="M61" s="305">
        <v>329</v>
      </c>
      <c r="N61" s="1169">
        <f>SUM(E61:L61)</f>
        <v>329</v>
      </c>
      <c r="O61" s="41"/>
    </row>
    <row r="62" spans="1:15" s="50" customFormat="1" ht="18" customHeight="1" x14ac:dyDescent="0.3">
      <c r="A62" s="57">
        <v>55</v>
      </c>
      <c r="B62" s="298"/>
      <c r="C62" s="299"/>
      <c r="D62" s="1167" t="s">
        <v>1393</v>
      </c>
      <c r="E62" s="305"/>
      <c r="F62" s="305"/>
      <c r="G62" s="305"/>
      <c r="H62" s="305"/>
      <c r="I62" s="305"/>
      <c r="J62" s="305"/>
      <c r="K62" s="305"/>
      <c r="L62" s="305">
        <v>1013</v>
      </c>
      <c r="M62" s="305">
        <v>1013</v>
      </c>
      <c r="N62" s="1169">
        <f t="shared" ref="N62:N63" si="10">SUM(E62:L62)</f>
        <v>1013</v>
      </c>
      <c r="O62" s="41"/>
    </row>
    <row r="63" spans="1:15" s="50" customFormat="1" ht="18" customHeight="1" x14ac:dyDescent="0.3">
      <c r="A63" s="57">
        <v>56</v>
      </c>
      <c r="B63" s="298"/>
      <c r="C63" s="299"/>
      <c r="D63" s="1167" t="s">
        <v>1397</v>
      </c>
      <c r="E63" s="305"/>
      <c r="F63" s="305"/>
      <c r="G63" s="305"/>
      <c r="H63" s="305"/>
      <c r="I63" s="305"/>
      <c r="J63" s="305"/>
      <c r="K63" s="305"/>
      <c r="L63" s="305"/>
      <c r="M63" s="305">
        <v>1294</v>
      </c>
      <c r="N63" s="1169">
        <f t="shared" si="10"/>
        <v>0</v>
      </c>
      <c r="O63" s="41"/>
    </row>
    <row r="64" spans="1:15" s="50" customFormat="1" ht="18" customHeight="1" x14ac:dyDescent="0.2">
      <c r="A64" s="57">
        <v>57</v>
      </c>
      <c r="B64" s="298"/>
      <c r="C64" s="299"/>
      <c r="D64" s="1091" t="s">
        <v>1391</v>
      </c>
      <c r="E64" s="863">
        <f>SUM(E60:E63)</f>
        <v>22800</v>
      </c>
      <c r="F64" s="863">
        <f>SUM(F60:F63)</f>
        <v>14865</v>
      </c>
      <c r="G64" s="863"/>
      <c r="H64" s="863"/>
      <c r="I64" s="863"/>
      <c r="J64" s="863"/>
      <c r="K64" s="863">
        <f>SUM(K60:K63)</f>
        <v>51906</v>
      </c>
      <c r="L64" s="863">
        <f>SUM(L60:L63)</f>
        <v>901672</v>
      </c>
      <c r="M64" s="863">
        <f>SUM(M60:M63)</f>
        <v>698691</v>
      </c>
      <c r="N64" s="306">
        <f>SUM(E64:L64)</f>
        <v>991243</v>
      </c>
      <c r="O64" s="41"/>
    </row>
    <row r="65" spans="1:15" s="249" customFormat="1" ht="18" customHeight="1" x14ac:dyDescent="0.3">
      <c r="A65" s="57">
        <v>58</v>
      </c>
      <c r="B65" s="295"/>
      <c r="C65" s="296">
        <v>1</v>
      </c>
      <c r="D65" s="321" t="s">
        <v>533</v>
      </c>
      <c r="E65" s="116"/>
      <c r="F65" s="116"/>
      <c r="G65" s="116"/>
      <c r="H65" s="116"/>
      <c r="I65" s="116"/>
      <c r="J65" s="116"/>
      <c r="K65" s="116"/>
      <c r="L65" s="116"/>
      <c r="M65" s="158"/>
      <c r="N65" s="322"/>
      <c r="O65" s="42"/>
    </row>
    <row r="66" spans="1:15" s="249" customFormat="1" ht="18" customHeight="1" x14ac:dyDescent="0.2">
      <c r="A66" s="57">
        <v>59</v>
      </c>
      <c r="B66" s="301"/>
      <c r="C66" s="302"/>
      <c r="D66" s="1076" t="s">
        <v>334</v>
      </c>
      <c r="E66" s="1057"/>
      <c r="F66" s="1057"/>
      <c r="G66" s="1057"/>
      <c r="H66" s="1057"/>
      <c r="I66" s="1057"/>
      <c r="J66" s="1057"/>
      <c r="K66" s="1057">
        <v>10080</v>
      </c>
      <c r="L66" s="1057"/>
      <c r="M66" s="1058"/>
      <c r="N66" s="1059">
        <f>SUM(E66:L66)</f>
        <v>10080</v>
      </c>
      <c r="O66" s="42"/>
    </row>
    <row r="67" spans="1:15" s="249" customFormat="1" ht="18" customHeight="1" x14ac:dyDescent="0.2">
      <c r="A67" s="57">
        <v>60</v>
      </c>
      <c r="B67" s="301"/>
      <c r="C67" s="302"/>
      <c r="D67" s="1096" t="s">
        <v>1307</v>
      </c>
      <c r="E67" s="1057"/>
      <c r="F67" s="1057"/>
      <c r="G67" s="1057"/>
      <c r="H67" s="1057"/>
      <c r="I67" s="1057"/>
      <c r="J67" s="1057"/>
      <c r="K67" s="1097">
        <v>10080</v>
      </c>
      <c r="L67" s="1057"/>
      <c r="M67" s="1058"/>
      <c r="N67" s="306">
        <f>SUM(E67:L67)</f>
        <v>10080</v>
      </c>
      <c r="O67" s="42"/>
    </row>
    <row r="68" spans="1:15" s="249" customFormat="1" ht="18" customHeight="1" x14ac:dyDescent="0.3">
      <c r="A68" s="57">
        <v>61</v>
      </c>
      <c r="B68" s="301"/>
      <c r="C68" s="302"/>
      <c r="D68" s="1220" t="s">
        <v>733</v>
      </c>
      <c r="E68" s="308"/>
      <c r="F68" s="308"/>
      <c r="G68" s="308"/>
      <c r="H68" s="308"/>
      <c r="I68" s="308"/>
      <c r="J68" s="308"/>
      <c r="K68" s="308"/>
      <c r="L68" s="308"/>
      <c r="M68" s="308"/>
      <c r="N68" s="1169">
        <f t="shared" ref="N68" si="11">SUM(E68:L68)</f>
        <v>0</v>
      </c>
      <c r="O68" s="42"/>
    </row>
    <row r="69" spans="1:15" s="249" customFormat="1" ht="18" customHeight="1" x14ac:dyDescent="0.2">
      <c r="A69" s="57">
        <v>62</v>
      </c>
      <c r="B69" s="301"/>
      <c r="C69" s="302"/>
      <c r="D69" s="1096" t="s">
        <v>1391</v>
      </c>
      <c r="E69" s="1097"/>
      <c r="F69" s="1097"/>
      <c r="G69" s="1097"/>
      <c r="H69" s="1097"/>
      <c r="I69" s="1097"/>
      <c r="J69" s="1097"/>
      <c r="K69" s="1097">
        <f>SUM(K67:K68)</f>
        <v>10080</v>
      </c>
      <c r="L69" s="1097"/>
      <c r="M69" s="1097"/>
      <c r="N69" s="306">
        <f>SUM(E69:L69)</f>
        <v>10080</v>
      </c>
      <c r="O69" s="42"/>
    </row>
    <row r="70" spans="1:15" s="251" customFormat="1" ht="22.5" customHeight="1" x14ac:dyDescent="0.3">
      <c r="A70" s="57">
        <v>63</v>
      </c>
      <c r="B70" s="295">
        <v>8</v>
      </c>
      <c r="C70" s="296"/>
      <c r="D70" s="363" t="s">
        <v>130</v>
      </c>
      <c r="E70" s="304"/>
      <c r="F70" s="304"/>
      <c r="G70" s="304"/>
      <c r="H70" s="304"/>
      <c r="I70" s="304"/>
      <c r="J70" s="304"/>
      <c r="K70" s="304"/>
      <c r="L70" s="304"/>
      <c r="M70" s="305"/>
      <c r="N70" s="306"/>
      <c r="O70" s="46"/>
    </row>
    <row r="71" spans="1:15" s="49" customFormat="1" ht="18" customHeight="1" x14ac:dyDescent="0.2">
      <c r="A71" s="57">
        <v>64</v>
      </c>
      <c r="B71" s="298"/>
      <c r="C71" s="299"/>
      <c r="D71" s="1052" t="s">
        <v>334</v>
      </c>
      <c r="E71" s="1074">
        <v>13500</v>
      </c>
      <c r="F71" s="1074"/>
      <c r="G71" s="1074"/>
      <c r="H71" s="1074"/>
      <c r="I71" s="1074"/>
      <c r="J71" s="1074"/>
      <c r="K71" s="1074"/>
      <c r="L71" s="1074">
        <v>53325</v>
      </c>
      <c r="M71" s="1077">
        <v>22000</v>
      </c>
      <c r="N71" s="1075">
        <f>SUM(E71:L71)</f>
        <v>66825</v>
      </c>
    </row>
    <row r="72" spans="1:15" s="49" customFormat="1" ht="18" customHeight="1" x14ac:dyDescent="0.2">
      <c r="A72" s="57">
        <v>65</v>
      </c>
      <c r="B72" s="298"/>
      <c r="C72" s="299"/>
      <c r="D72" s="1091" t="s">
        <v>1307</v>
      </c>
      <c r="E72" s="863">
        <v>13500</v>
      </c>
      <c r="F72" s="863"/>
      <c r="G72" s="863"/>
      <c r="H72" s="863"/>
      <c r="I72" s="863"/>
      <c r="J72" s="863"/>
      <c r="K72" s="863">
        <v>18187</v>
      </c>
      <c r="L72" s="863">
        <v>67307</v>
      </c>
      <c r="M72" s="862">
        <v>35982</v>
      </c>
      <c r="N72" s="306">
        <f>SUM(E72:L72)</f>
        <v>98994</v>
      </c>
    </row>
    <row r="73" spans="1:15" s="49" customFormat="1" ht="18" customHeight="1" x14ac:dyDescent="0.3">
      <c r="A73" s="57">
        <v>66</v>
      </c>
      <c r="B73" s="298"/>
      <c r="C73" s="299"/>
      <c r="D73" s="1167" t="s">
        <v>1392</v>
      </c>
      <c r="E73" s="305"/>
      <c r="F73" s="305"/>
      <c r="G73" s="305"/>
      <c r="H73" s="305"/>
      <c r="I73" s="305"/>
      <c r="J73" s="305"/>
      <c r="K73" s="305"/>
      <c r="L73" s="305">
        <v>41</v>
      </c>
      <c r="M73" s="305">
        <v>41</v>
      </c>
      <c r="N73" s="1169">
        <f t="shared" ref="N73:N75" si="12">SUM(E73:L73)</f>
        <v>41</v>
      </c>
    </row>
    <row r="74" spans="1:15" s="49" customFormat="1" ht="18" customHeight="1" x14ac:dyDescent="0.3">
      <c r="A74" s="57">
        <v>67</v>
      </c>
      <c r="B74" s="298"/>
      <c r="C74" s="299"/>
      <c r="D74" s="1167" t="s">
        <v>1393</v>
      </c>
      <c r="E74" s="305"/>
      <c r="F74" s="305"/>
      <c r="G74" s="305"/>
      <c r="H74" s="305"/>
      <c r="I74" s="305"/>
      <c r="J74" s="305"/>
      <c r="K74" s="305"/>
      <c r="L74" s="305">
        <v>776</v>
      </c>
      <c r="M74" s="305">
        <v>776</v>
      </c>
      <c r="N74" s="1169">
        <f t="shared" si="12"/>
        <v>776</v>
      </c>
    </row>
    <row r="75" spans="1:15" s="49" customFormat="1" ht="18" customHeight="1" x14ac:dyDescent="0.3">
      <c r="A75" s="57">
        <v>68</v>
      </c>
      <c r="B75" s="298"/>
      <c r="C75" s="299"/>
      <c r="D75" s="1167" t="s">
        <v>1397</v>
      </c>
      <c r="E75" s="305"/>
      <c r="F75" s="305"/>
      <c r="G75" s="305"/>
      <c r="H75" s="305"/>
      <c r="I75" s="305"/>
      <c r="J75" s="305"/>
      <c r="K75" s="305"/>
      <c r="L75" s="305"/>
      <c r="M75" s="305">
        <v>8604</v>
      </c>
      <c r="N75" s="1169">
        <f t="shared" si="12"/>
        <v>0</v>
      </c>
    </row>
    <row r="76" spans="1:15" s="49" customFormat="1" ht="18" customHeight="1" x14ac:dyDescent="0.2">
      <c r="A76" s="57">
        <v>69</v>
      </c>
      <c r="B76" s="298"/>
      <c r="C76" s="299"/>
      <c r="D76" s="1091" t="s">
        <v>1391</v>
      </c>
      <c r="E76" s="863">
        <f>SUM(E72:E75)</f>
        <v>13500</v>
      </c>
      <c r="F76" s="863"/>
      <c r="G76" s="863"/>
      <c r="H76" s="863"/>
      <c r="I76" s="863"/>
      <c r="J76" s="863"/>
      <c r="K76" s="863">
        <f>SUM(K72:K75)</f>
        <v>18187</v>
      </c>
      <c r="L76" s="863">
        <f>SUM(L72:L75)</f>
        <v>68124</v>
      </c>
      <c r="M76" s="863">
        <f>SUM(M72:M75)</f>
        <v>45403</v>
      </c>
      <c r="N76" s="306">
        <f>SUM(E76:L76)</f>
        <v>99811</v>
      </c>
    </row>
    <row r="77" spans="1:15" s="50" customFormat="1" ht="18" customHeight="1" x14ac:dyDescent="0.3">
      <c r="A77" s="57">
        <v>70</v>
      </c>
      <c r="B77" s="295"/>
      <c r="C77" s="296">
        <v>1</v>
      </c>
      <c r="D77" s="321" t="s">
        <v>157</v>
      </c>
      <c r="E77" s="116"/>
      <c r="F77" s="116"/>
      <c r="G77" s="116"/>
      <c r="H77" s="116"/>
      <c r="I77" s="116"/>
      <c r="J77" s="116"/>
      <c r="K77" s="116"/>
      <c r="L77" s="116"/>
      <c r="M77" s="158"/>
      <c r="N77" s="322"/>
      <c r="O77" s="41"/>
    </row>
    <row r="78" spans="1:15" s="50" customFormat="1" ht="18" customHeight="1" x14ac:dyDescent="0.2">
      <c r="A78" s="57">
        <v>71</v>
      </c>
      <c r="B78" s="301"/>
      <c r="C78" s="312"/>
      <c r="D78" s="1056" t="s">
        <v>334</v>
      </c>
      <c r="E78" s="1078"/>
      <c r="F78" s="1078"/>
      <c r="G78" s="1078"/>
      <c r="H78" s="1078"/>
      <c r="I78" s="1078"/>
      <c r="J78" s="1078"/>
      <c r="K78" s="1078"/>
      <c r="L78" s="1078"/>
      <c r="M78" s="1079"/>
      <c r="N78" s="1080">
        <f>SUM(E78:L78)</f>
        <v>0</v>
      </c>
      <c r="O78" s="41"/>
    </row>
    <row r="79" spans="1:15" s="50" customFormat="1" ht="18" customHeight="1" x14ac:dyDescent="0.2">
      <c r="A79" s="57">
        <v>72</v>
      </c>
      <c r="B79" s="301"/>
      <c r="C79" s="312"/>
      <c r="D79" s="1096" t="s">
        <v>1307</v>
      </c>
      <c r="E79" s="1078"/>
      <c r="F79" s="1078"/>
      <c r="G79" s="1078"/>
      <c r="H79" s="1078"/>
      <c r="I79" s="1078"/>
      <c r="J79" s="1078"/>
      <c r="K79" s="1078"/>
      <c r="L79" s="1078"/>
      <c r="M79" s="1079"/>
      <c r="N79" s="1691">
        <f>SUM(E79:L79)</f>
        <v>0</v>
      </c>
      <c r="O79" s="41"/>
    </row>
    <row r="80" spans="1:15" s="50" customFormat="1" ht="18" customHeight="1" x14ac:dyDescent="0.3">
      <c r="A80" s="57">
        <v>73</v>
      </c>
      <c r="B80" s="301"/>
      <c r="C80" s="302"/>
      <c r="D80" s="303" t="s">
        <v>733</v>
      </c>
      <c r="E80" s="313"/>
      <c r="F80" s="313"/>
      <c r="G80" s="313"/>
      <c r="H80" s="313"/>
      <c r="I80" s="313"/>
      <c r="J80" s="313"/>
      <c r="K80" s="313"/>
      <c r="L80" s="313"/>
      <c r="M80" s="314"/>
      <c r="N80" s="130">
        <f t="shared" ref="N80" si="13">SUM(E80:L80)</f>
        <v>0</v>
      </c>
      <c r="O80" s="41"/>
    </row>
    <row r="81" spans="1:15" s="50" customFormat="1" ht="18" customHeight="1" x14ac:dyDescent="0.2">
      <c r="A81" s="57">
        <v>74</v>
      </c>
      <c r="B81" s="301"/>
      <c r="C81" s="302"/>
      <c r="D81" s="1096" t="s">
        <v>1391</v>
      </c>
      <c r="E81" s="1098"/>
      <c r="F81" s="1098"/>
      <c r="G81" s="1098"/>
      <c r="H81" s="1098"/>
      <c r="I81" s="1098"/>
      <c r="J81" s="1098"/>
      <c r="K81" s="1098"/>
      <c r="L81" s="1098"/>
      <c r="M81" s="1099"/>
      <c r="N81" s="306">
        <f>SUM(E81:L81)</f>
        <v>0</v>
      </c>
      <c r="O81" s="41"/>
    </row>
    <row r="82" spans="1:15" s="251" customFormat="1" ht="22.5" customHeight="1" x14ac:dyDescent="0.3">
      <c r="A82" s="57">
        <v>75</v>
      </c>
      <c r="B82" s="295">
        <v>9</v>
      </c>
      <c r="C82" s="296"/>
      <c r="D82" s="363" t="s">
        <v>559</v>
      </c>
      <c r="E82" s="304"/>
      <c r="F82" s="304"/>
      <c r="G82" s="304"/>
      <c r="H82" s="304"/>
      <c r="I82" s="304"/>
      <c r="J82" s="304"/>
      <c r="K82" s="304"/>
      <c r="L82" s="304"/>
      <c r="M82" s="305"/>
      <c r="N82" s="306"/>
      <c r="O82" s="46"/>
    </row>
    <row r="83" spans="1:15" s="49" customFormat="1" ht="18" customHeight="1" x14ac:dyDescent="0.2">
      <c r="A83" s="57">
        <v>76</v>
      </c>
      <c r="B83" s="298"/>
      <c r="C83" s="299"/>
      <c r="D83" s="1052" t="s">
        <v>334</v>
      </c>
      <c r="E83" s="1074">
        <v>1800</v>
      </c>
      <c r="F83" s="1074"/>
      <c r="G83" s="1074"/>
      <c r="H83" s="1074"/>
      <c r="I83" s="1074"/>
      <c r="J83" s="1074"/>
      <c r="K83" s="1074"/>
      <c r="L83" s="1074">
        <v>234900</v>
      </c>
      <c r="M83" s="1077">
        <v>138057</v>
      </c>
      <c r="N83" s="1075">
        <f>SUM(E83:L83)</f>
        <v>236700</v>
      </c>
    </row>
    <row r="84" spans="1:15" s="49" customFormat="1" ht="18" customHeight="1" x14ac:dyDescent="0.2">
      <c r="A84" s="57">
        <v>77</v>
      </c>
      <c r="B84" s="298"/>
      <c r="C84" s="299"/>
      <c r="D84" s="1091" t="s">
        <v>1307</v>
      </c>
      <c r="E84" s="863">
        <v>1800</v>
      </c>
      <c r="F84" s="863"/>
      <c r="G84" s="863"/>
      <c r="H84" s="863"/>
      <c r="I84" s="863"/>
      <c r="J84" s="863"/>
      <c r="K84" s="863">
        <v>12863</v>
      </c>
      <c r="L84" s="863">
        <v>278735</v>
      </c>
      <c r="M84" s="862">
        <v>181205</v>
      </c>
      <c r="N84" s="306">
        <f>SUM(E84:L84)</f>
        <v>293398</v>
      </c>
    </row>
    <row r="85" spans="1:15" s="49" customFormat="1" ht="18" customHeight="1" x14ac:dyDescent="0.3">
      <c r="A85" s="57">
        <v>78</v>
      </c>
      <c r="B85" s="298"/>
      <c r="C85" s="299"/>
      <c r="D85" s="1167" t="s">
        <v>1392</v>
      </c>
      <c r="E85" s="305"/>
      <c r="F85" s="305"/>
      <c r="G85" s="305"/>
      <c r="H85" s="305"/>
      <c r="I85" s="305"/>
      <c r="J85" s="305"/>
      <c r="K85" s="305"/>
      <c r="L85" s="305">
        <v>220</v>
      </c>
      <c r="M85" s="305">
        <v>220</v>
      </c>
      <c r="N85" s="1169">
        <f t="shared" ref="N85:N88" si="14">SUM(E85:L85)</f>
        <v>220</v>
      </c>
    </row>
    <row r="86" spans="1:15" s="49" customFormat="1" ht="18" customHeight="1" x14ac:dyDescent="0.3">
      <c r="A86" s="57">
        <v>79</v>
      </c>
      <c r="B86" s="298"/>
      <c r="C86" s="299"/>
      <c r="D86" s="1167" t="s">
        <v>1393</v>
      </c>
      <c r="E86" s="305"/>
      <c r="F86" s="305"/>
      <c r="G86" s="305"/>
      <c r="H86" s="305"/>
      <c r="I86" s="305"/>
      <c r="J86" s="305"/>
      <c r="K86" s="305"/>
      <c r="L86" s="305">
        <v>4046</v>
      </c>
      <c r="M86" s="305">
        <v>4046</v>
      </c>
      <c r="N86" s="1169">
        <f t="shared" si="14"/>
        <v>4046</v>
      </c>
    </row>
    <row r="87" spans="1:15" s="49" customFormat="1" ht="18" customHeight="1" x14ac:dyDescent="0.3">
      <c r="A87" s="57">
        <v>80</v>
      </c>
      <c r="B87" s="298"/>
      <c r="C87" s="299"/>
      <c r="D87" s="1167" t="s">
        <v>1397</v>
      </c>
      <c r="E87" s="305"/>
      <c r="F87" s="305"/>
      <c r="G87" s="305"/>
      <c r="H87" s="305"/>
      <c r="I87" s="305"/>
      <c r="J87" s="305"/>
      <c r="K87" s="305"/>
      <c r="L87" s="305"/>
      <c r="M87" s="305">
        <v>7802</v>
      </c>
      <c r="N87" s="1169">
        <f t="shared" si="14"/>
        <v>0</v>
      </c>
    </row>
    <row r="88" spans="1:15" s="49" customFormat="1" ht="18" customHeight="1" x14ac:dyDescent="0.3">
      <c r="A88" s="57">
        <v>81</v>
      </c>
      <c r="B88" s="298"/>
      <c r="C88" s="299"/>
      <c r="D88" s="1167" t="s">
        <v>1406</v>
      </c>
      <c r="E88" s="305"/>
      <c r="F88" s="305"/>
      <c r="G88" s="305"/>
      <c r="H88" s="305"/>
      <c r="I88" s="305"/>
      <c r="J88" s="305"/>
      <c r="K88" s="305"/>
      <c r="L88" s="305">
        <v>1284</v>
      </c>
      <c r="M88" s="305"/>
      <c r="N88" s="1169">
        <f t="shared" si="14"/>
        <v>1284</v>
      </c>
    </row>
    <row r="89" spans="1:15" s="49" customFormat="1" ht="18" customHeight="1" x14ac:dyDescent="0.2">
      <c r="A89" s="57">
        <v>82</v>
      </c>
      <c r="B89" s="298"/>
      <c r="C89" s="299"/>
      <c r="D89" s="1091" t="s">
        <v>1391</v>
      </c>
      <c r="E89" s="863">
        <f>SUM(E84:E88)</f>
        <v>1800</v>
      </c>
      <c r="F89" s="863"/>
      <c r="G89" s="863"/>
      <c r="H89" s="863"/>
      <c r="I89" s="863"/>
      <c r="J89" s="863"/>
      <c r="K89" s="863">
        <f>SUM(K84:K88)</f>
        <v>12863</v>
      </c>
      <c r="L89" s="863">
        <f>SUM(L84:L88)</f>
        <v>284285</v>
      </c>
      <c r="M89" s="863">
        <f>SUM(M84:M88)</f>
        <v>193273</v>
      </c>
      <c r="N89" s="306">
        <f>SUM(E89:L89)</f>
        <v>298948</v>
      </c>
    </row>
    <row r="90" spans="1:15" s="50" customFormat="1" ht="18" customHeight="1" x14ac:dyDescent="0.3">
      <c r="A90" s="57">
        <v>83</v>
      </c>
      <c r="B90" s="295"/>
      <c r="C90" s="296">
        <v>1</v>
      </c>
      <c r="D90" s="321" t="s">
        <v>157</v>
      </c>
      <c r="E90" s="116"/>
      <c r="F90" s="116"/>
      <c r="G90" s="116"/>
      <c r="H90" s="116"/>
      <c r="I90" s="116"/>
      <c r="J90" s="116"/>
      <c r="K90" s="116"/>
      <c r="L90" s="116"/>
      <c r="M90" s="158"/>
      <c r="N90" s="322"/>
      <c r="O90" s="41"/>
    </row>
    <row r="91" spans="1:15" s="50" customFormat="1" ht="18" customHeight="1" x14ac:dyDescent="0.2">
      <c r="A91" s="57">
        <v>84</v>
      </c>
      <c r="B91" s="301"/>
      <c r="C91" s="312"/>
      <c r="D91" s="1056" t="s">
        <v>334</v>
      </c>
      <c r="E91" s="1078"/>
      <c r="F91" s="1078">
        <v>179</v>
      </c>
      <c r="G91" s="1078"/>
      <c r="H91" s="1078"/>
      <c r="I91" s="1078"/>
      <c r="J91" s="1078"/>
      <c r="K91" s="1078">
        <v>90</v>
      </c>
      <c r="L91" s="1078"/>
      <c r="M91" s="1079"/>
      <c r="N91" s="1080">
        <f>SUM(E91:L91)</f>
        <v>269</v>
      </c>
      <c r="O91" s="41"/>
    </row>
    <row r="92" spans="1:15" s="50" customFormat="1" ht="18" customHeight="1" x14ac:dyDescent="0.2">
      <c r="A92" s="57">
        <v>85</v>
      </c>
      <c r="B92" s="301"/>
      <c r="C92" s="312"/>
      <c r="D92" s="1096" t="s">
        <v>1307</v>
      </c>
      <c r="E92" s="1078"/>
      <c r="F92" s="1098">
        <v>179</v>
      </c>
      <c r="G92" s="1098"/>
      <c r="H92" s="1098"/>
      <c r="I92" s="1098"/>
      <c r="J92" s="1098"/>
      <c r="K92" s="1098">
        <v>90</v>
      </c>
      <c r="L92" s="1078"/>
      <c r="M92" s="1079"/>
      <c r="N92" s="306">
        <f>SUM(E92:L92)</f>
        <v>269</v>
      </c>
      <c r="O92" s="41"/>
    </row>
    <row r="93" spans="1:15" s="50" customFormat="1" ht="18" customHeight="1" x14ac:dyDescent="0.3">
      <c r="A93" s="57">
        <v>86</v>
      </c>
      <c r="B93" s="301"/>
      <c r="C93" s="302"/>
      <c r="D93" s="1220" t="s">
        <v>733</v>
      </c>
      <c r="E93" s="308"/>
      <c r="F93" s="308"/>
      <c r="G93" s="308"/>
      <c r="H93" s="308"/>
      <c r="I93" s="308"/>
      <c r="J93" s="308"/>
      <c r="K93" s="308"/>
      <c r="L93" s="308"/>
      <c r="M93" s="308"/>
      <c r="N93" s="1169">
        <f t="shared" ref="N93" si="15">SUM(E93:L93)</f>
        <v>0</v>
      </c>
      <c r="O93" s="41"/>
    </row>
    <row r="94" spans="1:15" s="50" customFormat="1" ht="18" customHeight="1" thickBot="1" x14ac:dyDescent="0.25">
      <c r="A94" s="57">
        <v>87</v>
      </c>
      <c r="B94" s="301"/>
      <c r="C94" s="1060"/>
      <c r="D94" s="1093" t="s">
        <v>1391</v>
      </c>
      <c r="E94" s="1094"/>
      <c r="F94" s="1094">
        <f>SUM(F92:F93)</f>
        <v>179</v>
      </c>
      <c r="G94" s="1094"/>
      <c r="H94" s="1094"/>
      <c r="I94" s="1094"/>
      <c r="J94" s="1094"/>
      <c r="K94" s="1094">
        <f>SUM(K92:K93)</f>
        <v>90</v>
      </c>
      <c r="L94" s="1094"/>
      <c r="M94" s="1094"/>
      <c r="N94" s="1061">
        <f>SUM(N92:N93)</f>
        <v>269</v>
      </c>
      <c r="O94" s="41"/>
    </row>
    <row r="95" spans="1:15" s="50" customFormat="1" ht="18" customHeight="1" thickTop="1" x14ac:dyDescent="0.2">
      <c r="A95" s="57">
        <v>88</v>
      </c>
      <c r="B95" s="301"/>
      <c r="C95" s="1064"/>
      <c r="D95" s="860" t="s">
        <v>163</v>
      </c>
      <c r="E95" s="1065"/>
      <c r="F95" s="1065"/>
      <c r="G95" s="1065"/>
      <c r="H95" s="1065"/>
      <c r="I95" s="1065"/>
      <c r="J95" s="1065"/>
      <c r="K95" s="1065"/>
      <c r="L95" s="1065"/>
      <c r="M95" s="1065"/>
      <c r="N95" s="1067"/>
      <c r="O95" s="41"/>
    </row>
    <row r="96" spans="1:15" s="49" customFormat="1" ht="20.100000000000001" customHeight="1" x14ac:dyDescent="0.2">
      <c r="A96" s="57">
        <v>89</v>
      </c>
      <c r="B96" s="298"/>
      <c r="C96" s="299"/>
      <c r="D96" s="1425" t="s">
        <v>334</v>
      </c>
      <c r="E96" s="1430">
        <f t="shared" ref="E96:N96" si="16">SUM(E78,E71,E59,E66,E83,E91)</f>
        <v>34644</v>
      </c>
      <c r="F96" s="1430">
        <f t="shared" si="16"/>
        <v>1624</v>
      </c>
      <c r="G96" s="1430">
        <f t="shared" si="16"/>
        <v>0</v>
      </c>
      <c r="H96" s="1430">
        <f t="shared" si="16"/>
        <v>0</v>
      </c>
      <c r="I96" s="1430">
        <f t="shared" si="16"/>
        <v>0</v>
      </c>
      <c r="J96" s="1430">
        <f t="shared" si="16"/>
        <v>0</v>
      </c>
      <c r="K96" s="1430">
        <f t="shared" si="16"/>
        <v>10170</v>
      </c>
      <c r="L96" s="1430">
        <f t="shared" si="16"/>
        <v>1150422</v>
      </c>
      <c r="M96" s="1430">
        <f t="shared" si="16"/>
        <v>684354</v>
      </c>
      <c r="N96" s="1075">
        <f t="shared" si="16"/>
        <v>1196860</v>
      </c>
    </row>
    <row r="97" spans="1:15" s="49" customFormat="1" ht="20.100000000000001" customHeight="1" x14ac:dyDescent="0.2">
      <c r="A97" s="57">
        <v>90</v>
      </c>
      <c r="B97" s="767"/>
      <c r="C97" s="337"/>
      <c r="D97" s="1091" t="s">
        <v>1307</v>
      </c>
      <c r="E97" s="861">
        <f t="shared" ref="E97:M97" si="17">E92+E84+E79+E72+E67+E60</f>
        <v>38100</v>
      </c>
      <c r="F97" s="861">
        <f t="shared" si="17"/>
        <v>15044</v>
      </c>
      <c r="G97" s="861">
        <f t="shared" si="17"/>
        <v>0</v>
      </c>
      <c r="H97" s="861">
        <f t="shared" si="17"/>
        <v>0</v>
      </c>
      <c r="I97" s="861">
        <f t="shared" si="17"/>
        <v>0</v>
      </c>
      <c r="J97" s="861">
        <f t="shared" si="17"/>
        <v>0</v>
      </c>
      <c r="K97" s="861">
        <f t="shared" si="17"/>
        <v>93126</v>
      </c>
      <c r="L97" s="861">
        <f t="shared" si="17"/>
        <v>1246372</v>
      </c>
      <c r="M97" s="861">
        <f t="shared" si="17"/>
        <v>913242</v>
      </c>
      <c r="N97" s="306">
        <f>SUM(E97:L97)</f>
        <v>1392642</v>
      </c>
    </row>
    <row r="98" spans="1:15" s="49" customFormat="1" ht="20.100000000000001" customHeight="1" x14ac:dyDescent="0.2">
      <c r="A98" s="57">
        <v>91</v>
      </c>
      <c r="B98" s="767"/>
      <c r="C98" s="299"/>
      <c r="D98" s="1226" t="s">
        <v>733</v>
      </c>
      <c r="E98" s="305">
        <f>E93+E86+E85+E80+E74+E73+E68+E63+E62+E61+E87+E75+E88</f>
        <v>0</v>
      </c>
      <c r="F98" s="305">
        <f t="shared" ref="F98:M98" si="18">F93+F86+F85+F80+F74+F73+F68+F63+F62+F61+F87+F75+F88</f>
        <v>0</v>
      </c>
      <c r="G98" s="305">
        <f t="shared" si="18"/>
        <v>0</v>
      </c>
      <c r="H98" s="305">
        <f t="shared" si="18"/>
        <v>0</v>
      </c>
      <c r="I98" s="305">
        <f t="shared" si="18"/>
        <v>0</v>
      </c>
      <c r="J98" s="305">
        <f t="shared" si="18"/>
        <v>0</v>
      </c>
      <c r="K98" s="305">
        <f t="shared" si="18"/>
        <v>0</v>
      </c>
      <c r="L98" s="305">
        <f t="shared" si="18"/>
        <v>7709</v>
      </c>
      <c r="M98" s="305">
        <f t="shared" si="18"/>
        <v>24125</v>
      </c>
      <c r="N98" s="1212">
        <f>SUM(E98:L98)</f>
        <v>7709</v>
      </c>
    </row>
    <row r="99" spans="1:15" s="49" customFormat="1" ht="20.100000000000001" customHeight="1" thickBot="1" x14ac:dyDescent="0.25">
      <c r="A99" s="57">
        <v>92</v>
      </c>
      <c r="B99" s="767"/>
      <c r="C99" s="768"/>
      <c r="D99" s="1095" t="s">
        <v>1391</v>
      </c>
      <c r="E99" s="865">
        <f>SUM(E97:E98)</f>
        <v>38100</v>
      </c>
      <c r="F99" s="865">
        <f t="shared" ref="F99:M99" si="19">SUM(F97:F98)</f>
        <v>15044</v>
      </c>
      <c r="G99" s="865">
        <f t="shared" si="19"/>
        <v>0</v>
      </c>
      <c r="H99" s="865">
        <f t="shared" si="19"/>
        <v>0</v>
      </c>
      <c r="I99" s="865">
        <f t="shared" si="19"/>
        <v>0</v>
      </c>
      <c r="J99" s="865">
        <f t="shared" si="19"/>
        <v>0</v>
      </c>
      <c r="K99" s="865">
        <f t="shared" si="19"/>
        <v>93126</v>
      </c>
      <c r="L99" s="865">
        <f t="shared" si="19"/>
        <v>1254081</v>
      </c>
      <c r="M99" s="865">
        <f t="shared" si="19"/>
        <v>937367</v>
      </c>
      <c r="N99" s="866">
        <f>SUM(E99:L99)</f>
        <v>1400351</v>
      </c>
    </row>
    <row r="100" spans="1:15" s="42" customFormat="1" ht="22.5" customHeight="1" thickTop="1" x14ac:dyDescent="0.3">
      <c r="A100" s="57">
        <v>93</v>
      </c>
      <c r="B100" s="315">
        <v>10</v>
      </c>
      <c r="C100" s="316"/>
      <c r="D100" s="364" t="s">
        <v>564</v>
      </c>
      <c r="E100" s="328"/>
      <c r="F100" s="328"/>
      <c r="G100" s="328"/>
      <c r="H100" s="328"/>
      <c r="I100" s="328"/>
      <c r="J100" s="328"/>
      <c r="K100" s="328"/>
      <c r="L100" s="328"/>
      <c r="M100" s="329"/>
      <c r="N100" s="330"/>
      <c r="O100" s="41"/>
    </row>
    <row r="101" spans="1:15" s="50" customFormat="1" ht="18" customHeight="1" x14ac:dyDescent="0.2">
      <c r="A101" s="57">
        <v>94</v>
      </c>
      <c r="B101" s="298"/>
      <c r="C101" s="299"/>
      <c r="D101" s="1052" t="s">
        <v>334</v>
      </c>
      <c r="E101" s="1074">
        <v>39584</v>
      </c>
      <c r="F101" s="1074"/>
      <c r="G101" s="1074"/>
      <c r="H101" s="1074"/>
      <c r="I101" s="1074"/>
      <c r="J101" s="1074"/>
      <c r="K101" s="1074"/>
      <c r="L101" s="1074">
        <v>174961</v>
      </c>
      <c r="M101" s="1077"/>
      <c r="N101" s="1075">
        <f>SUM(E101:L101)</f>
        <v>214545</v>
      </c>
      <c r="O101" s="41"/>
    </row>
    <row r="102" spans="1:15" s="50" customFormat="1" ht="18" customHeight="1" x14ac:dyDescent="0.2">
      <c r="A102" s="57">
        <v>95</v>
      </c>
      <c r="B102" s="298"/>
      <c r="C102" s="299"/>
      <c r="D102" s="1091" t="s">
        <v>1307</v>
      </c>
      <c r="E102" s="863">
        <v>39584</v>
      </c>
      <c r="F102" s="863">
        <v>900</v>
      </c>
      <c r="G102" s="863">
        <v>950</v>
      </c>
      <c r="H102" s="863"/>
      <c r="I102" s="863"/>
      <c r="J102" s="863"/>
      <c r="K102" s="863">
        <v>40730</v>
      </c>
      <c r="L102" s="863">
        <v>192802</v>
      </c>
      <c r="M102" s="862">
        <v>5413</v>
      </c>
      <c r="N102" s="306">
        <f>SUM(E102:L102)</f>
        <v>274966</v>
      </c>
      <c r="O102" s="41"/>
    </row>
    <row r="103" spans="1:15" s="50" customFormat="1" ht="18" customHeight="1" x14ac:dyDescent="0.2">
      <c r="A103" s="57">
        <v>96</v>
      </c>
      <c r="B103" s="298"/>
      <c r="C103" s="299"/>
      <c r="D103" s="1167" t="s">
        <v>1392</v>
      </c>
      <c r="E103" s="305"/>
      <c r="F103" s="305"/>
      <c r="G103" s="305"/>
      <c r="H103" s="305"/>
      <c r="I103" s="305"/>
      <c r="J103" s="305"/>
      <c r="K103" s="305"/>
      <c r="L103" s="305">
        <v>2</v>
      </c>
      <c r="M103" s="305">
        <v>2</v>
      </c>
      <c r="N103" s="1227">
        <f t="shared" ref="N103:N107" si="20">SUM(E103:L103)</f>
        <v>2</v>
      </c>
      <c r="O103" s="41"/>
    </row>
    <row r="104" spans="1:15" s="50" customFormat="1" ht="18" customHeight="1" x14ac:dyDescent="0.3">
      <c r="A104" s="57">
        <v>97</v>
      </c>
      <c r="B104" s="298"/>
      <c r="C104" s="299"/>
      <c r="D104" s="1167" t="s">
        <v>1394</v>
      </c>
      <c r="E104" s="305"/>
      <c r="F104" s="305"/>
      <c r="G104" s="305"/>
      <c r="H104" s="305"/>
      <c r="I104" s="305"/>
      <c r="J104" s="305"/>
      <c r="K104" s="305"/>
      <c r="L104" s="305">
        <v>521</v>
      </c>
      <c r="M104" s="305">
        <v>521</v>
      </c>
      <c r="N104" s="1169">
        <f t="shared" si="20"/>
        <v>521</v>
      </c>
      <c r="O104" s="41"/>
    </row>
    <row r="105" spans="1:15" s="50" customFormat="1" ht="18" customHeight="1" x14ac:dyDescent="0.3">
      <c r="A105" s="57">
        <v>98</v>
      </c>
      <c r="B105" s="298"/>
      <c r="C105" s="299"/>
      <c r="D105" s="1167" t="s">
        <v>1421</v>
      </c>
      <c r="E105" s="305"/>
      <c r="F105" s="305">
        <v>400</v>
      </c>
      <c r="G105" s="305"/>
      <c r="H105" s="305"/>
      <c r="I105" s="305"/>
      <c r="J105" s="305"/>
      <c r="K105" s="305"/>
      <c r="L105" s="305"/>
      <c r="M105" s="305"/>
      <c r="N105" s="1169">
        <f t="shared" si="20"/>
        <v>400</v>
      </c>
      <c r="O105" s="41"/>
    </row>
    <row r="106" spans="1:15" s="50" customFormat="1" ht="18" customHeight="1" x14ac:dyDescent="0.3">
      <c r="A106" s="57">
        <v>99</v>
      </c>
      <c r="B106" s="298"/>
      <c r="C106" s="299"/>
      <c r="D106" s="1167" t="s">
        <v>1459</v>
      </c>
      <c r="E106" s="305"/>
      <c r="F106" s="305"/>
      <c r="G106" s="305"/>
      <c r="H106" s="305"/>
      <c r="I106" s="305"/>
      <c r="J106" s="305"/>
      <c r="K106" s="305"/>
      <c r="L106" s="305">
        <v>12</v>
      </c>
      <c r="M106" s="305"/>
      <c r="N106" s="1169">
        <f t="shared" si="20"/>
        <v>12</v>
      </c>
      <c r="O106" s="41"/>
    </row>
    <row r="107" spans="1:15" s="50" customFormat="1" ht="18" customHeight="1" x14ac:dyDescent="0.35">
      <c r="A107" s="57">
        <v>100</v>
      </c>
      <c r="B107" s="298"/>
      <c r="C107" s="299"/>
      <c r="D107" s="1167" t="s">
        <v>1487</v>
      </c>
      <c r="E107" s="305"/>
      <c r="F107" s="305"/>
      <c r="G107" s="305"/>
      <c r="H107" s="305"/>
      <c r="I107" s="305"/>
      <c r="J107" s="305"/>
      <c r="K107" s="305"/>
      <c r="L107" s="1045">
        <v>334</v>
      </c>
      <c r="M107" s="305">
        <v>334</v>
      </c>
      <c r="N107" s="1169">
        <f t="shared" si="20"/>
        <v>334</v>
      </c>
      <c r="O107" s="41"/>
    </row>
    <row r="108" spans="1:15" s="50" customFormat="1" ht="18" customHeight="1" x14ac:dyDescent="0.2">
      <c r="A108" s="57">
        <v>101</v>
      </c>
      <c r="B108" s="298"/>
      <c r="C108" s="299"/>
      <c r="D108" s="1091" t="s">
        <v>1391</v>
      </c>
      <c r="E108" s="863">
        <f>SUM(E102:E107)</f>
        <v>39584</v>
      </c>
      <c r="F108" s="863">
        <f>SUM(F102:F107)</f>
        <v>1300</v>
      </c>
      <c r="G108" s="863">
        <f>SUM(G102:G107)</f>
        <v>950</v>
      </c>
      <c r="H108" s="863"/>
      <c r="I108" s="863"/>
      <c r="J108" s="863"/>
      <c r="K108" s="863">
        <f>SUM(K102:K107)</f>
        <v>40730</v>
      </c>
      <c r="L108" s="863">
        <f>SUM(L102:L107)</f>
        <v>193671</v>
      </c>
      <c r="M108" s="863">
        <f>SUM(M102:M107)</f>
        <v>6270</v>
      </c>
      <c r="N108" s="306">
        <f>SUM(E108:L108)</f>
        <v>276235</v>
      </c>
      <c r="O108" s="41"/>
    </row>
    <row r="109" spans="1:15" s="50" customFormat="1" ht="27.75" customHeight="1" x14ac:dyDescent="0.3">
      <c r="A109" s="57">
        <v>102</v>
      </c>
      <c r="B109" s="298"/>
      <c r="C109" s="296">
        <v>1</v>
      </c>
      <c r="D109" s="1765" t="s">
        <v>921</v>
      </c>
      <c r="E109" s="1766"/>
      <c r="F109" s="1766"/>
      <c r="G109" s="1767"/>
      <c r="H109" s="863"/>
      <c r="I109" s="863"/>
      <c r="J109" s="863"/>
      <c r="K109" s="863"/>
      <c r="L109" s="863"/>
      <c r="M109" s="863"/>
      <c r="N109" s="306"/>
      <c r="O109" s="41"/>
    </row>
    <row r="110" spans="1:15" s="50" customFormat="1" ht="18" customHeight="1" x14ac:dyDescent="0.3">
      <c r="A110" s="57">
        <v>103</v>
      </c>
      <c r="B110" s="298"/>
      <c r="C110" s="296"/>
      <c r="D110" s="1091" t="s">
        <v>1307</v>
      </c>
      <c r="E110" s="1725"/>
      <c r="F110" s="863">
        <v>90557</v>
      </c>
      <c r="G110" s="1726"/>
      <c r="H110" s="863"/>
      <c r="I110" s="863">
        <v>4050</v>
      </c>
      <c r="J110" s="863"/>
      <c r="K110" s="863"/>
      <c r="L110" s="863"/>
      <c r="M110" s="863"/>
      <c r="N110" s="306">
        <f>SUM(E110:L110)</f>
        <v>94607</v>
      </c>
      <c r="O110" s="41"/>
    </row>
    <row r="111" spans="1:15" s="50" customFormat="1" ht="18" customHeight="1" x14ac:dyDescent="0.3">
      <c r="A111" s="57">
        <v>104</v>
      </c>
      <c r="B111" s="298"/>
      <c r="C111" s="299"/>
      <c r="D111" s="1167" t="s">
        <v>733</v>
      </c>
      <c r="E111" s="863"/>
      <c r="F111" s="305"/>
      <c r="G111" s="863"/>
      <c r="H111" s="863"/>
      <c r="I111" s="305"/>
      <c r="J111" s="863"/>
      <c r="K111" s="863"/>
      <c r="L111" s="863"/>
      <c r="M111" s="863"/>
      <c r="N111" s="1169">
        <f t="shared" ref="N111" si="21">SUM(E111:L111)</f>
        <v>0</v>
      </c>
      <c r="O111" s="41"/>
    </row>
    <row r="112" spans="1:15" s="50" customFormat="1" ht="18" customHeight="1" x14ac:dyDescent="0.2">
      <c r="A112" s="57">
        <v>105</v>
      </c>
      <c r="B112" s="298"/>
      <c r="C112" s="299"/>
      <c r="D112" s="1091" t="s">
        <v>1391</v>
      </c>
      <c r="E112" s="863"/>
      <c r="F112" s="863">
        <f>SUM(F110:F111)</f>
        <v>90557</v>
      </c>
      <c r="G112" s="863"/>
      <c r="H112" s="863"/>
      <c r="I112" s="863">
        <f>SUM(I110:I111)</f>
        <v>4050</v>
      </c>
      <c r="J112" s="863"/>
      <c r="K112" s="863"/>
      <c r="L112" s="863"/>
      <c r="M112" s="863"/>
      <c r="N112" s="306">
        <f>SUM(E112:L112)</f>
        <v>94607</v>
      </c>
      <c r="O112" s="41"/>
    </row>
    <row r="113" spans="1:15" s="50" customFormat="1" ht="22.5" customHeight="1" x14ac:dyDescent="0.3">
      <c r="A113" s="57">
        <v>106</v>
      </c>
      <c r="B113" s="295">
        <v>11</v>
      </c>
      <c r="C113" s="296"/>
      <c r="D113" s="363" t="s">
        <v>531</v>
      </c>
      <c r="E113" s="304"/>
      <c r="F113" s="304"/>
      <c r="G113" s="304"/>
      <c r="H113" s="304"/>
      <c r="I113" s="304"/>
      <c r="J113" s="304"/>
      <c r="K113" s="304"/>
      <c r="L113" s="304"/>
      <c r="M113" s="305"/>
      <c r="N113" s="306"/>
      <c r="O113" s="41"/>
    </row>
    <row r="114" spans="1:15" s="50" customFormat="1" ht="18" customHeight="1" x14ac:dyDescent="0.2">
      <c r="A114" s="57">
        <v>107</v>
      </c>
      <c r="B114" s="298"/>
      <c r="C114" s="299"/>
      <c r="D114" s="1052" t="s">
        <v>334</v>
      </c>
      <c r="E114" s="1074">
        <v>7001</v>
      </c>
      <c r="F114" s="1074">
        <v>800</v>
      </c>
      <c r="G114" s="1074"/>
      <c r="H114" s="1074"/>
      <c r="I114" s="1074">
        <v>2900</v>
      </c>
      <c r="J114" s="1074"/>
      <c r="K114" s="1074"/>
      <c r="L114" s="1074">
        <v>114784</v>
      </c>
      <c r="M114" s="1077"/>
      <c r="N114" s="1075">
        <f t="shared" ref="N114:N184" si="22">SUM(E114:L114)</f>
        <v>125485</v>
      </c>
      <c r="O114" s="41"/>
    </row>
    <row r="115" spans="1:15" s="50" customFormat="1" ht="18" customHeight="1" x14ac:dyDescent="0.2">
      <c r="A115" s="57">
        <v>108</v>
      </c>
      <c r="B115" s="298"/>
      <c r="C115" s="299"/>
      <c r="D115" s="1091" t="s">
        <v>1307</v>
      </c>
      <c r="E115" s="863">
        <v>7001</v>
      </c>
      <c r="F115" s="863">
        <v>10840</v>
      </c>
      <c r="G115" s="863"/>
      <c r="H115" s="863"/>
      <c r="I115" s="863">
        <v>2900</v>
      </c>
      <c r="J115" s="863"/>
      <c r="K115" s="863">
        <v>16879</v>
      </c>
      <c r="L115" s="863">
        <v>124194</v>
      </c>
      <c r="M115" s="862">
        <v>5206</v>
      </c>
      <c r="N115" s="306">
        <f>SUM(E115:L115)</f>
        <v>161814</v>
      </c>
      <c r="O115" s="41"/>
    </row>
    <row r="116" spans="1:15" s="50" customFormat="1" ht="18" customHeight="1" x14ac:dyDescent="0.3">
      <c r="A116" s="57">
        <v>109</v>
      </c>
      <c r="B116" s="298"/>
      <c r="C116" s="299"/>
      <c r="D116" s="1167" t="s">
        <v>1392</v>
      </c>
      <c r="E116" s="305"/>
      <c r="F116" s="305"/>
      <c r="G116" s="305"/>
      <c r="H116" s="305"/>
      <c r="I116" s="305"/>
      <c r="J116" s="305"/>
      <c r="K116" s="305"/>
      <c r="L116" s="305">
        <v>9</v>
      </c>
      <c r="M116" s="305">
        <v>9</v>
      </c>
      <c r="N116" s="1169">
        <f t="shared" ref="N116:N119" si="23">SUM(E116:L116)</f>
        <v>9</v>
      </c>
      <c r="O116" s="41"/>
    </row>
    <row r="117" spans="1:15" s="50" customFormat="1" ht="18" customHeight="1" x14ac:dyDescent="0.3">
      <c r="A117" s="57">
        <v>110</v>
      </c>
      <c r="B117" s="298"/>
      <c r="C117" s="299"/>
      <c r="D117" s="1167" t="s">
        <v>1375</v>
      </c>
      <c r="E117" s="305"/>
      <c r="F117" s="305"/>
      <c r="G117" s="305"/>
      <c r="H117" s="305"/>
      <c r="I117" s="305"/>
      <c r="J117" s="305"/>
      <c r="K117" s="305"/>
      <c r="L117" s="305">
        <v>493</v>
      </c>
      <c r="M117" s="305">
        <v>493</v>
      </c>
      <c r="N117" s="1169">
        <f t="shared" si="23"/>
        <v>493</v>
      </c>
      <c r="O117" s="41"/>
    </row>
    <row r="118" spans="1:15" s="50" customFormat="1" ht="18" customHeight="1" x14ac:dyDescent="0.3">
      <c r="A118" s="57">
        <v>111</v>
      </c>
      <c r="B118" s="298"/>
      <c r="C118" s="299"/>
      <c r="D118" s="1167" t="s">
        <v>1423</v>
      </c>
      <c r="E118" s="305"/>
      <c r="F118" s="305">
        <v>-2900</v>
      </c>
      <c r="G118" s="305"/>
      <c r="H118" s="305"/>
      <c r="I118" s="305"/>
      <c r="J118" s="305"/>
      <c r="K118" s="305"/>
      <c r="L118" s="305"/>
      <c r="M118" s="305"/>
      <c r="N118" s="1169">
        <f t="shared" si="23"/>
        <v>-2900</v>
      </c>
      <c r="O118" s="41"/>
    </row>
    <row r="119" spans="1:15" s="50" customFormat="1" ht="18" customHeight="1" x14ac:dyDescent="0.3">
      <c r="A119" s="57">
        <v>112</v>
      </c>
      <c r="B119" s="298"/>
      <c r="C119" s="299"/>
      <c r="D119" s="1167" t="s">
        <v>1487</v>
      </c>
      <c r="E119" s="305"/>
      <c r="F119" s="305"/>
      <c r="G119" s="305"/>
      <c r="H119" s="305"/>
      <c r="I119" s="305"/>
      <c r="J119" s="305"/>
      <c r="K119" s="305"/>
      <c r="L119" s="305">
        <v>222</v>
      </c>
      <c r="M119" s="305">
        <v>222</v>
      </c>
      <c r="N119" s="1169">
        <f t="shared" si="23"/>
        <v>222</v>
      </c>
      <c r="O119" s="41"/>
    </row>
    <row r="120" spans="1:15" s="50" customFormat="1" ht="18" customHeight="1" x14ac:dyDescent="0.2">
      <c r="A120" s="57">
        <v>113</v>
      </c>
      <c r="B120" s="298"/>
      <c r="C120" s="299"/>
      <c r="D120" s="1091" t="s">
        <v>1391</v>
      </c>
      <c r="E120" s="863">
        <f>SUM(E115:E119)</f>
        <v>7001</v>
      </c>
      <c r="F120" s="863">
        <f>SUM(F115:F119)</f>
        <v>7940</v>
      </c>
      <c r="G120" s="863"/>
      <c r="H120" s="863"/>
      <c r="I120" s="863">
        <f>SUM(I115:I119)</f>
        <v>2900</v>
      </c>
      <c r="J120" s="863"/>
      <c r="K120" s="863">
        <f>SUM(K115:K119)</f>
        <v>16879</v>
      </c>
      <c r="L120" s="863">
        <f>SUM(L115:L119)</f>
        <v>124918</v>
      </c>
      <c r="M120" s="863">
        <f>SUM(M115:M119)</f>
        <v>5930</v>
      </c>
      <c r="N120" s="306">
        <f>SUM(E120:L120)</f>
        <v>159638</v>
      </c>
      <c r="O120" s="41"/>
    </row>
    <row r="121" spans="1:15" s="150" customFormat="1" ht="22.5" customHeight="1" x14ac:dyDescent="0.3">
      <c r="A121" s="57">
        <v>114</v>
      </c>
      <c r="B121" s="295">
        <v>12</v>
      </c>
      <c r="C121" s="296"/>
      <c r="D121" s="365" t="s">
        <v>26</v>
      </c>
      <c r="E121" s="307"/>
      <c r="F121" s="307"/>
      <c r="G121" s="307"/>
      <c r="H121" s="307"/>
      <c r="I121" s="307"/>
      <c r="J121" s="307"/>
      <c r="K121" s="307"/>
      <c r="L121" s="307"/>
      <c r="M121" s="308"/>
      <c r="N121" s="309"/>
    </row>
    <row r="122" spans="1:15" s="46" customFormat="1" ht="18" customHeight="1" x14ac:dyDescent="0.3">
      <c r="A122" s="57">
        <v>115</v>
      </c>
      <c r="B122" s="298"/>
      <c r="C122" s="299"/>
      <c r="D122" s="1052" t="s">
        <v>334</v>
      </c>
      <c r="E122" s="1074">
        <v>21200</v>
      </c>
      <c r="F122" s="1074"/>
      <c r="G122" s="1074"/>
      <c r="H122" s="1074"/>
      <c r="I122" s="1074"/>
      <c r="J122" s="1074"/>
      <c r="K122" s="1074"/>
      <c r="L122" s="1074">
        <v>382006</v>
      </c>
      <c r="M122" s="1077">
        <v>289904</v>
      </c>
      <c r="N122" s="1075">
        <f t="shared" si="22"/>
        <v>403206</v>
      </c>
    </row>
    <row r="123" spans="1:15" s="46" customFormat="1" ht="18" customHeight="1" x14ac:dyDescent="0.3">
      <c r="A123" s="57">
        <v>116</v>
      </c>
      <c r="B123" s="298"/>
      <c r="C123" s="299"/>
      <c r="D123" s="1091" t="s">
        <v>1307</v>
      </c>
      <c r="E123" s="863">
        <v>31600</v>
      </c>
      <c r="F123" s="863">
        <v>2547</v>
      </c>
      <c r="G123" s="863">
        <v>5089</v>
      </c>
      <c r="H123" s="863"/>
      <c r="I123" s="863"/>
      <c r="J123" s="863"/>
      <c r="K123" s="863">
        <v>18814</v>
      </c>
      <c r="L123" s="863">
        <v>401990</v>
      </c>
      <c r="M123" s="862">
        <v>305120</v>
      </c>
      <c r="N123" s="306">
        <f>SUM(E123:L123)</f>
        <v>460040</v>
      </c>
    </row>
    <row r="124" spans="1:15" s="46" customFormat="1" ht="18" customHeight="1" x14ac:dyDescent="0.3">
      <c r="A124" s="57">
        <v>117</v>
      </c>
      <c r="B124" s="298"/>
      <c r="C124" s="299"/>
      <c r="D124" s="1167" t="s">
        <v>1392</v>
      </c>
      <c r="E124" s="305"/>
      <c r="F124" s="305"/>
      <c r="G124" s="305"/>
      <c r="H124" s="305"/>
      <c r="I124" s="305"/>
      <c r="J124" s="305"/>
      <c r="K124" s="305"/>
      <c r="L124" s="305">
        <v>55</v>
      </c>
      <c r="M124" s="305">
        <v>55</v>
      </c>
      <c r="N124" s="1169">
        <f t="shared" ref="N124:N126" si="24">SUM(E124:L124)</f>
        <v>55</v>
      </c>
    </row>
    <row r="125" spans="1:15" s="46" customFormat="1" ht="18" customHeight="1" x14ac:dyDescent="0.3">
      <c r="A125" s="57">
        <v>118</v>
      </c>
      <c r="B125" s="298"/>
      <c r="C125" s="299"/>
      <c r="D125" s="1167" t="s">
        <v>1375</v>
      </c>
      <c r="E125" s="305"/>
      <c r="F125" s="305"/>
      <c r="G125" s="305"/>
      <c r="H125" s="305"/>
      <c r="I125" s="305"/>
      <c r="J125" s="305"/>
      <c r="K125" s="305"/>
      <c r="L125" s="305">
        <v>1254</v>
      </c>
      <c r="M125" s="305">
        <v>1254</v>
      </c>
      <c r="N125" s="1169">
        <f t="shared" si="24"/>
        <v>1254</v>
      </c>
    </row>
    <row r="126" spans="1:15" s="46" customFormat="1" ht="18" customHeight="1" x14ac:dyDescent="0.3">
      <c r="A126" s="57">
        <v>119</v>
      </c>
      <c r="B126" s="298"/>
      <c r="C126" s="299"/>
      <c r="D126" s="1167" t="s">
        <v>1428</v>
      </c>
      <c r="E126" s="305"/>
      <c r="F126" s="305"/>
      <c r="G126" s="305">
        <v>18</v>
      </c>
      <c r="H126" s="305"/>
      <c r="I126" s="305"/>
      <c r="J126" s="305"/>
      <c r="K126" s="305"/>
      <c r="L126" s="305"/>
      <c r="M126" s="305"/>
      <c r="N126" s="1169">
        <f t="shared" si="24"/>
        <v>18</v>
      </c>
    </row>
    <row r="127" spans="1:15" s="46" customFormat="1" ht="18" customHeight="1" x14ac:dyDescent="0.3">
      <c r="A127" s="57">
        <v>120</v>
      </c>
      <c r="B127" s="298"/>
      <c r="C127" s="299"/>
      <c r="D127" s="1091" t="s">
        <v>1391</v>
      </c>
      <c r="E127" s="863">
        <f>SUM(E123:E126)</f>
        <v>31600</v>
      </c>
      <c r="F127" s="863">
        <f>SUM(F123:F126)</f>
        <v>2547</v>
      </c>
      <c r="G127" s="863">
        <f>SUM(G123:G126)</f>
        <v>5107</v>
      </c>
      <c r="H127" s="863"/>
      <c r="I127" s="863"/>
      <c r="J127" s="863"/>
      <c r="K127" s="863">
        <f>SUM(K123:K126)</f>
        <v>18814</v>
      </c>
      <c r="L127" s="863">
        <f>SUM(L123:L126)</f>
        <v>403299</v>
      </c>
      <c r="M127" s="863">
        <f>SUM(M123:M126)</f>
        <v>306429</v>
      </c>
      <c r="N127" s="306">
        <f>SUM(E127:L127)</f>
        <v>461367</v>
      </c>
    </row>
    <row r="128" spans="1:15" s="150" customFormat="1" ht="18" customHeight="1" x14ac:dyDescent="0.2">
      <c r="A128" s="57">
        <v>121</v>
      </c>
      <c r="B128" s="298"/>
      <c r="C128" s="299">
        <v>1</v>
      </c>
      <c r="D128" s="303" t="s">
        <v>157</v>
      </c>
      <c r="E128" s="304"/>
      <c r="F128" s="304"/>
      <c r="G128" s="304"/>
      <c r="H128" s="304"/>
      <c r="I128" s="304"/>
      <c r="J128" s="304"/>
      <c r="K128" s="304"/>
      <c r="L128" s="304"/>
      <c r="M128" s="305"/>
      <c r="N128" s="306"/>
    </row>
    <row r="129" spans="1:15" ht="18" customHeight="1" x14ac:dyDescent="0.2">
      <c r="A129" s="57">
        <v>122</v>
      </c>
      <c r="B129" s="301"/>
      <c r="C129" s="302"/>
      <c r="D129" s="1076" t="s">
        <v>334</v>
      </c>
      <c r="E129" s="1057"/>
      <c r="F129" s="1057"/>
      <c r="G129" s="1057"/>
      <c r="H129" s="1057"/>
      <c r="I129" s="1057"/>
      <c r="J129" s="1057"/>
      <c r="K129" s="1057"/>
      <c r="L129" s="1057"/>
      <c r="M129" s="1058"/>
      <c r="N129" s="1059">
        <f t="shared" si="22"/>
        <v>0</v>
      </c>
      <c r="O129" s="41"/>
    </row>
    <row r="130" spans="1:15" ht="18" customHeight="1" x14ac:dyDescent="0.2">
      <c r="A130" s="57">
        <v>123</v>
      </c>
      <c r="B130" s="301"/>
      <c r="C130" s="302"/>
      <c r="D130" s="1096" t="s">
        <v>1307</v>
      </c>
      <c r="E130" s="1057"/>
      <c r="F130" s="1057"/>
      <c r="G130" s="1057"/>
      <c r="H130" s="1057"/>
      <c r="I130" s="1057"/>
      <c r="J130" s="1057"/>
      <c r="K130" s="1057"/>
      <c r="L130" s="1057"/>
      <c r="M130" s="1058"/>
      <c r="N130" s="309">
        <f t="shared" si="22"/>
        <v>0</v>
      </c>
      <c r="O130" s="41"/>
    </row>
    <row r="131" spans="1:15" ht="18" customHeight="1" x14ac:dyDescent="0.3">
      <c r="A131" s="57">
        <v>124</v>
      </c>
      <c r="B131" s="301"/>
      <c r="C131" s="302"/>
      <c r="D131" s="1220" t="s">
        <v>733</v>
      </c>
      <c r="E131" s="308"/>
      <c r="F131" s="308"/>
      <c r="G131" s="308"/>
      <c r="H131" s="308"/>
      <c r="I131" s="308"/>
      <c r="J131" s="308"/>
      <c r="K131" s="308"/>
      <c r="L131" s="308"/>
      <c r="M131" s="308"/>
      <c r="N131" s="1169">
        <f t="shared" ref="N131" si="25">SUM(E131:L131)</f>
        <v>0</v>
      </c>
      <c r="O131" s="41"/>
    </row>
    <row r="132" spans="1:15" ht="18" customHeight="1" x14ac:dyDescent="0.2">
      <c r="A132" s="57">
        <v>125</v>
      </c>
      <c r="B132" s="301"/>
      <c r="C132" s="302"/>
      <c r="D132" s="1096" t="s">
        <v>1391</v>
      </c>
      <c r="E132" s="1097"/>
      <c r="F132" s="1097"/>
      <c r="G132" s="1097"/>
      <c r="H132" s="1097"/>
      <c r="I132" s="1097"/>
      <c r="J132" s="1097"/>
      <c r="K132" s="1097"/>
      <c r="L132" s="1097"/>
      <c r="M132" s="1100"/>
      <c r="N132" s="306">
        <f>SUM(E132:L132)</f>
        <v>0</v>
      </c>
      <c r="O132" s="41"/>
    </row>
    <row r="133" spans="1:15" ht="18" customHeight="1" x14ac:dyDescent="0.3">
      <c r="A133" s="57">
        <v>126</v>
      </c>
      <c r="B133" s="301"/>
      <c r="C133" s="302">
        <v>2</v>
      </c>
      <c r="D133" s="1765" t="s">
        <v>921</v>
      </c>
      <c r="E133" s="1766"/>
      <c r="F133" s="1766"/>
      <c r="G133" s="1767"/>
      <c r="H133" s="1097"/>
      <c r="I133" s="1097"/>
      <c r="J133" s="1097"/>
      <c r="K133" s="1097"/>
      <c r="L133" s="1097"/>
      <c r="M133" s="1100"/>
      <c r="N133" s="306"/>
      <c r="O133" s="41"/>
    </row>
    <row r="134" spans="1:15" ht="18" customHeight="1" x14ac:dyDescent="0.3">
      <c r="A134" s="57">
        <v>127</v>
      </c>
      <c r="B134" s="301"/>
      <c r="C134" s="302"/>
      <c r="D134" s="1091" t="s">
        <v>1307</v>
      </c>
      <c r="E134" s="1725"/>
      <c r="F134" s="1097">
        <v>55188</v>
      </c>
      <c r="G134" s="1726"/>
      <c r="H134" s="1097"/>
      <c r="I134" s="1097">
        <v>2400</v>
      </c>
      <c r="J134" s="1097"/>
      <c r="K134" s="1097"/>
      <c r="L134" s="1097"/>
      <c r="M134" s="1100"/>
      <c r="N134" s="306">
        <f>SUM(E134:L134)</f>
        <v>57588</v>
      </c>
      <c r="O134" s="41"/>
    </row>
    <row r="135" spans="1:15" ht="18" customHeight="1" x14ac:dyDescent="0.3">
      <c r="A135" s="57">
        <v>128</v>
      </c>
      <c r="B135" s="301"/>
      <c r="C135" s="302"/>
      <c r="D135" s="868" t="s">
        <v>733</v>
      </c>
      <c r="E135" s="1097"/>
      <c r="F135" s="308"/>
      <c r="G135" s="1097"/>
      <c r="H135" s="1097"/>
      <c r="I135" s="308"/>
      <c r="J135" s="1097"/>
      <c r="K135" s="1097"/>
      <c r="L135" s="1097"/>
      <c r="M135" s="1100"/>
      <c r="N135" s="130">
        <f t="shared" ref="N135" si="26">SUM(E135:L135)</f>
        <v>0</v>
      </c>
      <c r="O135" s="41"/>
    </row>
    <row r="136" spans="1:15" ht="18" customHeight="1" x14ac:dyDescent="0.2">
      <c r="A136" s="57">
        <v>129</v>
      </c>
      <c r="B136" s="301"/>
      <c r="C136" s="302"/>
      <c r="D136" s="1168" t="s">
        <v>1391</v>
      </c>
      <c r="E136" s="1097"/>
      <c r="F136" s="1097">
        <f>SUM(F134:F135)</f>
        <v>55188</v>
      </c>
      <c r="G136" s="1097"/>
      <c r="H136" s="1097"/>
      <c r="I136" s="1097">
        <f>SUM(I134:I135)</f>
        <v>2400</v>
      </c>
      <c r="J136" s="1097"/>
      <c r="K136" s="1097"/>
      <c r="L136" s="1097"/>
      <c r="M136" s="1100"/>
      <c r="N136" s="306">
        <f>SUM(N134:N135)</f>
        <v>57588</v>
      </c>
      <c r="O136" s="41"/>
    </row>
    <row r="137" spans="1:15" s="150" customFormat="1" ht="22.5" customHeight="1" x14ac:dyDescent="0.3">
      <c r="A137" s="57">
        <v>130</v>
      </c>
      <c r="B137" s="295">
        <v>13</v>
      </c>
      <c r="C137" s="296"/>
      <c r="D137" s="365" t="s">
        <v>36</v>
      </c>
      <c r="E137" s="307"/>
      <c r="F137" s="307"/>
      <c r="G137" s="307"/>
      <c r="H137" s="307"/>
      <c r="I137" s="307"/>
      <c r="J137" s="307"/>
      <c r="K137" s="307"/>
      <c r="L137" s="307"/>
      <c r="M137" s="308"/>
      <c r="N137" s="309"/>
    </row>
    <row r="138" spans="1:15" s="46" customFormat="1" ht="18" customHeight="1" x14ac:dyDescent="0.3">
      <c r="A138" s="57">
        <v>131</v>
      </c>
      <c r="B138" s="298"/>
      <c r="C138" s="299"/>
      <c r="D138" s="1052" t="s">
        <v>334</v>
      </c>
      <c r="E138" s="1074">
        <v>113894</v>
      </c>
      <c r="F138" s="1074">
        <v>350</v>
      </c>
      <c r="G138" s="1074"/>
      <c r="H138" s="1074"/>
      <c r="I138" s="1074"/>
      <c r="J138" s="1074"/>
      <c r="K138" s="1074">
        <v>17668</v>
      </c>
      <c r="L138" s="1074">
        <v>200438</v>
      </c>
      <c r="M138" s="1077">
        <v>117500</v>
      </c>
      <c r="N138" s="1075">
        <f t="shared" si="22"/>
        <v>332350</v>
      </c>
    </row>
    <row r="139" spans="1:15" s="46" customFormat="1" ht="18" customHeight="1" x14ac:dyDescent="0.3">
      <c r="A139" s="57">
        <v>132</v>
      </c>
      <c r="B139" s="298"/>
      <c r="C139" s="299"/>
      <c r="D139" s="1091" t="s">
        <v>1307</v>
      </c>
      <c r="E139" s="1091">
        <v>151811</v>
      </c>
      <c r="F139" s="1091">
        <v>1650</v>
      </c>
      <c r="G139" s="1091"/>
      <c r="H139" s="1091">
        <v>3000</v>
      </c>
      <c r="I139" s="1091"/>
      <c r="J139" s="1091"/>
      <c r="K139" s="1091">
        <v>64165</v>
      </c>
      <c r="L139" s="1091">
        <v>214516</v>
      </c>
      <c r="M139" s="1091">
        <v>129208</v>
      </c>
      <c r="N139" s="306">
        <f t="shared" si="22"/>
        <v>435142</v>
      </c>
    </row>
    <row r="140" spans="1:15" s="46" customFormat="1" ht="18" customHeight="1" x14ac:dyDescent="0.3">
      <c r="A140" s="57">
        <v>133</v>
      </c>
      <c r="B140" s="298"/>
      <c r="C140" s="299"/>
      <c r="D140" s="1167" t="s">
        <v>1392</v>
      </c>
      <c r="E140" s="305"/>
      <c r="F140" s="305"/>
      <c r="G140" s="305"/>
      <c r="H140" s="305"/>
      <c r="I140" s="305"/>
      <c r="J140" s="305"/>
      <c r="K140" s="305"/>
      <c r="L140" s="305">
        <v>4</v>
      </c>
      <c r="M140" s="305">
        <v>4</v>
      </c>
      <c r="N140" s="1169">
        <f t="shared" ref="N140:N143" si="27">SUM(E140:L140)</f>
        <v>4</v>
      </c>
    </row>
    <row r="141" spans="1:15" s="46" customFormat="1" ht="18" customHeight="1" x14ac:dyDescent="0.3">
      <c r="A141" s="57">
        <v>134</v>
      </c>
      <c r="B141" s="298"/>
      <c r="C141" s="299"/>
      <c r="D141" s="1167" t="s">
        <v>1375</v>
      </c>
      <c r="E141" s="305"/>
      <c r="F141" s="305"/>
      <c r="G141" s="305"/>
      <c r="H141" s="305"/>
      <c r="I141" s="305"/>
      <c r="J141" s="305"/>
      <c r="K141" s="305"/>
      <c r="L141" s="305">
        <v>1124</v>
      </c>
      <c r="M141" s="305">
        <v>1124</v>
      </c>
      <c r="N141" s="1169">
        <f t="shared" si="27"/>
        <v>1124</v>
      </c>
    </row>
    <row r="142" spans="1:15" s="46" customFormat="1" ht="18" customHeight="1" x14ac:dyDescent="0.3">
      <c r="A142" s="57">
        <v>135</v>
      </c>
      <c r="B142" s="298"/>
      <c r="C142" s="299"/>
      <c r="D142" s="1167" t="s">
        <v>1430</v>
      </c>
      <c r="E142" s="305">
        <v>32200</v>
      </c>
      <c r="F142" s="305"/>
      <c r="G142" s="305"/>
      <c r="H142" s="305"/>
      <c r="I142" s="305"/>
      <c r="J142" s="305"/>
      <c r="K142" s="305"/>
      <c r="L142" s="305"/>
      <c r="M142" s="305"/>
      <c r="N142" s="1169">
        <f t="shared" si="27"/>
        <v>32200</v>
      </c>
    </row>
    <row r="143" spans="1:15" s="46" customFormat="1" ht="18" customHeight="1" x14ac:dyDescent="0.3">
      <c r="A143" s="57">
        <v>136</v>
      </c>
      <c r="B143" s="298"/>
      <c r="C143" s="299"/>
      <c r="D143" s="1167" t="s">
        <v>1431</v>
      </c>
      <c r="E143" s="305"/>
      <c r="F143" s="305"/>
      <c r="G143" s="305"/>
      <c r="H143" s="305"/>
      <c r="I143" s="305"/>
      <c r="J143" s="305"/>
      <c r="K143" s="305"/>
      <c r="L143" s="305">
        <v>-300</v>
      </c>
      <c r="M143" s="305"/>
      <c r="N143" s="1169">
        <f t="shared" si="27"/>
        <v>-300</v>
      </c>
    </row>
    <row r="144" spans="1:15" s="46" customFormat="1" ht="18" customHeight="1" x14ac:dyDescent="0.3">
      <c r="A144" s="57">
        <v>137</v>
      </c>
      <c r="B144" s="298"/>
      <c r="C144" s="299"/>
      <c r="D144" s="1091" t="s">
        <v>1391</v>
      </c>
      <c r="E144" s="863">
        <f>SUM(E139:E143)</f>
        <v>184011</v>
      </c>
      <c r="F144" s="863">
        <f>SUM(F139:F143)</f>
        <v>1650</v>
      </c>
      <c r="G144" s="863"/>
      <c r="H144" s="863">
        <f>SUM(H139:H143)</f>
        <v>3000</v>
      </c>
      <c r="I144" s="863"/>
      <c r="J144" s="863"/>
      <c r="K144" s="863">
        <f>SUM(K139:K143)</f>
        <v>64165</v>
      </c>
      <c r="L144" s="863">
        <f>SUM(L139:L143)</f>
        <v>215344</v>
      </c>
      <c r="M144" s="863">
        <f>SUM(M139:M143)</f>
        <v>130336</v>
      </c>
      <c r="N144" s="306">
        <f t="shared" si="22"/>
        <v>468170</v>
      </c>
    </row>
    <row r="145" spans="1:14" s="150" customFormat="1" ht="18" customHeight="1" x14ac:dyDescent="0.3">
      <c r="A145" s="57">
        <v>138</v>
      </c>
      <c r="B145" s="295"/>
      <c r="C145" s="296">
        <v>1</v>
      </c>
      <c r="D145" s="321" t="s">
        <v>157</v>
      </c>
      <c r="E145" s="323"/>
      <c r="F145" s="323"/>
      <c r="G145" s="323"/>
      <c r="H145" s="323"/>
      <c r="I145" s="323"/>
      <c r="J145" s="323"/>
      <c r="K145" s="116"/>
      <c r="L145" s="116"/>
      <c r="M145" s="158"/>
      <c r="N145" s="322"/>
    </row>
    <row r="146" spans="1:14" s="46" customFormat="1" ht="18" customHeight="1" x14ac:dyDescent="0.3">
      <c r="A146" s="57">
        <v>139</v>
      </c>
      <c r="B146" s="301"/>
      <c r="C146" s="302"/>
      <c r="D146" s="1076" t="s">
        <v>334</v>
      </c>
      <c r="E146" s="1057"/>
      <c r="F146" s="1057"/>
      <c r="G146" s="1057"/>
      <c r="H146" s="1057"/>
      <c r="I146" s="1057"/>
      <c r="J146" s="1057"/>
      <c r="K146" s="1057"/>
      <c r="L146" s="1057"/>
      <c r="M146" s="1058"/>
      <c r="N146" s="1059">
        <f t="shared" si="22"/>
        <v>0</v>
      </c>
    </row>
    <row r="147" spans="1:14" s="46" customFormat="1" ht="18" customHeight="1" x14ac:dyDescent="0.3">
      <c r="A147" s="57">
        <v>140</v>
      </c>
      <c r="B147" s="301"/>
      <c r="C147" s="302"/>
      <c r="D147" s="1096" t="s">
        <v>1307</v>
      </c>
      <c r="E147" s="1057"/>
      <c r="F147" s="1057"/>
      <c r="G147" s="1057"/>
      <c r="H147" s="1057"/>
      <c r="I147" s="1057"/>
      <c r="J147" s="1057"/>
      <c r="K147" s="1057"/>
      <c r="L147" s="1057"/>
      <c r="M147" s="1058"/>
      <c r="N147" s="309">
        <f t="shared" si="22"/>
        <v>0</v>
      </c>
    </row>
    <row r="148" spans="1:14" s="46" customFormat="1" ht="18" customHeight="1" x14ac:dyDescent="0.3">
      <c r="A148" s="57">
        <v>141</v>
      </c>
      <c r="B148" s="301"/>
      <c r="C148" s="302"/>
      <c r="D148" s="1220" t="s">
        <v>733</v>
      </c>
      <c r="E148" s="308"/>
      <c r="F148" s="308"/>
      <c r="G148" s="308"/>
      <c r="H148" s="308"/>
      <c r="I148" s="308"/>
      <c r="J148" s="308"/>
      <c r="K148" s="308"/>
      <c r="L148" s="308"/>
      <c r="M148" s="308"/>
      <c r="N148" s="1169">
        <f t="shared" ref="N148" si="28">SUM(E148:L148)</f>
        <v>0</v>
      </c>
    </row>
    <row r="149" spans="1:14" s="46" customFormat="1" ht="18" customHeight="1" x14ac:dyDescent="0.3">
      <c r="A149" s="57">
        <v>142</v>
      </c>
      <c r="B149" s="301"/>
      <c r="C149" s="302"/>
      <c r="D149" s="1096" t="s">
        <v>1391</v>
      </c>
      <c r="E149" s="1097"/>
      <c r="F149" s="1097"/>
      <c r="G149" s="1097"/>
      <c r="H149" s="1097"/>
      <c r="I149" s="1097"/>
      <c r="J149" s="1097"/>
      <c r="K149" s="1097"/>
      <c r="L149" s="1097"/>
      <c r="M149" s="1100"/>
      <c r="N149" s="306">
        <f>SUM(E149:L149)</f>
        <v>0</v>
      </c>
    </row>
    <row r="150" spans="1:14" s="150" customFormat="1" ht="60" x14ac:dyDescent="0.3">
      <c r="A150" s="57">
        <v>143</v>
      </c>
      <c r="B150" s="295"/>
      <c r="C150" s="302">
        <v>2</v>
      </c>
      <c r="D150" s="707" t="s">
        <v>534</v>
      </c>
      <c r="E150" s="323"/>
      <c r="F150" s="323"/>
      <c r="G150" s="323"/>
      <c r="H150" s="323"/>
      <c r="I150" s="323"/>
      <c r="J150" s="323"/>
      <c r="K150" s="116"/>
      <c r="L150" s="116"/>
      <c r="M150" s="158"/>
      <c r="N150" s="322"/>
    </row>
    <row r="151" spans="1:14" s="46" customFormat="1" ht="18" customHeight="1" x14ac:dyDescent="0.3">
      <c r="A151" s="57">
        <v>144</v>
      </c>
      <c r="B151" s="301"/>
      <c r="C151" s="302"/>
      <c r="D151" s="1076" t="s">
        <v>334</v>
      </c>
      <c r="E151" s="1057">
        <v>11447</v>
      </c>
      <c r="F151" s="1057"/>
      <c r="G151" s="1057"/>
      <c r="H151" s="1057"/>
      <c r="I151" s="1057"/>
      <c r="J151" s="1057"/>
      <c r="K151" s="1057">
        <v>43881</v>
      </c>
      <c r="L151" s="1057"/>
      <c r="M151" s="1058"/>
      <c r="N151" s="1059">
        <f t="shared" ref="N151" si="29">SUM(E151:L151)</f>
        <v>55328</v>
      </c>
    </row>
    <row r="152" spans="1:14" s="46" customFormat="1" ht="18" customHeight="1" x14ac:dyDescent="0.3">
      <c r="A152" s="57">
        <v>145</v>
      </c>
      <c r="B152" s="301"/>
      <c r="C152" s="302"/>
      <c r="D152" s="1096" t="s">
        <v>1307</v>
      </c>
      <c r="E152" s="1097">
        <v>13121</v>
      </c>
      <c r="F152" s="1097"/>
      <c r="G152" s="1097"/>
      <c r="H152" s="1097"/>
      <c r="I152" s="1097"/>
      <c r="J152" s="1097"/>
      <c r="K152" s="1097">
        <v>43881</v>
      </c>
      <c r="L152" s="1097"/>
      <c r="M152" s="1058"/>
      <c r="N152" s="306">
        <f>SUM(E152:L152)</f>
        <v>57002</v>
      </c>
    </row>
    <row r="153" spans="1:14" s="46" customFormat="1" ht="18" customHeight="1" x14ac:dyDescent="0.3">
      <c r="A153" s="57">
        <v>146</v>
      </c>
      <c r="B153" s="301"/>
      <c r="C153" s="302"/>
      <c r="D153" s="1220" t="s">
        <v>733</v>
      </c>
      <c r="E153" s="308"/>
      <c r="F153" s="308"/>
      <c r="G153" s="308"/>
      <c r="H153" s="308"/>
      <c r="I153" s="308"/>
      <c r="J153" s="308"/>
      <c r="K153" s="308"/>
      <c r="L153" s="308"/>
      <c r="M153" s="308"/>
      <c r="N153" s="1169">
        <f t="shared" ref="N153" si="30">SUM(E153:L153)</f>
        <v>0</v>
      </c>
    </row>
    <row r="154" spans="1:14" s="46" customFormat="1" ht="18" customHeight="1" x14ac:dyDescent="0.3">
      <c r="A154" s="57">
        <v>147</v>
      </c>
      <c r="B154" s="301"/>
      <c r="C154" s="302"/>
      <c r="D154" s="1096" t="s">
        <v>1391</v>
      </c>
      <c r="E154" s="1097">
        <f>SUM(E152:E153)</f>
        <v>13121</v>
      </c>
      <c r="F154" s="1097"/>
      <c r="G154" s="1097"/>
      <c r="H154" s="1097"/>
      <c r="I154" s="1097"/>
      <c r="J154" s="1097"/>
      <c r="K154" s="1097">
        <f t="shared" ref="K154" si="31">SUM(K152:K153)</f>
        <v>43881</v>
      </c>
      <c r="L154" s="1097"/>
      <c r="M154" s="1100"/>
      <c r="N154" s="306">
        <f>SUM(E154:L154)</f>
        <v>57002</v>
      </c>
    </row>
    <row r="155" spans="1:14" s="150" customFormat="1" ht="22.5" customHeight="1" x14ac:dyDescent="0.3">
      <c r="A155" s="57">
        <v>148</v>
      </c>
      <c r="B155" s="295">
        <v>14</v>
      </c>
      <c r="C155" s="296"/>
      <c r="D155" s="363" t="s">
        <v>532</v>
      </c>
      <c r="E155" s="307"/>
      <c r="F155" s="307"/>
      <c r="G155" s="307"/>
      <c r="H155" s="307"/>
      <c r="I155" s="307"/>
      <c r="J155" s="307"/>
      <c r="K155" s="307"/>
      <c r="L155" s="307"/>
      <c r="M155" s="308"/>
      <c r="N155" s="309"/>
    </row>
    <row r="156" spans="1:14" s="46" customFormat="1" ht="18" customHeight="1" x14ac:dyDescent="0.3">
      <c r="A156" s="57">
        <v>149</v>
      </c>
      <c r="B156" s="298"/>
      <c r="C156" s="299"/>
      <c r="D156" s="1052" t="s">
        <v>334</v>
      </c>
      <c r="E156" s="1074">
        <v>33854</v>
      </c>
      <c r="F156" s="1074">
        <v>6000</v>
      </c>
      <c r="G156" s="1074"/>
      <c r="H156" s="1074"/>
      <c r="I156" s="1074"/>
      <c r="J156" s="1074"/>
      <c r="K156" s="1074"/>
      <c r="L156" s="1074">
        <v>91635</v>
      </c>
      <c r="M156" s="1077">
        <v>49700</v>
      </c>
      <c r="N156" s="1075">
        <f t="shared" si="22"/>
        <v>131489</v>
      </c>
    </row>
    <row r="157" spans="1:14" s="46" customFormat="1" ht="18" customHeight="1" x14ac:dyDescent="0.3">
      <c r="A157" s="57">
        <v>150</v>
      </c>
      <c r="B157" s="298"/>
      <c r="C157" s="299"/>
      <c r="D157" s="1091" t="s">
        <v>1307</v>
      </c>
      <c r="E157" s="863">
        <v>21150</v>
      </c>
      <c r="F157" s="863">
        <v>19517</v>
      </c>
      <c r="G157" s="863"/>
      <c r="H157" s="863"/>
      <c r="I157" s="863">
        <v>1833</v>
      </c>
      <c r="J157" s="863"/>
      <c r="K157" s="863">
        <v>1910</v>
      </c>
      <c r="L157" s="863">
        <v>95606</v>
      </c>
      <c r="M157" s="862">
        <v>53671</v>
      </c>
      <c r="N157" s="306">
        <f t="shared" si="22"/>
        <v>140016</v>
      </c>
    </row>
    <row r="158" spans="1:14" s="46" customFormat="1" ht="18" customHeight="1" x14ac:dyDescent="0.3">
      <c r="A158" s="57">
        <v>151</v>
      </c>
      <c r="B158" s="298"/>
      <c r="C158" s="299"/>
      <c r="D158" s="1167" t="s">
        <v>1394</v>
      </c>
      <c r="E158" s="305"/>
      <c r="F158" s="305"/>
      <c r="G158" s="305"/>
      <c r="H158" s="305"/>
      <c r="I158" s="305"/>
      <c r="J158" s="305"/>
      <c r="K158" s="305"/>
      <c r="L158" s="305">
        <v>402</v>
      </c>
      <c r="M158" s="305">
        <v>402</v>
      </c>
      <c r="N158" s="1169">
        <f t="shared" ref="N158:N160" si="32">SUM(E158:L158)</f>
        <v>402</v>
      </c>
    </row>
    <row r="159" spans="1:14" s="46" customFormat="1" ht="18" customHeight="1" x14ac:dyDescent="0.3">
      <c r="A159" s="57">
        <v>152</v>
      </c>
      <c r="B159" s="298"/>
      <c r="C159" s="299"/>
      <c r="D159" s="1167" t="s">
        <v>1441</v>
      </c>
      <c r="E159" s="305"/>
      <c r="F159" s="305">
        <v>-725</v>
      </c>
      <c r="G159" s="305"/>
      <c r="H159" s="305"/>
      <c r="I159" s="305">
        <v>725</v>
      </c>
      <c r="J159" s="305"/>
      <c r="K159" s="305"/>
      <c r="L159" s="305"/>
      <c r="M159" s="305"/>
      <c r="N159" s="1169">
        <f t="shared" si="32"/>
        <v>0</v>
      </c>
    </row>
    <row r="160" spans="1:14" s="46" customFormat="1" ht="18" customHeight="1" x14ac:dyDescent="0.3">
      <c r="A160" s="57">
        <v>153</v>
      </c>
      <c r="B160" s="298"/>
      <c r="C160" s="299"/>
      <c r="D160" s="1167" t="s">
        <v>1442</v>
      </c>
      <c r="E160" s="305"/>
      <c r="F160" s="305"/>
      <c r="G160" s="305"/>
      <c r="H160" s="305"/>
      <c r="I160" s="305">
        <v>2275</v>
      </c>
      <c r="J160" s="305"/>
      <c r="K160" s="305"/>
      <c r="L160" s="305"/>
      <c r="M160" s="305"/>
      <c r="N160" s="1169">
        <f t="shared" si="32"/>
        <v>2275</v>
      </c>
    </row>
    <row r="161" spans="1:15" s="46" customFormat="1" ht="18" customHeight="1" x14ac:dyDescent="0.3">
      <c r="A161" s="57">
        <v>154</v>
      </c>
      <c r="B161" s="298"/>
      <c r="C161" s="299"/>
      <c r="D161" s="1091" t="s">
        <v>1391</v>
      </c>
      <c r="E161" s="863">
        <f>SUM(E157:E160)</f>
        <v>21150</v>
      </c>
      <c r="F161" s="863">
        <f>SUM(F157:F160)</f>
        <v>18792</v>
      </c>
      <c r="G161" s="863"/>
      <c r="H161" s="863"/>
      <c r="I161" s="863">
        <f>SUM(I157:I160)</f>
        <v>4833</v>
      </c>
      <c r="J161" s="863"/>
      <c r="K161" s="863">
        <f>SUM(K157:K160)</f>
        <v>1910</v>
      </c>
      <c r="L161" s="863">
        <f>SUM(L157:L160)</f>
        <v>96008</v>
      </c>
      <c r="M161" s="863">
        <f>SUM(M157:M160)</f>
        <v>54073</v>
      </c>
      <c r="N161" s="306">
        <f>SUM(E161:L161)</f>
        <v>142693</v>
      </c>
    </row>
    <row r="162" spans="1:15" s="249" customFormat="1" ht="18" customHeight="1" x14ac:dyDescent="0.3">
      <c r="A162" s="57">
        <v>155</v>
      </c>
      <c r="B162" s="301"/>
      <c r="C162" s="302">
        <v>1</v>
      </c>
      <c r="D162" s="303" t="s">
        <v>157</v>
      </c>
      <c r="E162" s="116"/>
      <c r="F162" s="116"/>
      <c r="G162" s="116"/>
      <c r="H162" s="116"/>
      <c r="I162" s="116"/>
      <c r="J162" s="116"/>
      <c r="K162" s="116"/>
      <c r="L162" s="116"/>
      <c r="M162" s="158"/>
      <c r="N162" s="322"/>
      <c r="O162" s="42"/>
    </row>
    <row r="163" spans="1:15" s="249" customFormat="1" ht="18" customHeight="1" x14ac:dyDescent="0.3">
      <c r="A163" s="57">
        <v>156</v>
      </c>
      <c r="B163" s="301"/>
      <c r="C163" s="302"/>
      <c r="D163" s="1076" t="s">
        <v>334</v>
      </c>
      <c r="E163" s="1053"/>
      <c r="F163" s="1053">
        <v>2477</v>
      </c>
      <c r="G163" s="1053"/>
      <c r="H163" s="1053"/>
      <c r="I163" s="1053"/>
      <c r="J163" s="1053"/>
      <c r="K163" s="1053"/>
      <c r="L163" s="1053"/>
      <c r="M163" s="1054"/>
      <c r="N163" s="1059">
        <f t="shared" si="22"/>
        <v>2477</v>
      </c>
      <c r="O163" s="42"/>
    </row>
    <row r="164" spans="1:15" s="249" customFormat="1" ht="18" customHeight="1" x14ac:dyDescent="0.3">
      <c r="A164" s="57">
        <v>157</v>
      </c>
      <c r="B164" s="301"/>
      <c r="C164" s="302"/>
      <c r="D164" s="1096" t="s">
        <v>1307</v>
      </c>
      <c r="E164" s="1053"/>
      <c r="F164" s="1092">
        <v>2238</v>
      </c>
      <c r="G164" s="1053"/>
      <c r="H164" s="1053"/>
      <c r="I164" s="1053"/>
      <c r="J164" s="1053"/>
      <c r="K164" s="1053"/>
      <c r="L164" s="1053"/>
      <c r="M164" s="1054"/>
      <c r="N164" s="309">
        <f t="shared" si="22"/>
        <v>2238</v>
      </c>
      <c r="O164" s="42"/>
    </row>
    <row r="165" spans="1:15" s="249" customFormat="1" ht="18" customHeight="1" x14ac:dyDescent="0.3">
      <c r="A165" s="57">
        <v>158</v>
      </c>
      <c r="B165" s="301"/>
      <c r="C165" s="302"/>
      <c r="D165" s="1220" t="s">
        <v>733</v>
      </c>
      <c r="E165" s="158"/>
      <c r="F165" s="158"/>
      <c r="G165" s="158"/>
      <c r="H165" s="158"/>
      <c r="I165" s="158"/>
      <c r="J165" s="158"/>
      <c r="K165" s="158"/>
      <c r="L165" s="158"/>
      <c r="M165" s="158"/>
      <c r="N165" s="1169">
        <f t="shared" ref="N165" si="33">SUM(E165:L165)</f>
        <v>0</v>
      </c>
      <c r="O165" s="42"/>
    </row>
    <row r="166" spans="1:15" s="249" customFormat="1" ht="18" customHeight="1" x14ac:dyDescent="0.3">
      <c r="A166" s="57">
        <v>159</v>
      </c>
      <c r="B166" s="301"/>
      <c r="C166" s="302"/>
      <c r="D166" s="1096" t="s">
        <v>1391</v>
      </c>
      <c r="E166" s="1092"/>
      <c r="F166" s="1092">
        <f>SUM(F164:F165)</f>
        <v>2238</v>
      </c>
      <c r="G166" s="1092"/>
      <c r="H166" s="1092"/>
      <c r="I166" s="1092"/>
      <c r="J166" s="1092"/>
      <c r="K166" s="1092"/>
      <c r="L166" s="1092"/>
      <c r="M166" s="1101"/>
      <c r="N166" s="309">
        <f>SUM(E166:L166)</f>
        <v>2238</v>
      </c>
      <c r="O166" s="42"/>
    </row>
    <row r="167" spans="1:15" s="249" customFormat="1" ht="30" x14ac:dyDescent="0.3">
      <c r="A167" s="57">
        <v>160</v>
      </c>
      <c r="B167" s="301"/>
      <c r="C167" s="302">
        <v>2</v>
      </c>
      <c r="D167" s="707" t="s">
        <v>535</v>
      </c>
      <c r="E167" s="116"/>
      <c r="F167" s="116"/>
      <c r="G167" s="116"/>
      <c r="H167" s="116"/>
      <c r="I167" s="116"/>
      <c r="J167" s="116"/>
      <c r="K167" s="116"/>
      <c r="L167" s="116"/>
      <c r="M167" s="158"/>
      <c r="N167" s="322"/>
      <c r="O167" s="42"/>
    </row>
    <row r="168" spans="1:15" s="249" customFormat="1" ht="18" customHeight="1" x14ac:dyDescent="0.3">
      <c r="A168" s="57">
        <v>161</v>
      </c>
      <c r="B168" s="301"/>
      <c r="C168" s="302"/>
      <c r="D168" s="1076" t="s">
        <v>334</v>
      </c>
      <c r="E168" s="1053"/>
      <c r="F168" s="1053"/>
      <c r="G168" s="1053"/>
      <c r="H168" s="1053"/>
      <c r="I168" s="1053"/>
      <c r="J168" s="1053"/>
      <c r="K168" s="1053">
        <v>23787</v>
      </c>
      <c r="L168" s="1053"/>
      <c r="M168" s="1054"/>
      <c r="N168" s="1059">
        <f>SUM(E168:L168)</f>
        <v>23787</v>
      </c>
      <c r="O168" s="42"/>
    </row>
    <row r="169" spans="1:15" s="249" customFormat="1" ht="18" customHeight="1" x14ac:dyDescent="0.3">
      <c r="A169" s="57">
        <v>162</v>
      </c>
      <c r="B169" s="301"/>
      <c r="C169" s="302"/>
      <c r="D169" s="1096" t="s">
        <v>1307</v>
      </c>
      <c r="E169" s="1092">
        <v>2704</v>
      </c>
      <c r="F169" s="1053"/>
      <c r="G169" s="1053"/>
      <c r="H169" s="1053"/>
      <c r="I169" s="1053"/>
      <c r="J169" s="1053"/>
      <c r="K169" s="1092">
        <v>23008</v>
      </c>
      <c r="L169" s="1053"/>
      <c r="M169" s="1054"/>
      <c r="N169" s="322">
        <f>SUM(E169:L169)</f>
        <v>25712</v>
      </c>
      <c r="O169" s="42"/>
    </row>
    <row r="170" spans="1:15" s="249" customFormat="1" ht="18" customHeight="1" x14ac:dyDescent="0.3">
      <c r="A170" s="57">
        <v>163</v>
      </c>
      <c r="B170" s="301"/>
      <c r="C170" s="302"/>
      <c r="D170" s="1220" t="s">
        <v>733</v>
      </c>
      <c r="E170" s="158"/>
      <c r="F170" s="158"/>
      <c r="G170" s="158"/>
      <c r="H170" s="158"/>
      <c r="I170" s="158"/>
      <c r="J170" s="158"/>
      <c r="K170" s="158"/>
      <c r="L170" s="158"/>
      <c r="M170" s="158"/>
      <c r="N170" s="1169">
        <f t="shared" ref="N170" si="34">SUM(E170:L170)</f>
        <v>0</v>
      </c>
      <c r="O170" s="42"/>
    </row>
    <row r="171" spans="1:15" s="249" customFormat="1" ht="18" customHeight="1" x14ac:dyDescent="0.3">
      <c r="A171" s="57">
        <v>164</v>
      </c>
      <c r="B171" s="301"/>
      <c r="C171" s="302"/>
      <c r="D171" s="1096" t="s">
        <v>1391</v>
      </c>
      <c r="E171" s="1092">
        <f>SUM(E169:E170)</f>
        <v>2704</v>
      </c>
      <c r="F171" s="1092"/>
      <c r="G171" s="1092"/>
      <c r="H171" s="1092"/>
      <c r="I171" s="1092"/>
      <c r="J171" s="1092"/>
      <c r="K171" s="1092">
        <f>SUM(K169:K170)</f>
        <v>23008</v>
      </c>
      <c r="L171" s="1092"/>
      <c r="M171" s="1101"/>
      <c r="N171" s="309">
        <f>SUM(E171:L171)</f>
        <v>25712</v>
      </c>
      <c r="O171" s="42"/>
    </row>
    <row r="172" spans="1:15" s="151" customFormat="1" ht="22.5" customHeight="1" x14ac:dyDescent="0.3">
      <c r="A172" s="57">
        <v>165</v>
      </c>
      <c r="B172" s="295">
        <v>15</v>
      </c>
      <c r="C172" s="296"/>
      <c r="D172" s="365" t="s">
        <v>164</v>
      </c>
      <c r="E172" s="307"/>
      <c r="F172" s="307"/>
      <c r="G172" s="307"/>
      <c r="H172" s="307"/>
      <c r="I172" s="307"/>
      <c r="J172" s="307"/>
      <c r="K172" s="307"/>
      <c r="L172" s="307"/>
      <c r="M172" s="308"/>
      <c r="N172" s="309"/>
    </row>
    <row r="173" spans="1:15" s="150" customFormat="1" ht="18" customHeight="1" x14ac:dyDescent="0.2">
      <c r="A173" s="57">
        <v>166</v>
      </c>
      <c r="B173" s="298"/>
      <c r="C173" s="299"/>
      <c r="D173" s="1052" t="s">
        <v>334</v>
      </c>
      <c r="E173" s="1074">
        <v>203000</v>
      </c>
      <c r="F173" s="1074">
        <v>104000</v>
      </c>
      <c r="G173" s="1074"/>
      <c r="H173" s="1074"/>
      <c r="I173" s="1074"/>
      <c r="J173" s="1074"/>
      <c r="K173" s="1074"/>
      <c r="L173" s="1074">
        <v>410112</v>
      </c>
      <c r="M173" s="1077">
        <v>259100</v>
      </c>
      <c r="N173" s="1075">
        <f t="shared" si="22"/>
        <v>717112</v>
      </c>
    </row>
    <row r="174" spans="1:15" s="150" customFormat="1" ht="18" customHeight="1" x14ac:dyDescent="0.2">
      <c r="A174" s="57">
        <v>167</v>
      </c>
      <c r="B174" s="298"/>
      <c r="C174" s="299"/>
      <c r="D174" s="1091" t="s">
        <v>1307</v>
      </c>
      <c r="E174" s="863">
        <v>203000</v>
      </c>
      <c r="F174" s="863">
        <v>104000</v>
      </c>
      <c r="G174" s="863"/>
      <c r="H174" s="863"/>
      <c r="I174" s="863"/>
      <c r="J174" s="863"/>
      <c r="K174" s="863">
        <v>118939</v>
      </c>
      <c r="L174" s="863">
        <v>428890</v>
      </c>
      <c r="M174" s="862">
        <v>274483</v>
      </c>
      <c r="N174" s="309">
        <f>SUM(E174:L174)</f>
        <v>854829</v>
      </c>
    </row>
    <row r="175" spans="1:15" s="150" customFormat="1" ht="18" customHeight="1" x14ac:dyDescent="0.3">
      <c r="A175" s="57">
        <v>168</v>
      </c>
      <c r="B175" s="298"/>
      <c r="C175" s="299"/>
      <c r="D175" s="1167" t="s">
        <v>1392</v>
      </c>
      <c r="E175" s="305"/>
      <c r="F175" s="305"/>
      <c r="G175" s="305"/>
      <c r="H175" s="305"/>
      <c r="I175" s="305"/>
      <c r="J175" s="305"/>
      <c r="K175" s="305"/>
      <c r="L175" s="305">
        <v>6</v>
      </c>
      <c r="M175" s="305">
        <v>6</v>
      </c>
      <c r="N175" s="1169">
        <f t="shared" ref="N175:N178" si="35">SUM(E175:L175)</f>
        <v>6</v>
      </c>
    </row>
    <row r="176" spans="1:15" s="150" customFormat="1" ht="18" customHeight="1" x14ac:dyDescent="0.3">
      <c r="A176" s="57">
        <v>169</v>
      </c>
      <c r="B176" s="298"/>
      <c r="C176" s="872"/>
      <c r="D176" s="1167" t="s">
        <v>1375</v>
      </c>
      <c r="E176" s="305"/>
      <c r="F176" s="305"/>
      <c r="G176" s="305"/>
      <c r="H176" s="305"/>
      <c r="I176" s="305"/>
      <c r="J176" s="305"/>
      <c r="K176" s="305"/>
      <c r="L176" s="305">
        <v>1467</v>
      </c>
      <c r="M176" s="305">
        <v>1467</v>
      </c>
      <c r="N176" s="1169">
        <f t="shared" si="35"/>
        <v>1467</v>
      </c>
    </row>
    <row r="177" spans="1:15" s="150" customFormat="1" ht="18" customHeight="1" x14ac:dyDescent="0.3">
      <c r="A177" s="57">
        <v>170</v>
      </c>
      <c r="B177" s="298"/>
      <c r="C177" s="1694"/>
      <c r="D177" s="1221" t="s">
        <v>1464</v>
      </c>
      <c r="E177" s="335">
        <v>40842</v>
      </c>
      <c r="F177" s="335">
        <v>62572</v>
      </c>
      <c r="G177" s="335"/>
      <c r="H177" s="335"/>
      <c r="I177" s="335"/>
      <c r="J177" s="335"/>
      <c r="K177" s="335"/>
      <c r="L177" s="335"/>
      <c r="M177" s="335"/>
      <c r="N177" s="1169">
        <f t="shared" si="35"/>
        <v>103414</v>
      </c>
    </row>
    <row r="178" spans="1:15" s="150" customFormat="1" ht="18" customHeight="1" x14ac:dyDescent="0.3">
      <c r="A178" s="57">
        <v>171</v>
      </c>
      <c r="B178" s="298"/>
      <c r="C178" s="1694"/>
      <c r="D178" s="1221" t="s">
        <v>1486</v>
      </c>
      <c r="E178" s="335"/>
      <c r="F178" s="335"/>
      <c r="G178" s="335"/>
      <c r="H178" s="335"/>
      <c r="I178" s="335"/>
      <c r="J178" s="335"/>
      <c r="K178" s="335"/>
      <c r="L178" s="335">
        <v>384</v>
      </c>
      <c r="M178" s="335"/>
      <c r="N178" s="1169">
        <f t="shared" si="35"/>
        <v>384</v>
      </c>
    </row>
    <row r="179" spans="1:15" s="150" customFormat="1" ht="18" customHeight="1" thickBot="1" x14ac:dyDescent="0.25">
      <c r="A179" s="57">
        <v>172</v>
      </c>
      <c r="B179" s="298"/>
      <c r="C179" s="768"/>
      <c r="D179" s="1102" t="s">
        <v>1391</v>
      </c>
      <c r="E179" s="865">
        <f>SUM(E174:E178)</f>
        <v>243842</v>
      </c>
      <c r="F179" s="865">
        <f t="shared" ref="F179:M179" si="36">SUM(F174:F178)</f>
        <v>166572</v>
      </c>
      <c r="G179" s="865"/>
      <c r="H179" s="865"/>
      <c r="I179" s="865"/>
      <c r="J179" s="865"/>
      <c r="K179" s="865">
        <f t="shared" si="36"/>
        <v>118939</v>
      </c>
      <c r="L179" s="865">
        <f t="shared" si="36"/>
        <v>430747</v>
      </c>
      <c r="M179" s="865">
        <f t="shared" si="36"/>
        <v>275956</v>
      </c>
      <c r="N179" s="866">
        <f>SUM(E179:L179)</f>
        <v>960100</v>
      </c>
    </row>
    <row r="180" spans="1:15" s="150" customFormat="1" ht="18" customHeight="1" thickTop="1" x14ac:dyDescent="0.2">
      <c r="A180" s="57">
        <v>173</v>
      </c>
      <c r="B180" s="298"/>
      <c r="C180" s="1068"/>
      <c r="D180" s="860" t="s">
        <v>174</v>
      </c>
      <c r="E180" s="1069"/>
      <c r="F180" s="1069"/>
      <c r="G180" s="1069"/>
      <c r="H180" s="1069"/>
      <c r="I180" s="1069"/>
      <c r="J180" s="1069"/>
      <c r="K180" s="1069"/>
      <c r="L180" s="1069"/>
      <c r="M180" s="1069"/>
      <c r="N180" s="1070"/>
    </row>
    <row r="181" spans="1:15" s="151" customFormat="1" ht="20.100000000000001" customHeight="1" x14ac:dyDescent="0.2">
      <c r="A181" s="57">
        <v>174</v>
      </c>
      <c r="B181" s="298"/>
      <c r="C181" s="299"/>
      <c r="D181" s="1052" t="s">
        <v>334</v>
      </c>
      <c r="E181" s="1432">
        <f t="shared" ref="E181:M181" si="37">SUM(E173,E156,E146,E138,E129,E122,E114,E101,E163,E151,E168)</f>
        <v>429980</v>
      </c>
      <c r="F181" s="1430">
        <f t="shared" si="37"/>
        <v>113627</v>
      </c>
      <c r="G181" s="1430">
        <f t="shared" si="37"/>
        <v>0</v>
      </c>
      <c r="H181" s="1430">
        <f t="shared" si="37"/>
        <v>0</v>
      </c>
      <c r="I181" s="1430">
        <f t="shared" si="37"/>
        <v>2900</v>
      </c>
      <c r="J181" s="1430">
        <f t="shared" si="37"/>
        <v>0</v>
      </c>
      <c r="K181" s="1430">
        <f t="shared" si="37"/>
        <v>85336</v>
      </c>
      <c r="L181" s="1430">
        <f t="shared" si="37"/>
        <v>1373936</v>
      </c>
      <c r="M181" s="1430">
        <f t="shared" si="37"/>
        <v>716204</v>
      </c>
      <c r="N181" s="1565">
        <f t="shared" si="22"/>
        <v>2005779</v>
      </c>
    </row>
    <row r="182" spans="1:15" s="151" customFormat="1" ht="20.100000000000001" customHeight="1" x14ac:dyDescent="0.2">
      <c r="A182" s="57">
        <v>175</v>
      </c>
      <c r="B182" s="767"/>
      <c r="C182" s="1263"/>
      <c r="D182" s="1091" t="s">
        <v>1307</v>
      </c>
      <c r="E182" s="861">
        <f t="shared" ref="E182:M182" si="38">E174+E169+E164+E157+E152+E147+E139+E134+E130+E123+E115+E110+E102</f>
        <v>469971</v>
      </c>
      <c r="F182" s="861">
        <f t="shared" si="38"/>
        <v>287437</v>
      </c>
      <c r="G182" s="861">
        <f t="shared" si="38"/>
        <v>6039</v>
      </c>
      <c r="H182" s="861">
        <f t="shared" si="38"/>
        <v>3000</v>
      </c>
      <c r="I182" s="861">
        <f t="shared" si="38"/>
        <v>11183</v>
      </c>
      <c r="J182" s="861">
        <f t="shared" si="38"/>
        <v>0</v>
      </c>
      <c r="K182" s="861">
        <f t="shared" si="38"/>
        <v>328326</v>
      </c>
      <c r="L182" s="861">
        <f t="shared" si="38"/>
        <v>1457998</v>
      </c>
      <c r="M182" s="861">
        <f t="shared" si="38"/>
        <v>773101</v>
      </c>
      <c r="N182" s="306">
        <f>SUM(E182:L182)</f>
        <v>2563954</v>
      </c>
    </row>
    <row r="183" spans="1:15" s="151" customFormat="1" ht="20.100000000000001" customHeight="1" x14ac:dyDescent="0.2">
      <c r="A183" s="57">
        <v>176</v>
      </c>
      <c r="B183" s="767"/>
      <c r="C183" s="872"/>
      <c r="D183" s="1226" t="s">
        <v>733</v>
      </c>
      <c r="E183" s="305">
        <f>E176+E175+E170+E165+E158+E153+E148+E143+E141+E140+E131+E126+E125+E124+E119+E117+E116+E104+E103+E107+E105+E135+E111+E142+E106+E159+E160+E118+E177+E178</f>
        <v>73042</v>
      </c>
      <c r="F183" s="305">
        <f t="shared" ref="F183:M183" si="39">F176+F175+F170+F165+F158+F153+F148+F143+F141+F140+F131+F126+F125+F124+F119+F117+F116+F104+F103+F107+F105+F135+F111+F142+F106+F159+F160+F118+F177+F178</f>
        <v>59347</v>
      </c>
      <c r="G183" s="305">
        <f t="shared" si="39"/>
        <v>18</v>
      </c>
      <c r="H183" s="305">
        <f t="shared" si="39"/>
        <v>0</v>
      </c>
      <c r="I183" s="305">
        <f t="shared" si="39"/>
        <v>3000</v>
      </c>
      <c r="J183" s="305">
        <f t="shared" si="39"/>
        <v>0</v>
      </c>
      <c r="K183" s="305">
        <f t="shared" si="39"/>
        <v>0</v>
      </c>
      <c r="L183" s="305">
        <f t="shared" si="39"/>
        <v>5989</v>
      </c>
      <c r="M183" s="305">
        <f t="shared" si="39"/>
        <v>5893</v>
      </c>
      <c r="N183" s="1227">
        <f>SUM(E183:L183)</f>
        <v>141396</v>
      </c>
    </row>
    <row r="184" spans="1:15" s="151" customFormat="1" ht="20.100000000000001" customHeight="1" thickBot="1" x14ac:dyDescent="0.25">
      <c r="A184" s="57">
        <v>177</v>
      </c>
      <c r="B184" s="767"/>
      <c r="C184" s="768"/>
      <c r="D184" s="1095" t="s">
        <v>1391</v>
      </c>
      <c r="E184" s="865">
        <f>SUM(E182:E183)</f>
        <v>543013</v>
      </c>
      <c r="F184" s="865">
        <f t="shared" ref="F184:M184" si="40">SUM(F182:F183)</f>
        <v>346784</v>
      </c>
      <c r="G184" s="865">
        <f t="shared" si="40"/>
        <v>6057</v>
      </c>
      <c r="H184" s="865">
        <f t="shared" si="40"/>
        <v>3000</v>
      </c>
      <c r="I184" s="865">
        <f t="shared" si="40"/>
        <v>14183</v>
      </c>
      <c r="J184" s="865">
        <f t="shared" si="40"/>
        <v>0</v>
      </c>
      <c r="K184" s="865">
        <f t="shared" si="40"/>
        <v>328326</v>
      </c>
      <c r="L184" s="865">
        <f t="shared" si="40"/>
        <v>1463987</v>
      </c>
      <c r="M184" s="865">
        <f t="shared" si="40"/>
        <v>778994</v>
      </c>
      <c r="N184" s="866">
        <f t="shared" si="22"/>
        <v>2705350</v>
      </c>
    </row>
    <row r="185" spans="1:15" ht="22.5" customHeight="1" thickTop="1" x14ac:dyDescent="0.3">
      <c r="A185" s="57">
        <v>178</v>
      </c>
      <c r="B185" s="315">
        <v>16</v>
      </c>
      <c r="C185" s="316"/>
      <c r="D185" s="366" t="s">
        <v>287</v>
      </c>
      <c r="E185" s="328"/>
      <c r="F185" s="328"/>
      <c r="G185" s="328"/>
      <c r="H185" s="328"/>
      <c r="I185" s="328"/>
      <c r="J185" s="328"/>
      <c r="K185" s="328"/>
      <c r="L185" s="328"/>
      <c r="M185" s="329"/>
      <c r="N185" s="330"/>
      <c r="O185" s="41"/>
    </row>
    <row r="186" spans="1:15" s="150" customFormat="1" ht="18" customHeight="1" x14ac:dyDescent="0.2">
      <c r="A186" s="57">
        <v>179</v>
      </c>
      <c r="B186" s="298"/>
      <c r="C186" s="299"/>
      <c r="D186" s="1052" t="s">
        <v>334</v>
      </c>
      <c r="E186" s="1074">
        <v>379059</v>
      </c>
      <c r="F186" s="1074"/>
      <c r="G186" s="1074"/>
      <c r="H186" s="1074"/>
      <c r="I186" s="1074"/>
      <c r="J186" s="1074"/>
      <c r="K186" s="1074">
        <v>100000</v>
      </c>
      <c r="L186" s="1074">
        <v>533017</v>
      </c>
      <c r="M186" s="1077">
        <v>173889</v>
      </c>
      <c r="N186" s="1075">
        <f>SUM(E186:L186)</f>
        <v>1012076</v>
      </c>
    </row>
    <row r="187" spans="1:15" s="150" customFormat="1" ht="18" customHeight="1" x14ac:dyDescent="0.2">
      <c r="A187" s="57">
        <v>180</v>
      </c>
      <c r="B187" s="298"/>
      <c r="C187" s="299"/>
      <c r="D187" s="1091" t="s">
        <v>1307</v>
      </c>
      <c r="E187" s="863">
        <v>379059</v>
      </c>
      <c r="F187" s="863"/>
      <c r="G187" s="863"/>
      <c r="H187" s="863"/>
      <c r="I187" s="863"/>
      <c r="J187" s="863"/>
      <c r="K187" s="863">
        <v>186923</v>
      </c>
      <c r="L187" s="863">
        <v>533044</v>
      </c>
      <c r="M187" s="862">
        <v>173916</v>
      </c>
      <c r="N187" s="306">
        <f>SUM(E187:L187)</f>
        <v>1099026</v>
      </c>
    </row>
    <row r="188" spans="1:15" s="150" customFormat="1" ht="18" customHeight="1" x14ac:dyDescent="0.3">
      <c r="A188" s="57">
        <v>181</v>
      </c>
      <c r="B188" s="767"/>
      <c r="C188" s="346"/>
      <c r="D188" s="1229" t="s">
        <v>1392</v>
      </c>
      <c r="E188" s="305"/>
      <c r="F188" s="305"/>
      <c r="G188" s="305"/>
      <c r="H188" s="305"/>
      <c r="I188" s="305"/>
      <c r="J188" s="305"/>
      <c r="K188" s="305"/>
      <c r="L188" s="305">
        <v>2</v>
      </c>
      <c r="M188" s="305">
        <v>2</v>
      </c>
      <c r="N188" s="1434">
        <f t="shared" ref="N188" si="41">SUM(E188:L188)</f>
        <v>2</v>
      </c>
    </row>
    <row r="189" spans="1:15" s="150" customFormat="1" ht="18" customHeight="1" x14ac:dyDescent="0.3">
      <c r="A189" s="57">
        <v>182</v>
      </c>
      <c r="B189" s="1709"/>
      <c r="C189" s="299"/>
      <c r="D189" s="1167" t="s">
        <v>1397</v>
      </c>
      <c r="E189" s="760"/>
      <c r="F189" s="760"/>
      <c r="G189" s="760"/>
      <c r="H189" s="760"/>
      <c r="I189" s="760"/>
      <c r="J189" s="760"/>
      <c r="K189" s="760"/>
      <c r="L189" s="760"/>
      <c r="M189" s="760">
        <v>15417</v>
      </c>
      <c r="N189" s="1434">
        <f>SUM(E189:L189)</f>
        <v>0</v>
      </c>
    </row>
    <row r="190" spans="1:15" s="249" customFormat="1" ht="18" customHeight="1" thickBot="1" x14ac:dyDescent="0.25">
      <c r="A190" s="57">
        <v>183</v>
      </c>
      <c r="B190" s="336"/>
      <c r="C190" s="761"/>
      <c r="D190" s="878" t="s">
        <v>1391</v>
      </c>
      <c r="E190" s="1103">
        <f>SUM(E187:E189)</f>
        <v>379059</v>
      </c>
      <c r="F190" s="1103"/>
      <c r="G190" s="1103"/>
      <c r="H190" s="1103"/>
      <c r="I190" s="1103"/>
      <c r="J190" s="1103"/>
      <c r="K190" s="1103">
        <f t="shared" ref="K190:L190" si="42">SUM(K187:K189)</f>
        <v>186923</v>
      </c>
      <c r="L190" s="1103">
        <f t="shared" si="42"/>
        <v>533046</v>
      </c>
      <c r="M190" s="1103">
        <f>SUM(M187:M189)</f>
        <v>189335</v>
      </c>
      <c r="N190" s="332">
        <f>SUM(E190:L190)</f>
        <v>1099028</v>
      </c>
      <c r="O190" s="42"/>
    </row>
    <row r="191" spans="1:15" s="249" customFormat="1" ht="18" customHeight="1" x14ac:dyDescent="0.2">
      <c r="A191" s="57">
        <v>184</v>
      </c>
      <c r="B191" s="336"/>
      <c r="C191" s="1073"/>
      <c r="D191" s="1072" t="s">
        <v>166</v>
      </c>
      <c r="E191" s="883"/>
      <c r="F191" s="883"/>
      <c r="G191" s="883"/>
      <c r="H191" s="883"/>
      <c r="I191" s="883"/>
      <c r="J191" s="883"/>
      <c r="K191" s="883"/>
      <c r="L191" s="883"/>
      <c r="M191" s="883"/>
      <c r="N191" s="319"/>
      <c r="O191" s="42"/>
    </row>
    <row r="192" spans="1:15" s="249" customFormat="1" ht="20.100000000000001" customHeight="1" x14ac:dyDescent="0.2">
      <c r="A192" s="57">
        <v>185</v>
      </c>
      <c r="B192" s="298"/>
      <c r="C192" s="1071"/>
      <c r="D192" s="1052" t="s">
        <v>334</v>
      </c>
      <c r="E192" s="1081">
        <f t="shared" ref="E192:M192" si="43">SUM(E54,E96,E181,E186)</f>
        <v>909894</v>
      </c>
      <c r="F192" s="1081">
        <f t="shared" si="43"/>
        <v>117496</v>
      </c>
      <c r="G192" s="1081">
        <f t="shared" si="43"/>
        <v>0</v>
      </c>
      <c r="H192" s="1081">
        <f t="shared" si="43"/>
        <v>0</v>
      </c>
      <c r="I192" s="1081">
        <f t="shared" si="43"/>
        <v>2900</v>
      </c>
      <c r="J192" s="1081">
        <f t="shared" si="43"/>
        <v>0</v>
      </c>
      <c r="K192" s="1081">
        <f t="shared" si="43"/>
        <v>196006</v>
      </c>
      <c r="L192" s="1081">
        <f t="shared" si="43"/>
        <v>4796898</v>
      </c>
      <c r="M192" s="1082">
        <f t="shared" si="43"/>
        <v>2905344</v>
      </c>
      <c r="N192" s="1083">
        <f>SUM(E192:L192)</f>
        <v>6023194</v>
      </c>
      <c r="O192" s="42"/>
    </row>
    <row r="193" spans="1:15" s="249" customFormat="1" ht="20.100000000000001" customHeight="1" x14ac:dyDescent="0.2">
      <c r="A193" s="57">
        <v>186</v>
      </c>
      <c r="B193" s="298"/>
      <c r="C193" s="1071"/>
      <c r="D193" s="1091" t="s">
        <v>1307</v>
      </c>
      <c r="E193" s="1433">
        <f t="shared" ref="E193:M193" si="44">E187+E182+E97+E55</f>
        <v>951630</v>
      </c>
      <c r="F193" s="1433">
        <f t="shared" si="44"/>
        <v>304926</v>
      </c>
      <c r="G193" s="1433">
        <f t="shared" si="44"/>
        <v>6069</v>
      </c>
      <c r="H193" s="1433">
        <f t="shared" si="44"/>
        <v>3000</v>
      </c>
      <c r="I193" s="1433">
        <f t="shared" si="44"/>
        <v>11183</v>
      </c>
      <c r="J193" s="1433">
        <f t="shared" si="44"/>
        <v>0</v>
      </c>
      <c r="K193" s="1433">
        <f t="shared" si="44"/>
        <v>700449</v>
      </c>
      <c r="L193" s="1433">
        <f t="shared" si="44"/>
        <v>5019395</v>
      </c>
      <c r="M193" s="1433">
        <f t="shared" si="44"/>
        <v>3194260</v>
      </c>
      <c r="N193" s="306">
        <f>SUM(E193:L193)</f>
        <v>6996652</v>
      </c>
      <c r="O193" s="42"/>
    </row>
    <row r="194" spans="1:15" s="249" customFormat="1" ht="20.100000000000001" customHeight="1" x14ac:dyDescent="0.2">
      <c r="A194" s="57">
        <v>187</v>
      </c>
      <c r="B194" s="298"/>
      <c r="C194" s="882"/>
      <c r="D194" s="1228" t="s">
        <v>733</v>
      </c>
      <c r="E194" s="305">
        <f t="shared" ref="E194:M194" si="45">E188+E183+E98+E56+E189</f>
        <v>73042</v>
      </c>
      <c r="F194" s="305">
        <f t="shared" si="45"/>
        <v>59347</v>
      </c>
      <c r="G194" s="305">
        <f t="shared" si="45"/>
        <v>18</v>
      </c>
      <c r="H194" s="305">
        <f t="shared" si="45"/>
        <v>0</v>
      </c>
      <c r="I194" s="305">
        <f t="shared" si="45"/>
        <v>3000</v>
      </c>
      <c r="J194" s="305">
        <f t="shared" si="45"/>
        <v>0</v>
      </c>
      <c r="K194" s="305">
        <f t="shared" si="45"/>
        <v>0</v>
      </c>
      <c r="L194" s="305">
        <f t="shared" si="45"/>
        <v>13724</v>
      </c>
      <c r="M194" s="305">
        <f t="shared" si="45"/>
        <v>72365</v>
      </c>
      <c r="N194" s="1212">
        <f>SUM(E194:L194)</f>
        <v>149131</v>
      </c>
      <c r="O194" s="42"/>
    </row>
    <row r="195" spans="1:15" s="249" customFormat="1" ht="20.100000000000001" customHeight="1" thickBot="1" x14ac:dyDescent="0.25">
      <c r="A195" s="57">
        <v>188</v>
      </c>
      <c r="B195" s="298"/>
      <c r="C195" s="881"/>
      <c r="D195" s="885" t="s">
        <v>1391</v>
      </c>
      <c r="E195" s="861">
        <f>SUM(E193:E194)</f>
        <v>1024672</v>
      </c>
      <c r="F195" s="861">
        <f t="shared" ref="F195:L195" si="46">SUM(F193:F194)</f>
        <v>364273</v>
      </c>
      <c r="G195" s="861">
        <f t="shared" si="46"/>
        <v>6087</v>
      </c>
      <c r="H195" s="861">
        <f t="shared" si="46"/>
        <v>3000</v>
      </c>
      <c r="I195" s="861">
        <f t="shared" si="46"/>
        <v>14183</v>
      </c>
      <c r="J195" s="861">
        <f t="shared" si="46"/>
        <v>0</v>
      </c>
      <c r="K195" s="861">
        <f t="shared" si="46"/>
        <v>700449</v>
      </c>
      <c r="L195" s="861">
        <f t="shared" si="46"/>
        <v>5033119</v>
      </c>
      <c r="M195" s="861">
        <f>SUM(M193:M194)</f>
        <v>3266625</v>
      </c>
      <c r="N195" s="306">
        <f>SUM(E195:L195)</f>
        <v>7145783</v>
      </c>
      <c r="O195" s="42"/>
    </row>
    <row r="196" spans="1:15" ht="22.5" customHeight="1" x14ac:dyDescent="0.3">
      <c r="A196" s="57">
        <v>189</v>
      </c>
      <c r="B196" s="315">
        <v>17</v>
      </c>
      <c r="C196" s="291"/>
      <c r="D196" s="1752" t="s">
        <v>167</v>
      </c>
      <c r="E196" s="1752"/>
      <c r="F196" s="1752"/>
      <c r="G196" s="292"/>
      <c r="H196" s="292"/>
      <c r="I196" s="292"/>
      <c r="J196" s="292"/>
      <c r="K196" s="292"/>
      <c r="L196" s="292"/>
      <c r="M196" s="293"/>
      <c r="N196" s="325"/>
      <c r="O196" s="41"/>
    </row>
    <row r="197" spans="1:15" s="249" customFormat="1" ht="18" customHeight="1" x14ac:dyDescent="0.2">
      <c r="A197" s="57">
        <v>190</v>
      </c>
      <c r="B197" s="336"/>
      <c r="C197" s="333"/>
      <c r="D197" s="1084" t="s">
        <v>334</v>
      </c>
      <c r="E197" s="1085"/>
      <c r="F197" s="1085"/>
      <c r="G197" s="1085"/>
      <c r="H197" s="1085"/>
      <c r="I197" s="1085"/>
      <c r="J197" s="1085"/>
      <c r="K197" s="1085">
        <v>14861</v>
      </c>
      <c r="L197" s="1085">
        <f>1546309+11725</f>
        <v>1558034</v>
      </c>
      <c r="M197" s="1086"/>
      <c r="N197" s="1087">
        <f>SUM(E197:L197)</f>
        <v>1572895</v>
      </c>
      <c r="O197" s="42"/>
    </row>
    <row r="198" spans="1:15" s="249" customFormat="1" ht="18" customHeight="1" x14ac:dyDescent="0.3">
      <c r="A198" s="57">
        <v>191</v>
      </c>
      <c r="B198" s="336"/>
      <c r="C198" s="333"/>
      <c r="D198" s="1091" t="s">
        <v>1307</v>
      </c>
      <c r="E198" s="1114">
        <v>5080</v>
      </c>
      <c r="F198" s="1085"/>
      <c r="G198" s="1085"/>
      <c r="H198" s="1085"/>
      <c r="I198" s="1085"/>
      <c r="J198" s="1085"/>
      <c r="K198" s="1114">
        <v>319022</v>
      </c>
      <c r="L198" s="1114">
        <v>1608709</v>
      </c>
      <c r="M198" s="887">
        <v>2414</v>
      </c>
      <c r="N198" s="1170">
        <f>SUM(E198:L198)</f>
        <v>1932811</v>
      </c>
      <c r="O198" s="42"/>
    </row>
    <row r="199" spans="1:15" s="249" customFormat="1" ht="18" customHeight="1" x14ac:dyDescent="0.3">
      <c r="A199" s="57">
        <v>192</v>
      </c>
      <c r="B199" s="336"/>
      <c r="C199" s="333"/>
      <c r="D199" s="1167" t="s">
        <v>1392</v>
      </c>
      <c r="E199" s="335"/>
      <c r="F199" s="335"/>
      <c r="G199" s="335"/>
      <c r="H199" s="335"/>
      <c r="I199" s="335"/>
      <c r="J199" s="335"/>
      <c r="K199" s="335"/>
      <c r="L199" s="335">
        <v>132</v>
      </c>
      <c r="M199" s="335">
        <v>132</v>
      </c>
      <c r="N199" s="1169">
        <f t="shared" ref="N199" si="47">SUM(E199:L199)</f>
        <v>132</v>
      </c>
      <c r="O199" s="42"/>
    </row>
    <row r="200" spans="1:15" s="249" customFormat="1" ht="18" customHeight="1" x14ac:dyDescent="0.3">
      <c r="A200" s="57">
        <v>193</v>
      </c>
      <c r="B200" s="336"/>
      <c r="C200" s="299"/>
      <c r="D200" s="1091" t="s">
        <v>1391</v>
      </c>
      <c r="E200" s="1114">
        <f>SUM(E198:E199)</f>
        <v>5080</v>
      </c>
      <c r="F200" s="1114"/>
      <c r="G200" s="1114"/>
      <c r="H200" s="1114"/>
      <c r="I200" s="1114"/>
      <c r="J200" s="1114"/>
      <c r="K200" s="1114">
        <f>SUM(K198:K199)</f>
        <v>319022</v>
      </c>
      <c r="L200" s="1114">
        <f>SUM(L198:L199)</f>
        <v>1608841</v>
      </c>
      <c r="M200" s="1114">
        <f>SUM(M198:M199)</f>
        <v>2546</v>
      </c>
      <c r="N200" s="1170">
        <f>SUM(E200:L200)</f>
        <v>1932943</v>
      </c>
      <c r="O200" s="42"/>
    </row>
    <row r="201" spans="1:15" s="249" customFormat="1" ht="18" customHeight="1" x14ac:dyDescent="0.3">
      <c r="A201" s="57">
        <v>194</v>
      </c>
      <c r="B201" s="336"/>
      <c r="C201" s="299">
        <v>18</v>
      </c>
      <c r="D201" s="1091" t="s">
        <v>927</v>
      </c>
      <c r="E201" s="863"/>
      <c r="F201" s="863"/>
      <c r="G201" s="863"/>
      <c r="H201" s="863"/>
      <c r="I201" s="863"/>
      <c r="J201" s="863"/>
      <c r="K201" s="863"/>
      <c r="L201" s="863"/>
      <c r="M201" s="862"/>
      <c r="N201" s="322"/>
      <c r="O201" s="42"/>
    </row>
    <row r="202" spans="1:15" s="249" customFormat="1" ht="18" customHeight="1" x14ac:dyDescent="0.3">
      <c r="A202" s="57">
        <v>195</v>
      </c>
      <c r="B202" s="336"/>
      <c r="C202" s="299"/>
      <c r="D202" s="1091" t="s">
        <v>1307</v>
      </c>
      <c r="E202" s="863"/>
      <c r="F202" s="863">
        <v>14715</v>
      </c>
      <c r="G202" s="863"/>
      <c r="H202" s="863"/>
      <c r="I202" s="863"/>
      <c r="J202" s="863"/>
      <c r="K202" s="863"/>
      <c r="L202" s="863"/>
      <c r="M202" s="862"/>
      <c r="N202" s="1170">
        <f>SUM(E202:L202)</f>
        <v>14715</v>
      </c>
      <c r="O202" s="42"/>
    </row>
    <row r="203" spans="1:15" s="249" customFormat="1" ht="18" customHeight="1" x14ac:dyDescent="0.3">
      <c r="A203" s="57">
        <v>196</v>
      </c>
      <c r="B203" s="336"/>
      <c r="C203" s="299"/>
      <c r="D203" s="1167" t="s">
        <v>834</v>
      </c>
      <c r="E203" s="863"/>
      <c r="F203" s="305"/>
      <c r="G203" s="863"/>
      <c r="H203" s="863"/>
      <c r="I203" s="863"/>
      <c r="J203" s="863"/>
      <c r="K203" s="863"/>
      <c r="L203" s="863"/>
      <c r="M203" s="862"/>
      <c r="N203" s="1169">
        <f t="shared" ref="N203" si="48">SUM(E203:L203)</f>
        <v>0</v>
      </c>
      <c r="O203" s="42"/>
    </row>
    <row r="204" spans="1:15" s="249" customFormat="1" ht="18" customHeight="1" x14ac:dyDescent="0.2">
      <c r="A204" s="57">
        <v>197</v>
      </c>
      <c r="B204" s="336"/>
      <c r="C204" s="1221"/>
      <c r="D204" s="1115" t="s">
        <v>1391</v>
      </c>
      <c r="E204" s="1221"/>
      <c r="F204" s="1091">
        <f>SUM(F202:F203)</f>
        <v>14715</v>
      </c>
      <c r="G204" s="1091"/>
      <c r="H204" s="1091"/>
      <c r="I204" s="1091"/>
      <c r="J204" s="1091"/>
      <c r="K204" s="1091"/>
      <c r="L204" s="1091"/>
      <c r="M204" s="1091"/>
      <c r="N204" s="1564">
        <f>SUM(E204:L204)</f>
        <v>14715</v>
      </c>
      <c r="O204" s="42"/>
    </row>
    <row r="205" spans="1:15" s="249" customFormat="1" ht="18" customHeight="1" x14ac:dyDescent="0.2">
      <c r="A205" s="57">
        <v>198</v>
      </c>
      <c r="B205" s="336"/>
      <c r="C205" s="299">
        <v>23</v>
      </c>
      <c r="D205" s="1091" t="s">
        <v>1302</v>
      </c>
      <c r="E205" s="1167"/>
      <c r="F205" s="1492"/>
      <c r="G205" s="1492"/>
      <c r="H205" s="1492"/>
      <c r="I205" s="1492"/>
      <c r="J205" s="1492"/>
      <c r="K205" s="1492"/>
      <c r="L205" s="1492"/>
      <c r="M205" s="1492"/>
      <c r="N205" s="1680"/>
      <c r="O205" s="42"/>
    </row>
    <row r="206" spans="1:15" s="249" customFormat="1" ht="18" customHeight="1" x14ac:dyDescent="0.3">
      <c r="A206" s="57">
        <v>199</v>
      </c>
      <c r="B206" s="336"/>
      <c r="C206" s="299"/>
      <c r="D206" s="1091" t="s">
        <v>1307</v>
      </c>
      <c r="E206" s="1167"/>
      <c r="F206" s="1492">
        <v>14913</v>
      </c>
      <c r="G206" s="1492"/>
      <c r="H206" s="1492"/>
      <c r="I206" s="1492"/>
      <c r="J206" s="1492"/>
      <c r="K206" s="1492"/>
      <c r="L206" s="1492"/>
      <c r="M206" s="1492"/>
      <c r="N206" s="1170">
        <f>SUM(E206:L206)</f>
        <v>14913</v>
      </c>
      <c r="O206" s="42"/>
    </row>
    <row r="207" spans="1:15" s="249" customFormat="1" ht="18" customHeight="1" x14ac:dyDescent="0.3">
      <c r="A207" s="57">
        <v>200</v>
      </c>
      <c r="B207" s="336"/>
      <c r="C207" s="1167"/>
      <c r="D207" s="1167" t="s">
        <v>1351</v>
      </c>
      <c r="E207" s="1167"/>
      <c r="F207" s="1229"/>
      <c r="G207" s="1492"/>
      <c r="H207" s="1492"/>
      <c r="I207" s="1492"/>
      <c r="J207" s="1492"/>
      <c r="K207" s="1492"/>
      <c r="L207" s="1492"/>
      <c r="M207" s="1492"/>
      <c r="N207" s="1169">
        <f t="shared" ref="N207" si="49">SUM(E207:L207)</f>
        <v>0</v>
      </c>
      <c r="O207" s="42"/>
    </row>
    <row r="208" spans="1:15" s="249" customFormat="1" ht="18" customHeight="1" thickBot="1" x14ac:dyDescent="0.25">
      <c r="A208" s="57">
        <v>201</v>
      </c>
      <c r="B208" s="336"/>
      <c r="C208" s="1682"/>
      <c r="D208" s="878" t="s">
        <v>1391</v>
      </c>
      <c r="E208" s="1682"/>
      <c r="F208" s="1492">
        <f>SUM(F206:F207)</f>
        <v>14913</v>
      </c>
      <c r="G208" s="1492"/>
      <c r="H208" s="1492"/>
      <c r="I208" s="1492"/>
      <c r="J208" s="1492"/>
      <c r="K208" s="1492"/>
      <c r="L208" s="1492"/>
      <c r="M208" s="1492"/>
      <c r="N208" s="1564">
        <f>SUM(E208:L208)</f>
        <v>14913</v>
      </c>
      <c r="O208" s="42"/>
    </row>
    <row r="209" spans="1:15" s="249" customFormat="1" ht="18" customHeight="1" x14ac:dyDescent="0.3">
      <c r="A209" s="57">
        <v>202</v>
      </c>
      <c r="B209" s="336"/>
      <c r="C209" s="1681"/>
      <c r="D209" s="1088" t="s">
        <v>14</v>
      </c>
      <c r="E209" s="317"/>
      <c r="F209" s="883"/>
      <c r="G209" s="883"/>
      <c r="H209" s="883"/>
      <c r="I209" s="883"/>
      <c r="J209" s="883"/>
      <c r="K209" s="883"/>
      <c r="L209" s="883"/>
      <c r="M209" s="884"/>
      <c r="N209" s="294"/>
      <c r="O209" s="42"/>
    </row>
    <row r="210" spans="1:15" s="249" customFormat="1" ht="20.100000000000001" customHeight="1" x14ac:dyDescent="0.2">
      <c r="A210" s="57">
        <v>203</v>
      </c>
      <c r="B210" s="298"/>
      <c r="C210" s="1071"/>
      <c r="D210" s="1089" t="s">
        <v>334</v>
      </c>
      <c r="E210" s="1090">
        <f t="shared" ref="E210:M210" si="50">SUM(E192+E197)</f>
        <v>909894</v>
      </c>
      <c r="F210" s="1090">
        <f t="shared" si="50"/>
        <v>117496</v>
      </c>
      <c r="G210" s="1090">
        <f t="shared" si="50"/>
        <v>0</v>
      </c>
      <c r="H210" s="1090">
        <f t="shared" si="50"/>
        <v>0</v>
      </c>
      <c r="I210" s="1090">
        <f t="shared" si="50"/>
        <v>2900</v>
      </c>
      <c r="J210" s="1090">
        <f t="shared" si="50"/>
        <v>0</v>
      </c>
      <c r="K210" s="1090">
        <f t="shared" si="50"/>
        <v>210867</v>
      </c>
      <c r="L210" s="1090">
        <f t="shared" si="50"/>
        <v>6354932</v>
      </c>
      <c r="M210" s="1090">
        <f t="shared" si="50"/>
        <v>2905344</v>
      </c>
      <c r="N210" s="1083">
        <f>SUM(E210:L210)</f>
        <v>7596089</v>
      </c>
      <c r="O210" s="42"/>
    </row>
    <row r="211" spans="1:15" s="249" customFormat="1" ht="20.100000000000001" customHeight="1" x14ac:dyDescent="0.2">
      <c r="A211" s="57">
        <v>204</v>
      </c>
      <c r="B211" s="767"/>
      <c r="C211" s="1071"/>
      <c r="D211" s="1091" t="s">
        <v>1307</v>
      </c>
      <c r="E211" s="1072">
        <f t="shared" ref="E211:M211" si="51">E202+E193+E198+E206</f>
        <v>956710</v>
      </c>
      <c r="F211" s="1072">
        <f t="shared" si="51"/>
        <v>334554</v>
      </c>
      <c r="G211" s="1072">
        <f t="shared" si="51"/>
        <v>6069</v>
      </c>
      <c r="H211" s="1072">
        <f t="shared" si="51"/>
        <v>3000</v>
      </c>
      <c r="I211" s="1072">
        <f t="shared" si="51"/>
        <v>11183</v>
      </c>
      <c r="J211" s="1072">
        <f t="shared" si="51"/>
        <v>0</v>
      </c>
      <c r="K211" s="1072">
        <f t="shared" si="51"/>
        <v>1019471</v>
      </c>
      <c r="L211" s="1072">
        <f t="shared" si="51"/>
        <v>6628104</v>
      </c>
      <c r="M211" s="1072">
        <f t="shared" si="51"/>
        <v>3196674</v>
      </c>
      <c r="N211" s="306">
        <f>SUM(E211:L211)</f>
        <v>8959091</v>
      </c>
      <c r="O211" s="42"/>
    </row>
    <row r="212" spans="1:15" ht="20.100000000000001" customHeight="1" x14ac:dyDescent="0.3">
      <c r="A212" s="57">
        <v>205</v>
      </c>
      <c r="B212" s="874"/>
      <c r="C212" s="875"/>
      <c r="D212" s="1229" t="s">
        <v>733</v>
      </c>
      <c r="E212" s="1230">
        <f>E199+E194+E203+E207</f>
        <v>73042</v>
      </c>
      <c r="F212" s="1230">
        <f t="shared" ref="F212:M212" si="52">F199+F194+F203+F207</f>
        <v>59347</v>
      </c>
      <c r="G212" s="1230">
        <f t="shared" si="52"/>
        <v>18</v>
      </c>
      <c r="H212" s="1230">
        <f t="shared" si="52"/>
        <v>0</v>
      </c>
      <c r="I212" s="1230">
        <f t="shared" si="52"/>
        <v>3000</v>
      </c>
      <c r="J212" s="1230">
        <f t="shared" si="52"/>
        <v>0</v>
      </c>
      <c r="K212" s="1230">
        <f t="shared" si="52"/>
        <v>0</v>
      </c>
      <c r="L212" s="1230">
        <f t="shared" si="52"/>
        <v>13856</v>
      </c>
      <c r="M212" s="1230">
        <f t="shared" si="52"/>
        <v>72497</v>
      </c>
      <c r="N212" s="1434">
        <f>SUM(E212:L212)</f>
        <v>149263</v>
      </c>
    </row>
    <row r="213" spans="1:15" ht="20.100000000000001" customHeight="1" thickBot="1" x14ac:dyDescent="0.35">
      <c r="A213" s="57">
        <v>206</v>
      </c>
      <c r="B213" s="876"/>
      <c r="C213" s="877"/>
      <c r="D213" s="878" t="s">
        <v>1391</v>
      </c>
      <c r="E213" s="879">
        <f>SUM(E211:E212)</f>
        <v>1029752</v>
      </c>
      <c r="F213" s="880">
        <f t="shared" ref="F213:M213" si="53">SUM(F211:F212)</f>
        <v>393901</v>
      </c>
      <c r="G213" s="880">
        <f t="shared" si="53"/>
        <v>6087</v>
      </c>
      <c r="H213" s="880">
        <f t="shared" si="53"/>
        <v>3000</v>
      </c>
      <c r="I213" s="880">
        <f t="shared" si="53"/>
        <v>14183</v>
      </c>
      <c r="J213" s="880">
        <f t="shared" si="53"/>
        <v>0</v>
      </c>
      <c r="K213" s="880">
        <f t="shared" si="53"/>
        <v>1019471</v>
      </c>
      <c r="L213" s="880">
        <f t="shared" si="53"/>
        <v>6641960</v>
      </c>
      <c r="M213" s="880">
        <f t="shared" si="53"/>
        <v>3269171</v>
      </c>
      <c r="N213" s="332">
        <f>SUM(E213:L213)</f>
        <v>9108354</v>
      </c>
    </row>
  </sheetData>
  <mergeCells count="15">
    <mergeCell ref="N6:N7"/>
    <mergeCell ref="D196:F196"/>
    <mergeCell ref="B1:D1"/>
    <mergeCell ref="B2:N2"/>
    <mergeCell ref="B3:N3"/>
    <mergeCell ref="M4:N4"/>
    <mergeCell ref="B6:B7"/>
    <mergeCell ref="C6:C7"/>
    <mergeCell ref="D6:D7"/>
    <mergeCell ref="E6:G6"/>
    <mergeCell ref="H6:J6"/>
    <mergeCell ref="K6:K7"/>
    <mergeCell ref="L6:M6"/>
    <mergeCell ref="D109:G109"/>
    <mergeCell ref="D133:G133"/>
  </mergeCells>
  <printOptions horizontalCentered="1"/>
  <pageMargins left="0.39370078740157483" right="0.39370078740157483" top="0.59055118110236227" bottom="0.59055118110236227" header="0.31496062992125984" footer="0.31496062992125984"/>
  <pageSetup paperSize="9" scale="75" fitToHeight="0" orientation="landscape" verticalDpi="300" r:id="rId1"/>
  <headerFooter alignWithMargins="0">
    <oddFooter>&amp;C- &amp;P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view="pageBreakPreview" zoomScaleNormal="100" zoomScaleSheetLayoutView="100" workbookViewId="0">
      <selection activeCell="B1" sqref="B1:D1"/>
    </sheetView>
  </sheetViews>
  <sheetFormatPr defaultColWidth="9.140625" defaultRowHeight="12.75" x14ac:dyDescent="0.2"/>
  <cols>
    <col min="1" max="1" width="3.7109375" style="142" customWidth="1"/>
    <col min="2" max="2" width="4.140625" style="248" customWidth="1"/>
    <col min="3" max="3" width="5.7109375" style="248" bestFit="1" customWidth="1"/>
    <col min="4" max="4" width="50.7109375" style="248" customWidth="1"/>
    <col min="5" max="7" width="10.7109375" style="248" customWidth="1"/>
    <col min="8" max="8" width="15.7109375" style="248" customWidth="1"/>
    <col min="9" max="16384" width="9.140625" style="248"/>
  </cols>
  <sheetData>
    <row r="1" spans="1:8" ht="18" customHeight="1" x14ac:dyDescent="0.2">
      <c r="A1" s="252"/>
      <c r="B1" s="1771" t="s">
        <v>1496</v>
      </c>
      <c r="C1" s="1771"/>
      <c r="D1" s="1771"/>
      <c r="E1" s="207"/>
      <c r="F1" s="207"/>
      <c r="G1" s="207"/>
      <c r="H1" s="208"/>
    </row>
    <row r="2" spans="1:8" ht="18" customHeight="1" x14ac:dyDescent="0.2">
      <c r="A2" s="54"/>
      <c r="B2" s="1754" t="s">
        <v>146</v>
      </c>
      <c r="C2" s="1754"/>
      <c r="D2" s="1754"/>
      <c r="E2" s="1754"/>
      <c r="F2" s="1754"/>
      <c r="G2" s="1754"/>
      <c r="H2" s="1754"/>
    </row>
    <row r="3" spans="1:8" ht="18" customHeight="1" x14ac:dyDescent="0.2">
      <c r="A3" s="54"/>
      <c r="B3" s="1754" t="s">
        <v>1390</v>
      </c>
      <c r="C3" s="1754"/>
      <c r="D3" s="1754"/>
      <c r="E3" s="1754"/>
      <c r="F3" s="1754"/>
      <c r="G3" s="1754"/>
      <c r="H3" s="1754"/>
    </row>
    <row r="4" spans="1:8" ht="18" customHeight="1" x14ac:dyDescent="0.2">
      <c r="A4" s="54"/>
      <c r="B4" s="43"/>
      <c r="C4" s="41"/>
      <c r="D4" s="41"/>
      <c r="E4" s="207"/>
      <c r="F4" s="207"/>
      <c r="G4" s="207"/>
      <c r="H4" s="209" t="s">
        <v>0</v>
      </c>
    </row>
    <row r="5" spans="1:8" s="54" customFormat="1" ht="18" customHeight="1" thickBot="1" x14ac:dyDescent="0.25">
      <c r="B5" s="54" t="s">
        <v>1</v>
      </c>
      <c r="C5" s="54" t="s">
        <v>3</v>
      </c>
      <c r="D5" s="54" t="s">
        <v>2</v>
      </c>
      <c r="E5" s="54" t="s">
        <v>4</v>
      </c>
      <c r="F5" s="54" t="s">
        <v>5</v>
      </c>
      <c r="G5" s="54" t="s">
        <v>16</v>
      </c>
      <c r="H5" s="54" t="s">
        <v>17</v>
      </c>
    </row>
    <row r="6" spans="1:8" s="43" customFormat="1" ht="30" customHeight="1" x14ac:dyDescent="0.2">
      <c r="A6" s="54"/>
      <c r="B6" s="1756" t="s">
        <v>19</v>
      </c>
      <c r="C6" s="1758" t="s">
        <v>20</v>
      </c>
      <c r="D6" s="1760" t="s">
        <v>6</v>
      </c>
      <c r="E6" s="1772" t="s">
        <v>536</v>
      </c>
      <c r="F6" s="1774" t="s">
        <v>529</v>
      </c>
      <c r="G6" s="1772" t="s">
        <v>924</v>
      </c>
      <c r="H6" s="1750" t="s">
        <v>537</v>
      </c>
    </row>
    <row r="7" spans="1:8" ht="45" customHeight="1" thickBot="1" x14ac:dyDescent="0.25">
      <c r="A7" s="54"/>
      <c r="B7" s="1757"/>
      <c r="C7" s="1759"/>
      <c r="D7" s="1761"/>
      <c r="E7" s="1773"/>
      <c r="F7" s="1775"/>
      <c r="G7" s="1773"/>
      <c r="H7" s="1751"/>
    </row>
    <row r="8" spans="1:8" ht="30" customHeight="1" x14ac:dyDescent="0.2">
      <c r="A8" s="54">
        <v>1</v>
      </c>
      <c r="B8" s="331">
        <v>1</v>
      </c>
      <c r="C8" s="1727"/>
      <c r="D8" s="360" t="s">
        <v>383</v>
      </c>
      <c r="E8" s="338">
        <v>5002</v>
      </c>
      <c r="F8" s="338">
        <v>4211</v>
      </c>
      <c r="G8" s="338">
        <v>4241</v>
      </c>
      <c r="H8" s="339">
        <v>4458</v>
      </c>
    </row>
    <row r="9" spans="1:8" ht="30" customHeight="1" x14ac:dyDescent="0.2">
      <c r="A9" s="54">
        <v>2</v>
      </c>
      <c r="B9" s="298">
        <v>2</v>
      </c>
      <c r="C9" s="299"/>
      <c r="D9" s="342" t="s">
        <v>384</v>
      </c>
      <c r="E9" s="341">
        <v>9352</v>
      </c>
      <c r="F9" s="341">
        <v>9172</v>
      </c>
      <c r="G9" s="341">
        <v>8290</v>
      </c>
      <c r="H9" s="320">
        <v>10813</v>
      </c>
    </row>
    <row r="10" spans="1:8" ht="30" customHeight="1" x14ac:dyDescent="0.2">
      <c r="A10" s="54">
        <v>3</v>
      </c>
      <c r="B10" s="298">
        <v>3</v>
      </c>
      <c r="C10" s="299"/>
      <c r="D10" s="342" t="s">
        <v>385</v>
      </c>
      <c r="E10" s="341">
        <v>16718</v>
      </c>
      <c r="F10" s="341">
        <v>18529</v>
      </c>
      <c r="G10" s="341">
        <v>16663</v>
      </c>
      <c r="H10" s="320">
        <v>18133</v>
      </c>
    </row>
    <row r="11" spans="1:8" ht="30" customHeight="1" x14ac:dyDescent="0.2">
      <c r="A11" s="54">
        <v>4</v>
      </c>
      <c r="B11" s="298">
        <v>4</v>
      </c>
      <c r="C11" s="299"/>
      <c r="D11" s="342" t="s">
        <v>386</v>
      </c>
      <c r="E11" s="341">
        <v>11570</v>
      </c>
      <c r="F11" s="341">
        <v>9159</v>
      </c>
      <c r="G11" s="341">
        <v>12417</v>
      </c>
      <c r="H11" s="320">
        <v>11639</v>
      </c>
    </row>
    <row r="12" spans="1:8" ht="30" customHeight="1" x14ac:dyDescent="0.2">
      <c r="A12" s="54">
        <v>5</v>
      </c>
      <c r="B12" s="298">
        <v>5</v>
      </c>
      <c r="C12" s="299"/>
      <c r="D12" s="342" t="s">
        <v>387</v>
      </c>
      <c r="E12" s="341">
        <v>14151</v>
      </c>
      <c r="F12" s="341">
        <v>13403</v>
      </c>
      <c r="G12" s="341">
        <v>14656</v>
      </c>
      <c r="H12" s="320">
        <v>15663</v>
      </c>
    </row>
    <row r="13" spans="1:8" ht="30" customHeight="1" x14ac:dyDescent="0.2">
      <c r="A13" s="54">
        <v>6</v>
      </c>
      <c r="B13" s="298">
        <v>6</v>
      </c>
      <c r="C13" s="333"/>
      <c r="D13" s="349" t="s">
        <v>388</v>
      </c>
      <c r="E13" s="344">
        <v>5106</v>
      </c>
      <c r="F13" s="344">
        <v>3735</v>
      </c>
      <c r="G13" s="344">
        <v>3862</v>
      </c>
      <c r="H13" s="345">
        <v>3794</v>
      </c>
    </row>
    <row r="14" spans="1:8" s="324" customFormat="1" ht="30" customHeight="1" x14ac:dyDescent="0.2">
      <c r="A14" s="54">
        <v>7</v>
      </c>
      <c r="B14" s="376"/>
      <c r="C14" s="643"/>
      <c r="D14" s="643" t="s">
        <v>162</v>
      </c>
      <c r="E14" s="644">
        <f>SUM(E8:E13)</f>
        <v>61899</v>
      </c>
      <c r="F14" s="644">
        <f>SUM(F8:F13)</f>
        <v>58209</v>
      </c>
      <c r="G14" s="644">
        <f>SUM(G8:G13)</f>
        <v>60129</v>
      </c>
      <c r="H14" s="645">
        <f>SUM(H8:H13)</f>
        <v>64500</v>
      </c>
    </row>
    <row r="15" spans="1:8" ht="30" customHeight="1" x14ac:dyDescent="0.2">
      <c r="A15" s="54">
        <v>8</v>
      </c>
      <c r="B15" s="298">
        <v>7</v>
      </c>
      <c r="C15" s="346"/>
      <c r="D15" s="347" t="s">
        <v>358</v>
      </c>
      <c r="E15" s="348">
        <v>49823</v>
      </c>
      <c r="F15" s="348">
        <v>38296</v>
      </c>
      <c r="G15" s="348">
        <v>43118</v>
      </c>
      <c r="H15" s="327">
        <v>22800</v>
      </c>
    </row>
    <row r="16" spans="1:8" ht="30" x14ac:dyDescent="0.2">
      <c r="A16" s="54">
        <v>9</v>
      </c>
      <c r="B16" s="298">
        <v>8</v>
      </c>
      <c r="C16" s="333"/>
      <c r="D16" s="349" t="s">
        <v>130</v>
      </c>
      <c r="E16" s="344">
        <v>12363</v>
      </c>
      <c r="F16" s="344">
        <v>12400</v>
      </c>
      <c r="G16" s="344">
        <v>15040</v>
      </c>
      <c r="H16" s="345">
        <v>13500</v>
      </c>
    </row>
    <row r="17" spans="1:10" ht="30" x14ac:dyDescent="0.2">
      <c r="A17" s="54">
        <v>10</v>
      </c>
      <c r="B17" s="298">
        <v>9</v>
      </c>
      <c r="C17" s="333"/>
      <c r="D17" s="349" t="s">
        <v>559</v>
      </c>
      <c r="E17" s="344"/>
      <c r="F17" s="344"/>
      <c r="G17" s="344"/>
      <c r="H17" s="345">
        <v>1800</v>
      </c>
    </row>
    <row r="18" spans="1:10" s="324" customFormat="1" ht="30" customHeight="1" x14ac:dyDescent="0.2">
      <c r="A18" s="54">
        <v>11</v>
      </c>
      <c r="B18" s="376"/>
      <c r="C18" s="643"/>
      <c r="D18" s="643" t="s">
        <v>163</v>
      </c>
      <c r="E18" s="644">
        <f>SUM(E15:E17)</f>
        <v>62186</v>
      </c>
      <c r="F18" s="644">
        <f t="shared" ref="F18:H18" si="0">SUM(F15:F17)</f>
        <v>50696</v>
      </c>
      <c r="G18" s="644">
        <f t="shared" si="0"/>
        <v>58158</v>
      </c>
      <c r="H18" s="645">
        <f t="shared" si="0"/>
        <v>38100</v>
      </c>
    </row>
    <row r="19" spans="1:10" ht="30" customHeight="1" x14ac:dyDescent="0.2">
      <c r="A19" s="54">
        <v>12</v>
      </c>
      <c r="B19" s="298">
        <v>10</v>
      </c>
      <c r="C19" s="346"/>
      <c r="D19" s="347" t="s">
        <v>560</v>
      </c>
      <c r="E19" s="348">
        <v>32111</v>
      </c>
      <c r="F19" s="348">
        <v>30692</v>
      </c>
      <c r="G19" s="348">
        <v>39591</v>
      </c>
      <c r="H19" s="327">
        <v>39584</v>
      </c>
    </row>
    <row r="20" spans="1:10" ht="30" customHeight="1" x14ac:dyDescent="0.2">
      <c r="A20" s="54">
        <v>13</v>
      </c>
      <c r="B20" s="301">
        <v>11</v>
      </c>
      <c r="C20" s="299"/>
      <c r="D20" s="342" t="s">
        <v>531</v>
      </c>
      <c r="E20" s="341">
        <v>6214</v>
      </c>
      <c r="F20" s="341">
        <v>4104</v>
      </c>
      <c r="G20" s="341">
        <v>4063</v>
      </c>
      <c r="H20" s="320">
        <v>7001</v>
      </c>
    </row>
    <row r="21" spans="1:10" ht="30" customHeight="1" x14ac:dyDescent="0.2">
      <c r="A21" s="54">
        <v>14</v>
      </c>
      <c r="B21" s="298">
        <v>12</v>
      </c>
      <c r="C21" s="299"/>
      <c r="D21" s="340" t="s">
        <v>26</v>
      </c>
      <c r="E21" s="341">
        <v>34173</v>
      </c>
      <c r="F21" s="341">
        <v>21200</v>
      </c>
      <c r="G21" s="341">
        <v>36291</v>
      </c>
      <c r="H21" s="320">
        <v>31600</v>
      </c>
    </row>
    <row r="22" spans="1:10" ht="30" customHeight="1" x14ac:dyDescent="0.2">
      <c r="A22" s="54">
        <v>15</v>
      </c>
      <c r="B22" s="298">
        <v>13</v>
      </c>
      <c r="C22" s="299"/>
      <c r="D22" s="340" t="s">
        <v>36</v>
      </c>
      <c r="E22" s="341">
        <v>74176</v>
      </c>
      <c r="F22" s="341">
        <v>75907</v>
      </c>
      <c r="G22" s="341">
        <v>129584</v>
      </c>
      <c r="H22" s="320">
        <v>197132</v>
      </c>
    </row>
    <row r="23" spans="1:10" ht="30" customHeight="1" x14ac:dyDescent="0.2">
      <c r="A23" s="54">
        <v>16</v>
      </c>
      <c r="B23" s="298">
        <v>14</v>
      </c>
      <c r="C23" s="302"/>
      <c r="D23" s="342" t="s">
        <v>538</v>
      </c>
      <c r="E23" s="341">
        <v>32837</v>
      </c>
      <c r="F23" s="341">
        <v>28754</v>
      </c>
      <c r="G23" s="341">
        <v>29609</v>
      </c>
      <c r="H23" s="320">
        <v>23854</v>
      </c>
    </row>
    <row r="24" spans="1:10" ht="30" customHeight="1" x14ac:dyDescent="0.2">
      <c r="A24" s="54">
        <v>17</v>
      </c>
      <c r="B24" s="298">
        <v>15</v>
      </c>
      <c r="C24" s="333"/>
      <c r="D24" s="343" t="s">
        <v>164</v>
      </c>
      <c r="E24" s="344">
        <v>223252</v>
      </c>
      <c r="F24" s="344">
        <v>195500</v>
      </c>
      <c r="G24" s="344">
        <v>273726</v>
      </c>
      <c r="H24" s="345">
        <v>243842</v>
      </c>
    </row>
    <row r="25" spans="1:10" s="324" customFormat="1" ht="30" customHeight="1" x14ac:dyDescent="0.2">
      <c r="A25" s="54">
        <v>18</v>
      </c>
      <c r="B25" s="376"/>
      <c r="C25" s="643"/>
      <c r="D25" s="643" t="s">
        <v>165</v>
      </c>
      <c r="E25" s="644">
        <f>SUM(E19:E24)</f>
        <v>402763</v>
      </c>
      <c r="F25" s="644">
        <f>SUM(F19:F24)</f>
        <v>356157</v>
      </c>
      <c r="G25" s="644">
        <f>SUM(G19:G24)</f>
        <v>512864</v>
      </c>
      <c r="H25" s="645">
        <f>SUM(H19:H24)</f>
        <v>543013</v>
      </c>
    </row>
    <row r="26" spans="1:10" s="50" customFormat="1" ht="30" customHeight="1" thickBot="1" x14ac:dyDescent="0.25">
      <c r="A26" s="54">
        <v>19</v>
      </c>
      <c r="B26" s="336">
        <v>16</v>
      </c>
      <c r="C26" s="337"/>
      <c r="D26" s="350" t="s">
        <v>287</v>
      </c>
      <c r="E26" s="351">
        <v>355205</v>
      </c>
      <c r="F26" s="351">
        <v>374152</v>
      </c>
      <c r="G26" s="351">
        <v>362984</v>
      </c>
      <c r="H26" s="352">
        <v>379059</v>
      </c>
    </row>
    <row r="27" spans="1:10" ht="33" customHeight="1" thickBot="1" x14ac:dyDescent="0.25">
      <c r="A27" s="54">
        <v>20</v>
      </c>
      <c r="B27" s="353"/>
      <c r="C27" s="1776" t="s">
        <v>166</v>
      </c>
      <c r="D27" s="1777"/>
      <c r="E27" s="354">
        <f>SUM(E14,E18,E25,E26)</f>
        <v>882053</v>
      </c>
      <c r="F27" s="354">
        <f>SUM(F14,F18,F25,F26)</f>
        <v>839214</v>
      </c>
      <c r="G27" s="354">
        <f>SUM(G14,G18,G25,G26)</f>
        <v>994135</v>
      </c>
      <c r="H27" s="355">
        <f>SUM(H14,H18,H25,H26)</f>
        <v>1024672</v>
      </c>
      <c r="I27" s="41"/>
      <c r="J27" s="41"/>
    </row>
    <row r="28" spans="1:10" ht="33" customHeight="1" thickBot="1" x14ac:dyDescent="0.25">
      <c r="A28" s="54">
        <v>21</v>
      </c>
      <c r="B28" s="356">
        <v>17</v>
      </c>
      <c r="C28" s="1768" t="s">
        <v>167</v>
      </c>
      <c r="D28" s="1768"/>
      <c r="E28" s="351">
        <v>5003</v>
      </c>
      <c r="F28" s="351"/>
      <c r="G28" s="351">
        <v>4845</v>
      </c>
      <c r="H28" s="352">
        <v>5080</v>
      </c>
      <c r="I28" s="41"/>
      <c r="J28" s="41"/>
    </row>
    <row r="29" spans="1:10" ht="33" customHeight="1" thickTop="1" thickBot="1" x14ac:dyDescent="0.25">
      <c r="A29" s="54">
        <v>22</v>
      </c>
      <c r="B29" s="357"/>
      <c r="C29" s="1769" t="s">
        <v>14</v>
      </c>
      <c r="D29" s="1770"/>
      <c r="E29" s="358">
        <f>SUM(E27,E28)</f>
        <v>887056</v>
      </c>
      <c r="F29" s="358">
        <f>SUM(F27,F28)</f>
        <v>839214</v>
      </c>
      <c r="G29" s="358">
        <f>SUM(G27,G28)</f>
        <v>998980</v>
      </c>
      <c r="H29" s="359">
        <f>SUM(H27,H28)</f>
        <v>1029752</v>
      </c>
      <c r="I29" s="41"/>
      <c r="J29" s="41"/>
    </row>
    <row r="30" spans="1:10" x14ac:dyDescent="0.2">
      <c r="E30" s="708">
        <f>+E29-'1.Onbe'!G30</f>
        <v>0</v>
      </c>
      <c r="F30" s="708">
        <f>+F29-'1.Onbe'!H30</f>
        <v>0</v>
      </c>
      <c r="G30" s="708">
        <f>+G29-'1.Onbe'!I30</f>
        <v>0</v>
      </c>
      <c r="H30" s="708">
        <f>+H29-'1.Onbe'!M30</f>
        <v>0</v>
      </c>
    </row>
  </sheetData>
  <mergeCells count="13">
    <mergeCell ref="C28:D28"/>
    <mergeCell ref="C29:D29"/>
    <mergeCell ref="B1:D1"/>
    <mergeCell ref="B2:H2"/>
    <mergeCell ref="B3:H3"/>
    <mergeCell ref="B6:B7"/>
    <mergeCell ref="C6:C7"/>
    <mergeCell ref="D6:D7"/>
    <mergeCell ref="E6:E7"/>
    <mergeCell ref="F6:F7"/>
    <mergeCell ref="G6:G7"/>
    <mergeCell ref="H6:H7"/>
    <mergeCell ref="C27:D27"/>
  </mergeCells>
  <printOptions horizontalCentered="1"/>
  <pageMargins left="0.19685039370078741" right="0.19685039370078741" top="0.59055118110236227" bottom="0.59055118110236227" header="0.51181102362204722" footer="0.51181102362204722"/>
  <pageSetup paperSize="9" scale="85" orientation="portrait" verticalDpi="300" r:id="rId1"/>
  <headerFooter alignWithMargins="0">
    <oddFooter>&amp;C-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25"/>
  <sheetViews>
    <sheetView view="pageBreakPreview" zoomScale="82" zoomScaleNormal="100" zoomScaleSheetLayoutView="82" workbookViewId="0">
      <selection activeCell="B1" sqref="B1:F1"/>
    </sheetView>
  </sheetViews>
  <sheetFormatPr defaultColWidth="9.140625" defaultRowHeight="15" x14ac:dyDescent="0.3"/>
  <cols>
    <col min="1" max="1" width="4" style="1422" customWidth="1"/>
    <col min="2" max="2" width="4" style="55" customWidth="1"/>
    <col min="3" max="3" width="4.140625" style="49" customWidth="1"/>
    <col min="4" max="4" width="60.7109375" style="196" customWidth="1"/>
    <col min="5" max="5" width="6.7109375" style="254" customWidth="1"/>
    <col min="6" max="8" width="10.7109375" style="111" customWidth="1"/>
    <col min="9" max="9" width="14.7109375" style="154" customWidth="1"/>
    <col min="10" max="17" width="14.7109375" style="255" customWidth="1"/>
    <col min="18" max="18" width="9.5703125" style="255" bestFit="1" customWidth="1"/>
    <col min="19" max="30" width="9.140625" style="255"/>
    <col min="31" max="16384" width="9.140625" style="256"/>
  </cols>
  <sheetData>
    <row r="1" spans="1:30" s="41" customFormat="1" ht="18" customHeight="1" x14ac:dyDescent="0.2">
      <c r="A1" s="1422"/>
      <c r="B1" s="1782" t="s">
        <v>1497</v>
      </c>
      <c r="C1" s="1782"/>
      <c r="D1" s="1782"/>
      <c r="E1" s="1782"/>
      <c r="F1" s="1782"/>
      <c r="G1" s="531"/>
      <c r="H1" s="531"/>
      <c r="I1" s="532"/>
      <c r="J1" s="531"/>
      <c r="K1" s="531"/>
      <c r="L1" s="531"/>
      <c r="M1" s="531"/>
      <c r="N1" s="531"/>
      <c r="O1" s="531"/>
      <c r="P1" s="531"/>
      <c r="Q1" s="531"/>
      <c r="R1" s="208"/>
      <c r="S1" s="208"/>
      <c r="T1" s="208"/>
      <c r="U1" s="208"/>
      <c r="V1" s="208"/>
      <c r="W1" s="208"/>
      <c r="X1" s="208"/>
      <c r="Y1" s="208"/>
      <c r="Z1" s="208"/>
      <c r="AA1" s="208"/>
      <c r="AB1" s="208"/>
      <c r="AC1" s="208"/>
      <c r="AD1" s="208"/>
    </row>
    <row r="2" spans="1:30" s="41" customFormat="1" ht="18" customHeight="1" x14ac:dyDescent="0.2">
      <c r="A2" s="1422"/>
      <c r="B2" s="1783" t="s">
        <v>168</v>
      </c>
      <c r="C2" s="1783"/>
      <c r="D2" s="1783"/>
      <c r="E2" s="1783"/>
      <c r="F2" s="1783"/>
      <c r="G2" s="1783"/>
      <c r="H2" s="1783"/>
      <c r="I2" s="1783"/>
      <c r="J2" s="1783"/>
      <c r="K2" s="1783"/>
      <c r="L2" s="1783"/>
      <c r="M2" s="1783"/>
      <c r="N2" s="1783"/>
      <c r="O2" s="1783"/>
      <c r="P2" s="1783"/>
      <c r="Q2" s="1783"/>
      <c r="R2" s="208"/>
      <c r="S2" s="208"/>
      <c r="T2" s="208"/>
      <c r="U2" s="208"/>
      <c r="V2" s="208"/>
      <c r="W2" s="208"/>
      <c r="X2" s="208"/>
      <c r="Y2" s="208"/>
      <c r="Z2" s="208"/>
      <c r="AA2" s="208"/>
      <c r="AB2" s="208"/>
      <c r="AC2" s="208"/>
      <c r="AD2" s="208"/>
    </row>
    <row r="3" spans="1:30" s="41" customFormat="1" ht="18" customHeight="1" x14ac:dyDescent="0.2">
      <c r="A3" s="1422"/>
      <c r="B3" s="1783" t="s">
        <v>1383</v>
      </c>
      <c r="C3" s="1783"/>
      <c r="D3" s="1783"/>
      <c r="E3" s="1783"/>
      <c r="F3" s="1783"/>
      <c r="G3" s="1783"/>
      <c r="H3" s="1783"/>
      <c r="I3" s="1783"/>
      <c r="J3" s="1783"/>
      <c r="K3" s="1783"/>
      <c r="L3" s="1783"/>
      <c r="M3" s="1783"/>
      <c r="N3" s="1783"/>
      <c r="O3" s="1783"/>
      <c r="P3" s="1783"/>
      <c r="Q3" s="1783"/>
      <c r="R3" s="208"/>
      <c r="S3" s="208"/>
      <c r="T3" s="208"/>
      <c r="U3" s="208"/>
      <c r="V3" s="208"/>
      <c r="W3" s="208"/>
      <c r="X3" s="208"/>
      <c r="Y3" s="208"/>
      <c r="Z3" s="208"/>
      <c r="AA3" s="208"/>
      <c r="AB3" s="208"/>
      <c r="AC3" s="208"/>
      <c r="AD3" s="208"/>
    </row>
    <row r="4" spans="1:30" ht="18" customHeight="1" x14ac:dyDescent="0.3">
      <c r="P4" s="1784" t="s">
        <v>0</v>
      </c>
      <c r="Q4" s="1784"/>
    </row>
    <row r="5" spans="1:30" s="114" customFormat="1" ht="18" customHeight="1" thickBot="1" x14ac:dyDescent="0.35">
      <c r="A5" s="1422"/>
      <c r="B5" s="113" t="s">
        <v>1</v>
      </c>
      <c r="C5" s="113" t="s">
        <v>3</v>
      </c>
      <c r="D5" s="114" t="s">
        <v>2</v>
      </c>
      <c r="E5" s="114" t="s">
        <v>4</v>
      </c>
      <c r="F5" s="114" t="s">
        <v>5</v>
      </c>
      <c r="G5" s="114" t="s">
        <v>16</v>
      </c>
      <c r="H5" s="129" t="s">
        <v>17</v>
      </c>
      <c r="I5" s="129" t="s">
        <v>18</v>
      </c>
      <c r="J5" s="114" t="s">
        <v>39</v>
      </c>
      <c r="K5" s="114" t="s">
        <v>31</v>
      </c>
      <c r="L5" s="114" t="s">
        <v>24</v>
      </c>
      <c r="M5" s="114" t="s">
        <v>40</v>
      </c>
      <c r="N5" s="114" t="s">
        <v>41</v>
      </c>
      <c r="O5" s="114" t="s">
        <v>169</v>
      </c>
      <c r="P5" s="114" t="s">
        <v>170</v>
      </c>
      <c r="Q5" s="114" t="s">
        <v>171</v>
      </c>
    </row>
    <row r="6" spans="1:30" s="254" customFormat="1" ht="30" customHeight="1" x14ac:dyDescent="0.3">
      <c r="A6" s="55"/>
      <c r="B6" s="1785" t="s">
        <v>19</v>
      </c>
      <c r="C6" s="1785" t="s">
        <v>20</v>
      </c>
      <c r="D6" s="1789" t="s">
        <v>6</v>
      </c>
      <c r="E6" s="1791" t="s">
        <v>21</v>
      </c>
      <c r="F6" s="1763" t="s">
        <v>539</v>
      </c>
      <c r="G6" s="1763" t="s">
        <v>529</v>
      </c>
      <c r="H6" s="1793" t="s">
        <v>924</v>
      </c>
      <c r="I6" s="1787" t="s">
        <v>355</v>
      </c>
      <c r="J6" s="1778" t="s">
        <v>42</v>
      </c>
      <c r="K6" s="1779"/>
      <c r="L6" s="1779"/>
      <c r="M6" s="1779"/>
      <c r="N6" s="1780"/>
      <c r="O6" s="1781" t="s">
        <v>172</v>
      </c>
      <c r="P6" s="1781"/>
      <c r="Q6" s="1781"/>
    </row>
    <row r="7" spans="1:30" s="254" customFormat="1" ht="45" customHeight="1" thickBot="1" x14ac:dyDescent="0.35">
      <c r="A7" s="55"/>
      <c r="B7" s="1786"/>
      <c r="C7" s="1786"/>
      <c r="D7" s="1790"/>
      <c r="E7" s="1792"/>
      <c r="F7" s="1764"/>
      <c r="G7" s="1764"/>
      <c r="H7" s="1794"/>
      <c r="I7" s="1788"/>
      <c r="J7" s="1730" t="s">
        <v>43</v>
      </c>
      <c r="K7" s="1730" t="s">
        <v>44</v>
      </c>
      <c r="L7" s="1730" t="s">
        <v>45</v>
      </c>
      <c r="M7" s="1730" t="s">
        <v>239</v>
      </c>
      <c r="N7" s="1730" t="s">
        <v>46</v>
      </c>
      <c r="O7" s="56" t="s">
        <v>247</v>
      </c>
      <c r="P7" s="1730" t="s">
        <v>248</v>
      </c>
      <c r="Q7" s="1730" t="s">
        <v>173</v>
      </c>
    </row>
    <row r="8" spans="1:30" s="47" customFormat="1" ht="22.5" customHeight="1" x14ac:dyDescent="0.3">
      <c r="A8" s="1423">
        <v>1</v>
      </c>
      <c r="B8" s="290">
        <v>1</v>
      </c>
      <c r="C8" s="291"/>
      <c r="D8" s="533" t="s">
        <v>337</v>
      </c>
      <c r="E8" s="534" t="s">
        <v>24</v>
      </c>
      <c r="F8" s="292">
        <v>192029</v>
      </c>
      <c r="G8" s="292">
        <v>201561</v>
      </c>
      <c r="H8" s="1171">
        <v>206614</v>
      </c>
      <c r="I8" s="389"/>
      <c r="J8" s="292"/>
      <c r="K8" s="292"/>
      <c r="L8" s="292"/>
      <c r="M8" s="292"/>
      <c r="N8" s="292"/>
      <c r="O8" s="292"/>
      <c r="P8" s="292"/>
      <c r="Q8" s="294"/>
      <c r="R8" s="112"/>
      <c r="S8" s="112"/>
      <c r="T8" s="112"/>
      <c r="U8" s="112"/>
      <c r="V8" s="112"/>
      <c r="W8" s="112"/>
      <c r="X8" s="112"/>
      <c r="Y8" s="112"/>
      <c r="Z8" s="112"/>
      <c r="AA8" s="112"/>
      <c r="AB8" s="112"/>
      <c r="AC8" s="112"/>
      <c r="AD8" s="112"/>
    </row>
    <row r="9" spans="1:30" s="47" customFormat="1" ht="18" customHeight="1" x14ac:dyDescent="0.3">
      <c r="A9" s="1423">
        <v>2</v>
      </c>
      <c r="B9" s="295"/>
      <c r="C9" s="296"/>
      <c r="D9" s="535" t="s">
        <v>353</v>
      </c>
      <c r="E9" s="116"/>
      <c r="F9" s="116"/>
      <c r="G9" s="116"/>
      <c r="H9" s="1172"/>
      <c r="I9" s="373"/>
      <c r="J9" s="116"/>
      <c r="K9" s="116"/>
      <c r="L9" s="116"/>
      <c r="M9" s="116"/>
      <c r="N9" s="116"/>
      <c r="O9" s="116"/>
      <c r="P9" s="116"/>
      <c r="Q9" s="130"/>
      <c r="R9" s="112"/>
      <c r="S9" s="112"/>
      <c r="T9" s="112"/>
      <c r="U9" s="112"/>
      <c r="V9" s="112"/>
      <c r="W9" s="112"/>
      <c r="X9" s="112"/>
      <c r="Y9" s="112"/>
      <c r="Z9" s="112"/>
      <c r="AA9" s="112"/>
      <c r="AB9" s="112"/>
      <c r="AC9" s="112"/>
      <c r="AD9" s="112"/>
    </row>
    <row r="10" spans="1:30" s="44" customFormat="1" ht="18" customHeight="1" x14ac:dyDescent="0.3">
      <c r="A10" s="1423">
        <v>3</v>
      </c>
      <c r="B10" s="298"/>
      <c r="C10" s="299"/>
      <c r="D10" s="1052" t="s">
        <v>334</v>
      </c>
      <c r="E10" s="1074"/>
      <c r="F10" s="1074"/>
      <c r="G10" s="1074"/>
      <c r="H10" s="1173"/>
      <c r="I10" s="1105">
        <f t="shared" ref="I10:I13" si="0">SUM(J10:Q10)</f>
        <v>209393</v>
      </c>
      <c r="J10" s="1106">
        <v>128101</v>
      </c>
      <c r="K10" s="1106">
        <v>27759</v>
      </c>
      <c r="L10" s="1106">
        <v>50833</v>
      </c>
      <c r="M10" s="1106"/>
      <c r="N10" s="1106"/>
      <c r="O10" s="1106">
        <v>2700</v>
      </c>
      <c r="P10" s="367"/>
      <c r="Q10" s="368"/>
      <c r="R10" s="53"/>
      <c r="S10" s="53"/>
      <c r="T10" s="53"/>
      <c r="U10" s="53"/>
      <c r="V10" s="53"/>
      <c r="W10" s="53"/>
      <c r="X10" s="53"/>
      <c r="Y10" s="53"/>
      <c r="Z10" s="53"/>
      <c r="AA10" s="53"/>
      <c r="AB10" s="53"/>
      <c r="AC10" s="53"/>
      <c r="AD10" s="53"/>
    </row>
    <row r="11" spans="1:30" s="51" customFormat="1" ht="18" customHeight="1" x14ac:dyDescent="0.3">
      <c r="A11" s="1423">
        <v>4</v>
      </c>
      <c r="B11" s="542"/>
      <c r="C11" s="1166"/>
      <c r="D11" s="1091" t="s">
        <v>1307</v>
      </c>
      <c r="E11" s="863"/>
      <c r="F11" s="863"/>
      <c r="G11" s="863"/>
      <c r="H11" s="912"/>
      <c r="I11" s="373">
        <f t="shared" si="0"/>
        <v>218908</v>
      </c>
      <c r="J11" s="870">
        <v>131397</v>
      </c>
      <c r="K11" s="870">
        <v>28728</v>
      </c>
      <c r="L11" s="870">
        <v>52763</v>
      </c>
      <c r="M11" s="870"/>
      <c r="N11" s="870"/>
      <c r="O11" s="870">
        <v>6020</v>
      </c>
      <c r="P11" s="870"/>
      <c r="Q11" s="904"/>
      <c r="R11" s="257"/>
      <c r="S11" s="257"/>
      <c r="T11" s="257"/>
      <c r="U11" s="257"/>
      <c r="V11" s="257"/>
      <c r="W11" s="257"/>
      <c r="X11" s="257"/>
      <c r="Y11" s="257"/>
      <c r="Z11" s="257"/>
      <c r="AA11" s="257"/>
      <c r="AB11" s="257"/>
      <c r="AC11" s="257"/>
      <c r="AD11" s="257"/>
    </row>
    <row r="12" spans="1:30" s="44" customFormat="1" ht="18" customHeight="1" x14ac:dyDescent="0.3">
      <c r="A12" s="1423">
        <v>5</v>
      </c>
      <c r="B12" s="298"/>
      <c r="C12" s="299"/>
      <c r="D12" s="1167" t="s">
        <v>1392</v>
      </c>
      <c r="E12" s="304"/>
      <c r="F12" s="304"/>
      <c r="G12" s="304"/>
      <c r="H12" s="1174"/>
      <c r="I12" s="888">
        <f t="shared" si="0"/>
        <v>4</v>
      </c>
      <c r="J12" s="379">
        <v>3</v>
      </c>
      <c r="K12" s="379">
        <v>1</v>
      </c>
      <c r="L12" s="379"/>
      <c r="M12" s="379"/>
      <c r="N12" s="379"/>
      <c r="O12" s="379"/>
      <c r="P12" s="367"/>
      <c r="Q12" s="368"/>
      <c r="R12" s="53"/>
      <c r="S12" s="53"/>
      <c r="T12" s="53"/>
      <c r="U12" s="53"/>
      <c r="V12" s="53"/>
      <c r="W12" s="53"/>
      <c r="X12" s="53"/>
      <c r="Y12" s="53"/>
      <c r="Z12" s="53"/>
      <c r="AA12" s="53"/>
      <c r="AB12" s="53"/>
      <c r="AC12" s="53"/>
      <c r="AD12" s="53"/>
    </row>
    <row r="13" spans="1:30" s="44" customFormat="1" ht="18" customHeight="1" x14ac:dyDescent="0.3">
      <c r="A13" s="1423">
        <v>6</v>
      </c>
      <c r="B13" s="298"/>
      <c r="C13" s="299"/>
      <c r="D13" s="1167" t="s">
        <v>1312</v>
      </c>
      <c r="E13" s="304"/>
      <c r="F13" s="304"/>
      <c r="G13" s="304"/>
      <c r="H13" s="1174"/>
      <c r="I13" s="888">
        <f t="shared" si="0"/>
        <v>0</v>
      </c>
      <c r="J13" s="379">
        <v>-500</v>
      </c>
      <c r="K13" s="379">
        <v>500</v>
      </c>
      <c r="L13" s="379"/>
      <c r="M13" s="379"/>
      <c r="N13" s="379"/>
      <c r="O13" s="379">
        <v>-200</v>
      </c>
      <c r="P13" s="367">
        <v>200</v>
      </c>
      <c r="Q13" s="368"/>
      <c r="R13" s="53"/>
      <c r="S13" s="53"/>
      <c r="T13" s="53"/>
      <c r="U13" s="53"/>
      <c r="V13" s="53"/>
      <c r="W13" s="53"/>
      <c r="X13" s="53"/>
      <c r="Y13" s="53"/>
      <c r="Z13" s="53"/>
      <c r="AA13" s="53"/>
      <c r="AB13" s="53"/>
      <c r="AC13" s="53"/>
      <c r="AD13" s="53"/>
    </row>
    <row r="14" spans="1:30" s="51" customFormat="1" ht="18" customHeight="1" x14ac:dyDescent="0.3">
      <c r="A14" s="1423">
        <v>7</v>
      </c>
      <c r="B14" s="542"/>
      <c r="C14" s="1166"/>
      <c r="D14" s="1091" t="s">
        <v>1391</v>
      </c>
      <c r="E14" s="863"/>
      <c r="F14" s="863"/>
      <c r="G14" s="863"/>
      <c r="H14" s="912"/>
      <c r="I14" s="373">
        <f>SUM(J14:Q14)</f>
        <v>218912</v>
      </c>
      <c r="J14" s="870">
        <f>SUM(J11:J13)</f>
        <v>130900</v>
      </c>
      <c r="K14" s="870">
        <f>SUM(K11:K13)</f>
        <v>29229</v>
      </c>
      <c r="L14" s="870">
        <f>SUM(L11:L13)</f>
        <v>52763</v>
      </c>
      <c r="M14" s="870"/>
      <c r="N14" s="870"/>
      <c r="O14" s="870">
        <f>SUM(O11:O13)</f>
        <v>5820</v>
      </c>
      <c r="P14" s="870">
        <f>SUM(P13:P13)</f>
        <v>200</v>
      </c>
      <c r="Q14" s="904"/>
      <c r="R14" s="257"/>
      <c r="S14" s="257"/>
      <c r="T14" s="257"/>
      <c r="U14" s="257"/>
      <c r="V14" s="257"/>
      <c r="W14" s="257"/>
      <c r="X14" s="257"/>
      <c r="Y14" s="257"/>
      <c r="Z14" s="257"/>
      <c r="AA14" s="257"/>
      <c r="AB14" s="257"/>
      <c r="AC14" s="257"/>
      <c r="AD14" s="257"/>
    </row>
    <row r="15" spans="1:30" s="51" customFormat="1" ht="22.5" customHeight="1" x14ac:dyDescent="0.3">
      <c r="A15" s="1423">
        <v>8</v>
      </c>
      <c r="B15" s="295">
        <v>2</v>
      </c>
      <c r="C15" s="296"/>
      <c r="D15" s="363" t="s">
        <v>336</v>
      </c>
      <c r="E15" s="536" t="s">
        <v>24</v>
      </c>
      <c r="F15" s="116">
        <v>352042</v>
      </c>
      <c r="G15" s="116">
        <v>354412</v>
      </c>
      <c r="H15" s="1172">
        <v>351654</v>
      </c>
      <c r="I15" s="373"/>
      <c r="J15" s="116"/>
      <c r="K15" s="116"/>
      <c r="L15" s="116"/>
      <c r="M15" s="116"/>
      <c r="N15" s="116"/>
      <c r="O15" s="116"/>
      <c r="P15" s="116"/>
      <c r="Q15" s="130"/>
      <c r="R15" s="257"/>
      <c r="S15" s="257"/>
      <c r="T15" s="257"/>
      <c r="U15" s="257"/>
      <c r="V15" s="257"/>
      <c r="W15" s="257"/>
      <c r="X15" s="257"/>
      <c r="Y15" s="257"/>
      <c r="Z15" s="257"/>
      <c r="AA15" s="257"/>
      <c r="AB15" s="257"/>
      <c r="AC15" s="257"/>
      <c r="AD15" s="257"/>
    </row>
    <row r="16" spans="1:30" s="47" customFormat="1" ht="18" customHeight="1" x14ac:dyDescent="0.3">
      <c r="A16" s="1423">
        <v>9</v>
      </c>
      <c r="B16" s="295"/>
      <c r="C16" s="296"/>
      <c r="D16" s="535" t="s">
        <v>335</v>
      </c>
      <c r="E16" s="116"/>
      <c r="F16" s="116"/>
      <c r="G16" s="116"/>
      <c r="H16" s="1172"/>
      <c r="I16" s="373"/>
      <c r="J16" s="116"/>
      <c r="K16" s="116"/>
      <c r="L16" s="116"/>
      <c r="M16" s="116"/>
      <c r="N16" s="116"/>
      <c r="O16" s="116"/>
      <c r="P16" s="116"/>
      <c r="Q16" s="130"/>
      <c r="R16" s="112"/>
      <c r="S16" s="112"/>
      <c r="T16" s="112"/>
      <c r="U16" s="112"/>
      <c r="V16" s="112"/>
      <c r="W16" s="112"/>
      <c r="X16" s="112"/>
      <c r="Y16" s="112"/>
      <c r="Z16" s="112"/>
      <c r="AA16" s="112"/>
      <c r="AB16" s="112"/>
      <c r="AC16" s="112"/>
      <c r="AD16" s="112"/>
    </row>
    <row r="17" spans="1:30" s="47" customFormat="1" ht="18" customHeight="1" x14ac:dyDescent="0.3">
      <c r="A17" s="1423">
        <v>10</v>
      </c>
      <c r="B17" s="298"/>
      <c r="C17" s="299"/>
      <c r="D17" s="1052" t="s">
        <v>334</v>
      </c>
      <c r="E17" s="1074"/>
      <c r="F17" s="1074"/>
      <c r="G17" s="1074"/>
      <c r="H17" s="1173"/>
      <c r="I17" s="1105">
        <f>SUM(J17:Q17)</f>
        <v>356328</v>
      </c>
      <c r="J17" s="1106">
        <v>230034</v>
      </c>
      <c r="K17" s="1106">
        <v>49964</v>
      </c>
      <c r="L17" s="1106">
        <v>73030</v>
      </c>
      <c r="M17" s="1106"/>
      <c r="N17" s="1106"/>
      <c r="O17" s="1106">
        <v>3300</v>
      </c>
      <c r="P17" s="367"/>
      <c r="Q17" s="368"/>
      <c r="R17" s="112"/>
      <c r="S17" s="112"/>
      <c r="T17" s="112"/>
      <c r="U17" s="112"/>
      <c r="V17" s="112"/>
      <c r="W17" s="112"/>
      <c r="X17" s="112"/>
      <c r="Y17" s="112"/>
      <c r="Z17" s="112"/>
      <c r="AA17" s="112"/>
      <c r="AB17" s="112"/>
      <c r="AC17" s="112"/>
      <c r="AD17" s="112"/>
    </row>
    <row r="18" spans="1:30" s="47" customFormat="1" ht="18" customHeight="1" x14ac:dyDescent="0.3">
      <c r="A18" s="1423">
        <v>11</v>
      </c>
      <c r="B18" s="298"/>
      <c r="C18" s="299"/>
      <c r="D18" s="1091" t="s">
        <v>1307</v>
      </c>
      <c r="E18" s="1074"/>
      <c r="F18" s="1074"/>
      <c r="G18" s="1074"/>
      <c r="H18" s="1173"/>
      <c r="I18" s="373">
        <f>SUM(J18:Q18)</f>
        <v>389212</v>
      </c>
      <c r="J18" s="870">
        <v>244740</v>
      </c>
      <c r="K18" s="870">
        <v>53135</v>
      </c>
      <c r="L18" s="870">
        <v>75957</v>
      </c>
      <c r="M18" s="870"/>
      <c r="N18" s="870"/>
      <c r="O18" s="870">
        <v>12380</v>
      </c>
      <c r="P18" s="870">
        <v>3000</v>
      </c>
      <c r="Q18" s="904"/>
      <c r="R18" s="112"/>
      <c r="S18" s="112"/>
      <c r="T18" s="112"/>
      <c r="U18" s="112"/>
      <c r="V18" s="112"/>
      <c r="W18" s="112"/>
      <c r="X18" s="112"/>
      <c r="Y18" s="112"/>
      <c r="Z18" s="112"/>
      <c r="AA18" s="112"/>
      <c r="AB18" s="112"/>
      <c r="AC18" s="112"/>
      <c r="AD18" s="112"/>
    </row>
    <row r="19" spans="1:30" s="47" customFormat="1" ht="18" customHeight="1" x14ac:dyDescent="0.3">
      <c r="A19" s="1423">
        <v>12</v>
      </c>
      <c r="B19" s="298"/>
      <c r="C19" s="299"/>
      <c r="D19" s="1167" t="s">
        <v>1392</v>
      </c>
      <c r="E19" s="304"/>
      <c r="F19" s="304"/>
      <c r="G19" s="304"/>
      <c r="H19" s="1174"/>
      <c r="I19" s="888">
        <f t="shared" ref="I19:I20" si="1">SUM(J19:Q19)</f>
        <v>14</v>
      </c>
      <c r="J19" s="379">
        <v>12</v>
      </c>
      <c r="K19" s="379">
        <v>2</v>
      </c>
      <c r="L19" s="379"/>
      <c r="M19" s="379"/>
      <c r="N19" s="379"/>
      <c r="O19" s="379"/>
      <c r="P19" s="367"/>
      <c r="Q19" s="368"/>
      <c r="R19" s="112"/>
      <c r="S19" s="112"/>
      <c r="T19" s="112"/>
      <c r="U19" s="112"/>
      <c r="V19" s="112"/>
      <c r="W19" s="112"/>
      <c r="X19" s="112"/>
      <c r="Y19" s="112"/>
      <c r="Z19" s="112"/>
      <c r="AA19" s="112"/>
      <c r="AB19" s="112"/>
      <c r="AC19" s="112"/>
      <c r="AD19" s="112"/>
    </row>
    <row r="20" spans="1:30" s="47" customFormat="1" ht="18" customHeight="1" x14ac:dyDescent="0.3">
      <c r="A20" s="1423">
        <v>13</v>
      </c>
      <c r="B20" s="298"/>
      <c r="C20" s="299"/>
      <c r="D20" s="1167" t="s">
        <v>1312</v>
      </c>
      <c r="E20" s="304"/>
      <c r="F20" s="304"/>
      <c r="G20" s="304"/>
      <c r="H20" s="1174"/>
      <c r="I20" s="888">
        <f t="shared" si="1"/>
        <v>0</v>
      </c>
      <c r="J20" s="379">
        <v>-770</v>
      </c>
      <c r="K20" s="379">
        <v>-130</v>
      </c>
      <c r="L20" s="379">
        <v>900</v>
      </c>
      <c r="M20" s="379"/>
      <c r="N20" s="379"/>
      <c r="O20" s="379"/>
      <c r="P20" s="367"/>
      <c r="Q20" s="368"/>
      <c r="R20" s="112"/>
      <c r="S20" s="112"/>
      <c r="T20" s="112"/>
      <c r="U20" s="112"/>
      <c r="V20" s="112"/>
      <c r="W20" s="112"/>
      <c r="X20" s="112"/>
      <c r="Y20" s="112"/>
      <c r="Z20" s="112"/>
      <c r="AA20" s="112"/>
      <c r="AB20" s="112"/>
      <c r="AC20" s="112"/>
      <c r="AD20" s="112"/>
    </row>
    <row r="21" spans="1:30" s="1215" customFormat="1" ht="18" customHeight="1" x14ac:dyDescent="0.3">
      <c r="A21" s="1423">
        <v>14</v>
      </c>
      <c r="B21" s="542"/>
      <c r="C21" s="1166"/>
      <c r="D21" s="1091" t="s">
        <v>1391</v>
      </c>
      <c r="E21" s="863"/>
      <c r="F21" s="863"/>
      <c r="G21" s="863"/>
      <c r="H21" s="912"/>
      <c r="I21" s="373">
        <f>SUM(J21:Q21)</f>
        <v>389226</v>
      </c>
      <c r="J21" s="870">
        <f>SUM(J18:J20)</f>
        <v>243982</v>
      </c>
      <c r="K21" s="870">
        <f>SUM(K18:K20)</f>
        <v>53007</v>
      </c>
      <c r="L21" s="870">
        <f>SUM(L18:L20)</f>
        <v>76857</v>
      </c>
      <c r="M21" s="870"/>
      <c r="N21" s="870"/>
      <c r="O21" s="870">
        <f>SUM(O18:O20)</f>
        <v>12380</v>
      </c>
      <c r="P21" s="870">
        <f>SUM(P18:P20)</f>
        <v>3000</v>
      </c>
      <c r="Q21" s="904"/>
      <c r="R21" s="749"/>
      <c r="S21" s="749"/>
      <c r="T21" s="749"/>
      <c r="U21" s="749"/>
      <c r="V21" s="749"/>
      <c r="W21" s="749"/>
      <c r="X21" s="749"/>
      <c r="Y21" s="749"/>
      <c r="Z21" s="749"/>
      <c r="AA21" s="749"/>
      <c r="AB21" s="749"/>
      <c r="AC21" s="749"/>
      <c r="AD21" s="749"/>
    </row>
    <row r="22" spans="1:30" s="47" customFormat="1" ht="22.5" customHeight="1" x14ac:dyDescent="0.3">
      <c r="A22" s="1423">
        <v>15</v>
      </c>
      <c r="B22" s="295">
        <v>3</v>
      </c>
      <c r="C22" s="296"/>
      <c r="D22" s="363" t="s">
        <v>283</v>
      </c>
      <c r="E22" s="536" t="s">
        <v>24</v>
      </c>
      <c r="F22" s="116">
        <v>390437</v>
      </c>
      <c r="G22" s="116">
        <v>406698</v>
      </c>
      <c r="H22" s="1172">
        <v>431588</v>
      </c>
      <c r="I22" s="373"/>
      <c r="J22" s="116"/>
      <c r="K22" s="116"/>
      <c r="L22" s="116"/>
      <c r="M22" s="116"/>
      <c r="N22" s="116"/>
      <c r="O22" s="116"/>
      <c r="P22" s="116"/>
      <c r="Q22" s="130"/>
      <c r="R22" s="112"/>
      <c r="S22" s="112"/>
      <c r="T22" s="112"/>
      <c r="U22" s="112"/>
      <c r="V22" s="112"/>
      <c r="W22" s="112"/>
      <c r="X22" s="112"/>
      <c r="Y22" s="112"/>
      <c r="Z22" s="112"/>
      <c r="AA22" s="112"/>
      <c r="AB22" s="112"/>
      <c r="AC22" s="112"/>
      <c r="AD22" s="112"/>
    </row>
    <row r="23" spans="1:30" s="44" customFormat="1" ht="18" customHeight="1" x14ac:dyDescent="0.3">
      <c r="A23" s="1423">
        <v>16</v>
      </c>
      <c r="B23" s="295"/>
      <c r="C23" s="296"/>
      <c r="D23" s="535" t="s">
        <v>158</v>
      </c>
      <c r="E23" s="116"/>
      <c r="F23" s="116"/>
      <c r="G23" s="116"/>
      <c r="H23" s="1172"/>
      <c r="I23" s="373"/>
      <c r="J23" s="116"/>
      <c r="K23" s="116"/>
      <c r="L23" s="116"/>
      <c r="M23" s="116"/>
      <c r="N23" s="116"/>
      <c r="O23" s="116"/>
      <c r="P23" s="116"/>
      <c r="Q23" s="130"/>
      <c r="R23" s="53"/>
      <c r="S23" s="53"/>
      <c r="T23" s="53"/>
      <c r="U23" s="53"/>
      <c r="V23" s="53"/>
      <c r="W23" s="53"/>
      <c r="X23" s="53"/>
      <c r="Y23" s="53"/>
      <c r="Z23" s="53"/>
      <c r="AA23" s="53"/>
      <c r="AB23" s="53"/>
      <c r="AC23" s="53"/>
      <c r="AD23" s="53"/>
    </row>
    <row r="24" spans="1:30" s="44" customFormat="1" ht="18" customHeight="1" x14ac:dyDescent="0.3">
      <c r="A24" s="1423">
        <v>17</v>
      </c>
      <c r="B24" s="298"/>
      <c r="C24" s="299"/>
      <c r="D24" s="1052" t="s">
        <v>334</v>
      </c>
      <c r="E24" s="1074"/>
      <c r="F24" s="1074"/>
      <c r="G24" s="1074"/>
      <c r="H24" s="1173"/>
      <c r="I24" s="1105">
        <f>SUM(J24:Q24)</f>
        <v>425240</v>
      </c>
      <c r="J24" s="1106">
        <v>282771</v>
      </c>
      <c r="K24" s="1106">
        <v>61168</v>
      </c>
      <c r="L24" s="1106">
        <v>78301</v>
      </c>
      <c r="M24" s="1106"/>
      <c r="N24" s="1106"/>
      <c r="O24" s="1106">
        <v>3000</v>
      </c>
      <c r="P24" s="367"/>
      <c r="Q24" s="368"/>
      <c r="R24" s="53"/>
      <c r="S24" s="53"/>
      <c r="T24" s="53"/>
      <c r="U24" s="53"/>
      <c r="V24" s="53"/>
      <c r="W24" s="53"/>
      <c r="X24" s="53"/>
      <c r="Y24" s="53"/>
      <c r="Z24" s="53"/>
      <c r="AA24" s="53"/>
      <c r="AB24" s="53"/>
      <c r="AC24" s="53"/>
      <c r="AD24" s="53"/>
    </row>
    <row r="25" spans="1:30" s="44" customFormat="1" ht="18" customHeight="1" x14ac:dyDescent="0.3">
      <c r="A25" s="1423">
        <v>18</v>
      </c>
      <c r="B25" s="298"/>
      <c r="C25" s="299"/>
      <c r="D25" s="1091" t="s">
        <v>1307</v>
      </c>
      <c r="E25" s="1074"/>
      <c r="F25" s="1074"/>
      <c r="G25" s="1074"/>
      <c r="H25" s="1173"/>
      <c r="I25" s="373">
        <f>SUM(J25:Q25)</f>
        <v>448452</v>
      </c>
      <c r="J25" s="870">
        <v>295032</v>
      </c>
      <c r="K25" s="870">
        <v>63684</v>
      </c>
      <c r="L25" s="870">
        <v>77723</v>
      </c>
      <c r="M25" s="870"/>
      <c r="N25" s="870"/>
      <c r="O25" s="870">
        <v>12013</v>
      </c>
      <c r="P25" s="870"/>
      <c r="Q25" s="904"/>
      <c r="R25" s="53"/>
      <c r="S25" s="53"/>
      <c r="T25" s="53"/>
      <c r="U25" s="53"/>
      <c r="V25" s="53"/>
      <c r="W25" s="53"/>
      <c r="X25" s="53"/>
      <c r="Y25" s="53"/>
      <c r="Z25" s="53"/>
      <c r="AA25" s="53"/>
      <c r="AB25" s="53"/>
      <c r="AC25" s="53"/>
      <c r="AD25" s="53"/>
    </row>
    <row r="26" spans="1:30" s="44" customFormat="1" ht="18" customHeight="1" x14ac:dyDescent="0.3">
      <c r="A26" s="1423">
        <v>19</v>
      </c>
      <c r="B26" s="298"/>
      <c r="C26" s="299"/>
      <c r="D26" s="1167" t="s">
        <v>1392</v>
      </c>
      <c r="E26" s="304"/>
      <c r="F26" s="304"/>
      <c r="G26" s="304"/>
      <c r="H26" s="1174"/>
      <c r="I26" s="888">
        <f t="shared" ref="I26" si="2">SUM(J26:Q26)</f>
        <v>0</v>
      </c>
      <c r="J26" s="379"/>
      <c r="K26" s="379"/>
      <c r="L26" s="379"/>
      <c r="M26" s="379"/>
      <c r="N26" s="379"/>
      <c r="O26" s="379"/>
      <c r="P26" s="367"/>
      <c r="Q26" s="368"/>
      <c r="R26" s="53"/>
      <c r="S26" s="53"/>
      <c r="T26" s="53"/>
      <c r="U26" s="53"/>
      <c r="V26" s="53"/>
      <c r="W26" s="53"/>
      <c r="X26" s="53"/>
      <c r="Y26" s="53"/>
      <c r="Z26" s="53"/>
      <c r="AA26" s="53"/>
      <c r="AB26" s="53"/>
      <c r="AC26" s="53"/>
      <c r="AD26" s="53"/>
    </row>
    <row r="27" spans="1:30" s="51" customFormat="1" ht="18" customHeight="1" x14ac:dyDescent="0.3">
      <c r="A27" s="1423">
        <v>20</v>
      </c>
      <c r="B27" s="542"/>
      <c r="C27" s="1166"/>
      <c r="D27" s="1091" t="s">
        <v>1391</v>
      </c>
      <c r="E27" s="863"/>
      <c r="F27" s="863"/>
      <c r="G27" s="863"/>
      <c r="H27" s="912"/>
      <c r="I27" s="373">
        <f>SUM(J27:Q27)</f>
        <v>448452</v>
      </c>
      <c r="J27" s="870">
        <f>SUM(J25:J26)</f>
        <v>295032</v>
      </c>
      <c r="K27" s="870">
        <f>SUM(K25:K26)</f>
        <v>63684</v>
      </c>
      <c r="L27" s="870">
        <f>SUM(L25:L26)</f>
        <v>77723</v>
      </c>
      <c r="M27" s="870"/>
      <c r="N27" s="870"/>
      <c r="O27" s="870">
        <f>SUM(O25:O26)</f>
        <v>12013</v>
      </c>
      <c r="P27" s="870"/>
      <c r="Q27" s="904"/>
      <c r="R27" s="257"/>
      <c r="S27" s="257"/>
      <c r="T27" s="257"/>
      <c r="U27" s="257"/>
      <c r="V27" s="257"/>
      <c r="W27" s="257"/>
      <c r="X27" s="257"/>
      <c r="Y27" s="257"/>
      <c r="Z27" s="257"/>
      <c r="AA27" s="257"/>
      <c r="AB27" s="257"/>
      <c r="AC27" s="257"/>
      <c r="AD27" s="257"/>
    </row>
    <row r="28" spans="1:30" s="47" customFormat="1" ht="22.5" customHeight="1" x14ac:dyDescent="0.3">
      <c r="A28" s="1423">
        <v>21</v>
      </c>
      <c r="B28" s="295">
        <v>4</v>
      </c>
      <c r="C28" s="296"/>
      <c r="D28" s="363" t="s">
        <v>284</v>
      </c>
      <c r="E28" s="536" t="s">
        <v>24</v>
      </c>
      <c r="F28" s="116">
        <v>288668</v>
      </c>
      <c r="G28" s="116">
        <v>297708</v>
      </c>
      <c r="H28" s="1172">
        <v>302390</v>
      </c>
      <c r="I28" s="373"/>
      <c r="J28" s="116"/>
      <c r="K28" s="116"/>
      <c r="L28" s="116"/>
      <c r="M28" s="116"/>
      <c r="N28" s="116"/>
      <c r="O28" s="116"/>
      <c r="P28" s="116"/>
      <c r="Q28" s="130"/>
      <c r="R28" s="112"/>
      <c r="S28" s="112"/>
      <c r="T28" s="112"/>
      <c r="U28" s="112"/>
      <c r="V28" s="112"/>
      <c r="W28" s="112"/>
      <c r="X28" s="112"/>
      <c r="Y28" s="112"/>
      <c r="Z28" s="112"/>
      <c r="AA28" s="112"/>
      <c r="AB28" s="112"/>
      <c r="AC28" s="112"/>
      <c r="AD28" s="112"/>
    </row>
    <row r="29" spans="1:30" s="47" customFormat="1" ht="18" customHeight="1" x14ac:dyDescent="0.3">
      <c r="A29" s="1423">
        <v>22</v>
      </c>
      <c r="B29" s="295"/>
      <c r="C29" s="296"/>
      <c r="D29" s="535" t="s">
        <v>159</v>
      </c>
      <c r="E29" s="116"/>
      <c r="F29" s="116"/>
      <c r="G29" s="116"/>
      <c r="H29" s="1172"/>
      <c r="I29" s="373"/>
      <c r="J29" s="116"/>
      <c r="K29" s="116"/>
      <c r="L29" s="116"/>
      <c r="M29" s="116"/>
      <c r="N29" s="116"/>
      <c r="O29" s="116"/>
      <c r="P29" s="116"/>
      <c r="Q29" s="130"/>
      <c r="R29" s="112"/>
      <c r="S29" s="112"/>
      <c r="T29" s="112"/>
      <c r="U29" s="112"/>
      <c r="V29" s="112"/>
      <c r="W29" s="112"/>
      <c r="X29" s="112"/>
      <c r="Y29" s="112"/>
      <c r="Z29" s="112"/>
      <c r="AA29" s="112"/>
      <c r="AB29" s="112"/>
      <c r="AC29" s="112"/>
      <c r="AD29" s="112"/>
    </row>
    <row r="30" spans="1:30" s="44" customFormat="1" ht="18" customHeight="1" x14ac:dyDescent="0.3">
      <c r="A30" s="1423">
        <v>23</v>
      </c>
      <c r="B30" s="298"/>
      <c r="C30" s="299"/>
      <c r="D30" s="1052" t="s">
        <v>334</v>
      </c>
      <c r="E30" s="1074"/>
      <c r="F30" s="1074"/>
      <c r="G30" s="1074"/>
      <c r="H30" s="1173"/>
      <c r="I30" s="1105">
        <f>SUM(J30:Q30)</f>
        <v>310528</v>
      </c>
      <c r="J30" s="1106">
        <v>202358</v>
      </c>
      <c r="K30" s="1106">
        <v>43912</v>
      </c>
      <c r="L30" s="1106">
        <v>62358</v>
      </c>
      <c r="M30" s="1106"/>
      <c r="N30" s="1106"/>
      <c r="O30" s="1106">
        <v>1900</v>
      </c>
      <c r="P30" s="367"/>
      <c r="Q30" s="368"/>
      <c r="R30" s="53"/>
      <c r="S30" s="53"/>
      <c r="T30" s="53"/>
      <c r="U30" s="53"/>
      <c r="V30" s="53"/>
      <c r="W30" s="53"/>
      <c r="X30" s="53"/>
      <c r="Y30" s="53"/>
      <c r="Z30" s="53"/>
      <c r="AA30" s="53"/>
      <c r="AB30" s="53"/>
      <c r="AC30" s="53"/>
      <c r="AD30" s="53"/>
    </row>
    <row r="31" spans="1:30" s="44" customFormat="1" ht="18" customHeight="1" x14ac:dyDescent="0.3">
      <c r="A31" s="1423">
        <v>24</v>
      </c>
      <c r="B31" s="298"/>
      <c r="C31" s="299"/>
      <c r="D31" s="1091" t="s">
        <v>1307</v>
      </c>
      <c r="E31" s="1074"/>
      <c r="F31" s="1074"/>
      <c r="G31" s="1074"/>
      <c r="H31" s="1173"/>
      <c r="I31" s="373">
        <f>SUM(J31:Q31)</f>
        <v>338236</v>
      </c>
      <c r="J31" s="870">
        <v>219143</v>
      </c>
      <c r="K31" s="870">
        <v>47891</v>
      </c>
      <c r="L31" s="870">
        <v>63821</v>
      </c>
      <c r="M31" s="870"/>
      <c r="N31" s="870"/>
      <c r="O31" s="870">
        <v>7381</v>
      </c>
      <c r="P31" s="870"/>
      <c r="Q31" s="904"/>
      <c r="R31" s="53"/>
      <c r="S31" s="53"/>
      <c r="T31" s="53"/>
      <c r="U31" s="53"/>
      <c r="V31" s="53"/>
      <c r="W31" s="53"/>
      <c r="X31" s="53"/>
      <c r="Y31" s="53"/>
      <c r="Z31" s="53"/>
      <c r="AA31" s="53"/>
      <c r="AB31" s="53"/>
      <c r="AC31" s="53"/>
      <c r="AD31" s="53"/>
    </row>
    <row r="32" spans="1:30" s="44" customFormat="1" ht="18" customHeight="1" x14ac:dyDescent="0.3">
      <c r="A32" s="1423">
        <v>25</v>
      </c>
      <c r="B32" s="298"/>
      <c r="C32" s="299"/>
      <c r="D32" s="1167" t="s">
        <v>1392</v>
      </c>
      <c r="E32" s="304"/>
      <c r="F32" s="304"/>
      <c r="G32" s="304"/>
      <c r="H32" s="1174"/>
      <c r="I32" s="888">
        <f t="shared" ref="I32" si="3">SUM(J32:Q32)</f>
        <v>2</v>
      </c>
      <c r="J32" s="379">
        <v>2</v>
      </c>
      <c r="K32" s="379"/>
      <c r="L32" s="379"/>
      <c r="M32" s="379"/>
      <c r="N32" s="379"/>
      <c r="O32" s="379"/>
      <c r="P32" s="367"/>
      <c r="Q32" s="368"/>
      <c r="R32" s="53"/>
      <c r="S32" s="53"/>
      <c r="T32" s="53"/>
      <c r="U32" s="53"/>
      <c r="V32" s="53"/>
      <c r="W32" s="53"/>
      <c r="X32" s="53"/>
      <c r="Y32" s="53"/>
      <c r="Z32" s="53"/>
      <c r="AA32" s="53"/>
      <c r="AB32" s="53"/>
      <c r="AC32" s="53"/>
      <c r="AD32" s="53"/>
    </row>
    <row r="33" spans="1:30" s="51" customFormat="1" ht="18" customHeight="1" x14ac:dyDescent="0.3">
      <c r="A33" s="1423">
        <v>26</v>
      </c>
      <c r="B33" s="542"/>
      <c r="C33" s="1166"/>
      <c r="D33" s="1091" t="s">
        <v>1391</v>
      </c>
      <c r="E33" s="863"/>
      <c r="F33" s="863"/>
      <c r="G33" s="863"/>
      <c r="H33" s="912"/>
      <c r="I33" s="373">
        <f>SUM(J33:Q33)</f>
        <v>338238</v>
      </c>
      <c r="J33" s="870">
        <f>SUM(J31:J32)</f>
        <v>219145</v>
      </c>
      <c r="K33" s="870">
        <f>SUM(K31:K32)</f>
        <v>47891</v>
      </c>
      <c r="L33" s="870">
        <f>SUM(L31:L32)</f>
        <v>63821</v>
      </c>
      <c r="M33" s="870"/>
      <c r="N33" s="870"/>
      <c r="O33" s="870">
        <f>SUM(O31:O32)</f>
        <v>7381</v>
      </c>
      <c r="P33" s="870"/>
      <c r="Q33" s="904"/>
      <c r="R33" s="257"/>
      <c r="S33" s="257"/>
      <c r="T33" s="257"/>
      <c r="U33" s="257"/>
      <c r="V33" s="257"/>
      <c r="W33" s="257"/>
      <c r="X33" s="257"/>
      <c r="Y33" s="257"/>
      <c r="Z33" s="257"/>
      <c r="AA33" s="257"/>
      <c r="AB33" s="257"/>
      <c r="AC33" s="257"/>
      <c r="AD33" s="257"/>
    </row>
    <row r="34" spans="1:30" s="51" customFormat="1" ht="22.5" customHeight="1" x14ac:dyDescent="0.3">
      <c r="A34" s="1423">
        <v>27</v>
      </c>
      <c r="B34" s="295">
        <v>5</v>
      </c>
      <c r="C34" s="296"/>
      <c r="D34" s="363" t="s">
        <v>285</v>
      </c>
      <c r="E34" s="536" t="s">
        <v>24</v>
      </c>
      <c r="F34" s="116">
        <v>318973</v>
      </c>
      <c r="G34" s="116">
        <v>327569</v>
      </c>
      <c r="H34" s="1172">
        <v>336173</v>
      </c>
      <c r="I34" s="373"/>
      <c r="J34" s="116"/>
      <c r="K34" s="116"/>
      <c r="L34" s="116"/>
      <c r="M34" s="367"/>
      <c r="N34" s="367"/>
      <c r="O34" s="367"/>
      <c r="P34" s="367"/>
      <c r="Q34" s="368"/>
      <c r="R34" s="257"/>
      <c r="S34" s="257"/>
      <c r="T34" s="257"/>
      <c r="U34" s="257"/>
      <c r="V34" s="257"/>
      <c r="W34" s="257"/>
      <c r="X34" s="257"/>
      <c r="Y34" s="257"/>
      <c r="Z34" s="257"/>
      <c r="AA34" s="257"/>
      <c r="AB34" s="257"/>
      <c r="AC34" s="257"/>
      <c r="AD34" s="257"/>
    </row>
    <row r="35" spans="1:30" s="47" customFormat="1" ht="18" customHeight="1" x14ac:dyDescent="0.3">
      <c r="A35" s="1423">
        <v>28</v>
      </c>
      <c r="B35" s="295"/>
      <c r="C35" s="296"/>
      <c r="D35" s="535" t="s">
        <v>160</v>
      </c>
      <c r="E35" s="116"/>
      <c r="F35" s="116"/>
      <c r="G35" s="116"/>
      <c r="H35" s="1172"/>
      <c r="I35" s="373"/>
      <c r="J35" s="116"/>
      <c r="K35" s="116"/>
      <c r="L35" s="116"/>
      <c r="M35" s="367"/>
      <c r="N35" s="367"/>
      <c r="O35" s="367"/>
      <c r="P35" s="367"/>
      <c r="Q35" s="368"/>
      <c r="R35" s="112"/>
      <c r="S35" s="112"/>
      <c r="T35" s="112"/>
      <c r="U35" s="112"/>
      <c r="V35" s="112"/>
      <c r="W35" s="112"/>
      <c r="X35" s="112"/>
      <c r="Y35" s="112"/>
      <c r="Z35" s="112"/>
      <c r="AA35" s="112"/>
      <c r="AB35" s="112"/>
      <c r="AC35" s="112"/>
      <c r="AD35" s="112"/>
    </row>
    <row r="36" spans="1:30" s="47" customFormat="1" ht="18" customHeight="1" x14ac:dyDescent="0.3">
      <c r="A36" s="1423">
        <v>29</v>
      </c>
      <c r="B36" s="298"/>
      <c r="C36" s="299"/>
      <c r="D36" s="1052" t="s">
        <v>334</v>
      </c>
      <c r="E36" s="1074"/>
      <c r="F36" s="1074"/>
      <c r="G36" s="1074"/>
      <c r="H36" s="1173"/>
      <c r="I36" s="1105">
        <f>SUM(J36:Q36)</f>
        <v>339061</v>
      </c>
      <c r="J36" s="1106">
        <v>205859</v>
      </c>
      <c r="K36" s="1106">
        <v>44702</v>
      </c>
      <c r="L36" s="1106">
        <v>83200</v>
      </c>
      <c r="M36" s="1106"/>
      <c r="N36" s="1106"/>
      <c r="O36" s="1106">
        <v>5300</v>
      </c>
      <c r="P36" s="367"/>
      <c r="Q36" s="368"/>
      <c r="R36" s="112"/>
      <c r="S36" s="112"/>
      <c r="T36" s="112"/>
      <c r="U36" s="112"/>
      <c r="V36" s="112"/>
      <c r="W36" s="112"/>
      <c r="X36" s="112"/>
      <c r="Y36" s="112"/>
      <c r="Z36" s="112"/>
      <c r="AA36" s="112"/>
      <c r="AB36" s="112"/>
      <c r="AC36" s="112"/>
      <c r="AD36" s="112"/>
    </row>
    <row r="37" spans="1:30" s="47" customFormat="1" ht="18" customHeight="1" x14ac:dyDescent="0.3">
      <c r="A37" s="1423">
        <v>30</v>
      </c>
      <c r="B37" s="298"/>
      <c r="C37" s="299"/>
      <c r="D37" s="1091" t="s">
        <v>1307</v>
      </c>
      <c r="E37" s="1074"/>
      <c r="F37" s="1074"/>
      <c r="G37" s="1074"/>
      <c r="H37" s="1173"/>
      <c r="I37" s="373">
        <f>SUM(J37:Q37)</f>
        <v>360424</v>
      </c>
      <c r="J37" s="870">
        <v>215856</v>
      </c>
      <c r="K37" s="870">
        <v>46574</v>
      </c>
      <c r="L37" s="870">
        <v>85394</v>
      </c>
      <c r="M37" s="870"/>
      <c r="N37" s="870"/>
      <c r="O37" s="870">
        <v>12600</v>
      </c>
      <c r="P37" s="870"/>
      <c r="Q37" s="904"/>
      <c r="R37" s="112"/>
      <c r="S37" s="112"/>
      <c r="T37" s="112"/>
      <c r="U37" s="112"/>
      <c r="V37" s="112"/>
      <c r="W37" s="112"/>
      <c r="X37" s="112"/>
      <c r="Y37" s="112"/>
      <c r="Z37" s="112"/>
      <c r="AA37" s="112"/>
      <c r="AB37" s="112"/>
      <c r="AC37" s="112"/>
      <c r="AD37" s="112"/>
    </row>
    <row r="38" spans="1:30" s="47" customFormat="1" ht="18" customHeight="1" x14ac:dyDescent="0.3">
      <c r="A38" s="1423">
        <v>31</v>
      </c>
      <c r="B38" s="298"/>
      <c r="C38" s="299"/>
      <c r="D38" s="1167" t="s">
        <v>1392</v>
      </c>
      <c r="E38" s="304"/>
      <c r="F38" s="304"/>
      <c r="G38" s="304"/>
      <c r="H38" s="1174"/>
      <c r="I38" s="888">
        <f t="shared" ref="I38" si="4">SUM(J38:Q38)</f>
        <v>4</v>
      </c>
      <c r="J38" s="379">
        <v>3</v>
      </c>
      <c r="K38" s="379">
        <v>1</v>
      </c>
      <c r="L38" s="379"/>
      <c r="M38" s="379"/>
      <c r="N38" s="379"/>
      <c r="O38" s="379"/>
      <c r="P38" s="367"/>
      <c r="Q38" s="368"/>
      <c r="R38" s="112"/>
      <c r="S38" s="112"/>
      <c r="T38" s="112"/>
      <c r="U38" s="112"/>
      <c r="V38" s="112"/>
      <c r="W38" s="112"/>
      <c r="X38" s="112"/>
      <c r="Y38" s="112"/>
      <c r="Z38" s="112"/>
      <c r="AA38" s="112"/>
      <c r="AB38" s="112"/>
      <c r="AC38" s="112"/>
      <c r="AD38" s="112"/>
    </row>
    <row r="39" spans="1:30" s="1215" customFormat="1" ht="18" customHeight="1" x14ac:dyDescent="0.3">
      <c r="A39" s="1423">
        <v>32</v>
      </c>
      <c r="B39" s="542"/>
      <c r="C39" s="1166"/>
      <c r="D39" s="1091" t="s">
        <v>1391</v>
      </c>
      <c r="E39" s="863"/>
      <c r="F39" s="863"/>
      <c r="G39" s="863"/>
      <c r="H39" s="912"/>
      <c r="I39" s="373">
        <f>SUM(J39:Q39)</f>
        <v>360428</v>
      </c>
      <c r="J39" s="870">
        <f>SUM(J37:J38)</f>
        <v>215859</v>
      </c>
      <c r="K39" s="870">
        <f>SUM(K37:K38)</f>
        <v>46575</v>
      </c>
      <c r="L39" s="870">
        <f>SUM(L37:L38)</f>
        <v>85394</v>
      </c>
      <c r="M39" s="870"/>
      <c r="N39" s="870"/>
      <c r="O39" s="870">
        <f>SUM(O37:O38)</f>
        <v>12600</v>
      </c>
      <c r="P39" s="870"/>
      <c r="Q39" s="904"/>
      <c r="R39" s="749"/>
      <c r="S39" s="749"/>
      <c r="T39" s="749"/>
      <c r="U39" s="749"/>
      <c r="V39" s="749"/>
      <c r="W39" s="749"/>
      <c r="X39" s="749"/>
      <c r="Y39" s="749"/>
      <c r="Z39" s="749"/>
      <c r="AA39" s="749"/>
      <c r="AB39" s="749"/>
      <c r="AC39" s="749"/>
      <c r="AD39" s="749"/>
    </row>
    <row r="40" spans="1:30" s="48" customFormat="1" ht="22.5" customHeight="1" x14ac:dyDescent="0.3">
      <c r="A40" s="1423">
        <v>33</v>
      </c>
      <c r="B40" s="295">
        <v>6</v>
      </c>
      <c r="C40" s="296"/>
      <c r="D40" s="363" t="s">
        <v>286</v>
      </c>
      <c r="E40" s="536" t="s">
        <v>24</v>
      </c>
      <c r="F40" s="116">
        <v>148764</v>
      </c>
      <c r="G40" s="116">
        <v>157637</v>
      </c>
      <c r="H40" s="1172">
        <v>156041</v>
      </c>
      <c r="I40" s="373"/>
      <c r="J40" s="116"/>
      <c r="K40" s="116"/>
      <c r="L40" s="116"/>
      <c r="M40" s="367"/>
      <c r="N40" s="367"/>
      <c r="O40" s="367"/>
      <c r="P40" s="367"/>
      <c r="Q40" s="368"/>
      <c r="R40" s="153"/>
      <c r="S40" s="153"/>
      <c r="T40" s="153"/>
      <c r="U40" s="153"/>
      <c r="V40" s="153"/>
      <c r="W40" s="153"/>
      <c r="X40" s="153"/>
      <c r="Y40" s="153"/>
      <c r="Z40" s="153"/>
      <c r="AA40" s="153"/>
      <c r="AB40" s="153"/>
      <c r="AC40" s="153"/>
      <c r="AD40" s="153"/>
    </row>
    <row r="41" spans="1:30" s="51" customFormat="1" ht="18" customHeight="1" x14ac:dyDescent="0.3">
      <c r="A41" s="1423">
        <v>34</v>
      </c>
      <c r="B41" s="295"/>
      <c r="C41" s="296"/>
      <c r="D41" s="535" t="s">
        <v>161</v>
      </c>
      <c r="E41" s="116"/>
      <c r="F41" s="116"/>
      <c r="G41" s="116"/>
      <c r="H41" s="1172"/>
      <c r="I41" s="373"/>
      <c r="J41" s="116"/>
      <c r="K41" s="116"/>
      <c r="L41" s="116"/>
      <c r="M41" s="367"/>
      <c r="N41" s="367"/>
      <c r="O41" s="367"/>
      <c r="P41" s="367"/>
      <c r="Q41" s="368"/>
      <c r="R41" s="257"/>
      <c r="S41" s="257"/>
      <c r="T41" s="257"/>
      <c r="U41" s="257"/>
      <c r="V41" s="257"/>
      <c r="W41" s="257"/>
      <c r="X41" s="257"/>
      <c r="Y41" s="257"/>
      <c r="Z41" s="257"/>
      <c r="AA41" s="257"/>
      <c r="AB41" s="257"/>
      <c r="AC41" s="257"/>
      <c r="AD41" s="257"/>
    </row>
    <row r="42" spans="1:30" s="47" customFormat="1" ht="18" customHeight="1" x14ac:dyDescent="0.3">
      <c r="A42" s="1423">
        <v>35</v>
      </c>
      <c r="B42" s="298"/>
      <c r="C42" s="299"/>
      <c r="D42" s="1052" t="s">
        <v>334</v>
      </c>
      <c r="E42" s="1074"/>
      <c r="F42" s="1074"/>
      <c r="G42" s="1074"/>
      <c r="H42" s="1173"/>
      <c r="I42" s="1105">
        <f>SUM(J42:Q42)</f>
        <v>165684</v>
      </c>
      <c r="J42" s="1106">
        <v>105948</v>
      </c>
      <c r="K42" s="1106">
        <v>23188</v>
      </c>
      <c r="L42" s="1106">
        <v>35448</v>
      </c>
      <c r="M42" s="1106"/>
      <c r="N42" s="1106"/>
      <c r="O42" s="1106">
        <v>1100</v>
      </c>
      <c r="P42" s="367"/>
      <c r="Q42" s="368"/>
      <c r="R42" s="112"/>
      <c r="S42" s="112"/>
      <c r="T42" s="112"/>
      <c r="U42" s="112"/>
      <c r="V42" s="112"/>
      <c r="W42" s="112"/>
      <c r="X42" s="112"/>
      <c r="Y42" s="112"/>
      <c r="Z42" s="112"/>
      <c r="AA42" s="112"/>
      <c r="AB42" s="112"/>
      <c r="AC42" s="112"/>
      <c r="AD42" s="112"/>
    </row>
    <row r="43" spans="1:30" s="47" customFormat="1" ht="18" customHeight="1" x14ac:dyDescent="0.3">
      <c r="A43" s="1423">
        <v>36</v>
      </c>
      <c r="B43" s="298"/>
      <c r="C43" s="299"/>
      <c r="D43" s="1091" t="s">
        <v>1307</v>
      </c>
      <c r="E43" s="1074"/>
      <c r="F43" s="1074"/>
      <c r="G43" s="1074"/>
      <c r="H43" s="1173"/>
      <c r="I43" s="373">
        <f>SUM(J43:Q43)</f>
        <v>183463</v>
      </c>
      <c r="J43" s="870">
        <v>115280</v>
      </c>
      <c r="K43" s="870">
        <v>25402</v>
      </c>
      <c r="L43" s="870">
        <v>35605</v>
      </c>
      <c r="M43" s="870"/>
      <c r="N43" s="870"/>
      <c r="O43" s="870">
        <v>7176</v>
      </c>
      <c r="P43" s="870"/>
      <c r="Q43" s="904"/>
      <c r="R43" s="112"/>
      <c r="S43" s="112"/>
      <c r="T43" s="112"/>
      <c r="U43" s="112"/>
      <c r="V43" s="112"/>
      <c r="W43" s="112"/>
      <c r="X43" s="112"/>
      <c r="Y43" s="112"/>
      <c r="Z43" s="112"/>
      <c r="AA43" s="112"/>
      <c r="AB43" s="112"/>
      <c r="AC43" s="112"/>
      <c r="AD43" s="112"/>
    </row>
    <row r="44" spans="1:30" s="47" customFormat="1" ht="18" customHeight="1" x14ac:dyDescent="0.3">
      <c r="A44" s="1423">
        <v>37</v>
      </c>
      <c r="B44" s="298"/>
      <c r="C44" s="299"/>
      <c r="D44" s="1167" t="s">
        <v>954</v>
      </c>
      <c r="E44" s="304"/>
      <c r="F44" s="304"/>
      <c r="G44" s="304"/>
      <c r="H44" s="1174"/>
      <c r="I44" s="888">
        <f t="shared" ref="I44" si="5">SUM(J44:Q44)</f>
        <v>0</v>
      </c>
      <c r="J44" s="379"/>
      <c r="K44" s="379"/>
      <c r="L44" s="379">
        <v>-1900</v>
      </c>
      <c r="M44" s="379"/>
      <c r="N44" s="379"/>
      <c r="O44" s="379">
        <v>1900</v>
      </c>
      <c r="P44" s="367"/>
      <c r="Q44" s="368"/>
      <c r="R44" s="112"/>
      <c r="S44" s="112"/>
      <c r="T44" s="112"/>
      <c r="U44" s="112"/>
      <c r="V44" s="112"/>
      <c r="W44" s="112"/>
      <c r="X44" s="112"/>
      <c r="Y44" s="112"/>
      <c r="Z44" s="112"/>
      <c r="AA44" s="112"/>
      <c r="AB44" s="112"/>
      <c r="AC44" s="112"/>
      <c r="AD44" s="112"/>
    </row>
    <row r="45" spans="1:30" s="1215" customFormat="1" ht="18" customHeight="1" x14ac:dyDescent="0.3">
      <c r="A45" s="1423">
        <v>38</v>
      </c>
      <c r="B45" s="542"/>
      <c r="C45" s="1166"/>
      <c r="D45" s="1091" t="s">
        <v>1391</v>
      </c>
      <c r="E45" s="863"/>
      <c r="F45" s="863"/>
      <c r="G45" s="863"/>
      <c r="H45" s="912"/>
      <c r="I45" s="373">
        <f>SUM(J45:Q45)</f>
        <v>183463</v>
      </c>
      <c r="J45" s="870">
        <f>SUM(J43:J44)</f>
        <v>115280</v>
      </c>
      <c r="K45" s="870">
        <f>SUM(K43:K44)</f>
        <v>25402</v>
      </c>
      <c r="L45" s="870">
        <f>SUM(L43:L44)</f>
        <v>33705</v>
      </c>
      <c r="M45" s="870"/>
      <c r="N45" s="870"/>
      <c r="O45" s="870">
        <f>SUM(O43:O44)</f>
        <v>9076</v>
      </c>
      <c r="P45" s="870"/>
      <c r="Q45" s="904"/>
      <c r="R45" s="749"/>
      <c r="S45" s="749"/>
      <c r="T45" s="749"/>
      <c r="U45" s="749"/>
      <c r="V45" s="749"/>
      <c r="W45" s="749"/>
      <c r="X45" s="749"/>
      <c r="Y45" s="749"/>
      <c r="Z45" s="749"/>
      <c r="AA45" s="749"/>
      <c r="AB45" s="749"/>
      <c r="AC45" s="749"/>
      <c r="AD45" s="749"/>
    </row>
    <row r="46" spans="1:30" s="48" customFormat="1" ht="18" customHeight="1" x14ac:dyDescent="0.3">
      <c r="A46" s="1423">
        <v>39</v>
      </c>
      <c r="B46" s="301"/>
      <c r="C46" s="302">
        <v>1</v>
      </c>
      <c r="D46" s="303" t="s">
        <v>157</v>
      </c>
      <c r="E46" s="536"/>
      <c r="F46" s="116">
        <v>1562</v>
      </c>
      <c r="G46" s="116">
        <v>2240</v>
      </c>
      <c r="H46" s="1172">
        <v>1006</v>
      </c>
      <c r="I46" s="372"/>
      <c r="J46" s="371"/>
      <c r="K46" s="371"/>
      <c r="L46" s="369"/>
      <c r="M46" s="369"/>
      <c r="N46" s="369"/>
      <c r="O46" s="369"/>
      <c r="P46" s="369"/>
      <c r="Q46" s="370"/>
      <c r="R46" s="153"/>
      <c r="S46" s="153"/>
      <c r="T46" s="153"/>
      <c r="U46" s="153"/>
      <c r="V46" s="153"/>
      <c r="W46" s="153"/>
      <c r="X46" s="153"/>
      <c r="Y46" s="153"/>
      <c r="Z46" s="153"/>
      <c r="AA46" s="153"/>
      <c r="AB46" s="153"/>
      <c r="AC46" s="153"/>
      <c r="AD46" s="153"/>
    </row>
    <row r="47" spans="1:30" s="51" customFormat="1" ht="18" customHeight="1" x14ac:dyDescent="0.3">
      <c r="A47" s="1423">
        <v>40</v>
      </c>
      <c r="B47" s="298"/>
      <c r="C47" s="299"/>
      <c r="D47" s="1076" t="s">
        <v>334</v>
      </c>
      <c r="E47" s="1074"/>
      <c r="F47" s="1074"/>
      <c r="G47" s="1074"/>
      <c r="H47" s="1175"/>
      <c r="I47" s="1107">
        <f>SUM(J47:Q47)</f>
        <v>2245</v>
      </c>
      <c r="J47" s="1106">
        <v>1957</v>
      </c>
      <c r="K47" s="1106">
        <v>191</v>
      </c>
      <c r="L47" s="1106">
        <v>97</v>
      </c>
      <c r="M47" s="1106"/>
      <c r="N47" s="1106"/>
      <c r="O47" s="1106"/>
      <c r="P47" s="367"/>
      <c r="Q47" s="368"/>
      <c r="R47" s="257"/>
      <c r="S47" s="257"/>
      <c r="T47" s="257"/>
      <c r="U47" s="257"/>
      <c r="V47" s="257"/>
      <c r="W47" s="257"/>
      <c r="X47" s="257"/>
      <c r="Y47" s="257"/>
      <c r="Z47" s="257"/>
      <c r="AA47" s="257"/>
      <c r="AB47" s="257"/>
      <c r="AC47" s="257"/>
      <c r="AD47" s="257"/>
    </row>
    <row r="48" spans="1:30" s="51" customFormat="1" ht="18" customHeight="1" x14ac:dyDescent="0.3">
      <c r="A48" s="1423">
        <v>41</v>
      </c>
      <c r="B48" s="298"/>
      <c r="C48" s="299"/>
      <c r="D48" s="1218" t="s">
        <v>1307</v>
      </c>
      <c r="E48" s="1074"/>
      <c r="F48" s="1074"/>
      <c r="G48" s="1074"/>
      <c r="H48" s="1175"/>
      <c r="I48" s="373">
        <f>SUM(J48:Q48)</f>
        <v>2335</v>
      </c>
      <c r="J48" s="870">
        <v>1957</v>
      </c>
      <c r="K48" s="870">
        <v>191</v>
      </c>
      <c r="L48" s="870">
        <v>97</v>
      </c>
      <c r="M48" s="870"/>
      <c r="N48" s="870">
        <v>90</v>
      </c>
      <c r="O48" s="870"/>
      <c r="P48" s="870"/>
      <c r="Q48" s="904"/>
      <c r="R48" s="257"/>
      <c r="S48" s="257"/>
      <c r="T48" s="257"/>
      <c r="U48" s="257"/>
      <c r="V48" s="257"/>
      <c r="W48" s="257"/>
      <c r="X48" s="257"/>
      <c r="Y48" s="257"/>
      <c r="Z48" s="257"/>
      <c r="AA48" s="257"/>
      <c r="AB48" s="257"/>
      <c r="AC48" s="257"/>
      <c r="AD48" s="257"/>
    </row>
    <row r="49" spans="1:30" s="51" customFormat="1" ht="18" customHeight="1" x14ac:dyDescent="0.3">
      <c r="A49" s="1423">
        <v>42</v>
      </c>
      <c r="B49" s="298"/>
      <c r="C49" s="299"/>
      <c r="D49" s="1220" t="s">
        <v>834</v>
      </c>
      <c r="E49" s="304"/>
      <c r="F49" s="304"/>
      <c r="G49" s="304"/>
      <c r="H49" s="1176"/>
      <c r="I49" s="888">
        <f t="shared" ref="I49" si="6">SUM(J49:Q49)</f>
        <v>0</v>
      </c>
      <c r="J49" s="367"/>
      <c r="K49" s="367"/>
      <c r="L49" s="367"/>
      <c r="M49" s="367"/>
      <c r="N49" s="367"/>
      <c r="O49" s="367"/>
      <c r="P49" s="367"/>
      <c r="Q49" s="368"/>
      <c r="R49" s="257"/>
      <c r="S49" s="257"/>
      <c r="T49" s="257"/>
      <c r="U49" s="257"/>
      <c r="V49" s="257"/>
      <c r="W49" s="257"/>
      <c r="X49" s="257"/>
      <c r="Y49" s="257"/>
      <c r="Z49" s="257"/>
      <c r="AA49" s="257"/>
      <c r="AB49" s="257"/>
      <c r="AC49" s="257"/>
      <c r="AD49" s="257"/>
    </row>
    <row r="50" spans="1:30" s="51" customFormat="1" ht="18" customHeight="1" thickBot="1" x14ac:dyDescent="0.35">
      <c r="A50" s="1423">
        <v>43</v>
      </c>
      <c r="B50" s="1216"/>
      <c r="C50" s="1217"/>
      <c r="D50" s="1218" t="s">
        <v>1391</v>
      </c>
      <c r="E50" s="861"/>
      <c r="F50" s="861"/>
      <c r="G50" s="861"/>
      <c r="H50" s="911"/>
      <c r="I50" s="156">
        <f>SUM(J50:Q50)</f>
        <v>2335</v>
      </c>
      <c r="J50" s="903">
        <f>SUM(J48:J49)</f>
        <v>1957</v>
      </c>
      <c r="K50" s="903">
        <f t="shared" ref="K50:N50" si="7">SUM(K48:K49)</f>
        <v>191</v>
      </c>
      <c r="L50" s="903">
        <f t="shared" si="7"/>
        <v>97</v>
      </c>
      <c r="M50" s="903"/>
      <c r="N50" s="903">
        <f t="shared" si="7"/>
        <v>90</v>
      </c>
      <c r="O50" s="903"/>
      <c r="P50" s="903"/>
      <c r="Q50" s="1219"/>
      <c r="R50" s="257"/>
      <c r="S50" s="257"/>
      <c r="T50" s="257"/>
      <c r="U50" s="257"/>
      <c r="V50" s="257"/>
      <c r="W50" s="257"/>
      <c r="X50" s="257"/>
      <c r="Y50" s="257"/>
      <c r="Z50" s="257"/>
      <c r="AA50" s="257"/>
      <c r="AB50" s="257"/>
      <c r="AC50" s="257"/>
      <c r="AD50" s="257"/>
    </row>
    <row r="51" spans="1:30" s="51" customFormat="1" ht="18" customHeight="1" thickTop="1" x14ac:dyDescent="0.3">
      <c r="A51" s="1423">
        <v>44</v>
      </c>
      <c r="B51" s="767"/>
      <c r="C51" s="1068"/>
      <c r="D51" s="871" t="s">
        <v>162</v>
      </c>
      <c r="E51" s="1069"/>
      <c r="F51" s="1069"/>
      <c r="G51" s="1069"/>
      <c r="H51" s="1177"/>
      <c r="I51" s="1108"/>
      <c r="J51" s="1109"/>
      <c r="K51" s="1109"/>
      <c r="L51" s="1109"/>
      <c r="M51" s="1109"/>
      <c r="N51" s="1109"/>
      <c r="O51" s="1109"/>
      <c r="P51" s="1109"/>
      <c r="Q51" s="1123"/>
      <c r="R51" s="257"/>
      <c r="S51" s="257"/>
      <c r="T51" s="257"/>
      <c r="U51" s="257"/>
      <c r="V51" s="257"/>
      <c r="W51" s="257"/>
      <c r="X51" s="257"/>
      <c r="Y51" s="257"/>
      <c r="Z51" s="257"/>
      <c r="AA51" s="257"/>
      <c r="AB51" s="257"/>
      <c r="AC51" s="257"/>
      <c r="AD51" s="257"/>
    </row>
    <row r="52" spans="1:30" s="52" customFormat="1" ht="20.100000000000001" customHeight="1" x14ac:dyDescent="0.2">
      <c r="A52" s="1423">
        <v>45</v>
      </c>
      <c r="B52" s="376"/>
      <c r="C52" s="862"/>
      <c r="D52" s="1110" t="s">
        <v>334</v>
      </c>
      <c r="E52" s="1431"/>
      <c r="F52" s="1431">
        <f>SUM(F8:F47)</f>
        <v>1692475</v>
      </c>
      <c r="G52" s="1431">
        <f>SUM(G8:G47)</f>
        <v>1747825</v>
      </c>
      <c r="H52" s="1459">
        <f>SUM(H8:H47)</f>
        <v>1785466</v>
      </c>
      <c r="I52" s="1460">
        <f>SUM(J52:Q52)</f>
        <v>1808479</v>
      </c>
      <c r="J52" s="1431">
        <f t="shared" ref="J52:Q52" si="8">SUM(J10,J17,J24,J30,J36,J42,J47)</f>
        <v>1157028</v>
      </c>
      <c r="K52" s="1431">
        <f t="shared" si="8"/>
        <v>250884</v>
      </c>
      <c r="L52" s="1431">
        <f t="shared" si="8"/>
        <v>383267</v>
      </c>
      <c r="M52" s="1431">
        <f t="shared" si="8"/>
        <v>0</v>
      </c>
      <c r="N52" s="1431">
        <f t="shared" si="8"/>
        <v>0</v>
      </c>
      <c r="O52" s="1431">
        <f t="shared" si="8"/>
        <v>17300</v>
      </c>
      <c r="P52" s="1431">
        <f t="shared" si="8"/>
        <v>0</v>
      </c>
      <c r="Q52" s="1461">
        <f t="shared" si="8"/>
        <v>0</v>
      </c>
      <c r="R52" s="377"/>
      <c r="S52" s="377"/>
      <c r="T52" s="377"/>
      <c r="U52" s="377"/>
      <c r="V52" s="377"/>
      <c r="W52" s="377"/>
      <c r="X52" s="377"/>
      <c r="Y52" s="377"/>
      <c r="Z52" s="377"/>
      <c r="AA52" s="377"/>
      <c r="AB52" s="377"/>
      <c r="AC52" s="377"/>
      <c r="AD52" s="377"/>
    </row>
    <row r="53" spans="1:30" s="52" customFormat="1" ht="20.100000000000001" customHeight="1" x14ac:dyDescent="0.3">
      <c r="A53" s="1423">
        <v>46</v>
      </c>
      <c r="B53" s="886"/>
      <c r="C53" s="860"/>
      <c r="D53" s="1091" t="s">
        <v>1307</v>
      </c>
      <c r="E53" s="860"/>
      <c r="F53" s="860"/>
      <c r="G53" s="860"/>
      <c r="H53" s="1178"/>
      <c r="I53" s="1458">
        <f>SUM(J53:Q53)</f>
        <v>1941030</v>
      </c>
      <c r="J53" s="1462">
        <f t="shared" ref="J53:Q53" si="9">J48+J43+J37+J31+J25+J18+J11</f>
        <v>1223405</v>
      </c>
      <c r="K53" s="1462">
        <f t="shared" si="9"/>
        <v>265605</v>
      </c>
      <c r="L53" s="1462">
        <f t="shared" si="9"/>
        <v>391360</v>
      </c>
      <c r="M53" s="1462">
        <f t="shared" si="9"/>
        <v>0</v>
      </c>
      <c r="N53" s="1462">
        <f t="shared" si="9"/>
        <v>90</v>
      </c>
      <c r="O53" s="1462">
        <f t="shared" si="9"/>
        <v>57570</v>
      </c>
      <c r="P53" s="1462">
        <f t="shared" si="9"/>
        <v>3000</v>
      </c>
      <c r="Q53" s="1494">
        <f t="shared" si="9"/>
        <v>0</v>
      </c>
      <c r="R53" s="377"/>
      <c r="S53" s="377"/>
      <c r="T53" s="377"/>
      <c r="U53" s="377"/>
      <c r="V53" s="377"/>
      <c r="W53" s="377"/>
      <c r="X53" s="377"/>
      <c r="Y53" s="377"/>
      <c r="Z53" s="377"/>
      <c r="AA53" s="377"/>
      <c r="AB53" s="377"/>
      <c r="AC53" s="377"/>
      <c r="AD53" s="377"/>
    </row>
    <row r="54" spans="1:30" s="52" customFormat="1" ht="20.100000000000001" customHeight="1" x14ac:dyDescent="0.3">
      <c r="A54" s="1423">
        <v>47</v>
      </c>
      <c r="B54" s="886"/>
      <c r="C54" s="887"/>
      <c r="D54" s="887" t="s">
        <v>733</v>
      </c>
      <c r="E54" s="887"/>
      <c r="F54" s="887"/>
      <c r="G54" s="887"/>
      <c r="H54" s="1179"/>
      <c r="I54" s="888">
        <f t="shared" ref="I54" si="10">SUM(J54:Q54)</f>
        <v>24</v>
      </c>
      <c r="J54" s="890">
        <f>J49+J44+J38+J32+J26+J20+J19+J13+J12</f>
        <v>-1250</v>
      </c>
      <c r="K54" s="890">
        <f t="shared" ref="K54:Q54" si="11">K49+K44+K38+K32+K26+K20+K19+K13+K12</f>
        <v>374</v>
      </c>
      <c r="L54" s="890">
        <f t="shared" si="11"/>
        <v>-1000</v>
      </c>
      <c r="M54" s="890">
        <f t="shared" si="11"/>
        <v>0</v>
      </c>
      <c r="N54" s="890">
        <f t="shared" si="11"/>
        <v>0</v>
      </c>
      <c r="O54" s="890">
        <f t="shared" si="11"/>
        <v>1700</v>
      </c>
      <c r="P54" s="890">
        <f t="shared" si="11"/>
        <v>200</v>
      </c>
      <c r="Q54" s="1705">
        <f t="shared" si="11"/>
        <v>0</v>
      </c>
      <c r="R54" s="377"/>
      <c r="S54" s="377"/>
      <c r="T54" s="377"/>
      <c r="U54" s="377"/>
      <c r="V54" s="377"/>
      <c r="W54" s="377"/>
      <c r="X54" s="377"/>
      <c r="Y54" s="377"/>
      <c r="Z54" s="377"/>
      <c r="AA54" s="377"/>
      <c r="AB54" s="377"/>
      <c r="AC54" s="377"/>
      <c r="AD54" s="377"/>
    </row>
    <row r="55" spans="1:30" s="52" customFormat="1" ht="20.100000000000001" customHeight="1" thickBot="1" x14ac:dyDescent="0.35">
      <c r="A55" s="1423">
        <v>48</v>
      </c>
      <c r="B55" s="886"/>
      <c r="C55" s="864"/>
      <c r="D55" s="864" t="s">
        <v>1391</v>
      </c>
      <c r="E55" s="864"/>
      <c r="F55" s="864"/>
      <c r="G55" s="864"/>
      <c r="H55" s="1180"/>
      <c r="I55" s="889">
        <f>SUM(J55:Q55)</f>
        <v>1941054</v>
      </c>
      <c r="J55" s="891">
        <f>SUM(J53:J54)</f>
        <v>1222155</v>
      </c>
      <c r="K55" s="891">
        <f t="shared" ref="K55:Q55" si="12">SUM(K53:K54)</f>
        <v>265979</v>
      </c>
      <c r="L55" s="891">
        <f t="shared" si="12"/>
        <v>390360</v>
      </c>
      <c r="M55" s="891">
        <f t="shared" si="12"/>
        <v>0</v>
      </c>
      <c r="N55" s="891">
        <f t="shared" si="12"/>
        <v>90</v>
      </c>
      <c r="O55" s="891">
        <f t="shared" si="12"/>
        <v>59270</v>
      </c>
      <c r="P55" s="891">
        <f t="shared" si="12"/>
        <v>3200</v>
      </c>
      <c r="Q55" s="867">
        <f t="shared" si="12"/>
        <v>0</v>
      </c>
      <c r="R55" s="377"/>
      <c r="S55" s="377"/>
      <c r="T55" s="377"/>
      <c r="U55" s="377"/>
      <c r="V55" s="377"/>
      <c r="W55" s="377"/>
      <c r="X55" s="377"/>
      <c r="Y55" s="377"/>
      <c r="Z55" s="377"/>
      <c r="AA55" s="377"/>
      <c r="AB55" s="377"/>
      <c r="AC55" s="377"/>
      <c r="AD55" s="377"/>
    </row>
    <row r="56" spans="1:30" s="48" customFormat="1" ht="30.75" thickTop="1" x14ac:dyDescent="0.3">
      <c r="A56" s="1423">
        <v>49</v>
      </c>
      <c r="B56" s="661">
        <v>7</v>
      </c>
      <c r="C56" s="316"/>
      <c r="D56" s="364" t="s">
        <v>358</v>
      </c>
      <c r="E56" s="537" t="s">
        <v>24</v>
      </c>
      <c r="F56" s="328">
        <v>841546</v>
      </c>
      <c r="G56" s="328">
        <v>863672</v>
      </c>
      <c r="H56" s="1181">
        <v>902499</v>
      </c>
      <c r="I56" s="515"/>
      <c r="J56" s="328"/>
      <c r="K56" s="328"/>
      <c r="L56" s="328"/>
      <c r="M56" s="328"/>
      <c r="N56" s="328"/>
      <c r="O56" s="328"/>
      <c r="P56" s="328"/>
      <c r="Q56" s="378"/>
      <c r="R56" s="153"/>
      <c r="S56" s="153"/>
      <c r="T56" s="153"/>
      <c r="U56" s="153"/>
      <c r="V56" s="153"/>
      <c r="W56" s="153"/>
      <c r="X56" s="153"/>
      <c r="Y56" s="153"/>
      <c r="Z56" s="153"/>
      <c r="AA56" s="153"/>
      <c r="AB56" s="153"/>
      <c r="AC56" s="153"/>
      <c r="AD56" s="153"/>
    </row>
    <row r="57" spans="1:30" s="51" customFormat="1" ht="18" customHeight="1" x14ac:dyDescent="0.3">
      <c r="A57" s="1423">
        <v>50</v>
      </c>
      <c r="B57" s="298"/>
      <c r="C57" s="299"/>
      <c r="D57" s="1052" t="s">
        <v>334</v>
      </c>
      <c r="E57" s="1074"/>
      <c r="F57" s="1074"/>
      <c r="G57" s="1074"/>
      <c r="H57" s="1173"/>
      <c r="I57" s="1105">
        <f>SUM(J57:Q57)</f>
        <v>882986</v>
      </c>
      <c r="J57" s="1106">
        <v>603305</v>
      </c>
      <c r="K57" s="1106">
        <v>133043</v>
      </c>
      <c r="L57" s="1106">
        <v>140158</v>
      </c>
      <c r="M57" s="1106"/>
      <c r="N57" s="1106"/>
      <c r="O57" s="1106">
        <v>6480</v>
      </c>
      <c r="P57" s="367"/>
      <c r="Q57" s="368"/>
      <c r="R57" s="257"/>
      <c r="S57" s="257"/>
      <c r="T57" s="257"/>
      <c r="U57" s="257"/>
      <c r="V57" s="257"/>
      <c r="W57" s="257"/>
      <c r="X57" s="257"/>
      <c r="Y57" s="257"/>
      <c r="Z57" s="257"/>
      <c r="AA57" s="257"/>
      <c r="AB57" s="257"/>
      <c r="AC57" s="257"/>
      <c r="AD57" s="257"/>
    </row>
    <row r="58" spans="1:30" s="51" customFormat="1" ht="18" customHeight="1" x14ac:dyDescent="0.3">
      <c r="A58" s="1423">
        <v>51</v>
      </c>
      <c r="B58" s="298"/>
      <c r="C58" s="299"/>
      <c r="D58" s="861" t="s">
        <v>1307</v>
      </c>
      <c r="E58" s="1074"/>
      <c r="F58" s="1074"/>
      <c r="G58" s="1074"/>
      <c r="H58" s="1173"/>
      <c r="I58" s="373">
        <f>SUM(J58:Q58)</f>
        <v>989901</v>
      </c>
      <c r="J58" s="870">
        <v>671955</v>
      </c>
      <c r="K58" s="870">
        <v>141803</v>
      </c>
      <c r="L58" s="870">
        <v>147863</v>
      </c>
      <c r="M58" s="870"/>
      <c r="N58" s="870"/>
      <c r="O58" s="870">
        <v>28280</v>
      </c>
      <c r="P58" s="870"/>
      <c r="Q58" s="904"/>
      <c r="R58" s="257"/>
      <c r="S58" s="257"/>
      <c r="T58" s="257"/>
      <c r="U58" s="257"/>
      <c r="V58" s="257"/>
      <c r="W58" s="257"/>
      <c r="X58" s="257"/>
      <c r="Y58" s="257"/>
      <c r="Z58" s="257"/>
      <c r="AA58" s="257"/>
      <c r="AB58" s="257"/>
      <c r="AC58" s="257"/>
      <c r="AD58" s="257"/>
    </row>
    <row r="59" spans="1:30" s="51" customFormat="1" ht="18" customHeight="1" x14ac:dyDescent="0.3">
      <c r="A59" s="1423">
        <v>52</v>
      </c>
      <c r="B59" s="298"/>
      <c r="C59" s="299"/>
      <c r="D59" s="1167" t="s">
        <v>1392</v>
      </c>
      <c r="E59" s="304"/>
      <c r="F59" s="304"/>
      <c r="G59" s="304"/>
      <c r="H59" s="1174"/>
      <c r="I59" s="888">
        <f t="shared" ref="I59:I61" si="13">SUM(J59:Q59)</f>
        <v>329</v>
      </c>
      <c r="J59" s="379">
        <v>280</v>
      </c>
      <c r="K59" s="379">
        <v>49</v>
      </c>
      <c r="L59" s="379"/>
      <c r="M59" s="379"/>
      <c r="N59" s="379"/>
      <c r="O59" s="379"/>
      <c r="P59" s="367"/>
      <c r="Q59" s="368"/>
      <c r="R59" s="257"/>
      <c r="S59" s="257"/>
      <c r="T59" s="257"/>
      <c r="U59" s="257"/>
      <c r="V59" s="257"/>
      <c r="W59" s="257"/>
      <c r="X59" s="257"/>
      <c r="Y59" s="257"/>
      <c r="Z59" s="257"/>
      <c r="AA59" s="257"/>
      <c r="AB59" s="257"/>
      <c r="AC59" s="257"/>
      <c r="AD59" s="257"/>
    </row>
    <row r="60" spans="1:30" s="51" customFormat="1" ht="18" customHeight="1" x14ac:dyDescent="0.3">
      <c r="A60" s="1423">
        <v>53</v>
      </c>
      <c r="B60" s="298"/>
      <c r="C60" s="299"/>
      <c r="D60" s="1167" t="s">
        <v>1376</v>
      </c>
      <c r="E60" s="304"/>
      <c r="F60" s="304"/>
      <c r="G60" s="304"/>
      <c r="H60" s="1174"/>
      <c r="I60" s="888">
        <f t="shared" si="13"/>
        <v>1013</v>
      </c>
      <c r="J60" s="379">
        <v>862</v>
      </c>
      <c r="K60" s="379">
        <v>151</v>
      </c>
      <c r="L60" s="379"/>
      <c r="M60" s="379"/>
      <c r="N60" s="379"/>
      <c r="O60" s="379"/>
      <c r="P60" s="367"/>
      <c r="Q60" s="368"/>
      <c r="R60" s="257"/>
      <c r="S60" s="257"/>
      <c r="T60" s="257"/>
      <c r="U60" s="257"/>
      <c r="V60" s="257"/>
      <c r="W60" s="257"/>
      <c r="X60" s="257"/>
      <c r="Y60" s="257"/>
      <c r="Z60" s="257"/>
      <c r="AA60" s="257"/>
      <c r="AB60" s="257"/>
      <c r="AC60" s="257"/>
      <c r="AD60" s="257"/>
    </row>
    <row r="61" spans="1:30" s="51" customFormat="1" ht="18" customHeight="1" x14ac:dyDescent="0.3">
      <c r="A61" s="1423">
        <v>54</v>
      </c>
      <c r="B61" s="298"/>
      <c r="C61" s="299"/>
      <c r="D61" s="1167" t="s">
        <v>1312</v>
      </c>
      <c r="E61" s="304"/>
      <c r="F61" s="304"/>
      <c r="G61" s="304"/>
      <c r="H61" s="1174"/>
      <c r="I61" s="888">
        <f t="shared" si="13"/>
        <v>0</v>
      </c>
      <c r="J61" s="379">
        <v>-900</v>
      </c>
      <c r="K61" s="379"/>
      <c r="L61" s="379"/>
      <c r="M61" s="379"/>
      <c r="N61" s="379"/>
      <c r="O61" s="379">
        <v>900</v>
      </c>
      <c r="P61" s="367"/>
      <c r="Q61" s="368"/>
      <c r="R61" s="257"/>
      <c r="S61" s="257"/>
      <c r="T61" s="257"/>
      <c r="U61" s="257"/>
      <c r="V61" s="257"/>
      <c r="W61" s="257"/>
      <c r="X61" s="257"/>
      <c r="Y61" s="257"/>
      <c r="Z61" s="257"/>
      <c r="AA61" s="257"/>
      <c r="AB61" s="257"/>
      <c r="AC61" s="257"/>
      <c r="AD61" s="257"/>
    </row>
    <row r="62" spans="1:30" s="51" customFormat="1" ht="18" customHeight="1" x14ac:dyDescent="0.3">
      <c r="A62" s="1423">
        <v>55</v>
      </c>
      <c r="B62" s="298"/>
      <c r="C62" s="299"/>
      <c r="D62" s="1091" t="s">
        <v>1391</v>
      </c>
      <c r="E62" s="863"/>
      <c r="F62" s="863"/>
      <c r="G62" s="863"/>
      <c r="H62" s="912"/>
      <c r="I62" s="373">
        <f>SUM(J62:Q62)</f>
        <v>991243</v>
      </c>
      <c r="J62" s="870">
        <f>SUM(J58:J61)</f>
        <v>672197</v>
      </c>
      <c r="K62" s="870">
        <f>SUM(K58:K61)</f>
        <v>142003</v>
      </c>
      <c r="L62" s="870">
        <f>SUM(L58:L61)</f>
        <v>147863</v>
      </c>
      <c r="M62" s="870"/>
      <c r="N62" s="870"/>
      <c r="O62" s="870">
        <f>SUM(O58:O61)</f>
        <v>29180</v>
      </c>
      <c r="P62" s="870"/>
      <c r="Q62" s="904"/>
      <c r="R62" s="257"/>
      <c r="S62" s="257"/>
      <c r="T62" s="257"/>
      <c r="U62" s="257"/>
      <c r="V62" s="257"/>
      <c r="W62" s="257"/>
      <c r="X62" s="257"/>
      <c r="Y62" s="257"/>
      <c r="Z62" s="257"/>
      <c r="AA62" s="257"/>
      <c r="AB62" s="257"/>
      <c r="AC62" s="257"/>
      <c r="AD62" s="257"/>
    </row>
    <row r="63" spans="1:30" s="51" customFormat="1" ht="18" customHeight="1" x14ac:dyDescent="0.3">
      <c r="A63" s="1423">
        <v>56</v>
      </c>
      <c r="B63" s="301"/>
      <c r="C63" s="296">
        <v>2</v>
      </c>
      <c r="D63" s="303" t="s">
        <v>533</v>
      </c>
      <c r="E63" s="538"/>
      <c r="F63" s="116"/>
      <c r="G63" s="116"/>
      <c r="H63" s="1172">
        <v>4233</v>
      </c>
      <c r="I63" s="383"/>
      <c r="J63" s="367"/>
      <c r="K63" s="367"/>
      <c r="L63" s="367"/>
      <c r="M63" s="379"/>
      <c r="N63" s="379"/>
      <c r="O63" s="379"/>
      <c r="P63" s="379"/>
      <c r="Q63" s="380"/>
      <c r="R63" s="257"/>
      <c r="S63" s="257"/>
      <c r="T63" s="257"/>
      <c r="U63" s="257"/>
      <c r="V63" s="257"/>
      <c r="W63" s="257"/>
      <c r="X63" s="257"/>
      <c r="Y63" s="257"/>
      <c r="Z63" s="257"/>
      <c r="AA63" s="257"/>
      <c r="AB63" s="257"/>
      <c r="AC63" s="257"/>
      <c r="AD63" s="257"/>
    </row>
    <row r="64" spans="1:30" s="49" customFormat="1" ht="18" customHeight="1" x14ac:dyDescent="0.3">
      <c r="A64" s="1423">
        <v>57</v>
      </c>
      <c r="B64" s="298"/>
      <c r="C64" s="299"/>
      <c r="D64" s="1076" t="s">
        <v>334</v>
      </c>
      <c r="E64" s="1111"/>
      <c r="F64" s="1074"/>
      <c r="G64" s="1074"/>
      <c r="H64" s="1173"/>
      <c r="I64" s="1105">
        <f>SUM(J64:Q64)</f>
        <v>10080</v>
      </c>
      <c r="J64" s="1106">
        <v>8195</v>
      </c>
      <c r="K64" s="1106">
        <v>1885</v>
      </c>
      <c r="L64" s="367"/>
      <c r="M64" s="367"/>
      <c r="N64" s="367"/>
      <c r="O64" s="367"/>
      <c r="P64" s="367"/>
      <c r="Q64" s="368"/>
      <c r="R64" s="258"/>
      <c r="S64" s="258"/>
      <c r="T64" s="258"/>
      <c r="U64" s="258"/>
      <c r="V64" s="258"/>
      <c r="W64" s="258"/>
      <c r="X64" s="258"/>
      <c r="Y64" s="258"/>
      <c r="Z64" s="258"/>
      <c r="AA64" s="258"/>
      <c r="AB64" s="258"/>
      <c r="AC64" s="258"/>
      <c r="AD64" s="258"/>
    </row>
    <row r="65" spans="1:30" s="49" customFormat="1" ht="18" customHeight="1" x14ac:dyDescent="0.3">
      <c r="A65" s="1423">
        <v>58</v>
      </c>
      <c r="B65" s="298"/>
      <c r="C65" s="299"/>
      <c r="D65" s="1096" t="s">
        <v>1307</v>
      </c>
      <c r="E65" s="1111"/>
      <c r="F65" s="1074"/>
      <c r="G65" s="1074"/>
      <c r="H65" s="1173"/>
      <c r="I65" s="373">
        <f>SUM(J65:Q65)</f>
        <v>10080</v>
      </c>
      <c r="J65" s="870">
        <v>8195</v>
      </c>
      <c r="K65" s="870">
        <v>1885</v>
      </c>
      <c r="L65" s="870"/>
      <c r="M65" s="870"/>
      <c r="N65" s="870"/>
      <c r="O65" s="870"/>
      <c r="P65" s="870"/>
      <c r="Q65" s="904"/>
      <c r="R65" s="258"/>
      <c r="S65" s="258"/>
      <c r="T65" s="258"/>
      <c r="U65" s="258"/>
      <c r="V65" s="258"/>
      <c r="W65" s="258"/>
      <c r="X65" s="258"/>
      <c r="Y65" s="258"/>
      <c r="Z65" s="258"/>
      <c r="AA65" s="258"/>
      <c r="AB65" s="258"/>
      <c r="AC65" s="258"/>
      <c r="AD65" s="258"/>
    </row>
    <row r="66" spans="1:30" s="49" customFormat="1" ht="18" customHeight="1" x14ac:dyDescent="0.3">
      <c r="A66" s="1423">
        <v>59</v>
      </c>
      <c r="B66" s="298"/>
      <c r="C66" s="299"/>
      <c r="D66" s="303" t="s">
        <v>733</v>
      </c>
      <c r="E66" s="539"/>
      <c r="F66" s="304"/>
      <c r="G66" s="304"/>
      <c r="H66" s="1174"/>
      <c r="I66" s="888">
        <f t="shared" ref="I66" si="14">SUM(J66:Q66)</f>
        <v>0</v>
      </c>
      <c r="J66" s="367"/>
      <c r="K66" s="367"/>
      <c r="L66" s="367"/>
      <c r="M66" s="367"/>
      <c r="N66" s="367"/>
      <c r="O66" s="367"/>
      <c r="P66" s="367"/>
      <c r="Q66" s="368"/>
      <c r="R66" s="258"/>
      <c r="S66" s="258"/>
      <c r="T66" s="258"/>
      <c r="U66" s="258"/>
      <c r="V66" s="258"/>
      <c r="W66" s="258"/>
      <c r="X66" s="258"/>
      <c r="Y66" s="258"/>
      <c r="Z66" s="258"/>
      <c r="AA66" s="258"/>
      <c r="AB66" s="258"/>
      <c r="AC66" s="258"/>
      <c r="AD66" s="258"/>
    </row>
    <row r="67" spans="1:30" s="49" customFormat="1" ht="18" customHeight="1" x14ac:dyDescent="0.3">
      <c r="A67" s="1423">
        <v>60</v>
      </c>
      <c r="B67" s="298"/>
      <c r="C67" s="299"/>
      <c r="D67" s="1096" t="s">
        <v>1391</v>
      </c>
      <c r="E67" s="906"/>
      <c r="F67" s="863"/>
      <c r="G67" s="863"/>
      <c r="H67" s="912"/>
      <c r="I67" s="373">
        <f>SUM(J67:Q67)</f>
        <v>10080</v>
      </c>
      <c r="J67" s="870">
        <f>SUM(J65:J66)</f>
        <v>8195</v>
      </c>
      <c r="K67" s="870">
        <f>SUM(K65:K66)</f>
        <v>1885</v>
      </c>
      <c r="L67" s="367"/>
      <c r="M67" s="367"/>
      <c r="N67" s="367"/>
      <c r="O67" s="367"/>
      <c r="P67" s="367"/>
      <c r="Q67" s="368"/>
      <c r="R67" s="258"/>
      <c r="S67" s="258"/>
      <c r="T67" s="258"/>
      <c r="U67" s="258"/>
      <c r="V67" s="258"/>
      <c r="W67" s="258"/>
      <c r="X67" s="258"/>
      <c r="Y67" s="258"/>
      <c r="Z67" s="258"/>
      <c r="AA67" s="258"/>
      <c r="AB67" s="258"/>
      <c r="AC67" s="258"/>
      <c r="AD67" s="258"/>
    </row>
    <row r="68" spans="1:30" s="51" customFormat="1" ht="22.5" customHeight="1" x14ac:dyDescent="0.3">
      <c r="A68" s="1423">
        <v>61</v>
      </c>
      <c r="B68" s="295">
        <v>8</v>
      </c>
      <c r="C68" s="296"/>
      <c r="D68" s="363" t="s">
        <v>130</v>
      </c>
      <c r="E68" s="536" t="s">
        <v>24</v>
      </c>
      <c r="F68" s="116">
        <v>75909</v>
      </c>
      <c r="G68" s="116">
        <v>64902</v>
      </c>
      <c r="H68" s="1172">
        <v>82024</v>
      </c>
      <c r="I68" s="383"/>
      <c r="J68" s="116"/>
      <c r="K68" s="116"/>
      <c r="L68" s="116"/>
      <c r="M68" s="116"/>
      <c r="N68" s="116"/>
      <c r="O68" s="116"/>
      <c r="P68" s="116"/>
      <c r="Q68" s="130"/>
      <c r="R68" s="257"/>
      <c r="S68" s="257"/>
      <c r="T68" s="257"/>
      <c r="U68" s="257"/>
      <c r="V68" s="257"/>
      <c r="W68" s="257"/>
      <c r="X68" s="257"/>
      <c r="Y68" s="257"/>
      <c r="Z68" s="257"/>
      <c r="AA68" s="257"/>
      <c r="AB68" s="257"/>
      <c r="AC68" s="257"/>
      <c r="AD68" s="257"/>
    </row>
    <row r="69" spans="1:30" s="46" customFormat="1" ht="18" customHeight="1" x14ac:dyDescent="0.3">
      <c r="A69" s="1423">
        <v>62</v>
      </c>
      <c r="B69" s="298"/>
      <c r="C69" s="299"/>
      <c r="D69" s="1052" t="s">
        <v>334</v>
      </c>
      <c r="E69" s="1074"/>
      <c r="F69" s="1074"/>
      <c r="G69" s="1074"/>
      <c r="H69" s="1173"/>
      <c r="I69" s="1105">
        <f>SUM(J69:Q69)</f>
        <v>66825</v>
      </c>
      <c r="J69" s="1106">
        <v>37684</v>
      </c>
      <c r="K69" s="1106">
        <v>7484</v>
      </c>
      <c r="L69" s="1106">
        <v>21657</v>
      </c>
      <c r="M69" s="367"/>
      <c r="N69" s="367"/>
      <c r="O69" s="367"/>
      <c r="P69" s="367"/>
      <c r="Q69" s="368"/>
      <c r="R69" s="255"/>
      <c r="S69" s="255"/>
      <c r="T69" s="255"/>
      <c r="U69" s="255"/>
      <c r="V69" s="255"/>
      <c r="W69" s="255"/>
      <c r="X69" s="255"/>
      <c r="Y69" s="255"/>
      <c r="Z69" s="255"/>
      <c r="AA69" s="255"/>
      <c r="AB69" s="255"/>
      <c r="AC69" s="255"/>
      <c r="AD69" s="255"/>
    </row>
    <row r="70" spans="1:30" s="46" customFormat="1" ht="18" customHeight="1" x14ac:dyDescent="0.3">
      <c r="A70" s="1423">
        <v>63</v>
      </c>
      <c r="B70" s="298"/>
      <c r="C70" s="299"/>
      <c r="D70" s="861" t="s">
        <v>1307</v>
      </c>
      <c r="E70" s="1074"/>
      <c r="F70" s="1074"/>
      <c r="G70" s="1074"/>
      <c r="H70" s="1173"/>
      <c r="I70" s="373">
        <f>SUM(J70:Q70)</f>
        <v>98994</v>
      </c>
      <c r="J70" s="870">
        <v>55289</v>
      </c>
      <c r="K70" s="870">
        <v>9965</v>
      </c>
      <c r="L70" s="870">
        <v>31116</v>
      </c>
      <c r="M70" s="870"/>
      <c r="N70" s="870"/>
      <c r="O70" s="870">
        <v>2624</v>
      </c>
      <c r="P70" s="870"/>
      <c r="Q70" s="904"/>
      <c r="R70" s="255"/>
      <c r="S70" s="255"/>
      <c r="T70" s="255"/>
      <c r="U70" s="255"/>
      <c r="V70" s="255"/>
      <c r="W70" s="255"/>
      <c r="X70" s="255"/>
      <c r="Y70" s="255"/>
      <c r="Z70" s="255"/>
      <c r="AA70" s="255"/>
      <c r="AB70" s="255"/>
      <c r="AC70" s="255"/>
      <c r="AD70" s="255"/>
    </row>
    <row r="71" spans="1:30" s="46" customFormat="1" ht="18" customHeight="1" x14ac:dyDescent="0.3">
      <c r="A71" s="1423">
        <v>64</v>
      </c>
      <c r="B71" s="298"/>
      <c r="C71" s="299"/>
      <c r="D71" s="1167" t="s">
        <v>1392</v>
      </c>
      <c r="E71" s="304"/>
      <c r="F71" s="304"/>
      <c r="G71" s="304"/>
      <c r="H71" s="1174"/>
      <c r="I71" s="888">
        <f t="shared" ref="I71:I72" si="15">SUM(J71:Q71)</f>
        <v>41</v>
      </c>
      <c r="J71" s="379">
        <v>35</v>
      </c>
      <c r="K71" s="379">
        <v>6</v>
      </c>
      <c r="L71" s="379"/>
      <c r="M71" s="379"/>
      <c r="N71" s="379"/>
      <c r="O71" s="379"/>
      <c r="P71" s="367"/>
      <c r="Q71" s="368"/>
      <c r="R71" s="255"/>
      <c r="S71" s="255"/>
      <c r="T71" s="255"/>
      <c r="U71" s="255"/>
      <c r="V71" s="255"/>
      <c r="W71" s="255"/>
      <c r="X71" s="255"/>
      <c r="Y71" s="255"/>
      <c r="Z71" s="255"/>
      <c r="AA71" s="255"/>
      <c r="AB71" s="255"/>
      <c r="AC71" s="255"/>
      <c r="AD71" s="255"/>
    </row>
    <row r="72" spans="1:30" s="46" customFormat="1" ht="18" customHeight="1" x14ac:dyDescent="0.3">
      <c r="A72" s="1423">
        <v>65</v>
      </c>
      <c r="B72" s="298"/>
      <c r="C72" s="299"/>
      <c r="D72" s="1167" t="s">
        <v>1376</v>
      </c>
      <c r="E72" s="304"/>
      <c r="F72" s="304"/>
      <c r="G72" s="304"/>
      <c r="H72" s="1174"/>
      <c r="I72" s="888">
        <f t="shared" si="15"/>
        <v>776</v>
      </c>
      <c r="J72" s="379">
        <v>660</v>
      </c>
      <c r="K72" s="379">
        <v>116</v>
      </c>
      <c r="L72" s="379"/>
      <c r="M72" s="379"/>
      <c r="N72" s="379"/>
      <c r="O72" s="379"/>
      <c r="P72" s="367"/>
      <c r="Q72" s="368"/>
      <c r="R72" s="255"/>
      <c r="S72" s="255"/>
      <c r="T72" s="255"/>
      <c r="U72" s="255"/>
      <c r="V72" s="255"/>
      <c r="W72" s="255"/>
      <c r="X72" s="255"/>
      <c r="Y72" s="255"/>
      <c r="Z72" s="255"/>
      <c r="AA72" s="255"/>
      <c r="AB72" s="255"/>
      <c r="AC72" s="255"/>
      <c r="AD72" s="255"/>
    </row>
    <row r="73" spans="1:30" s="46" customFormat="1" ht="18" customHeight="1" x14ac:dyDescent="0.3">
      <c r="A73" s="1423">
        <v>66</v>
      </c>
      <c r="B73" s="298"/>
      <c r="C73" s="299"/>
      <c r="D73" s="1091" t="s">
        <v>1391</v>
      </c>
      <c r="E73" s="863"/>
      <c r="F73" s="863"/>
      <c r="G73" s="863"/>
      <c r="H73" s="912"/>
      <c r="I73" s="373">
        <f>SUM(J73:Q73)</f>
        <v>99811</v>
      </c>
      <c r="J73" s="870">
        <f>SUM(J70:J72)</f>
        <v>55984</v>
      </c>
      <c r="K73" s="870">
        <f>SUM(K70:K72)</f>
        <v>10087</v>
      </c>
      <c r="L73" s="870">
        <f>SUM(L70:L72)</f>
        <v>31116</v>
      </c>
      <c r="M73" s="870"/>
      <c r="N73" s="870"/>
      <c r="O73" s="870">
        <f>SUM(O70:O72)</f>
        <v>2624</v>
      </c>
      <c r="P73" s="367"/>
      <c r="Q73" s="368"/>
      <c r="R73" s="255"/>
      <c r="S73" s="255"/>
      <c r="T73" s="255"/>
      <c r="U73" s="255"/>
      <c r="V73" s="255"/>
      <c r="W73" s="255"/>
      <c r="X73" s="255"/>
      <c r="Y73" s="255"/>
      <c r="Z73" s="255"/>
      <c r="AA73" s="255"/>
      <c r="AB73" s="255"/>
      <c r="AC73" s="255"/>
      <c r="AD73" s="255"/>
    </row>
    <row r="74" spans="1:30" s="51" customFormat="1" ht="18" customHeight="1" x14ac:dyDescent="0.3">
      <c r="A74" s="1423">
        <v>67</v>
      </c>
      <c r="B74" s="301"/>
      <c r="C74" s="302">
        <v>1</v>
      </c>
      <c r="D74" s="303" t="s">
        <v>157</v>
      </c>
      <c r="E74" s="538"/>
      <c r="F74" s="116">
        <v>1056</v>
      </c>
      <c r="G74" s="116">
        <v>1076</v>
      </c>
      <c r="H74" s="1172">
        <v>89</v>
      </c>
      <c r="I74" s="383"/>
      <c r="J74" s="367"/>
      <c r="K74" s="367"/>
      <c r="L74" s="367"/>
      <c r="M74" s="379"/>
      <c r="N74" s="379"/>
      <c r="O74" s="379"/>
      <c r="P74" s="379"/>
      <c r="Q74" s="380"/>
      <c r="R74" s="257"/>
      <c r="S74" s="257"/>
      <c r="T74" s="257"/>
      <c r="U74" s="257"/>
      <c r="V74" s="257"/>
      <c r="W74" s="257"/>
      <c r="X74" s="257"/>
      <c r="Y74" s="257"/>
      <c r="Z74" s="257"/>
      <c r="AA74" s="257"/>
      <c r="AB74" s="257"/>
      <c r="AC74" s="257"/>
      <c r="AD74" s="257"/>
    </row>
    <row r="75" spans="1:30" s="49" customFormat="1" ht="18" customHeight="1" x14ac:dyDescent="0.3">
      <c r="A75" s="1423">
        <v>68</v>
      </c>
      <c r="B75" s="298"/>
      <c r="C75" s="333"/>
      <c r="D75" s="1076" t="s">
        <v>334</v>
      </c>
      <c r="E75" s="1112"/>
      <c r="F75" s="1085"/>
      <c r="G75" s="1085"/>
      <c r="H75" s="1182"/>
      <c r="I75" s="1113">
        <f>SUM(J75:Q75)</f>
        <v>0</v>
      </c>
      <c r="J75" s="374"/>
      <c r="K75" s="374"/>
      <c r="L75" s="374"/>
      <c r="M75" s="374"/>
      <c r="N75" s="374"/>
      <c r="O75" s="374"/>
      <c r="P75" s="374"/>
      <c r="Q75" s="375"/>
      <c r="R75" s="258"/>
      <c r="S75" s="258"/>
      <c r="T75" s="258"/>
      <c r="U75" s="258"/>
      <c r="V75" s="258"/>
      <c r="W75" s="258"/>
      <c r="X75" s="258"/>
      <c r="Y75" s="258"/>
      <c r="Z75" s="258"/>
      <c r="AA75" s="258"/>
      <c r="AB75" s="258"/>
      <c r="AC75" s="258"/>
      <c r="AD75" s="258"/>
    </row>
    <row r="76" spans="1:30" s="49" customFormat="1" ht="18" customHeight="1" x14ac:dyDescent="0.3">
      <c r="A76" s="1423">
        <v>69</v>
      </c>
      <c r="B76" s="298"/>
      <c r="C76" s="333"/>
      <c r="D76" s="1096" t="s">
        <v>1307</v>
      </c>
      <c r="E76" s="1112"/>
      <c r="F76" s="1085"/>
      <c r="G76" s="1085"/>
      <c r="H76" s="1182"/>
      <c r="I76" s="373">
        <f>SUM(J76:Q76)</f>
        <v>0</v>
      </c>
      <c r="J76" s="374"/>
      <c r="K76" s="374"/>
      <c r="L76" s="374"/>
      <c r="M76" s="374"/>
      <c r="N76" s="374"/>
      <c r="O76" s="374"/>
      <c r="P76" s="374"/>
      <c r="Q76" s="375"/>
      <c r="R76" s="258"/>
      <c r="S76" s="258"/>
      <c r="T76" s="258"/>
      <c r="U76" s="258"/>
      <c r="V76" s="258"/>
      <c r="W76" s="258"/>
      <c r="X76" s="258"/>
      <c r="Y76" s="258"/>
      <c r="Z76" s="258"/>
      <c r="AA76" s="258"/>
      <c r="AB76" s="258"/>
      <c r="AC76" s="258"/>
      <c r="AD76" s="258"/>
    </row>
    <row r="77" spans="1:30" s="49" customFormat="1" ht="18" customHeight="1" x14ac:dyDescent="0.3">
      <c r="A77" s="1423">
        <v>70</v>
      </c>
      <c r="B77" s="298"/>
      <c r="C77" s="333"/>
      <c r="D77" s="303" t="s">
        <v>733</v>
      </c>
      <c r="E77" s="540"/>
      <c r="F77" s="334"/>
      <c r="G77" s="334"/>
      <c r="H77" s="1183"/>
      <c r="I77" s="888">
        <f t="shared" ref="I77" si="16">SUM(J77:Q77)</f>
        <v>0</v>
      </c>
      <c r="J77" s="374"/>
      <c r="K77" s="374"/>
      <c r="L77" s="374"/>
      <c r="M77" s="374"/>
      <c r="N77" s="374"/>
      <c r="O77" s="374"/>
      <c r="P77" s="374"/>
      <c r="Q77" s="375"/>
      <c r="R77" s="258"/>
      <c r="S77" s="258"/>
      <c r="T77" s="258"/>
      <c r="U77" s="258"/>
      <c r="V77" s="258"/>
      <c r="W77" s="258"/>
      <c r="X77" s="258"/>
      <c r="Y77" s="258"/>
      <c r="Z77" s="258"/>
      <c r="AA77" s="258"/>
      <c r="AB77" s="258"/>
      <c r="AC77" s="258"/>
      <c r="AD77" s="258"/>
    </row>
    <row r="78" spans="1:30" s="49" customFormat="1" ht="18" customHeight="1" x14ac:dyDescent="0.3">
      <c r="A78" s="1423">
        <v>71</v>
      </c>
      <c r="B78" s="298"/>
      <c r="C78" s="333"/>
      <c r="D78" s="1096" t="s">
        <v>1391</v>
      </c>
      <c r="E78" s="907"/>
      <c r="F78" s="1114"/>
      <c r="G78" s="1114"/>
      <c r="H78" s="1184"/>
      <c r="I78" s="373">
        <f>SUM(J78:Q78)</f>
        <v>0</v>
      </c>
      <c r="J78" s="374"/>
      <c r="K78" s="374"/>
      <c r="L78" s="374"/>
      <c r="M78" s="374"/>
      <c r="N78" s="374"/>
      <c r="O78" s="374"/>
      <c r="P78" s="374"/>
      <c r="Q78" s="375"/>
      <c r="R78" s="258"/>
      <c r="S78" s="258"/>
      <c r="T78" s="258"/>
      <c r="U78" s="258"/>
      <c r="V78" s="258"/>
      <c r="W78" s="258"/>
      <c r="X78" s="258"/>
      <c r="Y78" s="258"/>
      <c r="Z78" s="258"/>
      <c r="AA78" s="258"/>
      <c r="AB78" s="258"/>
      <c r="AC78" s="258"/>
      <c r="AD78" s="258"/>
    </row>
    <row r="79" spans="1:30" s="51" customFormat="1" ht="22.5" customHeight="1" x14ac:dyDescent="0.3">
      <c r="A79" s="1423">
        <v>72</v>
      </c>
      <c r="B79" s="295">
        <v>9</v>
      </c>
      <c r="C79" s="296"/>
      <c r="D79" s="363" t="s">
        <v>559</v>
      </c>
      <c r="E79" s="536" t="s">
        <v>24</v>
      </c>
      <c r="F79" s="116"/>
      <c r="G79" s="116"/>
      <c r="H79" s="1172"/>
      <c r="I79" s="383"/>
      <c r="J79" s="116"/>
      <c r="K79" s="116"/>
      <c r="L79" s="116"/>
      <c r="M79" s="116"/>
      <c r="N79" s="116"/>
      <c r="O79" s="116"/>
      <c r="P79" s="116"/>
      <c r="Q79" s="130"/>
      <c r="R79" s="257"/>
      <c r="S79" s="257"/>
      <c r="T79" s="257"/>
      <c r="U79" s="257"/>
      <c r="V79" s="257"/>
      <c r="W79" s="257"/>
      <c r="X79" s="257"/>
      <c r="Y79" s="257"/>
      <c r="Z79" s="257"/>
      <c r="AA79" s="257"/>
      <c r="AB79" s="257"/>
      <c r="AC79" s="257"/>
      <c r="AD79" s="257"/>
    </row>
    <row r="80" spans="1:30" s="46" customFormat="1" ht="18" customHeight="1" x14ac:dyDescent="0.3">
      <c r="A80" s="1423">
        <v>73</v>
      </c>
      <c r="B80" s="298"/>
      <c r="C80" s="299"/>
      <c r="D80" s="1052" t="s">
        <v>334</v>
      </c>
      <c r="E80" s="1074"/>
      <c r="F80" s="1074"/>
      <c r="G80" s="1074"/>
      <c r="H80" s="1173"/>
      <c r="I80" s="1105">
        <f>SUM(J80:Q80)</f>
        <v>236700</v>
      </c>
      <c r="J80" s="1106">
        <v>165535</v>
      </c>
      <c r="K80" s="1106">
        <v>36707</v>
      </c>
      <c r="L80" s="1106">
        <v>30073</v>
      </c>
      <c r="M80" s="1106"/>
      <c r="N80" s="1106"/>
      <c r="O80" s="1106">
        <v>4385</v>
      </c>
      <c r="P80" s="367"/>
      <c r="Q80" s="368"/>
      <c r="R80" s="255"/>
      <c r="S80" s="255"/>
      <c r="T80" s="255"/>
      <c r="U80" s="255"/>
      <c r="V80" s="255"/>
      <c r="W80" s="255"/>
      <c r="X80" s="255"/>
      <c r="Y80" s="255"/>
      <c r="Z80" s="255"/>
      <c r="AA80" s="255"/>
      <c r="AB80" s="255"/>
      <c r="AC80" s="255"/>
      <c r="AD80" s="255"/>
    </row>
    <row r="81" spans="1:30" s="46" customFormat="1" ht="18" customHeight="1" x14ac:dyDescent="0.3">
      <c r="A81" s="1423">
        <v>74</v>
      </c>
      <c r="B81" s="298"/>
      <c r="C81" s="299"/>
      <c r="D81" s="861" t="s">
        <v>1307</v>
      </c>
      <c r="E81" s="1074"/>
      <c r="F81" s="1074"/>
      <c r="G81" s="1074"/>
      <c r="H81" s="1173"/>
      <c r="I81" s="373">
        <f>SUM(J81:Q81)</f>
        <v>293398</v>
      </c>
      <c r="J81" s="870">
        <v>201022</v>
      </c>
      <c r="K81" s="870">
        <v>45315</v>
      </c>
      <c r="L81" s="870">
        <v>39511</v>
      </c>
      <c r="M81" s="870"/>
      <c r="N81" s="870"/>
      <c r="O81" s="870">
        <v>7170</v>
      </c>
      <c r="P81" s="870">
        <v>380</v>
      </c>
      <c r="Q81" s="368"/>
      <c r="R81" s="255"/>
      <c r="S81" s="255"/>
      <c r="T81" s="255"/>
      <c r="U81" s="255"/>
      <c r="V81" s="255"/>
      <c r="W81" s="255"/>
      <c r="X81" s="255"/>
      <c r="Y81" s="255"/>
      <c r="Z81" s="255"/>
      <c r="AA81" s="255"/>
      <c r="AB81" s="255"/>
      <c r="AC81" s="255"/>
      <c r="AD81" s="255"/>
    </row>
    <row r="82" spans="1:30" s="46" customFormat="1" ht="18" customHeight="1" x14ac:dyDescent="0.3">
      <c r="A82" s="1423">
        <v>75</v>
      </c>
      <c r="B82" s="298"/>
      <c r="C82" s="299"/>
      <c r="D82" s="1167" t="s">
        <v>1392</v>
      </c>
      <c r="E82" s="304"/>
      <c r="F82" s="304"/>
      <c r="G82" s="304"/>
      <c r="H82" s="1174"/>
      <c r="I82" s="888">
        <f t="shared" ref="I82:I84" si="17">SUM(J82:Q82)</f>
        <v>220</v>
      </c>
      <c r="J82" s="379">
        <v>187</v>
      </c>
      <c r="K82" s="379">
        <v>33</v>
      </c>
      <c r="L82" s="379"/>
      <c r="M82" s="379"/>
      <c r="N82" s="379"/>
      <c r="O82" s="379"/>
      <c r="P82" s="367"/>
      <c r="Q82" s="368"/>
      <c r="R82" s="255"/>
      <c r="S82" s="255"/>
      <c r="T82" s="255"/>
      <c r="U82" s="255"/>
      <c r="V82" s="255"/>
      <c r="W82" s="255"/>
      <c r="X82" s="255"/>
      <c r="Y82" s="255"/>
      <c r="Z82" s="255"/>
      <c r="AA82" s="255"/>
      <c r="AB82" s="255"/>
      <c r="AC82" s="255"/>
      <c r="AD82" s="255"/>
    </row>
    <row r="83" spans="1:30" s="46" customFormat="1" ht="18" customHeight="1" x14ac:dyDescent="0.3">
      <c r="A83" s="1423">
        <v>76</v>
      </c>
      <c r="B83" s="298"/>
      <c r="C83" s="299"/>
      <c r="D83" s="1167" t="s">
        <v>1376</v>
      </c>
      <c r="E83" s="304"/>
      <c r="F83" s="304"/>
      <c r="G83" s="304"/>
      <c r="H83" s="1174"/>
      <c r="I83" s="888">
        <f t="shared" si="17"/>
        <v>4046</v>
      </c>
      <c r="J83" s="379">
        <v>3443</v>
      </c>
      <c r="K83" s="379">
        <v>603</v>
      </c>
      <c r="L83" s="379"/>
      <c r="M83" s="379"/>
      <c r="N83" s="379"/>
      <c r="O83" s="379"/>
      <c r="P83" s="367"/>
      <c r="Q83" s="368"/>
      <c r="R83" s="255"/>
      <c r="S83" s="255"/>
      <c r="T83" s="255"/>
      <c r="U83" s="255"/>
      <c r="V83" s="255"/>
      <c r="W83" s="255"/>
      <c r="X83" s="255"/>
      <c r="Y83" s="255"/>
      <c r="Z83" s="255"/>
      <c r="AA83" s="255"/>
      <c r="AB83" s="255"/>
      <c r="AC83" s="255"/>
      <c r="AD83" s="255"/>
    </row>
    <row r="84" spans="1:30" s="46" customFormat="1" ht="18" customHeight="1" x14ac:dyDescent="0.3">
      <c r="A84" s="1423">
        <v>77</v>
      </c>
      <c r="B84" s="298"/>
      <c r="C84" s="299"/>
      <c r="D84" s="1167" t="s">
        <v>1406</v>
      </c>
      <c r="E84" s="304"/>
      <c r="F84" s="304"/>
      <c r="G84" s="304"/>
      <c r="H84" s="1174"/>
      <c r="I84" s="888">
        <f t="shared" si="17"/>
        <v>1284</v>
      </c>
      <c r="J84" s="379"/>
      <c r="K84" s="379"/>
      <c r="L84" s="379">
        <v>1284</v>
      </c>
      <c r="M84" s="379"/>
      <c r="N84" s="379"/>
      <c r="O84" s="379"/>
      <c r="P84" s="367"/>
      <c r="Q84" s="368"/>
      <c r="R84" s="255"/>
      <c r="S84" s="255"/>
      <c r="T84" s="255"/>
      <c r="U84" s="255"/>
      <c r="V84" s="255"/>
      <c r="W84" s="255"/>
      <c r="X84" s="255"/>
      <c r="Y84" s="255"/>
      <c r="Z84" s="255"/>
      <c r="AA84" s="255"/>
      <c r="AB84" s="255"/>
      <c r="AC84" s="255"/>
      <c r="AD84" s="255"/>
    </row>
    <row r="85" spans="1:30" s="46" customFormat="1" ht="18" customHeight="1" x14ac:dyDescent="0.3">
      <c r="A85" s="1423">
        <v>78</v>
      </c>
      <c r="B85" s="298"/>
      <c r="C85" s="299"/>
      <c r="D85" s="1091" t="s">
        <v>1391</v>
      </c>
      <c r="E85" s="863"/>
      <c r="F85" s="863"/>
      <c r="G85" s="863"/>
      <c r="H85" s="912"/>
      <c r="I85" s="373">
        <f>SUM(J85:Q85)</f>
        <v>298948</v>
      </c>
      <c r="J85" s="870">
        <f>SUM(J81:J84)</f>
        <v>204652</v>
      </c>
      <c r="K85" s="870">
        <f>SUM(K81:K84)</f>
        <v>45951</v>
      </c>
      <c r="L85" s="870">
        <f>SUM(L81:L84)</f>
        <v>40795</v>
      </c>
      <c r="M85" s="870"/>
      <c r="N85" s="870"/>
      <c r="O85" s="870">
        <f>SUM(O81:O84)</f>
        <v>7170</v>
      </c>
      <c r="P85" s="870">
        <f>SUM(P81:P84)</f>
        <v>380</v>
      </c>
      <c r="Q85" s="368"/>
      <c r="R85" s="255"/>
      <c r="S85" s="255"/>
      <c r="T85" s="255"/>
      <c r="U85" s="255"/>
      <c r="V85" s="255"/>
      <c r="W85" s="255"/>
      <c r="X85" s="255"/>
      <c r="Y85" s="255"/>
      <c r="Z85" s="255"/>
      <c r="AA85" s="255"/>
      <c r="AB85" s="255"/>
      <c r="AC85" s="255"/>
      <c r="AD85" s="255"/>
    </row>
    <row r="86" spans="1:30" s="51" customFormat="1" ht="18" customHeight="1" x14ac:dyDescent="0.3">
      <c r="A86" s="1423">
        <v>79</v>
      </c>
      <c r="B86" s="301"/>
      <c r="C86" s="302">
        <v>1</v>
      </c>
      <c r="D86" s="303" t="s">
        <v>157</v>
      </c>
      <c r="E86" s="538"/>
      <c r="F86" s="116"/>
      <c r="G86" s="116"/>
      <c r="H86" s="1172"/>
      <c r="I86" s="383"/>
      <c r="J86" s="367"/>
      <c r="K86" s="367"/>
      <c r="L86" s="367"/>
      <c r="M86" s="379"/>
      <c r="N86" s="379"/>
      <c r="O86" s="379"/>
      <c r="P86" s="379"/>
      <c r="Q86" s="380"/>
      <c r="R86" s="257"/>
      <c r="S86" s="257"/>
      <c r="T86" s="257"/>
      <c r="U86" s="257"/>
      <c r="V86" s="257"/>
      <c r="W86" s="257"/>
      <c r="X86" s="257"/>
      <c r="Y86" s="257"/>
      <c r="Z86" s="257"/>
      <c r="AA86" s="257"/>
      <c r="AB86" s="257"/>
      <c r="AC86" s="257"/>
      <c r="AD86" s="257"/>
    </row>
    <row r="87" spans="1:30" s="49" customFormat="1" ht="18" customHeight="1" x14ac:dyDescent="0.3">
      <c r="A87" s="1423">
        <v>80</v>
      </c>
      <c r="B87" s="298"/>
      <c r="C87" s="299"/>
      <c r="D87" s="1076" t="s">
        <v>334</v>
      </c>
      <c r="E87" s="1111"/>
      <c r="F87" s="1074"/>
      <c r="G87" s="1074"/>
      <c r="H87" s="1175"/>
      <c r="I87" s="1107">
        <f>SUM(J87:Q87)</f>
        <v>269</v>
      </c>
      <c r="J87" s="1106">
        <v>245</v>
      </c>
      <c r="K87" s="1106">
        <v>24</v>
      </c>
      <c r="L87" s="367"/>
      <c r="M87" s="367"/>
      <c r="N87" s="367"/>
      <c r="O87" s="367"/>
      <c r="P87" s="367"/>
      <c r="Q87" s="368"/>
      <c r="R87" s="258"/>
      <c r="S87" s="258"/>
      <c r="T87" s="258"/>
      <c r="U87" s="258"/>
      <c r="V87" s="258"/>
      <c r="W87" s="258"/>
      <c r="X87" s="258"/>
      <c r="Y87" s="258"/>
      <c r="Z87" s="258"/>
      <c r="AA87" s="258"/>
      <c r="AB87" s="258"/>
      <c r="AC87" s="258"/>
      <c r="AD87" s="258"/>
    </row>
    <row r="88" spans="1:30" s="49" customFormat="1" ht="18" customHeight="1" x14ac:dyDescent="0.3">
      <c r="A88" s="1423">
        <v>81</v>
      </c>
      <c r="B88" s="298"/>
      <c r="C88" s="299"/>
      <c r="D88" s="1096" t="s">
        <v>1307</v>
      </c>
      <c r="E88" s="1111"/>
      <c r="F88" s="1074"/>
      <c r="G88" s="1074"/>
      <c r="H88" s="1175"/>
      <c r="I88" s="373">
        <f>SUM(J88:Q88)</f>
        <v>269</v>
      </c>
      <c r="J88" s="870">
        <v>245</v>
      </c>
      <c r="K88" s="870">
        <v>24</v>
      </c>
      <c r="L88" s="870"/>
      <c r="M88" s="870"/>
      <c r="N88" s="870"/>
      <c r="O88" s="870"/>
      <c r="P88" s="870"/>
      <c r="Q88" s="904"/>
      <c r="R88" s="258"/>
      <c r="S88" s="258"/>
      <c r="T88" s="258"/>
      <c r="U88" s="258"/>
      <c r="V88" s="258"/>
      <c r="W88" s="258"/>
      <c r="X88" s="258"/>
      <c r="Y88" s="258"/>
      <c r="Z88" s="258"/>
      <c r="AA88" s="258"/>
      <c r="AB88" s="258"/>
      <c r="AC88" s="258"/>
      <c r="AD88" s="258"/>
    </row>
    <row r="89" spans="1:30" s="49" customFormat="1" ht="18" customHeight="1" x14ac:dyDescent="0.3">
      <c r="A89" s="1423">
        <v>82</v>
      </c>
      <c r="B89" s="298"/>
      <c r="C89" s="299"/>
      <c r="D89" s="303" t="s">
        <v>733</v>
      </c>
      <c r="E89" s="539"/>
      <c r="F89" s="304"/>
      <c r="G89" s="304"/>
      <c r="H89" s="1176"/>
      <c r="I89" s="888">
        <f t="shared" ref="I89" si="18">SUM(J89:Q89)</f>
        <v>0</v>
      </c>
      <c r="J89" s="367"/>
      <c r="K89" s="367"/>
      <c r="L89" s="367"/>
      <c r="M89" s="367"/>
      <c r="N89" s="367"/>
      <c r="O89" s="367"/>
      <c r="P89" s="367"/>
      <c r="Q89" s="368"/>
      <c r="R89" s="258"/>
      <c r="S89" s="258"/>
      <c r="T89" s="258"/>
      <c r="U89" s="258"/>
      <c r="V89" s="258"/>
      <c r="W89" s="258"/>
      <c r="X89" s="258"/>
      <c r="Y89" s="258"/>
      <c r="Z89" s="258"/>
      <c r="AA89" s="258"/>
      <c r="AB89" s="258"/>
      <c r="AC89" s="258"/>
      <c r="AD89" s="258"/>
    </row>
    <row r="90" spans="1:30" s="49" customFormat="1" ht="18" customHeight="1" thickBot="1" x14ac:dyDescent="0.35">
      <c r="A90" s="1423">
        <v>83</v>
      </c>
      <c r="B90" s="767"/>
      <c r="C90" s="337"/>
      <c r="D90" s="1093" t="s">
        <v>1391</v>
      </c>
      <c r="E90" s="1464"/>
      <c r="F90" s="865"/>
      <c r="G90" s="865"/>
      <c r="H90" s="1465"/>
      <c r="I90" s="373">
        <f>SUM(J90:Q90)</f>
        <v>269</v>
      </c>
      <c r="J90" s="891">
        <f>SUM(J88:J89)</f>
        <v>245</v>
      </c>
      <c r="K90" s="891">
        <f>SUM(K88:K89)</f>
        <v>24</v>
      </c>
      <c r="L90" s="1466"/>
      <c r="M90" s="1466"/>
      <c r="N90" s="1466"/>
      <c r="O90" s="1466"/>
      <c r="P90" s="1466"/>
      <c r="Q90" s="1467"/>
      <c r="R90" s="258"/>
      <c r="S90" s="258"/>
      <c r="T90" s="258"/>
      <c r="U90" s="258"/>
      <c r="V90" s="258"/>
      <c r="W90" s="258"/>
      <c r="X90" s="258"/>
      <c r="Y90" s="258"/>
      <c r="Z90" s="258"/>
      <c r="AA90" s="258"/>
      <c r="AB90" s="258"/>
      <c r="AC90" s="258"/>
      <c r="AD90" s="258"/>
    </row>
    <row r="91" spans="1:30" s="49" customFormat="1" ht="18" customHeight="1" thickTop="1" x14ac:dyDescent="0.3">
      <c r="A91" s="1423">
        <v>84</v>
      </c>
      <c r="B91" s="767"/>
      <c r="C91" s="1068"/>
      <c r="D91" s="860" t="s">
        <v>163</v>
      </c>
      <c r="E91" s="1468"/>
      <c r="F91" s="1120"/>
      <c r="G91" s="1120"/>
      <c r="H91" s="1469"/>
      <c r="I91" s="1470"/>
      <c r="J91" s="1471"/>
      <c r="K91" s="1121"/>
      <c r="L91" s="1109"/>
      <c r="M91" s="1109"/>
      <c r="N91" s="1109"/>
      <c r="O91" s="1109"/>
      <c r="P91" s="1109"/>
      <c r="Q91" s="1123"/>
      <c r="R91" s="258"/>
      <c r="S91" s="258"/>
      <c r="T91" s="258"/>
      <c r="U91" s="258"/>
      <c r="V91" s="258"/>
      <c r="W91" s="258"/>
      <c r="X91" s="258"/>
      <c r="Y91" s="258"/>
      <c r="Z91" s="258"/>
      <c r="AA91" s="258"/>
      <c r="AB91" s="258"/>
      <c r="AC91" s="258"/>
      <c r="AD91" s="258"/>
    </row>
    <row r="92" spans="1:30" s="204" customFormat="1" ht="20.100000000000001" customHeight="1" x14ac:dyDescent="0.2">
      <c r="A92" s="1423">
        <v>85</v>
      </c>
      <c r="B92" s="376"/>
      <c r="C92" s="860"/>
      <c r="D92" s="1110" t="s">
        <v>334</v>
      </c>
      <c r="E92" s="1117"/>
      <c r="F92" s="1472">
        <f>SUM(F56:F87)</f>
        <v>918511</v>
      </c>
      <c r="G92" s="1472">
        <f>SUM(G56:G87)</f>
        <v>929650</v>
      </c>
      <c r="H92" s="1473">
        <f>SUM(H56:H87)</f>
        <v>988845</v>
      </c>
      <c r="I92" s="1474">
        <f>SUM(J92:Q92)</f>
        <v>1196860</v>
      </c>
      <c r="J92" s="1475">
        <f t="shared" ref="J92:Q92" si="19">SUM(J57,J64,J69,J75,J80,J87)</f>
        <v>814964</v>
      </c>
      <c r="K92" s="1475">
        <f t="shared" si="19"/>
        <v>179143</v>
      </c>
      <c r="L92" s="1475">
        <f t="shared" si="19"/>
        <v>191888</v>
      </c>
      <c r="M92" s="1475">
        <f t="shared" si="19"/>
        <v>0</v>
      </c>
      <c r="N92" s="1475">
        <f t="shared" si="19"/>
        <v>0</v>
      </c>
      <c r="O92" s="1475">
        <f t="shared" si="19"/>
        <v>10865</v>
      </c>
      <c r="P92" s="1475">
        <f t="shared" si="19"/>
        <v>0</v>
      </c>
      <c r="Q92" s="1476">
        <f t="shared" si="19"/>
        <v>0</v>
      </c>
      <c r="R92" s="377">
        <f>+'3.Inbe'!N96-'5.Inki'!I92</f>
        <v>0</v>
      </c>
      <c r="S92" s="382"/>
      <c r="T92" s="382"/>
      <c r="U92" s="382"/>
      <c r="V92" s="382"/>
      <c r="W92" s="382"/>
      <c r="X92" s="382"/>
      <c r="Y92" s="382"/>
      <c r="Z92" s="382"/>
      <c r="AA92" s="382"/>
      <c r="AB92" s="382"/>
      <c r="AC92" s="382"/>
      <c r="AD92" s="382"/>
    </row>
    <row r="93" spans="1:30" s="204" customFormat="1" ht="20.100000000000001" customHeight="1" x14ac:dyDescent="0.3">
      <c r="A93" s="1423">
        <v>86</v>
      </c>
      <c r="B93" s="376"/>
      <c r="C93" s="862"/>
      <c r="D93" s="861" t="s">
        <v>1307</v>
      </c>
      <c r="E93" s="1463"/>
      <c r="F93" s="860"/>
      <c r="G93" s="860"/>
      <c r="H93" s="1178"/>
      <c r="I93" s="373">
        <f>SUM(J93:Q93)</f>
        <v>1392642</v>
      </c>
      <c r="J93" s="903">
        <f t="shared" ref="J93:Q93" si="20">J88+J81+J70+J65+J58</f>
        <v>936706</v>
      </c>
      <c r="K93" s="903">
        <f t="shared" si="20"/>
        <v>198992</v>
      </c>
      <c r="L93" s="903">
        <f t="shared" si="20"/>
        <v>218490</v>
      </c>
      <c r="M93" s="903">
        <f t="shared" si="20"/>
        <v>0</v>
      </c>
      <c r="N93" s="903">
        <f t="shared" si="20"/>
        <v>0</v>
      </c>
      <c r="O93" s="903">
        <f t="shared" si="20"/>
        <v>38074</v>
      </c>
      <c r="P93" s="903">
        <f t="shared" si="20"/>
        <v>380</v>
      </c>
      <c r="Q93" s="1219">
        <f t="shared" si="20"/>
        <v>0</v>
      </c>
      <c r="R93" s="377"/>
      <c r="S93" s="382"/>
      <c r="T93" s="382"/>
      <c r="U93" s="382"/>
      <c r="V93" s="382"/>
      <c r="W93" s="382"/>
      <c r="X93" s="382"/>
      <c r="Y93" s="382"/>
      <c r="Z93" s="382"/>
      <c r="AA93" s="382"/>
      <c r="AB93" s="382"/>
      <c r="AC93" s="382"/>
      <c r="AD93" s="382"/>
    </row>
    <row r="94" spans="1:30" s="204" customFormat="1" ht="20.100000000000001" customHeight="1" x14ac:dyDescent="0.3">
      <c r="A94" s="1423">
        <v>87</v>
      </c>
      <c r="B94" s="376"/>
      <c r="C94" s="862"/>
      <c r="D94" s="868" t="s">
        <v>733</v>
      </c>
      <c r="E94" s="892"/>
      <c r="F94" s="862"/>
      <c r="G94" s="862"/>
      <c r="H94" s="1185"/>
      <c r="I94" s="888">
        <f t="shared" ref="I94" si="21">SUM(J94:Q94)</f>
        <v>7709</v>
      </c>
      <c r="J94" s="379">
        <f>J89+J83+J82+J77+J72+J71+J66+J61+J60+J59+J84</f>
        <v>4567</v>
      </c>
      <c r="K94" s="379">
        <f t="shared" ref="K94:Q94" si="22">K89+K83+K82+K77+K72+K71+K66+K61+K60+K59+K84</f>
        <v>958</v>
      </c>
      <c r="L94" s="379">
        <f t="shared" si="22"/>
        <v>1284</v>
      </c>
      <c r="M94" s="379">
        <f t="shared" si="22"/>
        <v>0</v>
      </c>
      <c r="N94" s="379">
        <f t="shared" si="22"/>
        <v>0</v>
      </c>
      <c r="O94" s="379">
        <f t="shared" si="22"/>
        <v>900</v>
      </c>
      <c r="P94" s="379">
        <f t="shared" si="22"/>
        <v>0</v>
      </c>
      <c r="Q94" s="380">
        <f t="shared" si="22"/>
        <v>0</v>
      </c>
      <c r="R94" s="377"/>
      <c r="S94" s="382"/>
      <c r="T94" s="382"/>
      <c r="U94" s="382"/>
      <c r="V94" s="382"/>
      <c r="W94" s="382"/>
      <c r="X94" s="382"/>
      <c r="Y94" s="382"/>
      <c r="Z94" s="382"/>
      <c r="AA94" s="382"/>
      <c r="AB94" s="382"/>
      <c r="AC94" s="382"/>
      <c r="AD94" s="382"/>
    </row>
    <row r="95" spans="1:30" s="204" customFormat="1" ht="20.100000000000001" customHeight="1" thickBot="1" x14ac:dyDescent="0.35">
      <c r="A95" s="1423">
        <v>88</v>
      </c>
      <c r="B95" s="376"/>
      <c r="C95" s="864"/>
      <c r="D95" s="1095" t="s">
        <v>1391</v>
      </c>
      <c r="E95" s="894"/>
      <c r="F95" s="864"/>
      <c r="G95" s="864"/>
      <c r="H95" s="1180"/>
      <c r="I95" s="889">
        <f>SUM(J95:Q95)</f>
        <v>1400351</v>
      </c>
      <c r="J95" s="1478">
        <f>SUM(J93:J94)</f>
        <v>941273</v>
      </c>
      <c r="K95" s="1478">
        <f t="shared" ref="K95:Q95" si="23">SUM(K93:K94)</f>
        <v>199950</v>
      </c>
      <c r="L95" s="1478">
        <f t="shared" si="23"/>
        <v>219774</v>
      </c>
      <c r="M95" s="1478">
        <f t="shared" si="23"/>
        <v>0</v>
      </c>
      <c r="N95" s="1478">
        <f t="shared" si="23"/>
        <v>0</v>
      </c>
      <c r="O95" s="1478">
        <f t="shared" si="23"/>
        <v>38974</v>
      </c>
      <c r="P95" s="1478">
        <f t="shared" si="23"/>
        <v>380</v>
      </c>
      <c r="Q95" s="1495">
        <f t="shared" si="23"/>
        <v>0</v>
      </c>
      <c r="R95" s="377"/>
      <c r="S95" s="382"/>
      <c r="T95" s="382"/>
      <c r="U95" s="382"/>
      <c r="V95" s="382"/>
      <c r="W95" s="382"/>
      <c r="X95" s="382"/>
      <c r="Y95" s="382"/>
      <c r="Z95" s="382"/>
      <c r="AA95" s="382"/>
      <c r="AB95" s="382"/>
      <c r="AC95" s="382"/>
      <c r="AD95" s="382"/>
    </row>
    <row r="96" spans="1:30" s="41" customFormat="1" ht="22.5" customHeight="1" thickTop="1" x14ac:dyDescent="0.3">
      <c r="A96" s="1423">
        <v>89</v>
      </c>
      <c r="B96" s="295">
        <v>10</v>
      </c>
      <c r="C96" s="316"/>
      <c r="D96" s="364" t="s">
        <v>564</v>
      </c>
      <c r="E96" s="537" t="s">
        <v>24</v>
      </c>
      <c r="F96" s="328">
        <v>217117</v>
      </c>
      <c r="G96" s="328">
        <v>208999</v>
      </c>
      <c r="H96" s="1181">
        <v>246321</v>
      </c>
      <c r="I96" s="515"/>
      <c r="J96" s="328"/>
      <c r="K96" s="328"/>
      <c r="L96" s="328"/>
      <c r="M96" s="328"/>
      <c r="N96" s="328"/>
      <c r="O96" s="328"/>
      <c r="P96" s="328"/>
      <c r="Q96" s="378"/>
      <c r="R96" s="208"/>
      <c r="S96" s="208"/>
      <c r="T96" s="208"/>
      <c r="U96" s="208"/>
      <c r="V96" s="208"/>
      <c r="W96" s="208"/>
      <c r="X96" s="208"/>
      <c r="Y96" s="208"/>
      <c r="Z96" s="208"/>
      <c r="AA96" s="208"/>
      <c r="AB96" s="208"/>
      <c r="AC96" s="208"/>
      <c r="AD96" s="208"/>
    </row>
    <row r="97" spans="1:30" s="46" customFormat="1" ht="18" customHeight="1" x14ac:dyDescent="0.3">
      <c r="A97" s="1423">
        <v>90</v>
      </c>
      <c r="B97" s="298"/>
      <c r="C97" s="299"/>
      <c r="D97" s="1052" t="s">
        <v>334</v>
      </c>
      <c r="E97" s="1074"/>
      <c r="F97" s="1074"/>
      <c r="G97" s="1074"/>
      <c r="H97" s="1173"/>
      <c r="I97" s="1105">
        <f>SUM(J97:Q97)</f>
        <v>214545</v>
      </c>
      <c r="J97" s="1106">
        <v>78067</v>
      </c>
      <c r="K97" s="1106">
        <v>15849</v>
      </c>
      <c r="L97" s="1106">
        <v>115629</v>
      </c>
      <c r="M97" s="1106"/>
      <c r="N97" s="1106"/>
      <c r="O97" s="1106">
        <v>5000</v>
      </c>
      <c r="P97" s="367"/>
      <c r="Q97" s="368"/>
      <c r="R97" s="255"/>
      <c r="S97" s="255"/>
      <c r="T97" s="255"/>
      <c r="U97" s="255"/>
      <c r="V97" s="255"/>
      <c r="W97" s="255"/>
      <c r="X97" s="255"/>
      <c r="Y97" s="255"/>
      <c r="Z97" s="255"/>
      <c r="AA97" s="255"/>
      <c r="AB97" s="255"/>
      <c r="AC97" s="255"/>
      <c r="AD97" s="255"/>
    </row>
    <row r="98" spans="1:30" s="46" customFormat="1" ht="18" customHeight="1" x14ac:dyDescent="0.3">
      <c r="A98" s="1423">
        <v>91</v>
      </c>
      <c r="B98" s="298"/>
      <c r="C98" s="299"/>
      <c r="D98" s="861" t="s">
        <v>1307</v>
      </c>
      <c r="E98" s="1074"/>
      <c r="F98" s="1074"/>
      <c r="G98" s="1074"/>
      <c r="H98" s="1173"/>
      <c r="I98" s="373">
        <f>SUM(J98:Q98)</f>
        <v>274966</v>
      </c>
      <c r="J98" s="870">
        <v>94977</v>
      </c>
      <c r="K98" s="870">
        <v>19481</v>
      </c>
      <c r="L98" s="870">
        <v>153110</v>
      </c>
      <c r="M98" s="870"/>
      <c r="N98" s="870"/>
      <c r="O98" s="870">
        <v>7398</v>
      </c>
      <c r="P98" s="367"/>
      <c r="Q98" s="368"/>
      <c r="R98" s="255"/>
      <c r="S98" s="255"/>
      <c r="T98" s="255"/>
      <c r="U98" s="255"/>
      <c r="V98" s="255"/>
      <c r="W98" s="255"/>
      <c r="X98" s="255"/>
      <c r="Y98" s="255"/>
      <c r="Z98" s="255"/>
      <c r="AA98" s="255"/>
      <c r="AB98" s="255"/>
      <c r="AC98" s="255"/>
      <c r="AD98" s="255"/>
    </row>
    <row r="99" spans="1:30" s="46" customFormat="1" ht="18" customHeight="1" x14ac:dyDescent="0.3">
      <c r="A99" s="1423">
        <v>92</v>
      </c>
      <c r="B99" s="298"/>
      <c r="C99" s="299"/>
      <c r="D99" s="1167" t="s">
        <v>1392</v>
      </c>
      <c r="E99" s="304"/>
      <c r="F99" s="304"/>
      <c r="G99" s="304"/>
      <c r="H99" s="1174"/>
      <c r="I99" s="888">
        <f t="shared" ref="I99:I103" si="24">SUM(J99:Q99)</f>
        <v>2</v>
      </c>
      <c r="J99" s="379">
        <v>2</v>
      </c>
      <c r="K99" s="379"/>
      <c r="L99" s="379"/>
      <c r="M99" s="379"/>
      <c r="N99" s="379"/>
      <c r="O99" s="379"/>
      <c r="P99" s="367"/>
      <c r="Q99" s="368"/>
      <c r="R99" s="255"/>
      <c r="S99" s="255"/>
      <c r="T99" s="255"/>
      <c r="U99" s="255"/>
      <c r="V99" s="255"/>
      <c r="W99" s="255"/>
      <c r="X99" s="255"/>
      <c r="Y99" s="255"/>
      <c r="Z99" s="255"/>
      <c r="AA99" s="255"/>
      <c r="AB99" s="255"/>
      <c r="AC99" s="255"/>
      <c r="AD99" s="255"/>
    </row>
    <row r="100" spans="1:30" s="46" customFormat="1" ht="18" customHeight="1" x14ac:dyDescent="0.3">
      <c r="A100" s="1423">
        <v>93</v>
      </c>
      <c r="B100" s="298"/>
      <c r="C100" s="299"/>
      <c r="D100" s="1167" t="s">
        <v>1375</v>
      </c>
      <c r="E100" s="304"/>
      <c r="F100" s="304"/>
      <c r="G100" s="304"/>
      <c r="H100" s="1174"/>
      <c r="I100" s="888">
        <f t="shared" si="24"/>
        <v>521</v>
      </c>
      <c r="J100" s="379">
        <v>443</v>
      </c>
      <c r="K100" s="379">
        <v>78</v>
      </c>
      <c r="L100" s="379"/>
      <c r="M100" s="379"/>
      <c r="N100" s="379"/>
      <c r="O100" s="379"/>
      <c r="P100" s="367"/>
      <c r="Q100" s="368"/>
      <c r="R100" s="255"/>
      <c r="S100" s="255"/>
      <c r="T100" s="255"/>
      <c r="U100" s="255"/>
      <c r="V100" s="255"/>
      <c r="W100" s="255"/>
      <c r="X100" s="255"/>
      <c r="Y100" s="255"/>
      <c r="Z100" s="255"/>
      <c r="AA100" s="255"/>
      <c r="AB100" s="255"/>
      <c r="AC100" s="255"/>
      <c r="AD100" s="255"/>
    </row>
    <row r="101" spans="1:30" s="46" customFormat="1" ht="18" customHeight="1" x14ac:dyDescent="0.3">
      <c r="A101" s="1423">
        <v>94</v>
      </c>
      <c r="B101" s="298"/>
      <c r="C101" s="299"/>
      <c r="D101" s="1167" t="s">
        <v>1421</v>
      </c>
      <c r="E101" s="304"/>
      <c r="F101" s="304"/>
      <c r="G101" s="304"/>
      <c r="H101" s="1174"/>
      <c r="I101" s="888">
        <f t="shared" si="24"/>
        <v>400</v>
      </c>
      <c r="J101" s="379"/>
      <c r="K101" s="379"/>
      <c r="L101" s="379">
        <v>400</v>
      </c>
      <c r="M101" s="379"/>
      <c r="N101" s="379"/>
      <c r="O101" s="379"/>
      <c r="P101" s="367"/>
      <c r="Q101" s="368"/>
      <c r="R101" s="255"/>
      <c r="S101" s="255"/>
      <c r="T101" s="255"/>
      <c r="U101" s="255"/>
      <c r="V101" s="255"/>
      <c r="W101" s="255"/>
      <c r="X101" s="255"/>
      <c r="Y101" s="255"/>
      <c r="Z101" s="255"/>
      <c r="AA101" s="255"/>
      <c r="AB101" s="255"/>
      <c r="AC101" s="255"/>
      <c r="AD101" s="255"/>
    </row>
    <row r="102" spans="1:30" s="46" customFormat="1" ht="18" customHeight="1" x14ac:dyDescent="0.3">
      <c r="A102" s="1423">
        <v>95</v>
      </c>
      <c r="B102" s="298"/>
      <c r="C102" s="299"/>
      <c r="D102" s="1167" t="s">
        <v>1459</v>
      </c>
      <c r="E102" s="304"/>
      <c r="F102" s="304"/>
      <c r="G102" s="304"/>
      <c r="H102" s="1174"/>
      <c r="I102" s="888">
        <f t="shared" si="24"/>
        <v>12</v>
      </c>
      <c r="J102" s="379"/>
      <c r="K102" s="379"/>
      <c r="L102" s="379">
        <v>12</v>
      </c>
      <c r="M102" s="379"/>
      <c r="N102" s="379"/>
      <c r="O102" s="379"/>
      <c r="P102" s="367"/>
      <c r="Q102" s="368"/>
      <c r="R102" s="255"/>
      <c r="S102" s="255"/>
      <c r="T102" s="255"/>
      <c r="U102" s="255"/>
      <c r="V102" s="255"/>
      <c r="W102" s="255"/>
      <c r="X102" s="255"/>
      <c r="Y102" s="255"/>
      <c r="Z102" s="255"/>
      <c r="AA102" s="255"/>
      <c r="AB102" s="255"/>
      <c r="AC102" s="255"/>
      <c r="AD102" s="255"/>
    </row>
    <row r="103" spans="1:30" s="46" customFormat="1" ht="18" customHeight="1" x14ac:dyDescent="0.3">
      <c r="A103" s="1423">
        <v>96</v>
      </c>
      <c r="B103" s="298"/>
      <c r="C103" s="299"/>
      <c r="D103" s="1167" t="s">
        <v>1487</v>
      </c>
      <c r="E103" s="304"/>
      <c r="F103" s="304"/>
      <c r="G103" s="304"/>
      <c r="H103" s="1174"/>
      <c r="I103" s="888">
        <f t="shared" si="24"/>
        <v>334</v>
      </c>
      <c r="J103" s="379"/>
      <c r="K103" s="379"/>
      <c r="L103" s="379"/>
      <c r="M103" s="379"/>
      <c r="N103" s="379"/>
      <c r="O103" s="379">
        <v>334</v>
      </c>
      <c r="P103" s="367"/>
      <c r="Q103" s="368"/>
      <c r="R103" s="255"/>
      <c r="S103" s="255"/>
      <c r="T103" s="255"/>
      <c r="U103" s="255"/>
      <c r="V103" s="255"/>
      <c r="W103" s="255"/>
      <c r="X103" s="255"/>
      <c r="Y103" s="255"/>
      <c r="Z103" s="255"/>
      <c r="AA103" s="255"/>
      <c r="AB103" s="255"/>
      <c r="AC103" s="255"/>
      <c r="AD103" s="255"/>
    </row>
    <row r="104" spans="1:30" s="46" customFormat="1" ht="18" customHeight="1" x14ac:dyDescent="0.3">
      <c r="A104" s="1423">
        <v>97</v>
      </c>
      <c r="B104" s="298"/>
      <c r="C104" s="299"/>
      <c r="D104" s="1091" t="s">
        <v>1391</v>
      </c>
      <c r="E104" s="863"/>
      <c r="F104" s="863"/>
      <c r="G104" s="863"/>
      <c r="H104" s="912"/>
      <c r="I104" s="373">
        <f>SUM(J104:Q104)</f>
        <v>276235</v>
      </c>
      <c r="J104" s="870">
        <f>SUM(J98:J103)</f>
        <v>95422</v>
      </c>
      <c r="K104" s="870">
        <f>SUM(K98:K103)</f>
        <v>19559</v>
      </c>
      <c r="L104" s="870">
        <f>SUM(L98:L103)</f>
        <v>153522</v>
      </c>
      <c r="M104" s="870"/>
      <c r="N104" s="870"/>
      <c r="O104" s="870">
        <f>SUM(O98:O103)</f>
        <v>7732</v>
      </c>
      <c r="P104" s="367"/>
      <c r="Q104" s="368"/>
      <c r="R104" s="255"/>
      <c r="S104" s="255"/>
      <c r="T104" s="255"/>
      <c r="U104" s="255"/>
      <c r="V104" s="255"/>
      <c r="W104" s="255"/>
      <c r="X104" s="255"/>
      <c r="Y104" s="255"/>
      <c r="Z104" s="255"/>
      <c r="AA104" s="255"/>
      <c r="AB104" s="255"/>
      <c r="AC104" s="255"/>
      <c r="AD104" s="255"/>
    </row>
    <row r="105" spans="1:30" s="46" customFormat="1" ht="18" customHeight="1" x14ac:dyDescent="0.3">
      <c r="A105" s="1423">
        <v>98</v>
      </c>
      <c r="B105" s="298"/>
      <c r="C105" s="299"/>
      <c r="D105" s="1765" t="s">
        <v>921</v>
      </c>
      <c r="E105" s="1766"/>
      <c r="F105" s="1766"/>
      <c r="G105" s="1767"/>
      <c r="H105" s="912"/>
      <c r="I105" s="373"/>
      <c r="J105" s="870"/>
      <c r="K105" s="870"/>
      <c r="L105" s="870"/>
      <c r="M105" s="870"/>
      <c r="N105" s="870"/>
      <c r="O105" s="870"/>
      <c r="P105" s="367"/>
      <c r="Q105" s="368"/>
      <c r="R105" s="255"/>
      <c r="S105" s="255"/>
      <c r="T105" s="255"/>
      <c r="U105" s="255"/>
      <c r="V105" s="255"/>
      <c r="W105" s="255"/>
      <c r="X105" s="255"/>
      <c r="Y105" s="255"/>
      <c r="Z105" s="255"/>
      <c r="AA105" s="255"/>
      <c r="AB105" s="255"/>
      <c r="AC105" s="255"/>
      <c r="AD105" s="255"/>
    </row>
    <row r="106" spans="1:30" s="46" customFormat="1" ht="18" customHeight="1" x14ac:dyDescent="0.3">
      <c r="A106" s="1423">
        <v>99</v>
      </c>
      <c r="B106" s="298"/>
      <c r="C106" s="299"/>
      <c r="D106" s="861" t="s">
        <v>1307</v>
      </c>
      <c r="E106" s="1731"/>
      <c r="F106" s="1731"/>
      <c r="G106" s="1732"/>
      <c r="H106" s="912"/>
      <c r="I106" s="373">
        <f>SUM(J106:Q106)</f>
        <v>94607</v>
      </c>
      <c r="J106" s="870">
        <v>37852</v>
      </c>
      <c r="K106" s="870">
        <v>6807</v>
      </c>
      <c r="L106" s="870">
        <v>45898</v>
      </c>
      <c r="M106" s="870"/>
      <c r="N106" s="870"/>
      <c r="O106" s="870">
        <v>4050</v>
      </c>
      <c r="P106" s="367"/>
      <c r="Q106" s="368"/>
      <c r="R106" s="255"/>
      <c r="S106" s="255"/>
      <c r="T106" s="255"/>
      <c r="U106" s="255"/>
      <c r="V106" s="255"/>
      <c r="W106" s="255"/>
      <c r="X106" s="255"/>
      <c r="Y106" s="255"/>
      <c r="Z106" s="255"/>
      <c r="AA106" s="255"/>
      <c r="AB106" s="255"/>
      <c r="AC106" s="255"/>
      <c r="AD106" s="255"/>
    </row>
    <row r="107" spans="1:30" s="46" customFormat="1" ht="18" customHeight="1" x14ac:dyDescent="0.3">
      <c r="A107" s="1423">
        <v>100</v>
      </c>
      <c r="B107" s="298"/>
      <c r="C107" s="299"/>
      <c r="D107" s="1167" t="s">
        <v>733</v>
      </c>
      <c r="E107" s="863"/>
      <c r="F107" s="863"/>
      <c r="G107" s="863"/>
      <c r="H107" s="912"/>
      <c r="I107" s="888">
        <f t="shared" ref="I107" si="25">SUM(J107:Q107)</f>
        <v>0</v>
      </c>
      <c r="J107" s="379"/>
      <c r="K107" s="379"/>
      <c r="L107" s="379"/>
      <c r="M107" s="379"/>
      <c r="N107" s="379"/>
      <c r="O107" s="379"/>
      <c r="P107" s="367"/>
      <c r="Q107" s="368"/>
      <c r="R107" s="255"/>
      <c r="S107" s="255"/>
      <c r="T107" s="255"/>
      <c r="U107" s="255"/>
      <c r="V107" s="255"/>
      <c r="W107" s="255"/>
      <c r="X107" s="255"/>
      <c r="Y107" s="255"/>
      <c r="Z107" s="255"/>
      <c r="AA107" s="255"/>
      <c r="AB107" s="255"/>
      <c r="AC107" s="255"/>
      <c r="AD107" s="255"/>
    </row>
    <row r="108" spans="1:30" s="46" customFormat="1" ht="18" customHeight="1" x14ac:dyDescent="0.3">
      <c r="A108" s="1423">
        <v>101</v>
      </c>
      <c r="B108" s="298"/>
      <c r="C108" s="299"/>
      <c r="D108" s="1091" t="s">
        <v>1391</v>
      </c>
      <c r="E108" s="863"/>
      <c r="F108" s="863"/>
      <c r="G108" s="863"/>
      <c r="H108" s="912"/>
      <c r="I108" s="373">
        <f>SUM(J108:Q108)</f>
        <v>94607</v>
      </c>
      <c r="J108" s="870">
        <f>SUM(J106:J107)</f>
        <v>37852</v>
      </c>
      <c r="K108" s="870">
        <f t="shared" ref="K108:O108" si="26">SUM(K106:K107)</f>
        <v>6807</v>
      </c>
      <c r="L108" s="870">
        <f t="shared" si="26"/>
        <v>45898</v>
      </c>
      <c r="M108" s="870"/>
      <c r="N108" s="870"/>
      <c r="O108" s="870">
        <f t="shared" si="26"/>
        <v>4050</v>
      </c>
      <c r="P108" s="367"/>
      <c r="Q108" s="368"/>
      <c r="R108" s="255"/>
      <c r="S108" s="255"/>
      <c r="T108" s="255"/>
      <c r="U108" s="255"/>
      <c r="V108" s="255"/>
      <c r="W108" s="255"/>
      <c r="X108" s="255"/>
      <c r="Y108" s="255"/>
      <c r="Z108" s="255"/>
      <c r="AA108" s="255"/>
      <c r="AB108" s="255"/>
      <c r="AC108" s="255"/>
      <c r="AD108" s="255"/>
    </row>
    <row r="109" spans="1:30" s="48" customFormat="1" ht="22.5" customHeight="1" x14ac:dyDescent="0.3">
      <c r="A109" s="1423">
        <v>102</v>
      </c>
      <c r="B109" s="295">
        <v>11</v>
      </c>
      <c r="C109" s="296"/>
      <c r="D109" s="363" t="s">
        <v>531</v>
      </c>
      <c r="E109" s="536" t="s">
        <v>24</v>
      </c>
      <c r="F109" s="116">
        <v>118965</v>
      </c>
      <c r="G109" s="116">
        <v>116673</v>
      </c>
      <c r="H109" s="1172">
        <v>133426</v>
      </c>
      <c r="I109" s="383"/>
      <c r="J109" s="116"/>
      <c r="K109" s="116"/>
      <c r="L109" s="116"/>
      <c r="M109" s="116"/>
      <c r="N109" s="116"/>
      <c r="O109" s="116"/>
      <c r="P109" s="116"/>
      <c r="Q109" s="130"/>
      <c r="R109" s="153"/>
      <c r="S109" s="153"/>
      <c r="T109" s="153"/>
      <c r="U109" s="153"/>
      <c r="V109" s="153"/>
      <c r="W109" s="153"/>
      <c r="X109" s="153"/>
      <c r="Y109" s="153"/>
      <c r="Z109" s="153"/>
      <c r="AA109" s="153"/>
      <c r="AB109" s="153"/>
      <c r="AC109" s="153"/>
      <c r="AD109" s="153"/>
    </row>
    <row r="110" spans="1:30" s="48" customFormat="1" ht="18" customHeight="1" x14ac:dyDescent="0.3">
      <c r="A110" s="1423">
        <v>103</v>
      </c>
      <c r="B110" s="298"/>
      <c r="C110" s="299"/>
      <c r="D110" s="1052" t="s">
        <v>334</v>
      </c>
      <c r="E110" s="1074"/>
      <c r="F110" s="1074"/>
      <c r="G110" s="1074"/>
      <c r="H110" s="1173"/>
      <c r="I110" s="1105">
        <f>SUM(J110:Q110)</f>
        <v>125485</v>
      </c>
      <c r="J110" s="1106">
        <v>66670</v>
      </c>
      <c r="K110" s="1106">
        <v>13292</v>
      </c>
      <c r="L110" s="1106">
        <v>41123</v>
      </c>
      <c r="M110" s="1106"/>
      <c r="N110" s="1106"/>
      <c r="O110" s="1106">
        <v>4400</v>
      </c>
      <c r="P110" s="367"/>
      <c r="Q110" s="368"/>
      <c r="R110" s="153"/>
      <c r="S110" s="153"/>
      <c r="T110" s="153"/>
      <c r="U110" s="153"/>
      <c r="V110" s="153"/>
      <c r="W110" s="153"/>
      <c r="X110" s="153"/>
      <c r="Y110" s="153"/>
      <c r="Z110" s="153"/>
      <c r="AA110" s="153"/>
      <c r="AB110" s="153"/>
      <c r="AC110" s="153"/>
      <c r="AD110" s="153"/>
    </row>
    <row r="111" spans="1:30" s="48" customFormat="1" ht="18" customHeight="1" x14ac:dyDescent="0.3">
      <c r="A111" s="1423">
        <v>104</v>
      </c>
      <c r="B111" s="298"/>
      <c r="C111" s="299"/>
      <c r="D111" s="861" t="s">
        <v>1307</v>
      </c>
      <c r="E111" s="1074"/>
      <c r="F111" s="1074"/>
      <c r="G111" s="1074"/>
      <c r="H111" s="1173"/>
      <c r="I111" s="373">
        <f>SUM(J111:Q111)</f>
        <v>161814</v>
      </c>
      <c r="J111" s="870">
        <v>76892</v>
      </c>
      <c r="K111" s="870">
        <v>15308</v>
      </c>
      <c r="L111" s="870">
        <v>59371</v>
      </c>
      <c r="M111" s="870"/>
      <c r="N111" s="870"/>
      <c r="O111" s="870">
        <v>10243</v>
      </c>
      <c r="P111" s="870"/>
      <c r="Q111" s="904"/>
      <c r="R111" s="153"/>
      <c r="S111" s="153"/>
      <c r="T111" s="153"/>
      <c r="U111" s="153"/>
      <c r="V111" s="153"/>
      <c r="W111" s="153"/>
      <c r="X111" s="153"/>
      <c r="Y111" s="153"/>
      <c r="Z111" s="153"/>
      <c r="AA111" s="153"/>
      <c r="AB111" s="153"/>
      <c r="AC111" s="153"/>
      <c r="AD111" s="153"/>
    </row>
    <row r="112" spans="1:30" s="48" customFormat="1" ht="18" customHeight="1" x14ac:dyDescent="0.3">
      <c r="A112" s="1423">
        <v>105</v>
      </c>
      <c r="B112" s="298"/>
      <c r="C112" s="299"/>
      <c r="D112" s="1167" t="s">
        <v>1392</v>
      </c>
      <c r="E112" s="304"/>
      <c r="F112" s="304"/>
      <c r="G112" s="304"/>
      <c r="H112" s="1174"/>
      <c r="I112" s="888">
        <f t="shared" ref="I112:I116" si="27">SUM(J112:Q112)</f>
        <v>9</v>
      </c>
      <c r="J112" s="379">
        <v>8</v>
      </c>
      <c r="K112" s="379">
        <v>1</v>
      </c>
      <c r="L112" s="379"/>
      <c r="M112" s="379"/>
      <c r="N112" s="379"/>
      <c r="O112" s="379"/>
      <c r="P112" s="367"/>
      <c r="Q112" s="368"/>
      <c r="R112" s="153"/>
      <c r="S112" s="153"/>
      <c r="T112" s="153"/>
      <c r="U112" s="153"/>
      <c r="V112" s="153"/>
      <c r="W112" s="153"/>
      <c r="X112" s="153"/>
      <c r="Y112" s="153"/>
      <c r="Z112" s="153"/>
      <c r="AA112" s="153"/>
      <c r="AB112" s="153"/>
      <c r="AC112" s="153"/>
      <c r="AD112" s="153"/>
    </row>
    <row r="113" spans="1:30" s="48" customFormat="1" ht="18" customHeight="1" x14ac:dyDescent="0.3">
      <c r="A113" s="1423">
        <v>106</v>
      </c>
      <c r="B113" s="298"/>
      <c r="C113" s="299"/>
      <c r="D113" s="1167" t="s">
        <v>1375</v>
      </c>
      <c r="E113" s="304"/>
      <c r="F113" s="304"/>
      <c r="G113" s="304"/>
      <c r="H113" s="1174"/>
      <c r="I113" s="888">
        <f t="shared" si="27"/>
        <v>493</v>
      </c>
      <c r="J113" s="379">
        <v>420</v>
      </c>
      <c r="K113" s="379">
        <v>73</v>
      </c>
      <c r="L113" s="379"/>
      <c r="M113" s="379"/>
      <c r="N113" s="379"/>
      <c r="O113" s="379"/>
      <c r="P113" s="367"/>
      <c r="Q113" s="368"/>
      <c r="R113" s="153"/>
      <c r="S113" s="153"/>
      <c r="T113" s="153"/>
      <c r="U113" s="153"/>
      <c r="V113" s="153"/>
      <c r="W113" s="153"/>
      <c r="X113" s="153"/>
      <c r="Y113" s="153"/>
      <c r="Z113" s="153"/>
      <c r="AA113" s="153"/>
      <c r="AB113" s="153"/>
      <c r="AC113" s="153"/>
      <c r="AD113" s="153"/>
    </row>
    <row r="114" spans="1:30" s="48" customFormat="1" ht="18" customHeight="1" x14ac:dyDescent="0.3">
      <c r="A114" s="1423">
        <v>107</v>
      </c>
      <c r="B114" s="298"/>
      <c r="C114" s="299"/>
      <c r="D114" s="1167" t="s">
        <v>1424</v>
      </c>
      <c r="E114" s="304"/>
      <c r="F114" s="304"/>
      <c r="G114" s="304"/>
      <c r="H114" s="1174"/>
      <c r="I114" s="888">
        <f t="shared" si="27"/>
        <v>-2900</v>
      </c>
      <c r="J114" s="379"/>
      <c r="K114" s="379"/>
      <c r="L114" s="379">
        <v>-2900</v>
      </c>
      <c r="M114" s="379"/>
      <c r="N114" s="379"/>
      <c r="O114" s="379"/>
      <c r="P114" s="367"/>
      <c r="Q114" s="368"/>
      <c r="R114" s="153"/>
      <c r="S114" s="153"/>
      <c r="T114" s="153"/>
      <c r="U114" s="153"/>
      <c r="V114" s="153"/>
      <c r="W114" s="153"/>
      <c r="X114" s="153"/>
      <c r="Y114" s="153"/>
      <c r="Z114" s="153"/>
      <c r="AA114" s="153"/>
      <c r="AB114" s="153"/>
      <c r="AC114" s="153"/>
      <c r="AD114" s="153"/>
    </row>
    <row r="115" spans="1:30" s="48" customFormat="1" ht="18" customHeight="1" x14ac:dyDescent="0.3">
      <c r="A115" s="1423">
        <v>108</v>
      </c>
      <c r="B115" s="298"/>
      <c r="C115" s="299"/>
      <c r="D115" s="1167" t="s">
        <v>1312</v>
      </c>
      <c r="E115" s="304"/>
      <c r="F115" s="304"/>
      <c r="G115" s="304"/>
      <c r="H115" s="1174"/>
      <c r="I115" s="888">
        <f t="shared" si="27"/>
        <v>0</v>
      </c>
      <c r="J115" s="379"/>
      <c r="K115" s="379"/>
      <c r="L115" s="379">
        <v>-150</v>
      </c>
      <c r="M115" s="379"/>
      <c r="N115" s="379"/>
      <c r="O115" s="379">
        <v>150</v>
      </c>
      <c r="P115" s="367"/>
      <c r="Q115" s="368"/>
      <c r="R115" s="153"/>
      <c r="S115" s="153"/>
      <c r="T115" s="153"/>
      <c r="U115" s="153"/>
      <c r="V115" s="153"/>
      <c r="W115" s="153"/>
      <c r="X115" s="153"/>
      <c r="Y115" s="153"/>
      <c r="Z115" s="153"/>
      <c r="AA115" s="153"/>
      <c r="AB115" s="153"/>
      <c r="AC115" s="153"/>
      <c r="AD115" s="153"/>
    </row>
    <row r="116" spans="1:30" s="48" customFormat="1" ht="18" customHeight="1" x14ac:dyDescent="0.3">
      <c r="A116" s="1423">
        <v>109</v>
      </c>
      <c r="B116" s="298"/>
      <c r="C116" s="299"/>
      <c r="D116" s="1167" t="s">
        <v>1487</v>
      </c>
      <c r="E116" s="304"/>
      <c r="F116" s="304"/>
      <c r="G116" s="304"/>
      <c r="H116" s="1174"/>
      <c r="I116" s="888">
        <f t="shared" si="27"/>
        <v>222</v>
      </c>
      <c r="J116" s="379"/>
      <c r="K116" s="379"/>
      <c r="L116" s="379"/>
      <c r="M116" s="379"/>
      <c r="N116" s="379"/>
      <c r="O116" s="379">
        <v>222</v>
      </c>
      <c r="P116" s="367"/>
      <c r="Q116" s="368"/>
      <c r="R116" s="153"/>
      <c r="S116" s="153"/>
      <c r="T116" s="153"/>
      <c r="U116" s="153"/>
      <c r="V116" s="153"/>
      <c r="W116" s="153"/>
      <c r="X116" s="153"/>
      <c r="Y116" s="153"/>
      <c r="Z116" s="153"/>
      <c r="AA116" s="153"/>
      <c r="AB116" s="153"/>
      <c r="AC116" s="153"/>
      <c r="AD116" s="153"/>
    </row>
    <row r="117" spans="1:30" s="48" customFormat="1" ht="18" customHeight="1" x14ac:dyDescent="0.3">
      <c r="A117" s="1423">
        <v>110</v>
      </c>
      <c r="B117" s="298"/>
      <c r="C117" s="299"/>
      <c r="D117" s="1091" t="s">
        <v>1391</v>
      </c>
      <c r="E117" s="863"/>
      <c r="F117" s="863"/>
      <c r="G117" s="863"/>
      <c r="H117" s="912"/>
      <c r="I117" s="373">
        <f>SUM(J117:Q117)</f>
        <v>159638</v>
      </c>
      <c r="J117" s="870">
        <f>SUM(J111:J116)</f>
        <v>77320</v>
      </c>
      <c r="K117" s="870">
        <f>SUM(K111:K116)</f>
        <v>15382</v>
      </c>
      <c r="L117" s="870">
        <f>SUM(L111:L116)</f>
        <v>56321</v>
      </c>
      <c r="M117" s="870"/>
      <c r="N117" s="870"/>
      <c r="O117" s="870">
        <f>SUM(O111:O116)</f>
        <v>10615</v>
      </c>
      <c r="P117" s="367"/>
      <c r="Q117" s="368"/>
      <c r="R117" s="153"/>
      <c r="S117" s="153"/>
      <c r="T117" s="153"/>
      <c r="U117" s="153"/>
      <c r="V117" s="153"/>
      <c r="W117" s="153"/>
      <c r="X117" s="153"/>
      <c r="Y117" s="153"/>
      <c r="Z117" s="153"/>
      <c r="AA117" s="153"/>
      <c r="AB117" s="153"/>
      <c r="AC117" s="153"/>
      <c r="AD117" s="153"/>
    </row>
    <row r="118" spans="1:30" s="48" customFormat="1" ht="22.5" customHeight="1" x14ac:dyDescent="0.3">
      <c r="A118" s="1423">
        <v>111</v>
      </c>
      <c r="B118" s="295">
        <v>12</v>
      </c>
      <c r="C118" s="296"/>
      <c r="D118" s="363" t="s">
        <v>26</v>
      </c>
      <c r="E118" s="536" t="s">
        <v>24</v>
      </c>
      <c r="F118" s="116">
        <v>425403</v>
      </c>
      <c r="G118" s="116">
        <v>395195</v>
      </c>
      <c r="H118" s="1172">
        <v>444070</v>
      </c>
      <c r="I118" s="383"/>
      <c r="J118" s="116"/>
      <c r="K118" s="116"/>
      <c r="L118" s="116"/>
      <c r="M118" s="116"/>
      <c r="N118" s="116"/>
      <c r="O118" s="116"/>
      <c r="P118" s="116"/>
      <c r="Q118" s="130"/>
      <c r="R118" s="153"/>
      <c r="S118" s="153"/>
      <c r="T118" s="153"/>
      <c r="U118" s="153"/>
      <c r="V118" s="153"/>
      <c r="W118" s="153"/>
      <c r="X118" s="153"/>
      <c r="Y118" s="153"/>
      <c r="Z118" s="153"/>
      <c r="AA118" s="153"/>
      <c r="AB118" s="153"/>
      <c r="AC118" s="153"/>
      <c r="AD118" s="153"/>
    </row>
    <row r="119" spans="1:30" s="48" customFormat="1" ht="18" customHeight="1" x14ac:dyDescent="0.3">
      <c r="A119" s="1423">
        <v>112</v>
      </c>
      <c r="B119" s="298"/>
      <c r="C119" s="299"/>
      <c r="D119" s="1052" t="s">
        <v>334</v>
      </c>
      <c r="E119" s="1074"/>
      <c r="F119" s="1074"/>
      <c r="G119" s="1074"/>
      <c r="H119" s="1173"/>
      <c r="I119" s="1105">
        <f>SUM(J119:Q119)</f>
        <v>403206</v>
      </c>
      <c r="J119" s="1106">
        <v>158864</v>
      </c>
      <c r="K119" s="1106">
        <v>34287</v>
      </c>
      <c r="L119" s="1106">
        <v>193055</v>
      </c>
      <c r="M119" s="1106"/>
      <c r="N119" s="1106"/>
      <c r="O119" s="1106">
        <v>17000</v>
      </c>
      <c r="P119" s="367"/>
      <c r="Q119" s="368"/>
      <c r="R119" s="153"/>
      <c r="S119" s="153"/>
      <c r="T119" s="153"/>
      <c r="U119" s="153"/>
      <c r="V119" s="153"/>
      <c r="W119" s="153"/>
      <c r="X119" s="153"/>
      <c r="Y119" s="153"/>
      <c r="Z119" s="153"/>
      <c r="AA119" s="153"/>
      <c r="AB119" s="153"/>
      <c r="AC119" s="153"/>
      <c r="AD119" s="153"/>
    </row>
    <row r="120" spans="1:30" s="48" customFormat="1" ht="18" customHeight="1" x14ac:dyDescent="0.3">
      <c r="A120" s="1423">
        <v>113</v>
      </c>
      <c r="B120" s="298"/>
      <c r="C120" s="299"/>
      <c r="D120" s="861" t="s">
        <v>1307</v>
      </c>
      <c r="E120" s="1074"/>
      <c r="F120" s="1074"/>
      <c r="G120" s="1074"/>
      <c r="H120" s="1173"/>
      <c r="I120" s="373">
        <f>SUM(J120:Q120)</f>
        <v>460040</v>
      </c>
      <c r="J120" s="870">
        <v>177556</v>
      </c>
      <c r="K120" s="870">
        <v>38146</v>
      </c>
      <c r="L120" s="870">
        <v>217938</v>
      </c>
      <c r="M120" s="870"/>
      <c r="N120" s="870"/>
      <c r="O120" s="870">
        <v>26400</v>
      </c>
      <c r="P120" s="870"/>
      <c r="Q120" s="904"/>
      <c r="R120" s="153"/>
      <c r="S120" s="153"/>
      <c r="T120" s="153"/>
      <c r="U120" s="153"/>
      <c r="V120" s="153"/>
      <c r="W120" s="153"/>
      <c r="X120" s="153"/>
      <c r="Y120" s="153"/>
      <c r="Z120" s="153"/>
      <c r="AA120" s="153"/>
      <c r="AB120" s="153"/>
      <c r="AC120" s="153"/>
      <c r="AD120" s="153"/>
    </row>
    <row r="121" spans="1:30" s="48" customFormat="1" ht="18" customHeight="1" x14ac:dyDescent="0.3">
      <c r="A121" s="1423">
        <v>114</v>
      </c>
      <c r="B121" s="298"/>
      <c r="C121" s="299"/>
      <c r="D121" s="1167" t="s">
        <v>1392</v>
      </c>
      <c r="E121" s="304"/>
      <c r="F121" s="304"/>
      <c r="G121" s="304"/>
      <c r="H121" s="1174"/>
      <c r="I121" s="888">
        <f t="shared" ref="I121:I123" si="28">SUM(J121:Q121)</f>
        <v>55</v>
      </c>
      <c r="J121" s="379">
        <v>47</v>
      </c>
      <c r="K121" s="379">
        <v>8</v>
      </c>
      <c r="L121" s="379"/>
      <c r="M121" s="379"/>
      <c r="N121" s="379"/>
      <c r="O121" s="379"/>
      <c r="P121" s="367"/>
      <c r="Q121" s="368"/>
      <c r="R121" s="153"/>
      <c r="S121" s="153"/>
      <c r="T121" s="153"/>
      <c r="U121" s="153"/>
      <c r="V121" s="153"/>
      <c r="W121" s="153"/>
      <c r="X121" s="153"/>
      <c r="Y121" s="153"/>
      <c r="Z121" s="153"/>
      <c r="AA121" s="153"/>
      <c r="AB121" s="153"/>
      <c r="AC121" s="153"/>
      <c r="AD121" s="153"/>
    </row>
    <row r="122" spans="1:30" s="48" customFormat="1" ht="18" customHeight="1" x14ac:dyDescent="0.3">
      <c r="A122" s="1423">
        <v>115</v>
      </c>
      <c r="B122" s="298"/>
      <c r="C122" s="299"/>
      <c r="D122" s="1167" t="s">
        <v>1375</v>
      </c>
      <c r="E122" s="304"/>
      <c r="F122" s="304"/>
      <c r="G122" s="304"/>
      <c r="H122" s="1174"/>
      <c r="I122" s="888">
        <f t="shared" si="28"/>
        <v>1254</v>
      </c>
      <c r="J122" s="379">
        <v>1067</v>
      </c>
      <c r="K122" s="379">
        <v>187</v>
      </c>
      <c r="L122" s="379"/>
      <c r="M122" s="379"/>
      <c r="N122" s="379"/>
      <c r="O122" s="379"/>
      <c r="P122" s="367"/>
      <c r="Q122" s="368"/>
      <c r="R122" s="153"/>
      <c r="S122" s="153"/>
      <c r="T122" s="153"/>
      <c r="U122" s="153"/>
      <c r="V122" s="153"/>
      <c r="W122" s="153"/>
      <c r="X122" s="153"/>
      <c r="Y122" s="153"/>
      <c r="Z122" s="153"/>
      <c r="AA122" s="153"/>
      <c r="AB122" s="153"/>
      <c r="AC122" s="153"/>
      <c r="AD122" s="153"/>
    </row>
    <row r="123" spans="1:30" s="48" customFormat="1" ht="18" customHeight="1" x14ac:dyDescent="0.3">
      <c r="A123" s="1423">
        <v>116</v>
      </c>
      <c r="B123" s="298"/>
      <c r="C123" s="299"/>
      <c r="D123" s="1167" t="s">
        <v>1428</v>
      </c>
      <c r="E123" s="304"/>
      <c r="F123" s="304"/>
      <c r="G123" s="304"/>
      <c r="H123" s="1174"/>
      <c r="I123" s="888">
        <f t="shared" si="28"/>
        <v>18</v>
      </c>
      <c r="J123" s="379"/>
      <c r="K123" s="379"/>
      <c r="L123" s="379">
        <v>18</v>
      </c>
      <c r="M123" s="379"/>
      <c r="N123" s="379"/>
      <c r="O123" s="379"/>
      <c r="P123" s="367"/>
      <c r="Q123" s="368"/>
      <c r="R123" s="153"/>
      <c r="S123" s="153"/>
      <c r="T123" s="153"/>
      <c r="U123" s="153"/>
      <c r="V123" s="153"/>
      <c r="W123" s="153"/>
      <c r="X123" s="153"/>
      <c r="Y123" s="153"/>
      <c r="Z123" s="153"/>
      <c r="AA123" s="153"/>
      <c r="AB123" s="153"/>
      <c r="AC123" s="153"/>
      <c r="AD123" s="153"/>
    </row>
    <row r="124" spans="1:30" s="48" customFormat="1" ht="18" customHeight="1" x14ac:dyDescent="0.3">
      <c r="A124" s="1423">
        <v>117</v>
      </c>
      <c r="B124" s="298"/>
      <c r="C124" s="299"/>
      <c r="D124" s="1091" t="s">
        <v>1391</v>
      </c>
      <c r="E124" s="863"/>
      <c r="F124" s="863"/>
      <c r="G124" s="863"/>
      <c r="H124" s="912"/>
      <c r="I124" s="373">
        <f>SUM(J124:Q124)</f>
        <v>461367</v>
      </c>
      <c r="J124" s="870">
        <f>SUM(J120:J123)</f>
        <v>178670</v>
      </c>
      <c r="K124" s="870">
        <f>SUM(K120:K123)</f>
        <v>38341</v>
      </c>
      <c r="L124" s="870">
        <f>SUM(L120:L123)</f>
        <v>217956</v>
      </c>
      <c r="M124" s="870"/>
      <c r="N124" s="870"/>
      <c r="O124" s="870">
        <f>SUM(O120:O123)</f>
        <v>26400</v>
      </c>
      <c r="P124" s="367"/>
      <c r="Q124" s="368"/>
      <c r="R124" s="153"/>
      <c r="S124" s="153"/>
      <c r="T124" s="153"/>
      <c r="U124" s="153"/>
      <c r="V124" s="153"/>
      <c r="W124" s="153"/>
      <c r="X124" s="153"/>
      <c r="Y124" s="153"/>
      <c r="Z124" s="153"/>
      <c r="AA124" s="153"/>
      <c r="AB124" s="153"/>
      <c r="AC124" s="153"/>
      <c r="AD124" s="153"/>
    </row>
    <row r="125" spans="1:30" s="44" customFormat="1" ht="18" customHeight="1" x14ac:dyDescent="0.3">
      <c r="A125" s="1423">
        <v>118</v>
      </c>
      <c r="B125" s="301"/>
      <c r="C125" s="302">
        <v>1</v>
      </c>
      <c r="D125" s="303" t="s">
        <v>157</v>
      </c>
      <c r="E125" s="538"/>
      <c r="F125" s="116">
        <v>2808</v>
      </c>
      <c r="G125" s="116"/>
      <c r="H125" s="1186">
        <v>657</v>
      </c>
      <c r="I125" s="383"/>
      <c r="J125" s="367"/>
      <c r="K125" s="367"/>
      <c r="L125" s="367"/>
      <c r="M125" s="379"/>
      <c r="N125" s="379"/>
      <c r="O125" s="379"/>
      <c r="P125" s="379"/>
      <c r="Q125" s="380"/>
      <c r="R125" s="53"/>
      <c r="S125" s="53"/>
      <c r="T125" s="53"/>
      <c r="U125" s="53"/>
      <c r="V125" s="53"/>
      <c r="W125" s="53"/>
      <c r="X125" s="53"/>
      <c r="Y125" s="53"/>
      <c r="Z125" s="53"/>
      <c r="AA125" s="53"/>
      <c r="AB125" s="53"/>
      <c r="AC125" s="53"/>
      <c r="AD125" s="53"/>
    </row>
    <row r="126" spans="1:30" s="48" customFormat="1" ht="18" customHeight="1" x14ac:dyDescent="0.3">
      <c r="A126" s="1423">
        <v>119</v>
      </c>
      <c r="B126" s="298"/>
      <c r="C126" s="299"/>
      <c r="D126" s="1076" t="s">
        <v>334</v>
      </c>
      <c r="E126" s="1111"/>
      <c r="F126" s="1074"/>
      <c r="G126" s="1074"/>
      <c r="H126" s="1173"/>
      <c r="I126" s="1105">
        <f>SUM(J126:Q126)</f>
        <v>0</v>
      </c>
      <c r="J126" s="367"/>
      <c r="K126" s="367"/>
      <c r="L126" s="367"/>
      <c r="M126" s="367"/>
      <c r="N126" s="367"/>
      <c r="O126" s="367"/>
      <c r="P126" s="367"/>
      <c r="Q126" s="368"/>
      <c r="R126" s="153"/>
      <c r="S126" s="153"/>
      <c r="T126" s="153"/>
      <c r="U126" s="153"/>
      <c r="V126" s="153"/>
      <c r="W126" s="153"/>
      <c r="X126" s="153"/>
      <c r="Y126" s="153"/>
      <c r="Z126" s="153"/>
      <c r="AA126" s="153"/>
      <c r="AB126" s="153"/>
      <c r="AC126" s="153"/>
      <c r="AD126" s="153"/>
    </row>
    <row r="127" spans="1:30" s="48" customFormat="1" ht="18" customHeight="1" x14ac:dyDescent="0.3">
      <c r="A127" s="1423">
        <v>120</v>
      </c>
      <c r="B127" s="298"/>
      <c r="C127" s="299"/>
      <c r="D127" s="1096" t="s">
        <v>1307</v>
      </c>
      <c r="E127" s="1111"/>
      <c r="F127" s="1074"/>
      <c r="G127" s="1074"/>
      <c r="H127" s="1173"/>
      <c r="I127" s="373">
        <f>SUM(J127:Q127)</f>
        <v>0</v>
      </c>
      <c r="J127" s="367"/>
      <c r="K127" s="367"/>
      <c r="L127" s="367"/>
      <c r="M127" s="367"/>
      <c r="N127" s="367"/>
      <c r="O127" s="367"/>
      <c r="P127" s="367"/>
      <c r="Q127" s="368"/>
      <c r="R127" s="153"/>
      <c r="S127" s="153"/>
      <c r="T127" s="153"/>
      <c r="U127" s="153"/>
      <c r="V127" s="153"/>
      <c r="W127" s="153"/>
      <c r="X127" s="153"/>
      <c r="Y127" s="153"/>
      <c r="Z127" s="153"/>
      <c r="AA127" s="153"/>
      <c r="AB127" s="153"/>
      <c r="AC127" s="153"/>
      <c r="AD127" s="153"/>
    </row>
    <row r="128" spans="1:30" s="48" customFormat="1" ht="18" customHeight="1" x14ac:dyDescent="0.3">
      <c r="A128" s="1423">
        <v>121</v>
      </c>
      <c r="B128" s="298"/>
      <c r="C128" s="299"/>
      <c r="D128" s="1220" t="s">
        <v>733</v>
      </c>
      <c r="E128" s="539"/>
      <c r="F128" s="304"/>
      <c r="G128" s="304"/>
      <c r="H128" s="1174"/>
      <c r="I128" s="888">
        <f t="shared" ref="I128" si="29">SUM(J128:Q128)</f>
        <v>0</v>
      </c>
      <c r="J128" s="379"/>
      <c r="K128" s="379"/>
      <c r="L128" s="379"/>
      <c r="M128" s="379"/>
      <c r="N128" s="379"/>
      <c r="O128" s="379"/>
      <c r="P128" s="367"/>
      <c r="Q128" s="368"/>
      <c r="R128" s="153"/>
      <c r="S128" s="153"/>
      <c r="T128" s="153"/>
      <c r="U128" s="153"/>
      <c r="V128" s="153"/>
      <c r="W128" s="153"/>
      <c r="X128" s="153"/>
      <c r="Y128" s="153"/>
      <c r="Z128" s="153"/>
      <c r="AA128" s="153"/>
      <c r="AB128" s="153"/>
      <c r="AC128" s="153"/>
      <c r="AD128" s="153"/>
    </row>
    <row r="129" spans="1:30" s="48" customFormat="1" ht="18" customHeight="1" x14ac:dyDescent="0.3">
      <c r="A129" s="1423">
        <v>122</v>
      </c>
      <c r="B129" s="298"/>
      <c r="C129" s="299"/>
      <c r="D129" s="1096" t="s">
        <v>1391</v>
      </c>
      <c r="E129" s="906"/>
      <c r="F129" s="863"/>
      <c r="G129" s="863"/>
      <c r="H129" s="912"/>
      <c r="I129" s="373">
        <f>SUM(J129:Q129)</f>
        <v>0</v>
      </c>
      <c r="J129" s="870"/>
      <c r="K129" s="870"/>
      <c r="L129" s="870"/>
      <c r="M129" s="870"/>
      <c r="N129" s="870"/>
      <c r="O129" s="870"/>
      <c r="P129" s="367"/>
      <c r="Q129" s="368"/>
      <c r="R129" s="153"/>
      <c r="S129" s="153"/>
      <c r="T129" s="153"/>
      <c r="U129" s="153"/>
      <c r="V129" s="153"/>
      <c r="W129" s="153"/>
      <c r="X129" s="153"/>
      <c r="Y129" s="153"/>
      <c r="Z129" s="153"/>
      <c r="AA129" s="153"/>
      <c r="AB129" s="153"/>
      <c r="AC129" s="153"/>
      <c r="AD129" s="153"/>
    </row>
    <row r="130" spans="1:30" s="48" customFormat="1" ht="18" customHeight="1" x14ac:dyDescent="0.3">
      <c r="A130" s="1423">
        <v>123</v>
      </c>
      <c r="B130" s="298"/>
      <c r="C130" s="299"/>
      <c r="D130" s="1765" t="s">
        <v>921</v>
      </c>
      <c r="E130" s="1766"/>
      <c r="F130" s="1766"/>
      <c r="G130" s="1767"/>
      <c r="H130" s="912"/>
      <c r="I130" s="373"/>
      <c r="J130" s="367"/>
      <c r="K130" s="367"/>
      <c r="L130" s="367"/>
      <c r="M130" s="367"/>
      <c r="N130" s="367"/>
      <c r="O130" s="367"/>
      <c r="P130" s="367"/>
      <c r="Q130" s="368"/>
      <c r="R130" s="153"/>
      <c r="S130" s="153"/>
      <c r="T130" s="153"/>
      <c r="U130" s="153"/>
      <c r="V130" s="153"/>
      <c r="W130" s="153"/>
      <c r="X130" s="153"/>
      <c r="Y130" s="153"/>
      <c r="Z130" s="153"/>
      <c r="AA130" s="153"/>
      <c r="AB130" s="153"/>
      <c r="AC130" s="153"/>
      <c r="AD130" s="153"/>
    </row>
    <row r="131" spans="1:30" s="48" customFormat="1" ht="18" customHeight="1" x14ac:dyDescent="0.3">
      <c r="A131" s="1423">
        <v>124</v>
      </c>
      <c r="B131" s="298"/>
      <c r="C131" s="299"/>
      <c r="D131" s="861" t="s">
        <v>1307</v>
      </c>
      <c r="E131" s="697"/>
      <c r="F131" s="697"/>
      <c r="G131" s="697"/>
      <c r="H131" s="912"/>
      <c r="I131" s="373">
        <f>SUM(J131:Q131)</f>
        <v>57588</v>
      </c>
      <c r="J131" s="870">
        <v>15159</v>
      </c>
      <c r="K131" s="870">
        <v>2660</v>
      </c>
      <c r="L131" s="870">
        <v>37369</v>
      </c>
      <c r="M131" s="870"/>
      <c r="N131" s="870"/>
      <c r="O131" s="870">
        <v>2400</v>
      </c>
      <c r="P131" s="367"/>
      <c r="Q131" s="368"/>
      <c r="R131" s="153"/>
      <c r="S131" s="153"/>
      <c r="T131" s="153"/>
      <c r="U131" s="153"/>
      <c r="V131" s="153"/>
      <c r="W131" s="153"/>
      <c r="X131" s="153"/>
      <c r="Y131" s="153"/>
      <c r="Z131" s="153"/>
      <c r="AA131" s="153"/>
      <c r="AB131" s="153"/>
      <c r="AC131" s="153"/>
      <c r="AD131" s="153"/>
    </row>
    <row r="132" spans="1:30" s="48" customFormat="1" ht="18" customHeight="1" x14ac:dyDescent="0.3">
      <c r="A132" s="1423">
        <v>125</v>
      </c>
      <c r="B132" s="298"/>
      <c r="C132" s="299"/>
      <c r="D132" s="1167" t="s">
        <v>733</v>
      </c>
      <c r="E132" s="906"/>
      <c r="F132" s="863"/>
      <c r="G132" s="863"/>
      <c r="H132" s="912"/>
      <c r="I132" s="888">
        <f t="shared" ref="I132" si="30">SUM(J132:Q132)</f>
        <v>0</v>
      </c>
      <c r="J132" s="379"/>
      <c r="K132" s="379"/>
      <c r="L132" s="379"/>
      <c r="M132" s="379"/>
      <c r="N132" s="379"/>
      <c r="O132" s="379"/>
      <c r="P132" s="367"/>
      <c r="Q132" s="368"/>
      <c r="R132" s="153"/>
      <c r="S132" s="153"/>
      <c r="T132" s="153"/>
      <c r="U132" s="153"/>
      <c r="V132" s="153"/>
      <c r="W132" s="153"/>
      <c r="X132" s="153"/>
      <c r="Y132" s="153"/>
      <c r="Z132" s="153"/>
      <c r="AA132" s="153"/>
      <c r="AB132" s="153"/>
      <c r="AC132" s="153"/>
      <c r="AD132" s="153"/>
    </row>
    <row r="133" spans="1:30" s="48" customFormat="1" ht="18" customHeight="1" x14ac:dyDescent="0.3">
      <c r="A133" s="1423">
        <v>126</v>
      </c>
      <c r="B133" s="298"/>
      <c r="C133" s="299"/>
      <c r="D133" s="1091" t="s">
        <v>1391</v>
      </c>
      <c r="E133" s="906"/>
      <c r="F133" s="863"/>
      <c r="G133" s="863"/>
      <c r="H133" s="912"/>
      <c r="I133" s="373">
        <f>SUM(J133:Q133)</f>
        <v>57588</v>
      </c>
      <c r="J133" s="870">
        <f>SUM(J131:J132)</f>
        <v>15159</v>
      </c>
      <c r="K133" s="870">
        <f t="shared" ref="K133:O133" si="31">SUM(K131:K132)</f>
        <v>2660</v>
      </c>
      <c r="L133" s="870">
        <f t="shared" si="31"/>
        <v>37369</v>
      </c>
      <c r="M133" s="870"/>
      <c r="N133" s="870"/>
      <c r="O133" s="870">
        <f t="shared" si="31"/>
        <v>2400</v>
      </c>
      <c r="P133" s="367"/>
      <c r="Q133" s="368"/>
      <c r="R133" s="153"/>
      <c r="S133" s="153"/>
      <c r="T133" s="153"/>
      <c r="U133" s="153"/>
      <c r="V133" s="153"/>
      <c r="W133" s="153"/>
      <c r="X133" s="153"/>
      <c r="Y133" s="153"/>
      <c r="Z133" s="153"/>
      <c r="AA133" s="153"/>
      <c r="AB133" s="153"/>
      <c r="AC133" s="153"/>
      <c r="AD133" s="153"/>
    </row>
    <row r="134" spans="1:30" s="44" customFormat="1" ht="22.5" customHeight="1" x14ac:dyDescent="0.3">
      <c r="A134" s="1423">
        <v>127</v>
      </c>
      <c r="B134" s="295">
        <v>13</v>
      </c>
      <c r="C134" s="296"/>
      <c r="D134" s="363" t="s">
        <v>36</v>
      </c>
      <c r="E134" s="536" t="s">
        <v>24</v>
      </c>
      <c r="F134" s="116">
        <v>252359</v>
      </c>
      <c r="G134" s="116">
        <v>267050</v>
      </c>
      <c r="H134" s="1172">
        <v>323649</v>
      </c>
      <c r="I134" s="383"/>
      <c r="J134" s="116"/>
      <c r="K134" s="116"/>
      <c r="L134" s="116"/>
      <c r="M134" s="116"/>
      <c r="N134" s="116"/>
      <c r="O134" s="116"/>
      <c r="P134" s="116"/>
      <c r="Q134" s="130"/>
      <c r="R134" s="53"/>
      <c r="S134" s="53"/>
      <c r="T134" s="53"/>
      <c r="U134" s="53"/>
      <c r="V134" s="53"/>
      <c r="W134" s="53"/>
      <c r="X134" s="53"/>
      <c r="Y134" s="53"/>
      <c r="Z134" s="53"/>
      <c r="AA134" s="53"/>
      <c r="AB134" s="53"/>
      <c r="AC134" s="53"/>
      <c r="AD134" s="53"/>
    </row>
    <row r="135" spans="1:30" s="48" customFormat="1" ht="18" customHeight="1" x14ac:dyDescent="0.3">
      <c r="A135" s="1423">
        <v>128</v>
      </c>
      <c r="B135" s="298"/>
      <c r="C135" s="299"/>
      <c r="D135" s="1052" t="s">
        <v>334</v>
      </c>
      <c r="E135" s="1074"/>
      <c r="F135" s="1074"/>
      <c r="G135" s="1074"/>
      <c r="H135" s="1173"/>
      <c r="I135" s="1105">
        <f>SUM(J135:Q135)</f>
        <v>332350</v>
      </c>
      <c r="J135" s="1106">
        <v>164997</v>
      </c>
      <c r="K135" s="1106">
        <v>36164</v>
      </c>
      <c r="L135" s="1106">
        <v>104715</v>
      </c>
      <c r="M135" s="1106"/>
      <c r="N135" s="1106">
        <v>1316</v>
      </c>
      <c r="O135" s="1106">
        <v>25158</v>
      </c>
      <c r="P135" s="367"/>
      <c r="Q135" s="368"/>
      <c r="R135" s="153"/>
      <c r="S135" s="153"/>
      <c r="T135" s="153"/>
      <c r="U135" s="153"/>
      <c r="V135" s="153"/>
      <c r="W135" s="153"/>
      <c r="X135" s="153"/>
      <c r="Y135" s="153"/>
      <c r="Z135" s="153"/>
      <c r="AA135" s="153"/>
      <c r="AB135" s="153"/>
      <c r="AC135" s="153"/>
      <c r="AD135" s="153"/>
    </row>
    <row r="136" spans="1:30" s="48" customFormat="1" ht="18" customHeight="1" x14ac:dyDescent="0.3">
      <c r="A136" s="1423">
        <v>129</v>
      </c>
      <c r="B136" s="298"/>
      <c r="C136" s="299"/>
      <c r="D136" s="861" t="s">
        <v>1307</v>
      </c>
      <c r="E136" s="1074"/>
      <c r="F136" s="1074"/>
      <c r="G136" s="1074"/>
      <c r="H136" s="1173"/>
      <c r="I136" s="373">
        <f>SUM(J136:Q136)</f>
        <v>435142</v>
      </c>
      <c r="J136" s="870">
        <v>189039</v>
      </c>
      <c r="K136" s="870">
        <v>41157</v>
      </c>
      <c r="L136" s="870">
        <v>138877</v>
      </c>
      <c r="M136" s="870"/>
      <c r="N136" s="870">
        <v>1316</v>
      </c>
      <c r="O136" s="870">
        <v>64753</v>
      </c>
      <c r="P136" s="870"/>
      <c r="Q136" s="904"/>
      <c r="R136" s="153"/>
      <c r="S136" s="153"/>
      <c r="T136" s="153"/>
      <c r="U136" s="153"/>
      <c r="V136" s="153"/>
      <c r="W136" s="153"/>
      <c r="X136" s="153"/>
      <c r="Y136" s="153"/>
      <c r="Z136" s="153"/>
      <c r="AA136" s="153"/>
      <c r="AB136" s="153"/>
      <c r="AC136" s="153"/>
      <c r="AD136" s="153"/>
    </row>
    <row r="137" spans="1:30" s="48" customFormat="1" ht="18" customHeight="1" x14ac:dyDescent="0.3">
      <c r="A137" s="1423">
        <v>130</v>
      </c>
      <c r="B137" s="298"/>
      <c r="C137" s="299"/>
      <c r="D137" s="1167" t="s">
        <v>1392</v>
      </c>
      <c r="E137" s="304"/>
      <c r="F137" s="304"/>
      <c r="G137" s="304"/>
      <c r="H137" s="1174"/>
      <c r="I137" s="888">
        <f t="shared" ref="I137:I140" si="32">SUM(J137:Q137)</f>
        <v>4</v>
      </c>
      <c r="J137" s="379">
        <v>3</v>
      </c>
      <c r="K137" s="379">
        <v>1</v>
      </c>
      <c r="L137" s="379"/>
      <c r="M137" s="379"/>
      <c r="N137" s="379"/>
      <c r="O137" s="379"/>
      <c r="P137" s="367"/>
      <c r="Q137" s="368"/>
      <c r="R137" s="153"/>
      <c r="S137" s="153"/>
      <c r="T137" s="153"/>
      <c r="U137" s="153"/>
      <c r="V137" s="153"/>
      <c r="W137" s="153"/>
      <c r="X137" s="153"/>
      <c r="Y137" s="153"/>
      <c r="Z137" s="153"/>
      <c r="AA137" s="153"/>
      <c r="AB137" s="153"/>
      <c r="AC137" s="153"/>
      <c r="AD137" s="153"/>
    </row>
    <row r="138" spans="1:30" s="48" customFormat="1" ht="18" customHeight="1" x14ac:dyDescent="0.3">
      <c r="A138" s="1423">
        <v>131</v>
      </c>
      <c r="B138" s="298"/>
      <c r="C138" s="299"/>
      <c r="D138" s="1167" t="s">
        <v>1375</v>
      </c>
      <c r="E138" s="304"/>
      <c r="F138" s="304"/>
      <c r="G138" s="304"/>
      <c r="H138" s="1174"/>
      <c r="I138" s="888">
        <f t="shared" si="32"/>
        <v>1124</v>
      </c>
      <c r="J138" s="379">
        <v>957</v>
      </c>
      <c r="K138" s="379">
        <v>167</v>
      </c>
      <c r="L138" s="379"/>
      <c r="M138" s="379"/>
      <c r="N138" s="379"/>
      <c r="O138" s="379"/>
      <c r="P138" s="367"/>
      <c r="Q138" s="368"/>
      <c r="R138" s="153"/>
      <c r="S138" s="153"/>
      <c r="T138" s="153"/>
      <c r="U138" s="153"/>
      <c r="V138" s="153"/>
      <c r="W138" s="153"/>
      <c r="X138" s="153"/>
      <c r="Y138" s="153"/>
      <c r="Z138" s="153"/>
      <c r="AA138" s="153"/>
      <c r="AB138" s="153"/>
      <c r="AC138" s="153"/>
      <c r="AD138" s="153"/>
    </row>
    <row r="139" spans="1:30" s="48" customFormat="1" ht="18" customHeight="1" x14ac:dyDescent="0.3">
      <c r="A139" s="1423">
        <v>132</v>
      </c>
      <c r="B139" s="298"/>
      <c r="C139" s="299"/>
      <c r="D139" s="1167" t="s">
        <v>1431</v>
      </c>
      <c r="E139" s="304"/>
      <c r="F139" s="304"/>
      <c r="G139" s="304"/>
      <c r="H139" s="1174"/>
      <c r="I139" s="888">
        <f t="shared" si="32"/>
        <v>-300</v>
      </c>
      <c r="J139" s="379"/>
      <c r="K139" s="379"/>
      <c r="L139" s="379">
        <v>-300</v>
      </c>
      <c r="M139" s="379"/>
      <c r="N139" s="379"/>
      <c r="O139" s="379"/>
      <c r="P139" s="367"/>
      <c r="Q139" s="368"/>
      <c r="R139" s="153"/>
      <c r="S139" s="153"/>
      <c r="T139" s="153"/>
      <c r="U139" s="153"/>
      <c r="V139" s="153"/>
      <c r="W139" s="153"/>
      <c r="X139" s="153"/>
      <c r="Y139" s="153"/>
      <c r="Z139" s="153"/>
      <c r="AA139" s="153"/>
      <c r="AB139" s="153"/>
      <c r="AC139" s="153"/>
      <c r="AD139" s="153"/>
    </row>
    <row r="140" spans="1:30" s="48" customFormat="1" ht="18" customHeight="1" x14ac:dyDescent="0.3">
      <c r="A140" s="1423">
        <v>133</v>
      </c>
      <c r="B140" s="298"/>
      <c r="C140" s="299"/>
      <c r="D140" s="1167" t="s">
        <v>1432</v>
      </c>
      <c r="E140" s="304"/>
      <c r="F140" s="304"/>
      <c r="G140" s="304"/>
      <c r="H140" s="1174"/>
      <c r="I140" s="888">
        <f t="shared" si="32"/>
        <v>32200</v>
      </c>
      <c r="J140" s="379">
        <v>2000</v>
      </c>
      <c r="K140" s="379">
        <v>350</v>
      </c>
      <c r="L140" s="379">
        <v>27350</v>
      </c>
      <c r="M140" s="379"/>
      <c r="N140" s="379"/>
      <c r="O140" s="379">
        <v>2500</v>
      </c>
      <c r="P140" s="367"/>
      <c r="Q140" s="368"/>
      <c r="R140" s="153"/>
      <c r="S140" s="153"/>
      <c r="T140" s="153"/>
      <c r="U140" s="153"/>
      <c r="V140" s="153"/>
      <c r="W140" s="153"/>
      <c r="X140" s="153"/>
      <c r="Y140" s="153"/>
      <c r="Z140" s="153"/>
      <c r="AA140" s="153"/>
      <c r="AB140" s="153"/>
      <c r="AC140" s="153"/>
      <c r="AD140" s="153"/>
    </row>
    <row r="141" spans="1:30" s="48" customFormat="1" ht="18" customHeight="1" x14ac:dyDescent="0.3">
      <c r="A141" s="1423">
        <v>134</v>
      </c>
      <c r="B141" s="298"/>
      <c r="C141" s="299"/>
      <c r="D141" s="1091" t="s">
        <v>1391</v>
      </c>
      <c r="E141" s="863"/>
      <c r="F141" s="863"/>
      <c r="G141" s="863"/>
      <c r="H141" s="912"/>
      <c r="I141" s="373">
        <f>SUM(J141:Q141)</f>
        <v>468170</v>
      </c>
      <c r="J141" s="870">
        <f>SUM(J136:J140)</f>
        <v>191999</v>
      </c>
      <c r="K141" s="870">
        <f>SUM(K136:K140)</f>
        <v>41675</v>
      </c>
      <c r="L141" s="870">
        <f>SUM(L136:L140)</f>
        <v>165927</v>
      </c>
      <c r="M141" s="870"/>
      <c r="N141" s="870">
        <f>SUM(N136:N140)</f>
        <v>1316</v>
      </c>
      <c r="O141" s="870">
        <f>SUM(O136:O140)</f>
        <v>67253</v>
      </c>
      <c r="P141" s="367"/>
      <c r="Q141" s="368"/>
      <c r="R141" s="153"/>
      <c r="S141" s="153"/>
      <c r="T141" s="153"/>
      <c r="U141" s="153"/>
      <c r="V141" s="153"/>
      <c r="W141" s="153"/>
      <c r="X141" s="153"/>
      <c r="Y141" s="153"/>
      <c r="Z141" s="153"/>
      <c r="AA141" s="153"/>
      <c r="AB141" s="153"/>
      <c r="AC141" s="153"/>
      <c r="AD141" s="153"/>
    </row>
    <row r="142" spans="1:30" s="44" customFormat="1" ht="18" customHeight="1" x14ac:dyDescent="0.3">
      <c r="A142" s="1423">
        <v>135</v>
      </c>
      <c r="B142" s="301"/>
      <c r="C142" s="302">
        <v>1</v>
      </c>
      <c r="D142" s="303" t="s">
        <v>157</v>
      </c>
      <c r="E142" s="538"/>
      <c r="F142" s="116">
        <v>17144</v>
      </c>
      <c r="G142" s="116">
        <v>20890</v>
      </c>
      <c r="H142" s="1172">
        <v>4820</v>
      </c>
      <c r="I142" s="383"/>
      <c r="J142" s="367"/>
      <c r="K142" s="367"/>
      <c r="L142" s="367"/>
      <c r="M142" s="379"/>
      <c r="N142" s="379"/>
      <c r="O142" s="379"/>
      <c r="P142" s="379"/>
      <c r="Q142" s="380"/>
      <c r="R142" s="53"/>
      <c r="S142" s="53"/>
      <c r="T142" s="53"/>
      <c r="U142" s="53"/>
      <c r="V142" s="53"/>
      <c r="W142" s="53"/>
      <c r="X142" s="53"/>
      <c r="Y142" s="53"/>
      <c r="Z142" s="53"/>
      <c r="AA142" s="53"/>
      <c r="AB142" s="53"/>
      <c r="AC142" s="53"/>
      <c r="AD142" s="53"/>
    </row>
    <row r="143" spans="1:30" s="44" customFormat="1" ht="18" customHeight="1" x14ac:dyDescent="0.3">
      <c r="A143" s="1423">
        <v>136</v>
      </c>
      <c r="B143" s="298"/>
      <c r="C143" s="299"/>
      <c r="D143" s="1076" t="s">
        <v>334</v>
      </c>
      <c r="E143" s="1111"/>
      <c r="F143" s="1074"/>
      <c r="G143" s="1074"/>
      <c r="H143" s="1173"/>
      <c r="I143" s="1105">
        <f>SUM(J143:Q143)</f>
        <v>0</v>
      </c>
      <c r="J143" s="367"/>
      <c r="K143" s="367"/>
      <c r="L143" s="367"/>
      <c r="M143" s="367"/>
      <c r="N143" s="367"/>
      <c r="O143" s="367"/>
      <c r="P143" s="367"/>
      <c r="Q143" s="368"/>
      <c r="R143" s="53"/>
      <c r="S143" s="53"/>
      <c r="T143" s="53"/>
      <c r="U143" s="53"/>
      <c r="V143" s="53"/>
      <c r="W143" s="53"/>
      <c r="X143" s="53"/>
      <c r="Y143" s="53"/>
      <c r="Z143" s="53"/>
      <c r="AA143" s="53"/>
      <c r="AB143" s="53"/>
      <c r="AC143" s="53"/>
      <c r="AD143" s="53"/>
    </row>
    <row r="144" spans="1:30" s="44" customFormat="1" ht="18" customHeight="1" x14ac:dyDescent="0.3">
      <c r="A144" s="1423">
        <v>137</v>
      </c>
      <c r="B144" s="298"/>
      <c r="C144" s="299"/>
      <c r="D144" s="1096" t="s">
        <v>1307</v>
      </c>
      <c r="E144" s="1111"/>
      <c r="F144" s="1074"/>
      <c r="G144" s="1074"/>
      <c r="H144" s="1173"/>
      <c r="I144" s="373">
        <f>SUM(J144:Q144)</f>
        <v>0</v>
      </c>
      <c r="J144" s="367"/>
      <c r="K144" s="367"/>
      <c r="L144" s="367"/>
      <c r="M144" s="367"/>
      <c r="N144" s="367"/>
      <c r="O144" s="367"/>
      <c r="P144" s="367"/>
      <c r="Q144" s="368"/>
      <c r="R144" s="53"/>
      <c r="S144" s="53"/>
      <c r="T144" s="53"/>
      <c r="U144" s="53"/>
      <c r="V144" s="53"/>
      <c r="W144" s="53"/>
      <c r="X144" s="53"/>
      <c r="Y144" s="53"/>
      <c r="Z144" s="53"/>
      <c r="AA144" s="53"/>
      <c r="AB144" s="53"/>
      <c r="AC144" s="53"/>
      <c r="AD144" s="53"/>
    </row>
    <row r="145" spans="1:30" s="44" customFormat="1" ht="18" customHeight="1" x14ac:dyDescent="0.3">
      <c r="A145" s="1423">
        <v>138</v>
      </c>
      <c r="B145" s="298"/>
      <c r="C145" s="299"/>
      <c r="D145" s="1220" t="s">
        <v>733</v>
      </c>
      <c r="E145" s="539"/>
      <c r="F145" s="304"/>
      <c r="G145" s="304"/>
      <c r="H145" s="1174"/>
      <c r="I145" s="888">
        <f t="shared" ref="I145" si="33">SUM(J145:Q145)</f>
        <v>0</v>
      </c>
      <c r="J145" s="367"/>
      <c r="K145" s="367"/>
      <c r="L145" s="367"/>
      <c r="M145" s="367"/>
      <c r="N145" s="367"/>
      <c r="O145" s="367"/>
      <c r="P145" s="367"/>
      <c r="Q145" s="368"/>
      <c r="R145" s="53"/>
      <c r="S145" s="53"/>
      <c r="T145" s="53"/>
      <c r="U145" s="53"/>
      <c r="V145" s="53"/>
      <c r="W145" s="53"/>
      <c r="X145" s="53"/>
      <c r="Y145" s="53"/>
      <c r="Z145" s="53"/>
      <c r="AA145" s="53"/>
      <c r="AB145" s="53"/>
      <c r="AC145" s="53"/>
      <c r="AD145" s="53"/>
    </row>
    <row r="146" spans="1:30" s="44" customFormat="1" ht="18" customHeight="1" x14ac:dyDescent="0.3">
      <c r="A146" s="1423">
        <v>139</v>
      </c>
      <c r="B146" s="298"/>
      <c r="C146" s="299"/>
      <c r="D146" s="1096" t="s">
        <v>1391</v>
      </c>
      <c r="E146" s="906"/>
      <c r="F146" s="863"/>
      <c r="G146" s="863"/>
      <c r="H146" s="912"/>
      <c r="I146" s="373">
        <f>SUM(J146:Q146)</f>
        <v>0</v>
      </c>
      <c r="J146" s="367"/>
      <c r="K146" s="367"/>
      <c r="L146" s="367"/>
      <c r="M146" s="367"/>
      <c r="N146" s="367"/>
      <c r="O146" s="367"/>
      <c r="P146" s="367"/>
      <c r="Q146" s="368"/>
      <c r="R146" s="53"/>
      <c r="S146" s="53"/>
      <c r="T146" s="53"/>
      <c r="U146" s="53"/>
      <c r="V146" s="53"/>
      <c r="W146" s="53"/>
      <c r="X146" s="53"/>
      <c r="Y146" s="53"/>
      <c r="Z146" s="53"/>
      <c r="AA146" s="53"/>
      <c r="AB146" s="53"/>
      <c r="AC146" s="53"/>
      <c r="AD146" s="53"/>
    </row>
    <row r="147" spans="1:30" s="44" customFormat="1" ht="60" x14ac:dyDescent="0.3">
      <c r="A147" s="1423">
        <v>140</v>
      </c>
      <c r="B147" s="301"/>
      <c r="C147" s="302">
        <v>2</v>
      </c>
      <c r="D147" s="707" t="s">
        <v>534</v>
      </c>
      <c r="E147" s="709"/>
      <c r="F147" s="307"/>
      <c r="G147" s="307"/>
      <c r="H147" s="1186">
        <v>1969</v>
      </c>
      <c r="I147" s="383"/>
      <c r="J147" s="367"/>
      <c r="K147" s="367"/>
      <c r="L147" s="367"/>
      <c r="M147" s="379"/>
      <c r="N147" s="379"/>
      <c r="O147" s="379"/>
      <c r="P147" s="379"/>
      <c r="Q147" s="380"/>
      <c r="R147" s="53"/>
      <c r="S147" s="53"/>
      <c r="T147" s="53"/>
      <c r="U147" s="53"/>
      <c r="V147" s="53"/>
      <c r="W147" s="53"/>
      <c r="X147" s="53"/>
      <c r="Y147" s="53"/>
      <c r="Z147" s="53"/>
      <c r="AA147" s="53"/>
      <c r="AB147" s="53"/>
      <c r="AC147" s="53"/>
      <c r="AD147" s="53"/>
    </row>
    <row r="148" spans="1:30" s="44" customFormat="1" ht="18" customHeight="1" x14ac:dyDescent="0.3">
      <c r="A148" s="1423">
        <v>141</v>
      </c>
      <c r="B148" s="298"/>
      <c r="C148" s="299"/>
      <c r="D148" s="1076" t="s">
        <v>334</v>
      </c>
      <c r="E148" s="1111"/>
      <c r="F148" s="1074"/>
      <c r="G148" s="1074"/>
      <c r="H148" s="1173"/>
      <c r="I148" s="1105">
        <f>SUM(J148:Q148)</f>
        <v>55328</v>
      </c>
      <c r="J148" s="1106">
        <v>1174</v>
      </c>
      <c r="K148" s="1106">
        <v>258</v>
      </c>
      <c r="L148" s="1106">
        <v>50</v>
      </c>
      <c r="M148" s="1106"/>
      <c r="N148" s="1106"/>
      <c r="O148" s="1106">
        <v>53846</v>
      </c>
      <c r="P148" s="367"/>
      <c r="Q148" s="368"/>
      <c r="R148" s="53"/>
      <c r="S148" s="53"/>
      <c r="T148" s="53"/>
      <c r="U148" s="53"/>
      <c r="V148" s="53"/>
      <c r="W148" s="53"/>
      <c r="X148" s="53"/>
      <c r="Y148" s="53"/>
      <c r="Z148" s="53"/>
      <c r="AA148" s="53"/>
      <c r="AB148" s="53"/>
      <c r="AC148" s="53"/>
      <c r="AD148" s="53"/>
    </row>
    <row r="149" spans="1:30" s="44" customFormat="1" ht="18" customHeight="1" x14ac:dyDescent="0.3">
      <c r="A149" s="1423">
        <v>142</v>
      </c>
      <c r="B149" s="298"/>
      <c r="C149" s="299"/>
      <c r="D149" s="1096" t="s">
        <v>1307</v>
      </c>
      <c r="E149" s="1111"/>
      <c r="F149" s="1074"/>
      <c r="G149" s="1074"/>
      <c r="H149" s="1173"/>
      <c r="I149" s="373">
        <f>SUM(J149:Q149)</f>
        <v>57002</v>
      </c>
      <c r="J149" s="870">
        <v>1174</v>
      </c>
      <c r="K149" s="870">
        <v>258</v>
      </c>
      <c r="L149" s="870">
        <v>130</v>
      </c>
      <c r="M149" s="870"/>
      <c r="N149" s="870"/>
      <c r="O149" s="870">
        <v>55440</v>
      </c>
      <c r="P149" s="870"/>
      <c r="Q149" s="368"/>
      <c r="R149" s="53"/>
      <c r="S149" s="53"/>
      <c r="T149" s="53"/>
      <c r="U149" s="53"/>
      <c r="V149" s="53"/>
      <c r="W149" s="53"/>
      <c r="X149" s="53"/>
      <c r="Y149" s="53"/>
      <c r="Z149" s="53"/>
      <c r="AA149" s="53"/>
      <c r="AB149" s="53"/>
      <c r="AC149" s="53"/>
      <c r="AD149" s="53"/>
    </row>
    <row r="150" spans="1:30" s="44" customFormat="1" ht="18" customHeight="1" x14ac:dyDescent="0.3">
      <c r="A150" s="1423">
        <v>143</v>
      </c>
      <c r="B150" s="298"/>
      <c r="C150" s="299"/>
      <c r="D150" s="1220" t="s">
        <v>733</v>
      </c>
      <c r="E150" s="539"/>
      <c r="F150" s="304"/>
      <c r="G150" s="304"/>
      <c r="H150" s="1174"/>
      <c r="I150" s="888">
        <f t="shared" ref="I150" si="34">SUM(J150:Q150)</f>
        <v>0</v>
      </c>
      <c r="J150" s="367"/>
      <c r="K150" s="367"/>
      <c r="L150" s="367"/>
      <c r="M150" s="367"/>
      <c r="N150" s="367"/>
      <c r="O150" s="367"/>
      <c r="P150" s="367"/>
      <c r="Q150" s="368"/>
      <c r="R150" s="53"/>
      <c r="S150" s="53"/>
      <c r="T150" s="53"/>
      <c r="U150" s="53"/>
      <c r="V150" s="53"/>
      <c r="W150" s="53"/>
      <c r="X150" s="53"/>
      <c r="Y150" s="53"/>
      <c r="Z150" s="53"/>
      <c r="AA150" s="53"/>
      <c r="AB150" s="53"/>
      <c r="AC150" s="53"/>
      <c r="AD150" s="53"/>
    </row>
    <row r="151" spans="1:30" s="44" customFormat="1" ht="18" customHeight="1" x14ac:dyDescent="0.3">
      <c r="A151" s="1423">
        <v>144</v>
      </c>
      <c r="B151" s="298"/>
      <c r="C151" s="299"/>
      <c r="D151" s="1096" t="s">
        <v>1391</v>
      </c>
      <c r="E151" s="906"/>
      <c r="F151" s="863"/>
      <c r="G151" s="863"/>
      <c r="H151" s="912"/>
      <c r="I151" s="373">
        <f>SUM(J151:Q151)</f>
        <v>57002</v>
      </c>
      <c r="J151" s="870">
        <f>SUM(J149:J150)</f>
        <v>1174</v>
      </c>
      <c r="K151" s="870">
        <f t="shared" ref="K151:O151" si="35">SUM(K149:K150)</f>
        <v>258</v>
      </c>
      <c r="L151" s="870">
        <f t="shared" si="35"/>
        <v>130</v>
      </c>
      <c r="M151" s="870"/>
      <c r="N151" s="870"/>
      <c r="O151" s="870">
        <f t="shared" si="35"/>
        <v>55440</v>
      </c>
      <c r="P151" s="367"/>
      <c r="Q151" s="368"/>
      <c r="R151" s="53"/>
      <c r="S151" s="53"/>
      <c r="T151" s="53"/>
      <c r="U151" s="53"/>
      <c r="V151" s="53"/>
      <c r="W151" s="53"/>
      <c r="X151" s="53"/>
      <c r="Y151" s="53"/>
      <c r="Z151" s="53"/>
      <c r="AA151" s="53"/>
      <c r="AB151" s="53"/>
      <c r="AC151" s="53"/>
      <c r="AD151" s="53"/>
    </row>
    <row r="152" spans="1:30" s="44" customFormat="1" ht="22.5" customHeight="1" x14ac:dyDescent="0.3">
      <c r="A152" s="1423">
        <v>145</v>
      </c>
      <c r="B152" s="295">
        <v>14</v>
      </c>
      <c r="C152" s="296"/>
      <c r="D152" s="363" t="s">
        <v>532</v>
      </c>
      <c r="E152" s="536" t="s">
        <v>25</v>
      </c>
      <c r="F152" s="116">
        <v>116282</v>
      </c>
      <c r="G152" s="116">
        <v>120397</v>
      </c>
      <c r="H152" s="1172">
        <v>137258</v>
      </c>
      <c r="I152" s="383"/>
      <c r="J152" s="116"/>
      <c r="K152" s="116"/>
      <c r="L152" s="116"/>
      <c r="M152" s="116"/>
      <c r="N152" s="116"/>
      <c r="O152" s="116"/>
      <c r="P152" s="116"/>
      <c r="Q152" s="130"/>
      <c r="R152" s="53"/>
      <c r="S152" s="53"/>
      <c r="T152" s="53"/>
      <c r="U152" s="53"/>
      <c r="V152" s="53"/>
      <c r="W152" s="53"/>
      <c r="X152" s="53"/>
      <c r="Y152" s="53"/>
      <c r="Z152" s="53"/>
      <c r="AA152" s="53"/>
      <c r="AB152" s="53"/>
      <c r="AC152" s="53"/>
      <c r="AD152" s="53"/>
    </row>
    <row r="153" spans="1:30" s="44" customFormat="1" ht="18" customHeight="1" x14ac:dyDescent="0.3">
      <c r="A153" s="1423">
        <v>146</v>
      </c>
      <c r="B153" s="298"/>
      <c r="C153" s="299"/>
      <c r="D153" s="1052" t="s">
        <v>334</v>
      </c>
      <c r="E153" s="304"/>
      <c r="F153" s="304"/>
      <c r="G153" s="304"/>
      <c r="H153" s="1174"/>
      <c r="I153" s="1105">
        <f>SUM(J153:Q153)</f>
        <v>131489</v>
      </c>
      <c r="J153" s="1106">
        <f>68987-10388</f>
        <v>58599</v>
      </c>
      <c r="K153" s="1106">
        <f>16576-3521</f>
        <v>13055</v>
      </c>
      <c r="L153" s="1106">
        <f>63834-7999</f>
        <v>55835</v>
      </c>
      <c r="M153" s="1106"/>
      <c r="N153" s="1106"/>
      <c r="O153" s="1106">
        <f>5879-1879</f>
        <v>4000</v>
      </c>
      <c r="P153" s="367"/>
      <c r="Q153" s="368"/>
      <c r="R153" s="53"/>
      <c r="S153" s="53"/>
      <c r="T153" s="53"/>
      <c r="U153" s="53"/>
      <c r="V153" s="53"/>
      <c r="W153" s="53"/>
      <c r="X153" s="53"/>
      <c r="Y153" s="53"/>
      <c r="Z153" s="53"/>
      <c r="AA153" s="53"/>
      <c r="AB153" s="53"/>
      <c r="AC153" s="53"/>
      <c r="AD153" s="53"/>
    </row>
    <row r="154" spans="1:30" s="44" customFormat="1" ht="18" customHeight="1" x14ac:dyDescent="0.3">
      <c r="A154" s="1423">
        <v>147</v>
      </c>
      <c r="B154" s="298"/>
      <c r="C154" s="299"/>
      <c r="D154" s="1168" t="s">
        <v>1307</v>
      </c>
      <c r="E154" s="304"/>
      <c r="F154" s="304"/>
      <c r="G154" s="304"/>
      <c r="H154" s="1174"/>
      <c r="I154" s="373">
        <f>SUM(J154:Q154)</f>
        <v>140016</v>
      </c>
      <c r="J154" s="870">
        <v>65164</v>
      </c>
      <c r="K154" s="870">
        <v>15811</v>
      </c>
      <c r="L154" s="870">
        <v>55041</v>
      </c>
      <c r="M154" s="870"/>
      <c r="N154" s="870"/>
      <c r="O154" s="870">
        <v>4000</v>
      </c>
      <c r="P154" s="870"/>
      <c r="Q154" s="904"/>
      <c r="R154" s="53"/>
      <c r="S154" s="53"/>
      <c r="T154" s="53"/>
      <c r="U154" s="53"/>
      <c r="V154" s="53"/>
      <c r="W154" s="53"/>
      <c r="X154" s="53"/>
      <c r="Y154" s="53"/>
      <c r="Z154" s="53"/>
      <c r="AA154" s="53"/>
      <c r="AB154" s="53"/>
      <c r="AC154" s="53"/>
      <c r="AD154" s="53"/>
    </row>
    <row r="155" spans="1:30" s="44" customFormat="1" ht="18" customHeight="1" x14ac:dyDescent="0.3">
      <c r="A155" s="1423">
        <v>148</v>
      </c>
      <c r="B155" s="298"/>
      <c r="C155" s="299"/>
      <c r="D155" s="1167" t="s">
        <v>942</v>
      </c>
      <c r="E155" s="304"/>
      <c r="F155" s="304"/>
      <c r="G155" s="304"/>
      <c r="H155" s="1174"/>
      <c r="I155" s="888">
        <f t="shared" ref="I155:I156" si="36">SUM(J155:Q155)</f>
        <v>402</v>
      </c>
      <c r="J155" s="379">
        <v>342</v>
      </c>
      <c r="K155" s="379">
        <v>60</v>
      </c>
      <c r="L155" s="379"/>
      <c r="M155" s="367"/>
      <c r="N155" s="367"/>
      <c r="O155" s="367"/>
      <c r="P155" s="367"/>
      <c r="Q155" s="368"/>
      <c r="R155" s="53"/>
      <c r="S155" s="53"/>
      <c r="T155" s="53"/>
      <c r="U155" s="53"/>
      <c r="V155" s="53"/>
      <c r="W155" s="53"/>
      <c r="X155" s="53"/>
      <c r="Y155" s="53"/>
      <c r="Z155" s="53"/>
      <c r="AA155" s="53"/>
      <c r="AB155" s="53"/>
      <c r="AC155" s="53"/>
      <c r="AD155" s="53"/>
    </row>
    <row r="156" spans="1:30" s="44" customFormat="1" ht="18" customHeight="1" x14ac:dyDescent="0.3">
      <c r="A156" s="1423">
        <v>149</v>
      </c>
      <c r="B156" s="298"/>
      <c r="C156" s="299"/>
      <c r="D156" s="1167" t="s">
        <v>1445</v>
      </c>
      <c r="E156" s="304"/>
      <c r="F156" s="304"/>
      <c r="G156" s="304"/>
      <c r="H156" s="1174"/>
      <c r="I156" s="888">
        <f t="shared" si="36"/>
        <v>2275</v>
      </c>
      <c r="J156" s="379">
        <v>2275</v>
      </c>
      <c r="K156" s="379"/>
      <c r="L156" s="379"/>
      <c r="M156" s="367"/>
      <c r="N156" s="367"/>
      <c r="O156" s="367"/>
      <c r="P156" s="367"/>
      <c r="Q156" s="368"/>
      <c r="R156" s="53"/>
      <c r="S156" s="53"/>
      <c r="T156" s="53"/>
      <c r="U156" s="53"/>
      <c r="V156" s="53"/>
      <c r="W156" s="53"/>
      <c r="X156" s="53"/>
      <c r="Y156" s="53"/>
      <c r="Z156" s="53"/>
      <c r="AA156" s="53"/>
      <c r="AB156" s="53"/>
      <c r="AC156" s="53"/>
      <c r="AD156" s="53"/>
    </row>
    <row r="157" spans="1:30" s="44" customFormat="1" ht="18" customHeight="1" x14ac:dyDescent="0.3">
      <c r="A157" s="1423">
        <v>150</v>
      </c>
      <c r="B157" s="298"/>
      <c r="C157" s="299"/>
      <c r="D157" s="1091" t="s">
        <v>1391</v>
      </c>
      <c r="E157" s="863"/>
      <c r="F157" s="863"/>
      <c r="G157" s="863"/>
      <c r="H157" s="912"/>
      <c r="I157" s="373">
        <f>SUM(J157:Q157)</f>
        <v>142693</v>
      </c>
      <c r="J157" s="870">
        <f>SUM(J154:J156)</f>
        <v>67781</v>
      </c>
      <c r="K157" s="870">
        <f>SUM(K154:K156)</f>
        <v>15871</v>
      </c>
      <c r="L157" s="870">
        <f>SUM(L154:L156)</f>
        <v>55041</v>
      </c>
      <c r="M157" s="870"/>
      <c r="N157" s="870"/>
      <c r="O157" s="870">
        <f>SUM(O154:O156)</f>
        <v>4000</v>
      </c>
      <c r="P157" s="367"/>
      <c r="Q157" s="368"/>
      <c r="R157" s="53"/>
      <c r="S157" s="53"/>
      <c r="T157" s="53"/>
      <c r="U157" s="53"/>
      <c r="V157" s="53"/>
      <c r="W157" s="53"/>
      <c r="X157" s="53"/>
      <c r="Y157" s="53"/>
      <c r="Z157" s="53"/>
      <c r="AA157" s="53"/>
      <c r="AB157" s="53"/>
      <c r="AC157" s="53"/>
      <c r="AD157" s="53"/>
    </row>
    <row r="158" spans="1:30" s="49" customFormat="1" ht="18" customHeight="1" x14ac:dyDescent="0.3">
      <c r="A158" s="1423">
        <v>151</v>
      </c>
      <c r="B158" s="301"/>
      <c r="C158" s="302">
        <v>1</v>
      </c>
      <c r="D158" s="303" t="s">
        <v>157</v>
      </c>
      <c r="E158" s="538"/>
      <c r="F158" s="307">
        <v>1520</v>
      </c>
      <c r="G158" s="307">
        <v>2506</v>
      </c>
      <c r="H158" s="1186">
        <v>1407</v>
      </c>
      <c r="I158" s="383"/>
      <c r="J158" s="367"/>
      <c r="K158" s="367"/>
      <c r="L158" s="367"/>
      <c r="M158" s="379"/>
      <c r="N158" s="379"/>
      <c r="O158" s="379"/>
      <c r="P158" s="379"/>
      <c r="Q158" s="380"/>
      <c r="R158" s="258"/>
      <c r="S158" s="258"/>
      <c r="T158" s="258"/>
      <c r="U158" s="258"/>
      <c r="V158" s="258"/>
      <c r="W158" s="258"/>
      <c r="X158" s="258"/>
      <c r="Y158" s="258"/>
      <c r="Z158" s="258"/>
      <c r="AA158" s="258"/>
      <c r="AB158" s="258"/>
      <c r="AC158" s="258"/>
      <c r="AD158" s="258"/>
    </row>
    <row r="159" spans="1:30" s="44" customFormat="1" ht="18" customHeight="1" x14ac:dyDescent="0.3">
      <c r="A159" s="1423">
        <v>152</v>
      </c>
      <c r="B159" s="298"/>
      <c r="C159" s="299"/>
      <c r="D159" s="1076" t="s">
        <v>334</v>
      </c>
      <c r="E159" s="1111"/>
      <c r="F159" s="1074"/>
      <c r="G159" s="1074"/>
      <c r="H159" s="1173"/>
      <c r="I159" s="1105">
        <f>SUM(J159:Q159)</f>
        <v>2477</v>
      </c>
      <c r="J159" s="1106">
        <v>2257</v>
      </c>
      <c r="K159" s="1106">
        <v>220</v>
      </c>
      <c r="L159" s="367"/>
      <c r="M159" s="367"/>
      <c r="N159" s="367"/>
      <c r="O159" s="367"/>
      <c r="P159" s="367"/>
      <c r="Q159" s="368"/>
      <c r="R159" s="53"/>
      <c r="S159" s="53"/>
      <c r="T159" s="53"/>
      <c r="U159" s="53"/>
      <c r="V159" s="53"/>
      <c r="W159" s="53"/>
      <c r="X159" s="53"/>
      <c r="Y159" s="53"/>
      <c r="Z159" s="53"/>
      <c r="AA159" s="53"/>
      <c r="AB159" s="53"/>
      <c r="AC159" s="53"/>
      <c r="AD159" s="53"/>
    </row>
    <row r="160" spans="1:30" s="44" customFormat="1" ht="18" customHeight="1" x14ac:dyDescent="0.3">
      <c r="A160" s="1423">
        <v>153</v>
      </c>
      <c r="B160" s="298"/>
      <c r="C160" s="299"/>
      <c r="D160" s="1096" t="s">
        <v>1307</v>
      </c>
      <c r="E160" s="1111"/>
      <c r="F160" s="1074"/>
      <c r="G160" s="1074"/>
      <c r="H160" s="1173"/>
      <c r="I160" s="373">
        <f>SUM(J160:Q160)</f>
        <v>2238</v>
      </c>
      <c r="J160" s="870">
        <v>2057</v>
      </c>
      <c r="K160" s="870">
        <v>181</v>
      </c>
      <c r="L160" s="367"/>
      <c r="M160" s="367"/>
      <c r="N160" s="367"/>
      <c r="O160" s="367"/>
      <c r="P160" s="367"/>
      <c r="Q160" s="368"/>
      <c r="R160" s="53"/>
      <c r="S160" s="53"/>
      <c r="T160" s="53"/>
      <c r="U160" s="53"/>
      <c r="V160" s="53"/>
      <c r="W160" s="53"/>
      <c r="X160" s="53"/>
      <c r="Y160" s="53"/>
      <c r="Z160" s="53"/>
      <c r="AA160" s="53"/>
      <c r="AB160" s="53"/>
      <c r="AC160" s="53"/>
      <c r="AD160" s="53"/>
    </row>
    <row r="161" spans="1:30" s="44" customFormat="1" ht="18" customHeight="1" x14ac:dyDescent="0.3">
      <c r="A161" s="1423">
        <v>154</v>
      </c>
      <c r="B161" s="298"/>
      <c r="C161" s="299"/>
      <c r="D161" s="303" t="s">
        <v>733</v>
      </c>
      <c r="E161" s="539"/>
      <c r="F161" s="304"/>
      <c r="G161" s="304"/>
      <c r="H161" s="1174"/>
      <c r="I161" s="888">
        <f t="shared" ref="I161" si="37">SUM(J161:Q161)</f>
        <v>0</v>
      </c>
      <c r="J161" s="367"/>
      <c r="K161" s="367"/>
      <c r="L161" s="367"/>
      <c r="M161" s="367"/>
      <c r="N161" s="367"/>
      <c r="O161" s="367"/>
      <c r="P161" s="367"/>
      <c r="Q161" s="368"/>
      <c r="R161" s="53"/>
      <c r="S161" s="53"/>
      <c r="T161" s="53"/>
      <c r="U161" s="53"/>
      <c r="V161" s="53"/>
      <c r="W161" s="53"/>
      <c r="X161" s="53"/>
      <c r="Y161" s="53"/>
      <c r="Z161" s="53"/>
      <c r="AA161" s="53"/>
      <c r="AB161" s="53"/>
      <c r="AC161" s="53"/>
      <c r="AD161" s="53"/>
    </row>
    <row r="162" spans="1:30" s="44" customFormat="1" ht="18" customHeight="1" x14ac:dyDescent="0.3">
      <c r="A162" s="1423">
        <v>155</v>
      </c>
      <c r="B162" s="298"/>
      <c r="C162" s="299"/>
      <c r="D162" s="1096" t="s">
        <v>1391</v>
      </c>
      <c r="E162" s="906"/>
      <c r="F162" s="863"/>
      <c r="G162" s="863"/>
      <c r="H162" s="912"/>
      <c r="I162" s="373">
        <f>SUM(J162:Q162)</f>
        <v>2238</v>
      </c>
      <c r="J162" s="870">
        <f>SUM(J160:J161)</f>
        <v>2057</v>
      </c>
      <c r="K162" s="870">
        <f>SUM(K160:K161)</f>
        <v>181</v>
      </c>
      <c r="L162" s="367"/>
      <c r="M162" s="367"/>
      <c r="N162" s="367"/>
      <c r="O162" s="367"/>
      <c r="P162" s="367"/>
      <c r="Q162" s="368"/>
      <c r="R162" s="53"/>
      <c r="S162" s="53"/>
      <c r="T162" s="53"/>
      <c r="U162" s="53"/>
      <c r="V162" s="53"/>
      <c r="W162" s="53"/>
      <c r="X162" s="53"/>
      <c r="Y162" s="53"/>
      <c r="Z162" s="53"/>
      <c r="AA162" s="53"/>
      <c r="AB162" s="53"/>
      <c r="AC162" s="53"/>
      <c r="AD162" s="53"/>
    </row>
    <row r="163" spans="1:30" s="49" customFormat="1" ht="30" x14ac:dyDescent="0.3">
      <c r="A163" s="1423">
        <v>156</v>
      </c>
      <c r="B163" s="301"/>
      <c r="C163" s="302">
        <v>2</v>
      </c>
      <c r="D163" s="707" t="s">
        <v>535</v>
      </c>
      <c r="E163" s="709"/>
      <c r="F163" s="307"/>
      <c r="G163" s="307"/>
      <c r="H163" s="1186">
        <v>4679</v>
      </c>
      <c r="I163" s="383"/>
      <c r="J163" s="367"/>
      <c r="K163" s="367"/>
      <c r="L163" s="367"/>
      <c r="M163" s="379"/>
      <c r="N163" s="379"/>
      <c r="O163" s="379"/>
      <c r="P163" s="379"/>
      <c r="Q163" s="380"/>
      <c r="R163" s="258"/>
      <c r="S163" s="258"/>
      <c r="T163" s="258"/>
      <c r="U163" s="258"/>
      <c r="V163" s="258"/>
      <c r="W163" s="258"/>
      <c r="X163" s="258"/>
      <c r="Y163" s="258"/>
      <c r="Z163" s="258"/>
      <c r="AA163" s="258"/>
      <c r="AB163" s="258"/>
      <c r="AC163" s="258"/>
      <c r="AD163" s="258"/>
    </row>
    <row r="164" spans="1:30" s="44" customFormat="1" ht="18" customHeight="1" x14ac:dyDescent="0.3">
      <c r="A164" s="1423">
        <v>157</v>
      </c>
      <c r="B164" s="298"/>
      <c r="C164" s="299"/>
      <c r="D164" s="1076" t="s">
        <v>334</v>
      </c>
      <c r="E164" s="1111"/>
      <c r="F164" s="1074"/>
      <c r="G164" s="1074"/>
      <c r="H164" s="1173"/>
      <c r="I164" s="1105">
        <f>SUM(J164:Q164)</f>
        <v>23787</v>
      </c>
      <c r="J164" s="1106">
        <v>10388</v>
      </c>
      <c r="K164" s="1106">
        <v>3521</v>
      </c>
      <c r="L164" s="1106">
        <v>7999</v>
      </c>
      <c r="M164" s="1106"/>
      <c r="N164" s="1106"/>
      <c r="O164" s="1106">
        <v>1879</v>
      </c>
      <c r="P164" s="367"/>
      <c r="Q164" s="368"/>
      <c r="R164" s="53"/>
      <c r="S164" s="53"/>
      <c r="T164" s="53"/>
      <c r="U164" s="53"/>
      <c r="V164" s="53"/>
      <c r="W164" s="53"/>
      <c r="X164" s="53"/>
      <c r="Y164" s="53"/>
      <c r="Z164" s="53"/>
      <c r="AA164" s="53"/>
      <c r="AB164" s="53"/>
      <c r="AC164" s="53"/>
      <c r="AD164" s="53"/>
    </row>
    <row r="165" spans="1:30" s="44" customFormat="1" ht="18" customHeight="1" x14ac:dyDescent="0.3">
      <c r="A165" s="1423">
        <v>158</v>
      </c>
      <c r="B165" s="298"/>
      <c r="C165" s="299"/>
      <c r="D165" s="1096" t="s">
        <v>1307</v>
      </c>
      <c r="E165" s="1111"/>
      <c r="F165" s="1074"/>
      <c r="G165" s="1074"/>
      <c r="H165" s="1173"/>
      <c r="I165" s="373">
        <f>SUM(J165:Q165)</f>
        <v>25712</v>
      </c>
      <c r="J165" s="870">
        <v>12029</v>
      </c>
      <c r="K165" s="870">
        <v>0</v>
      </c>
      <c r="L165" s="870">
        <v>10341</v>
      </c>
      <c r="M165" s="870"/>
      <c r="N165" s="870"/>
      <c r="O165" s="870">
        <v>3342</v>
      </c>
      <c r="P165" s="367"/>
      <c r="Q165" s="368"/>
      <c r="R165" s="53"/>
      <c r="S165" s="53"/>
      <c r="T165" s="53"/>
      <c r="U165" s="53"/>
      <c r="V165" s="53"/>
      <c r="W165" s="53"/>
      <c r="X165" s="53"/>
      <c r="Y165" s="53"/>
      <c r="Z165" s="53"/>
      <c r="AA165" s="53"/>
      <c r="AB165" s="53"/>
      <c r="AC165" s="53"/>
      <c r="AD165" s="53"/>
    </row>
    <row r="166" spans="1:30" s="44" customFormat="1" ht="18" customHeight="1" x14ac:dyDescent="0.3">
      <c r="A166" s="1423">
        <v>159</v>
      </c>
      <c r="B166" s="298"/>
      <c r="C166" s="299"/>
      <c r="D166" s="303" t="s">
        <v>834</v>
      </c>
      <c r="E166" s="539"/>
      <c r="F166" s="304"/>
      <c r="G166" s="304"/>
      <c r="H166" s="1174"/>
      <c r="I166" s="888">
        <f t="shared" ref="I166" si="38">SUM(J166:Q166)</f>
        <v>0</v>
      </c>
      <c r="J166" s="367"/>
      <c r="K166" s="367"/>
      <c r="L166" s="367"/>
      <c r="M166" s="367"/>
      <c r="N166" s="367"/>
      <c r="O166" s="367"/>
      <c r="P166" s="367"/>
      <c r="Q166" s="368"/>
      <c r="R166" s="53"/>
      <c r="S166" s="53"/>
      <c r="T166" s="53"/>
      <c r="U166" s="53"/>
      <c r="V166" s="53"/>
      <c r="W166" s="53"/>
      <c r="X166" s="53"/>
      <c r="Y166" s="53"/>
      <c r="Z166" s="53"/>
      <c r="AA166" s="53"/>
      <c r="AB166" s="53"/>
      <c r="AC166" s="53"/>
      <c r="AD166" s="53"/>
    </row>
    <row r="167" spans="1:30" s="44" customFormat="1" ht="18" customHeight="1" x14ac:dyDescent="0.3">
      <c r="A167" s="1423">
        <v>160</v>
      </c>
      <c r="B167" s="298"/>
      <c r="C167" s="299"/>
      <c r="D167" s="1096" t="s">
        <v>1391</v>
      </c>
      <c r="E167" s="906"/>
      <c r="F167" s="863"/>
      <c r="G167" s="863"/>
      <c r="H167" s="912"/>
      <c r="I167" s="373">
        <f>SUM(J167:Q167)</f>
        <v>25712</v>
      </c>
      <c r="J167" s="870">
        <f>SUM(J165:J166)</f>
        <v>12029</v>
      </c>
      <c r="K167" s="870">
        <f>SUM(K165:K166)</f>
        <v>0</v>
      </c>
      <c r="L167" s="870">
        <f>SUM(L165:L166)</f>
        <v>10341</v>
      </c>
      <c r="M167" s="870"/>
      <c r="N167" s="870"/>
      <c r="O167" s="870">
        <f>SUM(O165:O166)</f>
        <v>3342</v>
      </c>
      <c r="P167" s="367"/>
      <c r="Q167" s="368"/>
      <c r="R167" s="53"/>
      <c r="S167" s="53"/>
      <c r="T167" s="53"/>
      <c r="U167" s="53"/>
      <c r="V167" s="53"/>
      <c r="W167" s="53"/>
      <c r="X167" s="53"/>
      <c r="Y167" s="53"/>
      <c r="Z167" s="53"/>
      <c r="AA167" s="53"/>
      <c r="AB167" s="53"/>
      <c r="AC167" s="53"/>
      <c r="AD167" s="53"/>
    </row>
    <row r="168" spans="1:30" s="46" customFormat="1" ht="22.5" customHeight="1" x14ac:dyDescent="0.3">
      <c r="A168" s="1423">
        <v>161</v>
      </c>
      <c r="B168" s="295">
        <v>15</v>
      </c>
      <c r="C168" s="296"/>
      <c r="D168" s="363" t="s">
        <v>164</v>
      </c>
      <c r="E168" s="536" t="s">
        <v>25</v>
      </c>
      <c r="F168" s="116">
        <v>654796</v>
      </c>
      <c r="G168" s="116">
        <v>827850</v>
      </c>
      <c r="H168" s="1172">
        <v>918236</v>
      </c>
      <c r="I168" s="383"/>
      <c r="J168" s="116"/>
      <c r="K168" s="116"/>
      <c r="L168" s="116"/>
      <c r="M168" s="116"/>
      <c r="N168" s="116"/>
      <c r="O168" s="116"/>
      <c r="P168" s="116"/>
      <c r="Q168" s="130"/>
      <c r="R168" s="255"/>
      <c r="S168" s="255"/>
      <c r="T168" s="255"/>
      <c r="U168" s="255"/>
      <c r="V168" s="255"/>
      <c r="W168" s="255"/>
      <c r="X168" s="255"/>
      <c r="Y168" s="255"/>
      <c r="Z168" s="255"/>
      <c r="AA168" s="255"/>
      <c r="AB168" s="255"/>
      <c r="AC168" s="255"/>
      <c r="AD168" s="255"/>
    </row>
    <row r="169" spans="1:30" s="44" customFormat="1" ht="18" customHeight="1" x14ac:dyDescent="0.3">
      <c r="A169" s="1423">
        <v>162</v>
      </c>
      <c r="B169" s="298"/>
      <c r="C169" s="299"/>
      <c r="D169" s="1052" t="s">
        <v>334</v>
      </c>
      <c r="E169" s="1074"/>
      <c r="F169" s="1074"/>
      <c r="G169" s="1074"/>
      <c r="H169" s="1173"/>
      <c r="I169" s="1105">
        <f>SUM(J169:Q169)</f>
        <v>717112</v>
      </c>
      <c r="J169" s="1106">
        <v>337679</v>
      </c>
      <c r="K169" s="1106">
        <v>65503</v>
      </c>
      <c r="L169" s="1106">
        <v>312430</v>
      </c>
      <c r="M169" s="1106"/>
      <c r="N169" s="1106"/>
      <c r="O169" s="1106">
        <v>1500</v>
      </c>
      <c r="P169" s="367"/>
      <c r="Q169" s="368"/>
      <c r="R169" s="53"/>
      <c r="S169" s="53"/>
      <c r="T169" s="53"/>
      <c r="U169" s="53"/>
      <c r="V169" s="53"/>
      <c r="W169" s="53"/>
      <c r="X169" s="53"/>
      <c r="Y169" s="53"/>
      <c r="Z169" s="53"/>
      <c r="AA169" s="53"/>
      <c r="AB169" s="53"/>
      <c r="AC169" s="53"/>
      <c r="AD169" s="53"/>
    </row>
    <row r="170" spans="1:30" s="44" customFormat="1" ht="18" customHeight="1" x14ac:dyDescent="0.3">
      <c r="A170" s="1423">
        <v>163</v>
      </c>
      <c r="B170" s="298"/>
      <c r="C170" s="299"/>
      <c r="D170" s="1168" t="s">
        <v>1307</v>
      </c>
      <c r="E170" s="1074"/>
      <c r="F170" s="1074"/>
      <c r="G170" s="1074"/>
      <c r="H170" s="1173"/>
      <c r="I170" s="373">
        <f>SUM(J170:Q170)</f>
        <v>854829</v>
      </c>
      <c r="J170" s="870">
        <v>367980</v>
      </c>
      <c r="K170" s="870">
        <v>70680</v>
      </c>
      <c r="L170" s="870">
        <v>401908</v>
      </c>
      <c r="M170" s="870"/>
      <c r="N170" s="870"/>
      <c r="O170" s="870">
        <v>14261</v>
      </c>
      <c r="P170" s="367"/>
      <c r="Q170" s="368"/>
      <c r="R170" s="53"/>
      <c r="S170" s="53"/>
      <c r="T170" s="53"/>
      <c r="U170" s="53"/>
      <c r="V170" s="53"/>
      <c r="W170" s="53"/>
      <c r="X170" s="53"/>
      <c r="Y170" s="53"/>
      <c r="Z170" s="53"/>
      <c r="AA170" s="53"/>
      <c r="AB170" s="53"/>
      <c r="AC170" s="53"/>
      <c r="AD170" s="53"/>
    </row>
    <row r="171" spans="1:30" s="44" customFormat="1" ht="18" customHeight="1" x14ac:dyDescent="0.3">
      <c r="A171" s="1423">
        <v>164</v>
      </c>
      <c r="B171" s="298"/>
      <c r="C171" s="299"/>
      <c r="D171" s="1167" t="s">
        <v>1392</v>
      </c>
      <c r="E171" s="304"/>
      <c r="F171" s="304"/>
      <c r="G171" s="304"/>
      <c r="H171" s="1176"/>
      <c r="I171" s="888">
        <f t="shared" ref="I171:I174" si="39">SUM(J171:Q171)</f>
        <v>6</v>
      </c>
      <c r="J171" s="379">
        <v>5</v>
      </c>
      <c r="K171" s="379">
        <v>1</v>
      </c>
      <c r="L171" s="379"/>
      <c r="M171" s="379"/>
      <c r="N171" s="379"/>
      <c r="O171" s="379"/>
      <c r="P171" s="367"/>
      <c r="Q171" s="368"/>
      <c r="R171" s="53"/>
      <c r="S171" s="53"/>
      <c r="T171" s="53"/>
      <c r="U171" s="53"/>
      <c r="V171" s="53"/>
      <c r="W171" s="53"/>
      <c r="X171" s="53"/>
      <c r="Y171" s="53"/>
      <c r="Z171" s="53"/>
      <c r="AA171" s="53"/>
      <c r="AB171" s="53"/>
      <c r="AC171" s="53"/>
      <c r="AD171" s="53"/>
    </row>
    <row r="172" spans="1:30" s="44" customFormat="1" ht="18" customHeight="1" x14ac:dyDescent="0.3">
      <c r="A172" s="1423">
        <v>165</v>
      </c>
      <c r="B172" s="298"/>
      <c r="C172" s="333"/>
      <c r="D172" s="1167" t="s">
        <v>1375</v>
      </c>
      <c r="E172" s="334"/>
      <c r="F172" s="334"/>
      <c r="G172" s="334"/>
      <c r="H172" s="1187"/>
      <c r="I172" s="888">
        <f t="shared" si="39"/>
        <v>1467</v>
      </c>
      <c r="J172" s="913">
        <v>1249</v>
      </c>
      <c r="K172" s="913">
        <v>218</v>
      </c>
      <c r="L172" s="913"/>
      <c r="M172" s="913"/>
      <c r="N172" s="913"/>
      <c r="O172" s="913"/>
      <c r="P172" s="374"/>
      <c r="Q172" s="375"/>
      <c r="R172" s="53"/>
      <c r="S172" s="53"/>
      <c r="T172" s="53"/>
      <c r="U172" s="53"/>
      <c r="V172" s="53"/>
      <c r="W172" s="53"/>
      <c r="X172" s="53"/>
      <c r="Y172" s="53"/>
      <c r="Z172" s="53"/>
      <c r="AA172" s="53"/>
      <c r="AB172" s="53"/>
      <c r="AC172" s="53"/>
      <c r="AD172" s="53"/>
    </row>
    <row r="173" spans="1:30" s="44" customFormat="1" ht="18" customHeight="1" x14ac:dyDescent="0.3">
      <c r="A173" s="1423">
        <v>166</v>
      </c>
      <c r="B173" s="298"/>
      <c r="C173" s="333"/>
      <c r="D173" s="1221" t="s">
        <v>1464</v>
      </c>
      <c r="E173" s="334"/>
      <c r="F173" s="334"/>
      <c r="G173" s="334"/>
      <c r="H173" s="1187"/>
      <c r="I173" s="888">
        <f t="shared" si="39"/>
        <v>103414</v>
      </c>
      <c r="J173" s="913">
        <f>25000</f>
        <v>25000</v>
      </c>
      <c r="K173" s="913">
        <f>4375</f>
        <v>4375</v>
      </c>
      <c r="L173" s="913">
        <v>60738</v>
      </c>
      <c r="M173" s="913"/>
      <c r="N173" s="913"/>
      <c r="O173" s="913">
        <v>13301</v>
      </c>
      <c r="P173" s="374"/>
      <c r="Q173" s="375"/>
      <c r="R173" s="53"/>
      <c r="S173" s="53"/>
      <c r="T173" s="53"/>
      <c r="U173" s="53"/>
      <c r="V173" s="53"/>
      <c r="W173" s="53"/>
      <c r="X173" s="53"/>
      <c r="Y173" s="53"/>
      <c r="Z173" s="53"/>
      <c r="AA173" s="53"/>
      <c r="AB173" s="53"/>
      <c r="AC173" s="53"/>
      <c r="AD173" s="53"/>
    </row>
    <row r="174" spans="1:30" s="44" customFormat="1" ht="18" customHeight="1" x14ac:dyDescent="0.3">
      <c r="A174" s="1423">
        <v>167</v>
      </c>
      <c r="B174" s="298"/>
      <c r="C174" s="333"/>
      <c r="D174" s="1167" t="s">
        <v>1486</v>
      </c>
      <c r="E174" s="334"/>
      <c r="F174" s="334"/>
      <c r="G174" s="334"/>
      <c r="H174" s="1187"/>
      <c r="I174" s="888">
        <f t="shared" si="39"/>
        <v>384</v>
      </c>
      <c r="J174" s="913">
        <v>327</v>
      </c>
      <c r="K174" s="913">
        <v>57</v>
      </c>
      <c r="L174" s="913"/>
      <c r="M174" s="913"/>
      <c r="N174" s="913"/>
      <c r="O174" s="913"/>
      <c r="P174" s="374"/>
      <c r="Q174" s="375"/>
      <c r="R174" s="53"/>
      <c r="S174" s="53"/>
      <c r="T174" s="53"/>
      <c r="U174" s="53"/>
      <c r="V174" s="53"/>
      <c r="W174" s="53"/>
      <c r="X174" s="53"/>
      <c r="Y174" s="53"/>
      <c r="Z174" s="53"/>
      <c r="AA174" s="53"/>
      <c r="AB174" s="53"/>
      <c r="AC174" s="53"/>
      <c r="AD174" s="53"/>
    </row>
    <row r="175" spans="1:30" s="44" customFormat="1" ht="18" customHeight="1" thickBot="1" x14ac:dyDescent="0.35">
      <c r="A175" s="1423">
        <v>168</v>
      </c>
      <c r="B175" s="298"/>
      <c r="C175" s="333"/>
      <c r="D175" s="1115" t="s">
        <v>1391</v>
      </c>
      <c r="E175" s="1114"/>
      <c r="F175" s="1114"/>
      <c r="G175" s="1114"/>
      <c r="H175" s="1188"/>
      <c r="I175" s="156">
        <f>SUM(J175:Q175)</f>
        <v>960100</v>
      </c>
      <c r="J175" s="1116">
        <f>SUM(J170:J174)</f>
        <v>394561</v>
      </c>
      <c r="K175" s="1116">
        <f>SUM(K170:K174)</f>
        <v>75331</v>
      </c>
      <c r="L175" s="1116">
        <f>SUM(L170:L174)</f>
        <v>462646</v>
      </c>
      <c r="M175" s="1116"/>
      <c r="N175" s="1116"/>
      <c r="O175" s="1116">
        <f>SUM(O170:O174)</f>
        <v>27562</v>
      </c>
      <c r="P175" s="374"/>
      <c r="Q175" s="375"/>
      <c r="R175" s="53"/>
      <c r="S175" s="53"/>
      <c r="T175" s="53"/>
      <c r="U175" s="53"/>
      <c r="V175" s="53"/>
      <c r="W175" s="53"/>
      <c r="X175" s="53"/>
      <c r="Y175" s="53"/>
      <c r="Z175" s="53"/>
      <c r="AA175" s="53"/>
      <c r="AB175" s="53"/>
      <c r="AC175" s="53"/>
      <c r="AD175" s="53"/>
    </row>
    <row r="176" spans="1:30" s="44" customFormat="1" ht="18" customHeight="1" thickTop="1" x14ac:dyDescent="0.3">
      <c r="A176" s="1423">
        <v>169</v>
      </c>
      <c r="B176" s="298"/>
      <c r="C176" s="1068"/>
      <c r="D176" s="895" t="s">
        <v>174</v>
      </c>
      <c r="E176" s="1120"/>
      <c r="F176" s="1120"/>
      <c r="G176" s="1120"/>
      <c r="H176" s="1189"/>
      <c r="I176" s="1121"/>
      <c r="J176" s="1122"/>
      <c r="K176" s="1122"/>
      <c r="L176" s="1122"/>
      <c r="M176" s="1122"/>
      <c r="N176" s="1122"/>
      <c r="O176" s="1122"/>
      <c r="P176" s="1109"/>
      <c r="Q176" s="1123"/>
      <c r="R176" s="53"/>
      <c r="S176" s="53"/>
      <c r="T176" s="53"/>
      <c r="U176" s="53"/>
      <c r="V176" s="53"/>
      <c r="W176" s="53"/>
      <c r="X176" s="53"/>
      <c r="Y176" s="53"/>
      <c r="Z176" s="53"/>
      <c r="AA176" s="53"/>
      <c r="AB176" s="53"/>
      <c r="AC176" s="53"/>
      <c r="AD176" s="53"/>
    </row>
    <row r="177" spans="1:30" s="204" customFormat="1" ht="20.100000000000001" customHeight="1" x14ac:dyDescent="0.2">
      <c r="A177" s="1423">
        <v>170</v>
      </c>
      <c r="B177" s="376"/>
      <c r="C177" s="1117"/>
      <c r="D177" s="1052" t="s">
        <v>334</v>
      </c>
      <c r="E177" s="1118"/>
      <c r="F177" s="518">
        <f>SUM(F96:F169)</f>
        <v>1806394</v>
      </c>
      <c r="G177" s="518">
        <f>SUM(G96:G169)</f>
        <v>1959560</v>
      </c>
      <c r="H177" s="1190">
        <f>SUM(H96:H169)</f>
        <v>2216492</v>
      </c>
      <c r="I177" s="1480">
        <f>SUM(J177:Q177)</f>
        <v>2005779</v>
      </c>
      <c r="J177" s="1481">
        <f t="shared" ref="J177:Q177" si="40">SUM(J97,J110,J119,J126,J135,J143,J148,J153,J159,J164,J169)</f>
        <v>878695</v>
      </c>
      <c r="K177" s="1481">
        <f t="shared" si="40"/>
        <v>182149</v>
      </c>
      <c r="L177" s="1481">
        <f t="shared" si="40"/>
        <v>830836</v>
      </c>
      <c r="M177" s="1481">
        <f t="shared" si="40"/>
        <v>0</v>
      </c>
      <c r="N177" s="1481">
        <f t="shared" si="40"/>
        <v>1316</v>
      </c>
      <c r="O177" s="1481">
        <f t="shared" si="40"/>
        <v>112783</v>
      </c>
      <c r="P177" s="1481">
        <f t="shared" si="40"/>
        <v>0</v>
      </c>
      <c r="Q177" s="1482">
        <f t="shared" si="40"/>
        <v>0</v>
      </c>
      <c r="R177" s="382"/>
      <c r="S177" s="382"/>
      <c r="T177" s="382"/>
      <c r="U177" s="382"/>
      <c r="V177" s="382"/>
      <c r="W177" s="382"/>
      <c r="X177" s="382"/>
      <c r="Y177" s="382"/>
      <c r="Z177" s="382"/>
      <c r="AA177" s="382"/>
      <c r="AB177" s="382"/>
      <c r="AC177" s="382"/>
      <c r="AD177" s="382"/>
    </row>
    <row r="178" spans="1:30" s="204" customFormat="1" ht="20.100000000000001" customHeight="1" x14ac:dyDescent="0.3">
      <c r="A178" s="1423">
        <v>171</v>
      </c>
      <c r="B178" s="886"/>
      <c r="C178" s="1117"/>
      <c r="D178" s="1168" t="s">
        <v>1307</v>
      </c>
      <c r="E178" s="1118"/>
      <c r="F178" s="518"/>
      <c r="G178" s="518"/>
      <c r="H178" s="1190"/>
      <c r="I178" s="373">
        <f>SUM(J178:Q178)</f>
        <v>2563954</v>
      </c>
      <c r="J178" s="1479">
        <f t="shared" ref="J178:Q178" si="41">J170+J165+J160+J154+J149+J144+J136+J131+J120+J111+J106+J98</f>
        <v>1039879</v>
      </c>
      <c r="K178" s="1479">
        <f t="shared" si="41"/>
        <v>210489</v>
      </c>
      <c r="L178" s="1479">
        <f t="shared" si="41"/>
        <v>1119983</v>
      </c>
      <c r="M178" s="1479">
        <f t="shared" si="41"/>
        <v>0</v>
      </c>
      <c r="N178" s="1479">
        <f t="shared" si="41"/>
        <v>1316</v>
      </c>
      <c r="O178" s="1479">
        <f t="shared" si="41"/>
        <v>192287</v>
      </c>
      <c r="P178" s="1479">
        <f t="shared" si="41"/>
        <v>0</v>
      </c>
      <c r="Q178" s="1496">
        <f t="shared" si="41"/>
        <v>0</v>
      </c>
      <c r="R178" s="382"/>
      <c r="S178" s="382"/>
      <c r="T178" s="382"/>
      <c r="U178" s="382"/>
      <c r="V178" s="382"/>
      <c r="W178" s="382"/>
      <c r="X178" s="382"/>
      <c r="Y178" s="382"/>
      <c r="Z178" s="382"/>
      <c r="AA178" s="382"/>
      <c r="AB178" s="382"/>
      <c r="AC178" s="382"/>
      <c r="AD178" s="382"/>
    </row>
    <row r="179" spans="1:30" s="204" customFormat="1" ht="20.100000000000001" customHeight="1" x14ac:dyDescent="0.3">
      <c r="A179" s="1423">
        <v>172</v>
      </c>
      <c r="B179" s="886"/>
      <c r="C179" s="892"/>
      <c r="D179" s="300" t="s">
        <v>733</v>
      </c>
      <c r="E179" s="896"/>
      <c r="F179" s="862"/>
      <c r="G179" s="862"/>
      <c r="H179" s="1191"/>
      <c r="I179" s="888">
        <f t="shared" ref="I179" si="42">SUM(J179:Q179)</f>
        <v>141396</v>
      </c>
      <c r="J179" s="379">
        <f>J171+J166+J161+J155+J150+J145+J140+J138+J137+J128+J123+J122+J121+J113+J112+J101+J100+J99+J172+J114+J174+J103+J115+J132++J107+J139+J102+J156+J116+J173</f>
        <v>34145</v>
      </c>
      <c r="K179" s="379">
        <f t="shared" ref="K179:Q179" si="43">K171+K166+K161+K155+K150+K145+K140+K138+K137+K128+K123+K122+K121+K113+K112+K101+K100+K99+K172+K114+K174+K103+K115+K132++K107+K139+K102+K156+K116+K173</f>
        <v>5576</v>
      </c>
      <c r="L179" s="379">
        <f t="shared" si="43"/>
        <v>85168</v>
      </c>
      <c r="M179" s="379">
        <f t="shared" si="43"/>
        <v>0</v>
      </c>
      <c r="N179" s="379">
        <f t="shared" si="43"/>
        <v>0</v>
      </c>
      <c r="O179" s="379">
        <f t="shared" si="43"/>
        <v>16507</v>
      </c>
      <c r="P179" s="379">
        <f t="shared" si="43"/>
        <v>0</v>
      </c>
      <c r="Q179" s="380">
        <f t="shared" si="43"/>
        <v>0</v>
      </c>
      <c r="R179" s="382"/>
      <c r="S179" s="382"/>
      <c r="T179" s="382"/>
      <c r="U179" s="382"/>
      <c r="V179" s="382"/>
      <c r="W179" s="382"/>
      <c r="X179" s="382"/>
      <c r="Y179" s="382"/>
      <c r="Z179" s="382"/>
      <c r="AA179" s="382"/>
      <c r="AB179" s="382"/>
      <c r="AC179" s="382"/>
      <c r="AD179" s="382"/>
    </row>
    <row r="180" spans="1:30" s="204" customFormat="1" ht="20.100000000000001" customHeight="1" thickBot="1" x14ac:dyDescent="0.35">
      <c r="A180" s="1423">
        <v>173</v>
      </c>
      <c r="B180" s="886"/>
      <c r="C180" s="894"/>
      <c r="D180" s="1102" t="s">
        <v>1391</v>
      </c>
      <c r="E180" s="897"/>
      <c r="F180" s="864"/>
      <c r="G180" s="864"/>
      <c r="H180" s="1192"/>
      <c r="I180" s="889">
        <f>SUM(J180:Q180)</f>
        <v>2705350</v>
      </c>
      <c r="J180" s="1477">
        <f>SUM(J178:J179)</f>
        <v>1074024</v>
      </c>
      <c r="K180" s="1477">
        <f t="shared" ref="K180:Q180" si="44">SUM(K178:K179)</f>
        <v>216065</v>
      </c>
      <c r="L180" s="1477">
        <f t="shared" si="44"/>
        <v>1205151</v>
      </c>
      <c r="M180" s="1477">
        <f t="shared" si="44"/>
        <v>0</v>
      </c>
      <c r="N180" s="1477">
        <f t="shared" si="44"/>
        <v>1316</v>
      </c>
      <c r="O180" s="1477">
        <f t="shared" si="44"/>
        <v>208794</v>
      </c>
      <c r="P180" s="1477">
        <f t="shared" si="44"/>
        <v>0</v>
      </c>
      <c r="Q180" s="1497">
        <f t="shared" si="44"/>
        <v>0</v>
      </c>
      <c r="R180" s="382"/>
      <c r="S180" s="382"/>
      <c r="T180" s="382"/>
      <c r="U180" s="382"/>
      <c r="V180" s="382"/>
      <c r="W180" s="382"/>
      <c r="X180" s="382"/>
      <c r="Y180" s="382"/>
      <c r="Z180" s="382"/>
      <c r="AA180" s="382"/>
      <c r="AB180" s="382"/>
      <c r="AC180" s="382"/>
      <c r="AD180" s="382"/>
    </row>
    <row r="181" spans="1:30" s="50" customFormat="1" ht="22.5" customHeight="1" thickTop="1" x14ac:dyDescent="0.3">
      <c r="A181" s="1423">
        <v>174</v>
      </c>
      <c r="B181" s="315">
        <v>16</v>
      </c>
      <c r="C181" s="328"/>
      <c r="D181" s="541" t="s">
        <v>287</v>
      </c>
      <c r="E181" s="537" t="s">
        <v>24</v>
      </c>
      <c r="F181" s="328">
        <v>860412</v>
      </c>
      <c r="G181" s="328">
        <v>984701</v>
      </c>
      <c r="H181" s="1181">
        <v>903541</v>
      </c>
      <c r="I181" s="515"/>
      <c r="J181" s="328"/>
      <c r="K181" s="328"/>
      <c r="L181" s="328"/>
      <c r="M181" s="328"/>
      <c r="N181" s="328"/>
      <c r="O181" s="328"/>
      <c r="P181" s="328"/>
      <c r="Q181" s="378"/>
      <c r="R181" s="253"/>
      <c r="S181" s="253"/>
      <c r="T181" s="253"/>
      <c r="U181" s="253"/>
      <c r="V181" s="253"/>
      <c r="W181" s="253"/>
      <c r="X181" s="253"/>
      <c r="Y181" s="253"/>
      <c r="Z181" s="253"/>
      <c r="AA181" s="253"/>
      <c r="AB181" s="253"/>
      <c r="AC181" s="253"/>
      <c r="AD181" s="253"/>
    </row>
    <row r="182" spans="1:30" s="46" customFormat="1" ht="18" customHeight="1" x14ac:dyDescent="0.3">
      <c r="A182" s="1423">
        <v>175</v>
      </c>
      <c r="B182" s="336"/>
      <c r="C182" s="333"/>
      <c r="D182" s="1084" t="s">
        <v>334</v>
      </c>
      <c r="E182" s="1085"/>
      <c r="F182" s="1085"/>
      <c r="G182" s="1085"/>
      <c r="H182" s="1182"/>
      <c r="I182" s="1113">
        <f>SUM(J182:Q182)</f>
        <v>1012076</v>
      </c>
      <c r="J182" s="1142">
        <v>170171</v>
      </c>
      <c r="K182" s="1142">
        <v>38369</v>
      </c>
      <c r="L182" s="1142">
        <v>802536</v>
      </c>
      <c r="M182" s="1142"/>
      <c r="N182" s="1142"/>
      <c r="O182" s="1142">
        <v>1000</v>
      </c>
      <c r="P182" s="374"/>
      <c r="Q182" s="375"/>
      <c r="R182" s="255">
        <f>+'3.Inbe'!N186-'5.Inki'!I182</f>
        <v>0</v>
      </c>
      <c r="S182" s="255"/>
      <c r="T182" s="255"/>
      <c r="U182" s="255"/>
      <c r="V182" s="255"/>
      <c r="W182" s="255"/>
      <c r="X182" s="255"/>
      <c r="Y182" s="255"/>
      <c r="Z182" s="255"/>
      <c r="AA182" s="255"/>
      <c r="AB182" s="255"/>
      <c r="AC182" s="255"/>
      <c r="AD182" s="255"/>
    </row>
    <row r="183" spans="1:30" s="46" customFormat="1" ht="18" customHeight="1" x14ac:dyDescent="0.3">
      <c r="A183" s="1423">
        <v>176</v>
      </c>
      <c r="B183" s="336"/>
      <c r="C183" s="333"/>
      <c r="D183" s="1168" t="s">
        <v>1307</v>
      </c>
      <c r="E183" s="1085"/>
      <c r="F183" s="1085"/>
      <c r="G183" s="1085"/>
      <c r="H183" s="1182"/>
      <c r="I183" s="373">
        <f>SUM(J183:Q183)</f>
        <v>1099026</v>
      </c>
      <c r="J183" s="1116">
        <v>199310</v>
      </c>
      <c r="K183" s="1116">
        <v>45008</v>
      </c>
      <c r="L183" s="1116">
        <v>844422</v>
      </c>
      <c r="M183" s="1116"/>
      <c r="N183" s="1116"/>
      <c r="O183" s="1116">
        <v>10286</v>
      </c>
      <c r="P183" s="374"/>
      <c r="Q183" s="375"/>
      <c r="R183" s="255"/>
      <c r="S183" s="255"/>
      <c r="T183" s="255"/>
      <c r="U183" s="255"/>
      <c r="V183" s="255"/>
      <c r="W183" s="255"/>
      <c r="X183" s="255"/>
      <c r="Y183" s="255"/>
      <c r="Z183" s="255"/>
      <c r="AA183" s="255"/>
      <c r="AB183" s="255"/>
      <c r="AC183" s="255"/>
      <c r="AD183" s="255"/>
    </row>
    <row r="184" spans="1:30" s="44" customFormat="1" ht="18" customHeight="1" x14ac:dyDescent="0.3">
      <c r="A184" s="1423">
        <v>177</v>
      </c>
      <c r="B184" s="298"/>
      <c r="C184" s="299"/>
      <c r="D184" s="1167" t="s">
        <v>1392</v>
      </c>
      <c r="E184" s="304"/>
      <c r="F184" s="304"/>
      <c r="G184" s="304"/>
      <c r="H184" s="1174"/>
      <c r="I184" s="888">
        <f t="shared" ref="I184" si="45">SUM(J184:Q184)</f>
        <v>2</v>
      </c>
      <c r="J184" s="379">
        <v>2</v>
      </c>
      <c r="K184" s="379"/>
      <c r="L184" s="379"/>
      <c r="M184" s="379"/>
      <c r="N184" s="379"/>
      <c r="O184" s="379"/>
      <c r="P184" s="367"/>
      <c r="Q184" s="368"/>
      <c r="R184" s="53"/>
      <c r="S184" s="53"/>
      <c r="T184" s="53"/>
      <c r="U184" s="53"/>
      <c r="V184" s="53"/>
      <c r="W184" s="53"/>
      <c r="X184" s="53"/>
      <c r="Y184" s="53"/>
      <c r="Z184" s="53"/>
      <c r="AA184" s="53"/>
      <c r="AB184" s="53"/>
      <c r="AC184" s="53"/>
      <c r="AD184" s="53"/>
    </row>
    <row r="185" spans="1:30" s="44" customFormat="1" ht="18" customHeight="1" thickBot="1" x14ac:dyDescent="0.35">
      <c r="A185" s="1423">
        <v>178</v>
      </c>
      <c r="B185" s="336"/>
      <c r="C185" s="333"/>
      <c r="D185" s="1115" t="s">
        <v>1391</v>
      </c>
      <c r="E185" s="1114"/>
      <c r="F185" s="1114"/>
      <c r="G185" s="1114"/>
      <c r="H185" s="1184"/>
      <c r="I185" s="156">
        <f>SUM(J185:Q185)</f>
        <v>1099028</v>
      </c>
      <c r="J185" s="1116">
        <f>SUM(J183:J184)</f>
        <v>199312</v>
      </c>
      <c r="K185" s="1116">
        <f>SUM(K183:K184)</f>
        <v>45008</v>
      </c>
      <c r="L185" s="1116">
        <f>SUM(L183:L184)</f>
        <v>844422</v>
      </c>
      <c r="M185" s="1116"/>
      <c r="N185" s="1116"/>
      <c r="O185" s="1116">
        <f>SUM(O183:O184)</f>
        <v>10286</v>
      </c>
      <c r="P185" s="374"/>
      <c r="Q185" s="375"/>
      <c r="R185" s="53"/>
      <c r="S185" s="53"/>
      <c r="T185" s="53"/>
      <c r="U185" s="53"/>
      <c r="V185" s="53"/>
      <c r="W185" s="53"/>
      <c r="X185" s="53"/>
      <c r="Y185" s="53"/>
      <c r="Z185" s="53"/>
      <c r="AA185" s="53"/>
      <c r="AB185" s="53"/>
      <c r="AC185" s="53"/>
      <c r="AD185" s="53"/>
    </row>
    <row r="186" spans="1:30" s="44" customFormat="1" ht="18" customHeight="1" x14ac:dyDescent="0.3">
      <c r="A186" s="1423">
        <v>179</v>
      </c>
      <c r="B186" s="298"/>
      <c r="C186" s="1073"/>
      <c r="D186" s="1126" t="s">
        <v>175</v>
      </c>
      <c r="E186" s="883"/>
      <c r="F186" s="883"/>
      <c r="G186" s="883"/>
      <c r="H186" s="1193"/>
      <c r="I186" s="389"/>
      <c r="J186" s="1124"/>
      <c r="K186" s="1124"/>
      <c r="L186" s="1124"/>
      <c r="M186" s="1124"/>
      <c r="N186" s="1124"/>
      <c r="O186" s="1124"/>
      <c r="P186" s="1124"/>
      <c r="Q186" s="1125"/>
      <c r="R186" s="53"/>
      <c r="S186" s="53"/>
      <c r="T186" s="53"/>
      <c r="U186" s="53"/>
      <c r="V186" s="53"/>
      <c r="W186" s="53"/>
      <c r="X186" s="53"/>
      <c r="Y186" s="53"/>
      <c r="Z186" s="53"/>
      <c r="AA186" s="53"/>
      <c r="AB186" s="53"/>
      <c r="AC186" s="53"/>
      <c r="AD186" s="53"/>
    </row>
    <row r="187" spans="1:30" s="149" customFormat="1" ht="20.100000000000001" customHeight="1" x14ac:dyDescent="0.3">
      <c r="A187" s="1423">
        <v>180</v>
      </c>
      <c r="B187" s="898"/>
      <c r="C187" s="1484"/>
      <c r="D187" s="1052" t="s">
        <v>334</v>
      </c>
      <c r="E187" s="1485"/>
      <c r="F187" s="1430">
        <f>SUM(F52,F92,F177,F181)</f>
        <v>5277792</v>
      </c>
      <c r="G187" s="1430">
        <f>SUM(G52,G92,G177,G181)</f>
        <v>5621736</v>
      </c>
      <c r="H187" s="1432">
        <f>SUM(H52,H92,H177,H181)</f>
        <v>5894344</v>
      </c>
      <c r="I187" s="1486">
        <f>SUM(J187:Q187)</f>
        <v>6023194</v>
      </c>
      <c r="J187" s="1487">
        <f t="shared" ref="J187:Q187" si="46">SUM(J182,J177,J92,J52)</f>
        <v>3020858</v>
      </c>
      <c r="K187" s="1487">
        <f t="shared" si="46"/>
        <v>650545</v>
      </c>
      <c r="L187" s="1487">
        <f t="shared" si="46"/>
        <v>2208527</v>
      </c>
      <c r="M187" s="1487">
        <f t="shared" si="46"/>
        <v>0</v>
      </c>
      <c r="N187" s="1487">
        <f t="shared" si="46"/>
        <v>1316</v>
      </c>
      <c r="O187" s="1487">
        <f t="shared" si="46"/>
        <v>141948</v>
      </c>
      <c r="P187" s="386">
        <f t="shared" si="46"/>
        <v>0</v>
      </c>
      <c r="Q187" s="387">
        <f t="shared" si="46"/>
        <v>0</v>
      </c>
      <c r="R187" s="260">
        <f>+'3.Inbe'!N192-'5.Inki'!I187</f>
        <v>0</v>
      </c>
      <c r="S187" s="260"/>
      <c r="T187" s="260"/>
      <c r="U187" s="260"/>
      <c r="V187" s="260"/>
      <c r="W187" s="260"/>
      <c r="X187" s="260"/>
      <c r="Y187" s="260"/>
      <c r="Z187" s="260"/>
      <c r="AA187" s="260"/>
      <c r="AB187" s="260"/>
      <c r="AC187" s="260"/>
      <c r="AD187" s="260"/>
    </row>
    <row r="188" spans="1:30" s="149" customFormat="1" ht="20.100000000000001" customHeight="1" x14ac:dyDescent="0.3">
      <c r="A188" s="1423">
        <v>181</v>
      </c>
      <c r="B188" s="898"/>
      <c r="D188" s="1483" t="s">
        <v>1307</v>
      </c>
      <c r="E188" s="1143"/>
      <c r="F188" s="1063"/>
      <c r="G188" s="1063"/>
      <c r="H188" s="1194"/>
      <c r="I188" s="373">
        <f>SUM(J188:Q188)</f>
        <v>6996652</v>
      </c>
      <c r="J188" s="903">
        <f t="shared" ref="J188:Q188" si="47">J183+J178+J93+J53</f>
        <v>3399300</v>
      </c>
      <c r="K188" s="903">
        <f t="shared" si="47"/>
        <v>720094</v>
      </c>
      <c r="L188" s="903">
        <f t="shared" si="47"/>
        <v>2574255</v>
      </c>
      <c r="M188" s="903">
        <f t="shared" si="47"/>
        <v>0</v>
      </c>
      <c r="N188" s="903">
        <f t="shared" si="47"/>
        <v>1406</v>
      </c>
      <c r="O188" s="903">
        <f t="shared" si="47"/>
        <v>298217</v>
      </c>
      <c r="P188" s="903">
        <f t="shared" si="47"/>
        <v>3380</v>
      </c>
      <c r="Q188" s="1219">
        <f t="shared" si="47"/>
        <v>0</v>
      </c>
      <c r="R188" s="260"/>
      <c r="S188" s="260"/>
      <c r="T188" s="260"/>
      <c r="U188" s="260"/>
      <c r="V188" s="260"/>
      <c r="W188" s="260"/>
      <c r="X188" s="260"/>
      <c r="Y188" s="260"/>
      <c r="Z188" s="260"/>
      <c r="AA188" s="260"/>
      <c r="AB188" s="260"/>
      <c r="AC188" s="260"/>
      <c r="AD188" s="260"/>
    </row>
    <row r="189" spans="1:30" s="149" customFormat="1" ht="20.100000000000001" customHeight="1" x14ac:dyDescent="0.3">
      <c r="A189" s="1423">
        <v>182</v>
      </c>
      <c r="B189" s="295"/>
      <c r="C189" s="901"/>
      <c r="D189" s="1167" t="s">
        <v>733</v>
      </c>
      <c r="E189" s="902"/>
      <c r="F189" s="863"/>
      <c r="G189" s="863"/>
      <c r="H189" s="912"/>
      <c r="I189" s="888">
        <f t="shared" ref="I189" si="48">SUM(J189:Q189)</f>
        <v>149131</v>
      </c>
      <c r="J189" s="379">
        <f>J184+J179+J94+J54</f>
        <v>37464</v>
      </c>
      <c r="K189" s="379">
        <f t="shared" ref="K189:Q189" si="49">K184+K179+K94+K54</f>
        <v>6908</v>
      </c>
      <c r="L189" s="379">
        <f t="shared" si="49"/>
        <v>85452</v>
      </c>
      <c r="M189" s="379">
        <f t="shared" si="49"/>
        <v>0</v>
      </c>
      <c r="N189" s="379">
        <f t="shared" si="49"/>
        <v>0</v>
      </c>
      <c r="O189" s="379">
        <f t="shared" si="49"/>
        <v>19107</v>
      </c>
      <c r="P189" s="379">
        <f t="shared" si="49"/>
        <v>200</v>
      </c>
      <c r="Q189" s="380">
        <f t="shared" si="49"/>
        <v>0</v>
      </c>
      <c r="R189" s="260"/>
      <c r="S189" s="260"/>
      <c r="T189" s="260"/>
      <c r="U189" s="260"/>
      <c r="V189" s="260"/>
      <c r="W189" s="260"/>
      <c r="X189" s="260"/>
      <c r="Y189" s="260"/>
      <c r="Z189" s="260"/>
      <c r="AA189" s="260"/>
      <c r="AB189" s="260"/>
      <c r="AC189" s="260"/>
      <c r="AD189" s="260"/>
    </row>
    <row r="190" spans="1:30" s="149" customFormat="1" ht="20.100000000000001" customHeight="1" thickBot="1" x14ac:dyDescent="0.35">
      <c r="A190" s="1423">
        <v>183</v>
      </c>
      <c r="B190" s="898"/>
      <c r="C190" s="899"/>
      <c r="D190" s="1091" t="s">
        <v>1391</v>
      </c>
      <c r="E190" s="900"/>
      <c r="F190" s="861"/>
      <c r="G190" s="861"/>
      <c r="H190" s="911"/>
      <c r="I190" s="910">
        <f>SUM(J190:Q190)</f>
        <v>7145783</v>
      </c>
      <c r="J190" s="903">
        <f>SUM(J188:J189)</f>
        <v>3436764</v>
      </c>
      <c r="K190" s="903">
        <f t="shared" ref="K190:Q190" si="50">SUM(K188:K189)</f>
        <v>727002</v>
      </c>
      <c r="L190" s="903">
        <f t="shared" si="50"/>
        <v>2659707</v>
      </c>
      <c r="M190" s="903">
        <f t="shared" si="50"/>
        <v>0</v>
      </c>
      <c r="N190" s="903">
        <f t="shared" si="50"/>
        <v>1406</v>
      </c>
      <c r="O190" s="903">
        <f t="shared" si="50"/>
        <v>317324</v>
      </c>
      <c r="P190" s="903">
        <f t="shared" si="50"/>
        <v>3580</v>
      </c>
      <c r="Q190" s="1219">
        <f t="shared" si="50"/>
        <v>0</v>
      </c>
      <c r="R190" s="260"/>
      <c r="S190" s="260"/>
      <c r="T190" s="260"/>
      <c r="U190" s="260"/>
      <c r="V190" s="260"/>
      <c r="W190" s="260"/>
      <c r="X190" s="260"/>
      <c r="Y190" s="260"/>
      <c r="Z190" s="260"/>
      <c r="AA190" s="260"/>
      <c r="AB190" s="260"/>
      <c r="AC190" s="260"/>
      <c r="AD190" s="260"/>
    </row>
    <row r="191" spans="1:30" s="50" customFormat="1" ht="22.5" customHeight="1" x14ac:dyDescent="0.3">
      <c r="A191" s="1423">
        <v>184</v>
      </c>
      <c r="B191" s="290">
        <v>17</v>
      </c>
      <c r="C191" s="1805" t="s">
        <v>27</v>
      </c>
      <c r="D191" s="1805"/>
      <c r="E191" s="291" t="s">
        <v>24</v>
      </c>
      <c r="F191" s="384"/>
      <c r="G191" s="384"/>
      <c r="H191" s="1195"/>
      <c r="I191" s="1104"/>
      <c r="J191" s="384"/>
      <c r="K191" s="384"/>
      <c r="L191" s="384"/>
      <c r="M191" s="384"/>
      <c r="N191" s="384"/>
      <c r="O191" s="384"/>
      <c r="P191" s="384"/>
      <c r="Q191" s="385"/>
      <c r="R191" s="253"/>
      <c r="S191" s="253"/>
      <c r="T191" s="253"/>
      <c r="U191" s="253"/>
      <c r="V191" s="253"/>
      <c r="W191" s="253"/>
      <c r="X191" s="253"/>
      <c r="Y191" s="253"/>
      <c r="Z191" s="253"/>
      <c r="AA191" s="253"/>
      <c r="AB191" s="253"/>
      <c r="AC191" s="253"/>
      <c r="AD191" s="253"/>
    </row>
    <row r="192" spans="1:30" s="152" customFormat="1" ht="19.5" customHeight="1" x14ac:dyDescent="0.3">
      <c r="A192" s="1423">
        <v>185</v>
      </c>
      <c r="B192" s="295"/>
      <c r="C192" s="296">
        <v>1</v>
      </c>
      <c r="D192" s="535" t="s">
        <v>176</v>
      </c>
      <c r="E192" s="536"/>
      <c r="F192" s="116">
        <v>1203210</v>
      </c>
      <c r="G192" s="116">
        <v>1199369</v>
      </c>
      <c r="H192" s="1172">
        <v>1220396</v>
      </c>
      <c r="I192" s="383"/>
      <c r="J192" s="116"/>
      <c r="K192" s="116"/>
      <c r="L192" s="116"/>
      <c r="M192" s="116"/>
      <c r="N192" s="116"/>
      <c r="O192" s="116"/>
      <c r="P192" s="116"/>
      <c r="Q192" s="130"/>
      <c r="R192" s="255"/>
      <c r="S192" s="154"/>
      <c r="T192" s="154"/>
      <c r="U192" s="154"/>
      <c r="V192" s="154"/>
      <c r="W192" s="154"/>
      <c r="X192" s="154"/>
      <c r="Y192" s="154"/>
      <c r="Z192" s="154"/>
      <c r="AA192" s="154"/>
      <c r="AB192" s="154"/>
      <c r="AC192" s="154"/>
      <c r="AD192" s="154"/>
    </row>
    <row r="193" spans="1:30" s="46" customFormat="1" ht="18" customHeight="1" x14ac:dyDescent="0.3">
      <c r="A193" s="1423">
        <v>186</v>
      </c>
      <c r="B193" s="298"/>
      <c r="C193" s="296"/>
      <c r="D193" s="1139" t="s">
        <v>334</v>
      </c>
      <c r="E193" s="1053"/>
      <c r="F193" s="1074"/>
      <c r="G193" s="1074"/>
      <c r="H193" s="1173"/>
      <c r="I193" s="1105">
        <f>SUM(J193:Q193)</f>
        <v>1291184</v>
      </c>
      <c r="J193" s="1106">
        <v>1032246</v>
      </c>
      <c r="K193" s="1106">
        <v>217302</v>
      </c>
      <c r="L193" s="1106">
        <v>41636</v>
      </c>
      <c r="M193" s="367"/>
      <c r="N193" s="367"/>
      <c r="O193" s="367"/>
      <c r="P193" s="367"/>
      <c r="Q193" s="368"/>
      <c r="R193" s="255"/>
      <c r="S193" s="255"/>
      <c r="T193" s="255"/>
      <c r="U193" s="255"/>
      <c r="V193" s="255"/>
      <c r="W193" s="255"/>
      <c r="X193" s="255"/>
      <c r="Y193" s="255"/>
      <c r="Z193" s="255"/>
      <c r="AA193" s="255"/>
      <c r="AB193" s="255"/>
      <c r="AC193" s="255"/>
      <c r="AD193" s="255"/>
    </row>
    <row r="194" spans="1:30" s="46" customFormat="1" ht="18" customHeight="1" x14ac:dyDescent="0.3">
      <c r="A194" s="1423">
        <v>187</v>
      </c>
      <c r="B194" s="298"/>
      <c r="C194" s="296"/>
      <c r="D194" s="1168" t="s">
        <v>1307</v>
      </c>
      <c r="E194" s="1053"/>
      <c r="F194" s="1074"/>
      <c r="G194" s="1074"/>
      <c r="H194" s="1173"/>
      <c r="I194" s="373">
        <f>SUM(J194:Q194)</f>
        <v>1458606</v>
      </c>
      <c r="J194" s="870">
        <v>1144485</v>
      </c>
      <c r="K194" s="870">
        <v>250196</v>
      </c>
      <c r="L194" s="870">
        <v>63925</v>
      </c>
      <c r="M194" s="367"/>
      <c r="N194" s="367"/>
      <c r="O194" s="367"/>
      <c r="P194" s="367"/>
      <c r="Q194" s="368"/>
      <c r="R194" s="255"/>
      <c r="S194" s="255"/>
      <c r="T194" s="255"/>
      <c r="U194" s="255"/>
      <c r="V194" s="255"/>
      <c r="W194" s="255"/>
      <c r="X194" s="255"/>
      <c r="Y194" s="255"/>
      <c r="Z194" s="255"/>
      <c r="AA194" s="255"/>
      <c r="AB194" s="255"/>
      <c r="AC194" s="255"/>
      <c r="AD194" s="255"/>
    </row>
    <row r="195" spans="1:30" s="46" customFormat="1" ht="18" customHeight="1" x14ac:dyDescent="0.3">
      <c r="A195" s="1423">
        <v>188</v>
      </c>
      <c r="B195" s="298"/>
      <c r="C195" s="296"/>
      <c r="D195" s="1167" t="s">
        <v>1392</v>
      </c>
      <c r="E195" s="116"/>
      <c r="F195" s="304"/>
      <c r="G195" s="304"/>
      <c r="H195" s="1174"/>
      <c r="I195" s="888">
        <f t="shared" ref="I195" si="51">SUM(J195:Q195)</f>
        <v>132</v>
      </c>
      <c r="J195" s="379">
        <v>112</v>
      </c>
      <c r="K195" s="379">
        <v>20</v>
      </c>
      <c r="L195" s="379"/>
      <c r="M195" s="367"/>
      <c r="N195" s="367"/>
      <c r="O195" s="367"/>
      <c r="P195" s="367"/>
      <c r="Q195" s="368"/>
      <c r="R195" s="255"/>
      <c r="S195" s="255"/>
      <c r="T195" s="255"/>
      <c r="U195" s="255"/>
      <c r="V195" s="255"/>
      <c r="W195" s="255"/>
      <c r="X195" s="255"/>
      <c r="Y195" s="255"/>
      <c r="Z195" s="255"/>
      <c r="AA195" s="255"/>
      <c r="AB195" s="255"/>
      <c r="AC195" s="255"/>
      <c r="AD195" s="255"/>
    </row>
    <row r="196" spans="1:30" s="46" customFormat="1" ht="18" customHeight="1" x14ac:dyDescent="0.3">
      <c r="A196" s="1423">
        <v>189</v>
      </c>
      <c r="B196" s="298"/>
      <c r="C196" s="296"/>
      <c r="D196" s="1091" t="s">
        <v>1391</v>
      </c>
      <c r="E196" s="1092"/>
      <c r="F196" s="863"/>
      <c r="G196" s="863"/>
      <c r="H196" s="912"/>
      <c r="I196" s="373">
        <f>SUM(J196:Q196)</f>
        <v>1458738</v>
      </c>
      <c r="J196" s="870">
        <f>SUM(J194:J195)</f>
        <v>1144597</v>
      </c>
      <c r="K196" s="870">
        <f>SUM(K194:K195)</f>
        <v>250216</v>
      </c>
      <c r="L196" s="870">
        <f>SUM(L194:L195)</f>
        <v>63925</v>
      </c>
      <c r="M196" s="367"/>
      <c r="N196" s="367"/>
      <c r="O196" s="367"/>
      <c r="P196" s="367"/>
      <c r="Q196" s="368"/>
      <c r="R196" s="255"/>
      <c r="S196" s="255"/>
      <c r="T196" s="255"/>
      <c r="U196" s="255"/>
      <c r="V196" s="255"/>
      <c r="W196" s="255"/>
      <c r="X196" s="255"/>
      <c r="Y196" s="255"/>
      <c r="Z196" s="255"/>
      <c r="AA196" s="255"/>
      <c r="AB196" s="255"/>
      <c r="AC196" s="255"/>
      <c r="AD196" s="255"/>
    </row>
    <row r="197" spans="1:30" s="51" customFormat="1" ht="20.100000000000001" customHeight="1" x14ac:dyDescent="0.3">
      <c r="A197" s="1423">
        <v>190</v>
      </c>
      <c r="B197" s="295"/>
      <c r="C197" s="296">
        <v>2</v>
      </c>
      <c r="D197" s="535" t="s">
        <v>177</v>
      </c>
      <c r="E197" s="536"/>
      <c r="F197" s="116">
        <v>122696</v>
      </c>
      <c r="G197" s="116">
        <v>165926</v>
      </c>
      <c r="H197" s="1172">
        <v>121346</v>
      </c>
      <c r="I197" s="515"/>
      <c r="J197" s="116"/>
      <c r="K197" s="116"/>
      <c r="L197" s="116"/>
      <c r="M197" s="116"/>
      <c r="N197" s="116"/>
      <c r="O197" s="116"/>
      <c r="P197" s="116"/>
      <c r="Q197" s="130"/>
      <c r="R197" s="257"/>
      <c r="S197" s="257"/>
      <c r="T197" s="257"/>
      <c r="U197" s="257"/>
      <c r="V197" s="257"/>
      <c r="W197" s="257"/>
      <c r="X197" s="257"/>
      <c r="Y197" s="257"/>
      <c r="Z197" s="257"/>
      <c r="AA197" s="257"/>
      <c r="AB197" s="257"/>
      <c r="AC197" s="257"/>
      <c r="AD197" s="257"/>
    </row>
    <row r="198" spans="1:30" s="46" customFormat="1" ht="18" customHeight="1" x14ac:dyDescent="0.3">
      <c r="A198" s="1423">
        <v>191</v>
      </c>
      <c r="B198" s="298"/>
      <c r="C198" s="296"/>
      <c r="D198" s="1139" t="s">
        <v>334</v>
      </c>
      <c r="E198" s="1053"/>
      <c r="F198" s="1074"/>
      <c r="G198" s="1074"/>
      <c r="H198" s="1173"/>
      <c r="I198" s="1105">
        <f>SUM(J198:Q198)</f>
        <v>164570</v>
      </c>
      <c r="J198" s="1106">
        <v>3200</v>
      </c>
      <c r="K198" s="1106">
        <v>1471</v>
      </c>
      <c r="L198" s="1106">
        <v>155454</v>
      </c>
      <c r="M198" s="367"/>
      <c r="N198" s="367"/>
      <c r="O198" s="1106">
        <v>4445</v>
      </c>
      <c r="P198" s="367"/>
      <c r="Q198" s="368"/>
      <c r="R198" s="255"/>
      <c r="S198" s="255"/>
      <c r="T198" s="255"/>
      <c r="U198" s="255"/>
      <c r="V198" s="255"/>
      <c r="W198" s="255"/>
      <c r="X198" s="255"/>
      <c r="Y198" s="255"/>
      <c r="Z198" s="255"/>
      <c r="AA198" s="255"/>
      <c r="AB198" s="255"/>
      <c r="AC198" s="255"/>
      <c r="AD198" s="255"/>
    </row>
    <row r="199" spans="1:30" s="46" customFormat="1" ht="18" customHeight="1" x14ac:dyDescent="0.3">
      <c r="A199" s="1423">
        <v>192</v>
      </c>
      <c r="B199" s="298"/>
      <c r="C199" s="296"/>
      <c r="D199" s="1168" t="s">
        <v>1307</v>
      </c>
      <c r="E199" s="1053"/>
      <c r="F199" s="1074"/>
      <c r="G199" s="1074"/>
      <c r="H199" s="1173"/>
      <c r="I199" s="373">
        <f>SUM(J199:Q199)</f>
        <v>242164</v>
      </c>
      <c r="J199" s="870">
        <v>3383</v>
      </c>
      <c r="K199" s="870">
        <v>2188</v>
      </c>
      <c r="L199" s="870">
        <v>226526</v>
      </c>
      <c r="M199" s="870"/>
      <c r="N199" s="870"/>
      <c r="O199" s="870">
        <v>10067</v>
      </c>
      <c r="P199" s="367"/>
      <c r="Q199" s="368"/>
      <c r="R199" s="255"/>
      <c r="S199" s="255"/>
      <c r="T199" s="255"/>
      <c r="U199" s="255"/>
      <c r="V199" s="255"/>
      <c r="W199" s="255"/>
      <c r="X199" s="255"/>
      <c r="Y199" s="255"/>
      <c r="Z199" s="255"/>
      <c r="AA199" s="255"/>
      <c r="AB199" s="255"/>
      <c r="AC199" s="255"/>
      <c r="AD199" s="255"/>
    </row>
    <row r="200" spans="1:30" s="46" customFormat="1" ht="18" customHeight="1" x14ac:dyDescent="0.3">
      <c r="A200" s="1423">
        <v>193</v>
      </c>
      <c r="B200" s="298"/>
      <c r="C200" s="296"/>
      <c r="D200" s="1167" t="s">
        <v>834</v>
      </c>
      <c r="E200" s="116"/>
      <c r="F200" s="304"/>
      <c r="G200" s="304"/>
      <c r="H200" s="1174"/>
      <c r="I200" s="888">
        <f t="shared" ref="I200" si="52">SUM(J200:Q200)</f>
        <v>0</v>
      </c>
      <c r="J200" s="379"/>
      <c r="K200" s="379"/>
      <c r="L200" s="379"/>
      <c r="M200" s="379"/>
      <c r="N200" s="379"/>
      <c r="O200" s="379"/>
      <c r="P200" s="367"/>
      <c r="Q200" s="368"/>
      <c r="R200" s="255"/>
      <c r="S200" s="255"/>
      <c r="T200" s="255"/>
      <c r="U200" s="255"/>
      <c r="V200" s="255"/>
      <c r="W200" s="255"/>
      <c r="X200" s="255"/>
      <c r="Y200" s="255"/>
      <c r="Z200" s="255"/>
      <c r="AA200" s="255"/>
      <c r="AB200" s="255"/>
      <c r="AC200" s="255"/>
      <c r="AD200" s="255"/>
    </row>
    <row r="201" spans="1:30" s="46" customFormat="1" ht="18" customHeight="1" x14ac:dyDescent="0.3">
      <c r="A201" s="1423">
        <v>194</v>
      </c>
      <c r="B201" s="298"/>
      <c r="C201" s="296"/>
      <c r="D201" s="1091" t="s">
        <v>1391</v>
      </c>
      <c r="E201" s="1092"/>
      <c r="F201" s="863"/>
      <c r="G201" s="863"/>
      <c r="H201" s="912"/>
      <c r="I201" s="373">
        <f>SUM(J201:Q201)</f>
        <v>242164</v>
      </c>
      <c r="J201" s="870">
        <f>SUM(J199:J200)</f>
        <v>3383</v>
      </c>
      <c r="K201" s="870">
        <f t="shared" ref="K201:O201" si="53">SUM(K199:K200)</f>
        <v>2188</v>
      </c>
      <c r="L201" s="870">
        <f t="shared" si="53"/>
        <v>226526</v>
      </c>
      <c r="M201" s="870"/>
      <c r="N201" s="870"/>
      <c r="O201" s="870">
        <f t="shared" si="53"/>
        <v>10067</v>
      </c>
      <c r="P201" s="367"/>
      <c r="Q201" s="368"/>
      <c r="R201" s="255"/>
      <c r="S201" s="255"/>
      <c r="T201" s="255"/>
      <c r="U201" s="255"/>
      <c r="V201" s="255"/>
      <c r="W201" s="255"/>
      <c r="X201" s="255"/>
      <c r="Y201" s="255"/>
      <c r="Z201" s="255"/>
      <c r="AA201" s="255"/>
      <c r="AB201" s="255"/>
      <c r="AC201" s="255"/>
      <c r="AD201" s="255"/>
    </row>
    <row r="202" spans="1:30" s="51" customFormat="1" ht="20.100000000000001" customHeight="1" x14ac:dyDescent="0.3">
      <c r="A202" s="1423">
        <v>195</v>
      </c>
      <c r="B202" s="295"/>
      <c r="C202" s="296">
        <v>3</v>
      </c>
      <c r="D202" s="535" t="s">
        <v>37</v>
      </c>
      <c r="E202" s="536"/>
      <c r="F202" s="116">
        <v>77398</v>
      </c>
      <c r="G202" s="116">
        <v>91309</v>
      </c>
      <c r="H202" s="1172">
        <v>81896</v>
      </c>
      <c r="I202" s="383"/>
      <c r="J202" s="116"/>
      <c r="K202" s="116"/>
      <c r="L202" s="116"/>
      <c r="M202" s="116"/>
      <c r="N202" s="116"/>
      <c r="O202" s="116"/>
      <c r="P202" s="116"/>
      <c r="Q202" s="130"/>
      <c r="R202" s="257"/>
      <c r="S202" s="257"/>
      <c r="T202" s="257"/>
      <c r="U202" s="257"/>
      <c r="V202" s="257"/>
      <c r="W202" s="257"/>
      <c r="X202" s="257"/>
      <c r="Y202" s="257"/>
      <c r="Z202" s="257"/>
      <c r="AA202" s="257"/>
      <c r="AB202" s="257"/>
      <c r="AC202" s="257"/>
      <c r="AD202" s="257"/>
    </row>
    <row r="203" spans="1:30" s="46" customFormat="1" ht="18" customHeight="1" x14ac:dyDescent="0.3">
      <c r="A203" s="1423">
        <v>196</v>
      </c>
      <c r="B203" s="298"/>
      <c r="C203" s="296"/>
      <c r="D203" s="1139" t="s">
        <v>334</v>
      </c>
      <c r="E203" s="1053"/>
      <c r="F203" s="1074"/>
      <c r="G203" s="1074"/>
      <c r="H203" s="1173"/>
      <c r="I203" s="1105">
        <f>SUM(J203:Q203)</f>
        <v>96571</v>
      </c>
      <c r="J203" s="1106"/>
      <c r="K203" s="1106"/>
      <c r="L203" s="1106">
        <v>78191</v>
      </c>
      <c r="M203" s="1106"/>
      <c r="N203" s="1106"/>
      <c r="O203" s="1106">
        <v>18380</v>
      </c>
      <c r="P203" s="367"/>
      <c r="Q203" s="368"/>
      <c r="R203" s="255"/>
      <c r="S203" s="255"/>
      <c r="T203" s="255"/>
      <c r="U203" s="255"/>
      <c r="V203" s="255"/>
      <c r="W203" s="255"/>
      <c r="X203" s="255"/>
      <c r="Y203" s="255"/>
      <c r="Z203" s="255"/>
      <c r="AA203" s="255"/>
      <c r="AB203" s="255"/>
      <c r="AC203" s="255"/>
      <c r="AD203" s="255"/>
    </row>
    <row r="204" spans="1:30" s="46" customFormat="1" ht="18" customHeight="1" x14ac:dyDescent="0.3">
      <c r="A204" s="1423">
        <v>197</v>
      </c>
      <c r="B204" s="298"/>
      <c r="C204" s="296"/>
      <c r="D204" s="1168" t="s">
        <v>1307</v>
      </c>
      <c r="E204" s="1053"/>
      <c r="F204" s="1074"/>
      <c r="G204" s="1074"/>
      <c r="H204" s="1173"/>
      <c r="I204" s="373">
        <f>SUM(J204:Q204)</f>
        <v>133114</v>
      </c>
      <c r="J204" s="870"/>
      <c r="K204" s="870"/>
      <c r="L204" s="870">
        <v>95315</v>
      </c>
      <c r="M204" s="870"/>
      <c r="N204" s="870"/>
      <c r="O204" s="870">
        <v>37799</v>
      </c>
      <c r="P204" s="367"/>
      <c r="Q204" s="368"/>
      <c r="R204" s="255"/>
      <c r="S204" s="255"/>
      <c r="T204" s="255"/>
      <c r="U204" s="255"/>
      <c r="V204" s="255"/>
      <c r="W204" s="255"/>
      <c r="X204" s="255"/>
      <c r="Y204" s="255"/>
      <c r="Z204" s="255"/>
      <c r="AA204" s="255"/>
      <c r="AB204" s="255"/>
      <c r="AC204" s="255"/>
      <c r="AD204" s="255"/>
    </row>
    <row r="205" spans="1:30" s="46" customFormat="1" ht="18" customHeight="1" x14ac:dyDescent="0.3">
      <c r="A205" s="1423">
        <v>198</v>
      </c>
      <c r="B205" s="298"/>
      <c r="C205" s="296"/>
      <c r="D205" s="1167" t="s">
        <v>834</v>
      </c>
      <c r="E205" s="116"/>
      <c r="F205" s="304"/>
      <c r="G205" s="304"/>
      <c r="H205" s="1174"/>
      <c r="I205" s="888">
        <f t="shared" ref="I205" si="54">SUM(J205:Q205)</f>
        <v>0</v>
      </c>
      <c r="J205" s="367"/>
      <c r="K205" s="367"/>
      <c r="L205" s="379"/>
      <c r="M205" s="379"/>
      <c r="N205" s="379"/>
      <c r="O205" s="379"/>
      <c r="P205" s="367"/>
      <c r="Q205" s="368"/>
      <c r="R205" s="255"/>
      <c r="S205" s="255"/>
      <c r="T205" s="255"/>
      <c r="U205" s="255"/>
      <c r="V205" s="255"/>
      <c r="W205" s="255"/>
      <c r="X205" s="255"/>
      <c r="Y205" s="255"/>
      <c r="Z205" s="255"/>
      <c r="AA205" s="255"/>
      <c r="AB205" s="255"/>
      <c r="AC205" s="255"/>
      <c r="AD205" s="255"/>
    </row>
    <row r="206" spans="1:30" s="46" customFormat="1" ht="18" customHeight="1" x14ac:dyDescent="0.3">
      <c r="A206" s="1423">
        <v>199</v>
      </c>
      <c r="B206" s="298"/>
      <c r="C206" s="296"/>
      <c r="D206" s="1091" t="s">
        <v>1391</v>
      </c>
      <c r="E206" s="1092"/>
      <c r="F206" s="863"/>
      <c r="G206" s="863"/>
      <c r="H206" s="912"/>
      <c r="I206" s="373">
        <f>SUM(J206:Q206)</f>
        <v>133114</v>
      </c>
      <c r="J206" s="367"/>
      <c r="K206" s="367"/>
      <c r="L206" s="870">
        <f>SUM(L204:L205)</f>
        <v>95315</v>
      </c>
      <c r="M206" s="870"/>
      <c r="N206" s="870"/>
      <c r="O206" s="870">
        <f>SUM(O204:O205)</f>
        <v>37799</v>
      </c>
      <c r="P206" s="367"/>
      <c r="Q206" s="368"/>
      <c r="R206" s="255"/>
      <c r="S206" s="255"/>
      <c r="T206" s="255"/>
      <c r="U206" s="255"/>
      <c r="V206" s="255"/>
      <c r="W206" s="255"/>
      <c r="X206" s="255"/>
      <c r="Y206" s="255"/>
      <c r="Z206" s="255"/>
      <c r="AA206" s="255"/>
      <c r="AB206" s="255"/>
      <c r="AC206" s="255"/>
      <c r="AD206" s="255"/>
    </row>
    <row r="207" spans="1:30" s="51" customFormat="1" ht="20.100000000000001" customHeight="1" x14ac:dyDescent="0.3">
      <c r="A207" s="1423">
        <v>200</v>
      </c>
      <c r="B207" s="295"/>
      <c r="C207" s="296">
        <v>4</v>
      </c>
      <c r="D207" s="535" t="s">
        <v>178</v>
      </c>
      <c r="E207" s="536"/>
      <c r="F207" s="116">
        <v>1537</v>
      </c>
      <c r="G207" s="116">
        <v>3600</v>
      </c>
      <c r="H207" s="1172">
        <v>2690</v>
      </c>
      <c r="I207" s="383"/>
      <c r="J207" s="116"/>
      <c r="K207" s="116"/>
      <c r="L207" s="116"/>
      <c r="M207" s="116"/>
      <c r="N207" s="116"/>
      <c r="O207" s="116"/>
      <c r="P207" s="116"/>
      <c r="Q207" s="130"/>
      <c r="R207" s="257"/>
      <c r="S207" s="257"/>
      <c r="T207" s="257"/>
      <c r="U207" s="257"/>
      <c r="V207" s="257"/>
      <c r="W207" s="257"/>
      <c r="X207" s="257"/>
      <c r="Y207" s="257"/>
      <c r="Z207" s="257"/>
      <c r="AA207" s="257"/>
      <c r="AB207" s="257"/>
      <c r="AC207" s="257"/>
      <c r="AD207" s="257"/>
    </row>
    <row r="208" spans="1:30" s="46" customFormat="1" ht="18" customHeight="1" x14ac:dyDescent="0.3">
      <c r="A208" s="1423">
        <v>201</v>
      </c>
      <c r="B208" s="298"/>
      <c r="C208" s="296"/>
      <c r="D208" s="1139" t="s">
        <v>334</v>
      </c>
      <c r="E208" s="1053"/>
      <c r="F208" s="1074"/>
      <c r="G208" s="1074"/>
      <c r="H208" s="1173"/>
      <c r="I208" s="1105">
        <f>SUM(J208:Q208)</f>
        <v>6350</v>
      </c>
      <c r="J208" s="1106"/>
      <c r="K208" s="1106"/>
      <c r="L208" s="1106">
        <v>6350</v>
      </c>
      <c r="M208" s="367"/>
      <c r="N208" s="367"/>
      <c r="O208" s="367"/>
      <c r="P208" s="367"/>
      <c r="Q208" s="368"/>
      <c r="R208" s="255"/>
      <c r="S208" s="255"/>
      <c r="T208" s="255"/>
      <c r="U208" s="255"/>
      <c r="V208" s="255"/>
      <c r="W208" s="255"/>
      <c r="X208" s="255"/>
      <c r="Y208" s="255"/>
      <c r="Z208" s="255"/>
      <c r="AA208" s="255"/>
      <c r="AB208" s="255"/>
      <c r="AC208" s="255"/>
      <c r="AD208" s="255"/>
    </row>
    <row r="209" spans="1:30" s="46" customFormat="1" ht="18" customHeight="1" x14ac:dyDescent="0.3">
      <c r="A209" s="1423">
        <v>202</v>
      </c>
      <c r="B209" s="298"/>
      <c r="C209" s="296"/>
      <c r="D209" s="1168" t="s">
        <v>1307</v>
      </c>
      <c r="E209" s="1488"/>
      <c r="F209" s="1074"/>
      <c r="G209" s="1074"/>
      <c r="H209" s="1173"/>
      <c r="I209" s="373">
        <f>SUM(J209:Q209)</f>
        <v>8557</v>
      </c>
      <c r="J209" s="1106"/>
      <c r="K209" s="1106"/>
      <c r="L209" s="870">
        <v>8557</v>
      </c>
      <c r="M209" s="367"/>
      <c r="N209" s="367"/>
      <c r="O209" s="367"/>
      <c r="P209" s="367"/>
      <c r="Q209" s="368"/>
      <c r="R209" s="255"/>
      <c r="S209" s="255"/>
      <c r="T209" s="255"/>
      <c r="U209" s="255"/>
      <c r="V209" s="255"/>
      <c r="W209" s="255"/>
      <c r="X209" s="255"/>
      <c r="Y209" s="255"/>
      <c r="Z209" s="255"/>
      <c r="AA209" s="255"/>
      <c r="AB209" s="255"/>
      <c r="AC209" s="255"/>
      <c r="AD209" s="255"/>
    </row>
    <row r="210" spans="1:30" s="46" customFormat="1" ht="18" customHeight="1" x14ac:dyDescent="0.3">
      <c r="A210" s="1423">
        <v>203</v>
      </c>
      <c r="B210" s="298"/>
      <c r="C210" s="296"/>
      <c r="D210" s="1167" t="s">
        <v>834</v>
      </c>
      <c r="E210" s="669"/>
      <c r="F210" s="304"/>
      <c r="G210" s="304"/>
      <c r="H210" s="1174"/>
      <c r="I210" s="888">
        <f t="shared" ref="I210" si="55">SUM(J210:Q210)</f>
        <v>0</v>
      </c>
      <c r="J210" s="367"/>
      <c r="K210" s="367"/>
      <c r="L210" s="379"/>
      <c r="M210" s="367"/>
      <c r="N210" s="367"/>
      <c r="O210" s="367"/>
      <c r="P210" s="367"/>
      <c r="Q210" s="368"/>
      <c r="R210" s="255"/>
      <c r="S210" s="255"/>
      <c r="T210" s="255"/>
      <c r="U210" s="255"/>
      <c r="V210" s="255"/>
      <c r="W210" s="255"/>
      <c r="X210" s="255"/>
      <c r="Y210" s="255"/>
      <c r="Z210" s="255"/>
      <c r="AA210" s="255"/>
      <c r="AB210" s="255"/>
      <c r="AC210" s="255"/>
      <c r="AD210" s="255"/>
    </row>
    <row r="211" spans="1:30" s="46" customFormat="1" ht="18" customHeight="1" x14ac:dyDescent="0.3">
      <c r="A211" s="1423">
        <v>204</v>
      </c>
      <c r="B211" s="298"/>
      <c r="C211" s="296"/>
      <c r="D211" s="1091" t="s">
        <v>1391</v>
      </c>
      <c r="E211" s="669"/>
      <c r="F211" s="304"/>
      <c r="G211" s="304"/>
      <c r="H211" s="1174"/>
      <c r="I211" s="373">
        <f>SUM(J211:Q211)</f>
        <v>8557</v>
      </c>
      <c r="J211" s="367"/>
      <c r="K211" s="367"/>
      <c r="L211" s="870">
        <f>SUM(L209:L210)</f>
        <v>8557</v>
      </c>
      <c r="M211" s="367"/>
      <c r="N211" s="367"/>
      <c r="O211" s="367"/>
      <c r="P211" s="367"/>
      <c r="Q211" s="368"/>
      <c r="R211" s="255"/>
      <c r="S211" s="255"/>
      <c r="T211" s="255"/>
      <c r="U211" s="255"/>
      <c r="V211" s="255"/>
      <c r="W211" s="255"/>
      <c r="X211" s="255"/>
      <c r="Y211" s="255"/>
      <c r="Z211" s="255"/>
      <c r="AA211" s="255"/>
      <c r="AB211" s="255"/>
      <c r="AC211" s="255"/>
      <c r="AD211" s="255"/>
    </row>
    <row r="212" spans="1:30" s="51" customFormat="1" ht="30" customHeight="1" x14ac:dyDescent="0.3">
      <c r="A212" s="1423">
        <v>205</v>
      </c>
      <c r="B212" s="542"/>
      <c r="C212" s="302">
        <v>5</v>
      </c>
      <c r="D212" s="1796" t="s">
        <v>366</v>
      </c>
      <c r="E212" s="1797"/>
      <c r="F212" s="304">
        <v>5199</v>
      </c>
      <c r="G212" s="304"/>
      <c r="H212" s="1174">
        <v>1577</v>
      </c>
      <c r="I212" s="373"/>
      <c r="J212" s="386"/>
      <c r="K212" s="386"/>
      <c r="L212" s="386"/>
      <c r="M212" s="386"/>
      <c r="N212" s="386"/>
      <c r="O212" s="386"/>
      <c r="P212" s="386"/>
      <c r="Q212" s="387"/>
      <c r="R212" s="257"/>
      <c r="S212" s="257"/>
      <c r="T212" s="257"/>
      <c r="U212" s="257"/>
      <c r="V212" s="257"/>
      <c r="W212" s="257"/>
      <c r="X212" s="257"/>
      <c r="Y212" s="257"/>
      <c r="Z212" s="257"/>
      <c r="AA212" s="257"/>
      <c r="AB212" s="257"/>
      <c r="AC212" s="257"/>
      <c r="AD212" s="257"/>
    </row>
    <row r="213" spans="1:30" s="51" customFormat="1" ht="20.100000000000001" customHeight="1" x14ac:dyDescent="0.3">
      <c r="A213" s="1423">
        <v>206</v>
      </c>
      <c r="B213" s="542"/>
      <c r="C213" s="296">
        <v>6</v>
      </c>
      <c r="D213" s="535" t="s">
        <v>363</v>
      </c>
      <c r="E213" s="536"/>
      <c r="F213" s="304">
        <v>7971</v>
      </c>
      <c r="G213" s="304"/>
      <c r="H213" s="1174">
        <v>4167</v>
      </c>
      <c r="I213" s="373"/>
      <c r="J213" s="386"/>
      <c r="K213" s="386"/>
      <c r="L213" s="386"/>
      <c r="M213" s="386"/>
      <c r="N213" s="386"/>
      <c r="O213" s="386"/>
      <c r="P213" s="386"/>
      <c r="Q213" s="387"/>
      <c r="R213" s="257"/>
      <c r="S213" s="257"/>
      <c r="T213" s="257"/>
      <c r="U213" s="257"/>
      <c r="V213" s="257"/>
      <c r="W213" s="257"/>
      <c r="X213" s="257"/>
      <c r="Y213" s="257"/>
      <c r="Z213" s="257"/>
      <c r="AA213" s="257"/>
      <c r="AB213" s="257"/>
      <c r="AC213" s="257"/>
      <c r="AD213" s="257"/>
    </row>
    <row r="214" spans="1:30" s="51" customFormat="1" ht="18" customHeight="1" x14ac:dyDescent="0.3">
      <c r="A214" s="1423">
        <v>207</v>
      </c>
      <c r="B214" s="542"/>
      <c r="C214" s="296"/>
      <c r="D214" s="1139" t="s">
        <v>334</v>
      </c>
      <c r="E214" s="1144"/>
      <c r="F214" s="1074"/>
      <c r="G214" s="1074"/>
      <c r="H214" s="1173"/>
      <c r="I214" s="1105">
        <f t="shared" ref="I214:I227" si="56">SUM(J214:Q214)</f>
        <v>2495</v>
      </c>
      <c r="J214" s="1106">
        <v>1983</v>
      </c>
      <c r="K214" s="1106">
        <v>512</v>
      </c>
      <c r="L214" s="870"/>
      <c r="M214" s="386"/>
      <c r="N214" s="386"/>
      <c r="O214" s="386"/>
      <c r="P214" s="386"/>
      <c r="Q214" s="387"/>
      <c r="R214" s="257"/>
      <c r="S214" s="257"/>
      <c r="T214" s="257"/>
      <c r="U214" s="257"/>
      <c r="V214" s="257"/>
      <c r="W214" s="257"/>
      <c r="X214" s="257"/>
      <c r="Y214" s="257"/>
      <c r="Z214" s="257"/>
      <c r="AA214" s="257"/>
      <c r="AB214" s="257"/>
      <c r="AC214" s="257"/>
      <c r="AD214" s="257"/>
    </row>
    <row r="215" spans="1:30" s="51" customFormat="1" ht="18" customHeight="1" x14ac:dyDescent="0.3">
      <c r="A215" s="1423">
        <v>208</v>
      </c>
      <c r="B215" s="542"/>
      <c r="C215" s="296"/>
      <c r="D215" s="1168" t="s">
        <v>1307</v>
      </c>
      <c r="E215" s="1144"/>
      <c r="F215" s="1074"/>
      <c r="G215" s="1074"/>
      <c r="H215" s="1173"/>
      <c r="I215" s="373">
        <f>SUM(J215:Q215)</f>
        <v>0</v>
      </c>
      <c r="J215" s="870">
        <v>0</v>
      </c>
      <c r="K215" s="870">
        <v>0</v>
      </c>
      <c r="L215" s="870"/>
      <c r="M215" s="386"/>
      <c r="N215" s="386"/>
      <c r="O215" s="386"/>
      <c r="P215" s="386"/>
      <c r="Q215" s="387"/>
      <c r="R215" s="257"/>
      <c r="S215" s="257"/>
      <c r="T215" s="257"/>
      <c r="U215" s="257"/>
      <c r="V215" s="257"/>
      <c r="W215" s="257"/>
      <c r="X215" s="257"/>
      <c r="Y215" s="257"/>
      <c r="Z215" s="257"/>
      <c r="AA215" s="257"/>
      <c r="AB215" s="257"/>
      <c r="AC215" s="257"/>
      <c r="AD215" s="257"/>
    </row>
    <row r="216" spans="1:30" s="51" customFormat="1" ht="18" customHeight="1" x14ac:dyDescent="0.3">
      <c r="A216" s="1423">
        <v>209</v>
      </c>
      <c r="B216" s="542"/>
      <c r="C216" s="296"/>
      <c r="D216" s="1167" t="s">
        <v>834</v>
      </c>
      <c r="E216" s="536"/>
      <c r="F216" s="304"/>
      <c r="G216" s="304"/>
      <c r="H216" s="1174"/>
      <c r="I216" s="888">
        <f>SUM(J216:Q216)</f>
        <v>0</v>
      </c>
      <c r="J216" s="367"/>
      <c r="K216" s="367"/>
      <c r="L216" s="870"/>
      <c r="M216" s="386"/>
      <c r="N216" s="386"/>
      <c r="O216" s="386"/>
      <c r="P216" s="386"/>
      <c r="Q216" s="387"/>
      <c r="R216" s="257"/>
      <c r="S216" s="257"/>
      <c r="T216" s="257"/>
      <c r="U216" s="257"/>
      <c r="V216" s="257"/>
      <c r="W216" s="257"/>
      <c r="X216" s="257"/>
      <c r="Y216" s="257"/>
      <c r="Z216" s="257"/>
      <c r="AA216" s="257"/>
      <c r="AB216" s="257"/>
      <c r="AC216" s="257"/>
      <c r="AD216" s="257"/>
    </row>
    <row r="217" spans="1:30" s="51" customFormat="1" ht="18" customHeight="1" x14ac:dyDescent="0.3">
      <c r="A217" s="1423">
        <v>210</v>
      </c>
      <c r="B217" s="542"/>
      <c r="C217" s="296"/>
      <c r="D217" s="1091" t="s">
        <v>1391</v>
      </c>
      <c r="E217" s="536"/>
      <c r="F217" s="304"/>
      <c r="G217" s="304"/>
      <c r="H217" s="1174"/>
      <c r="I217" s="373">
        <f t="shared" si="56"/>
        <v>0</v>
      </c>
      <c r="J217" s="870">
        <f>SUM(J215:J216)</f>
        <v>0</v>
      </c>
      <c r="K217" s="870">
        <f>SUM(K215:K216)</f>
        <v>0</v>
      </c>
      <c r="L217" s="870"/>
      <c r="M217" s="386"/>
      <c r="N217" s="386"/>
      <c r="O217" s="386"/>
      <c r="P217" s="386"/>
      <c r="Q217" s="387"/>
      <c r="R217" s="257"/>
      <c r="S217" s="257"/>
      <c r="T217" s="257"/>
      <c r="U217" s="257"/>
      <c r="V217" s="257"/>
      <c r="W217" s="257"/>
      <c r="X217" s="257"/>
      <c r="Y217" s="257"/>
      <c r="Z217" s="257"/>
      <c r="AA217" s="257"/>
      <c r="AB217" s="257"/>
      <c r="AC217" s="257"/>
      <c r="AD217" s="257"/>
    </row>
    <row r="218" spans="1:30" s="51" customFormat="1" ht="18" customHeight="1" x14ac:dyDescent="0.3">
      <c r="A218" s="1423">
        <v>211</v>
      </c>
      <c r="B218" s="542"/>
      <c r="C218" s="296">
        <v>7</v>
      </c>
      <c r="D218" s="535" t="s">
        <v>723</v>
      </c>
      <c r="E218" s="536"/>
      <c r="F218" s="304"/>
      <c r="G218" s="304"/>
      <c r="H218" s="1174"/>
      <c r="I218" s="373"/>
      <c r="J218" s="367"/>
      <c r="K218" s="367"/>
      <c r="L218" s="870"/>
      <c r="M218" s="386"/>
      <c r="N218" s="386"/>
      <c r="O218" s="386"/>
      <c r="P218" s="386"/>
      <c r="Q218" s="387"/>
      <c r="R218" s="257"/>
      <c r="S218" s="257"/>
      <c r="T218" s="257"/>
      <c r="U218" s="257"/>
      <c r="V218" s="257"/>
      <c r="W218" s="257"/>
      <c r="X218" s="257"/>
      <c r="Y218" s="257"/>
      <c r="Z218" s="257"/>
      <c r="AA218" s="257"/>
      <c r="AB218" s="257"/>
      <c r="AC218" s="257"/>
      <c r="AD218" s="257"/>
    </row>
    <row r="219" spans="1:30" s="51" customFormat="1" ht="18" customHeight="1" x14ac:dyDescent="0.3">
      <c r="A219" s="1423">
        <v>212</v>
      </c>
      <c r="B219" s="542"/>
      <c r="C219" s="296"/>
      <c r="D219" s="1139" t="s">
        <v>334</v>
      </c>
      <c r="E219" s="1144"/>
      <c r="F219" s="1074"/>
      <c r="G219" s="1074"/>
      <c r="H219" s="1173"/>
      <c r="I219" s="1105">
        <f t="shared" si="56"/>
        <v>8475</v>
      </c>
      <c r="J219" s="1106">
        <v>7092</v>
      </c>
      <c r="K219" s="1106">
        <v>1383</v>
      </c>
      <c r="L219" s="870"/>
      <c r="M219" s="386"/>
      <c r="N219" s="386"/>
      <c r="O219" s="386"/>
      <c r="P219" s="386"/>
      <c r="Q219" s="387"/>
      <c r="R219" s="257"/>
      <c r="S219" s="257"/>
      <c r="T219" s="257"/>
      <c r="U219" s="257"/>
      <c r="V219" s="257"/>
      <c r="W219" s="257"/>
      <c r="X219" s="257"/>
      <c r="Y219" s="257"/>
      <c r="Z219" s="257"/>
      <c r="AA219" s="257"/>
      <c r="AB219" s="257"/>
      <c r="AC219" s="257"/>
      <c r="AD219" s="257"/>
    </row>
    <row r="220" spans="1:30" s="51" customFormat="1" ht="18" customHeight="1" x14ac:dyDescent="0.3">
      <c r="A220" s="1423">
        <v>213</v>
      </c>
      <c r="B220" s="542"/>
      <c r="C220" s="296"/>
      <c r="D220" s="1168" t="s">
        <v>1307</v>
      </c>
      <c r="E220" s="1144"/>
      <c r="F220" s="1074"/>
      <c r="G220" s="1074"/>
      <c r="H220" s="1173"/>
      <c r="I220" s="373">
        <f>SUM(J220:Q220)</f>
        <v>13852</v>
      </c>
      <c r="J220" s="870">
        <v>11592</v>
      </c>
      <c r="K220" s="870">
        <v>2260</v>
      </c>
      <c r="L220" s="870"/>
      <c r="M220" s="386"/>
      <c r="N220" s="386"/>
      <c r="O220" s="386"/>
      <c r="P220" s="386"/>
      <c r="Q220" s="387"/>
      <c r="R220" s="257"/>
      <c r="S220" s="257"/>
      <c r="T220" s="257"/>
      <c r="U220" s="257"/>
      <c r="V220" s="257"/>
      <c r="W220" s="257"/>
      <c r="X220" s="257"/>
      <c r="Y220" s="257"/>
      <c r="Z220" s="257"/>
      <c r="AA220" s="257"/>
      <c r="AB220" s="257"/>
      <c r="AC220" s="257"/>
      <c r="AD220" s="257"/>
    </row>
    <row r="221" spans="1:30" s="51" customFormat="1" ht="18" customHeight="1" x14ac:dyDescent="0.3">
      <c r="A221" s="1423">
        <v>214</v>
      </c>
      <c r="B221" s="542"/>
      <c r="C221" s="296"/>
      <c r="D221" s="1167" t="s">
        <v>834</v>
      </c>
      <c r="E221" s="536"/>
      <c r="F221" s="304"/>
      <c r="G221" s="304"/>
      <c r="H221" s="1174"/>
      <c r="I221" s="888">
        <f>SUM(J221:Q221)</f>
        <v>0</v>
      </c>
      <c r="J221" s="367"/>
      <c r="K221" s="367"/>
      <c r="L221" s="870"/>
      <c r="M221" s="386"/>
      <c r="N221" s="386"/>
      <c r="O221" s="386"/>
      <c r="P221" s="386"/>
      <c r="Q221" s="387"/>
      <c r="R221" s="257"/>
      <c r="S221" s="257"/>
      <c r="T221" s="257"/>
      <c r="U221" s="257"/>
      <c r="V221" s="257"/>
      <c r="W221" s="257"/>
      <c r="X221" s="257"/>
      <c r="Y221" s="257"/>
      <c r="Z221" s="257"/>
      <c r="AA221" s="257"/>
      <c r="AB221" s="257"/>
      <c r="AC221" s="257"/>
      <c r="AD221" s="257"/>
    </row>
    <row r="222" spans="1:30" s="51" customFormat="1" ht="18" customHeight="1" x14ac:dyDescent="0.3">
      <c r="A222" s="1423">
        <v>215</v>
      </c>
      <c r="B222" s="542"/>
      <c r="C222" s="296"/>
      <c r="D222" s="1091" t="s">
        <v>1391</v>
      </c>
      <c r="E222" s="536"/>
      <c r="F222" s="304"/>
      <c r="G222" s="304"/>
      <c r="H222" s="1174"/>
      <c r="I222" s="373">
        <f t="shared" si="56"/>
        <v>13852</v>
      </c>
      <c r="J222" s="870">
        <f>SUM(J220:J221)</f>
        <v>11592</v>
      </c>
      <c r="K222" s="870">
        <f>SUM(K220:K221)</f>
        <v>2260</v>
      </c>
      <c r="L222" s="870"/>
      <c r="M222" s="386"/>
      <c r="N222" s="386"/>
      <c r="O222" s="386"/>
      <c r="P222" s="386"/>
      <c r="Q222" s="387"/>
      <c r="R222" s="257"/>
      <c r="S222" s="257"/>
      <c r="T222" s="257"/>
      <c r="U222" s="257"/>
      <c r="V222" s="257"/>
      <c r="W222" s="257"/>
      <c r="X222" s="257"/>
      <c r="Y222" s="257"/>
      <c r="Z222" s="257"/>
      <c r="AA222" s="257"/>
      <c r="AB222" s="257"/>
      <c r="AC222" s="257"/>
      <c r="AD222" s="257"/>
    </row>
    <row r="223" spans="1:30" s="51" customFormat="1" ht="18" customHeight="1" x14ac:dyDescent="0.3">
      <c r="A223" s="1423">
        <v>216</v>
      </c>
      <c r="B223" s="542"/>
      <c r="C223" s="296">
        <v>8</v>
      </c>
      <c r="D223" s="535" t="s">
        <v>724</v>
      </c>
      <c r="E223" s="536"/>
      <c r="F223" s="304"/>
      <c r="G223" s="304"/>
      <c r="H223" s="1174"/>
      <c r="I223" s="373"/>
      <c r="J223" s="367"/>
      <c r="K223" s="367"/>
      <c r="L223" s="870"/>
      <c r="M223" s="386"/>
      <c r="N223" s="386"/>
      <c r="O223" s="386"/>
      <c r="P223" s="386"/>
      <c r="Q223" s="387"/>
      <c r="R223" s="257"/>
      <c r="S223" s="257"/>
      <c r="T223" s="257"/>
      <c r="U223" s="257"/>
      <c r="V223" s="257"/>
      <c r="W223" s="257"/>
      <c r="X223" s="257"/>
      <c r="Y223" s="257"/>
      <c r="Z223" s="257"/>
      <c r="AA223" s="257"/>
      <c r="AB223" s="257"/>
      <c r="AC223" s="257"/>
      <c r="AD223" s="257"/>
    </row>
    <row r="224" spans="1:30" s="51" customFormat="1" ht="18" customHeight="1" x14ac:dyDescent="0.3">
      <c r="A224" s="1423">
        <v>217</v>
      </c>
      <c r="B224" s="542"/>
      <c r="C224" s="296"/>
      <c r="D224" s="1139" t="s">
        <v>334</v>
      </c>
      <c r="E224" s="1144"/>
      <c r="F224" s="1074"/>
      <c r="G224" s="1074"/>
      <c r="H224" s="1173"/>
      <c r="I224" s="1105">
        <f t="shared" si="56"/>
        <v>3250</v>
      </c>
      <c r="J224" s="1106">
        <v>2720</v>
      </c>
      <c r="K224" s="1106">
        <v>530</v>
      </c>
      <c r="L224" s="870"/>
      <c r="M224" s="386"/>
      <c r="N224" s="386"/>
      <c r="O224" s="386"/>
      <c r="P224" s="386"/>
      <c r="Q224" s="387"/>
      <c r="R224" s="257"/>
      <c r="S224" s="257"/>
      <c r="T224" s="257"/>
      <c r="U224" s="257"/>
      <c r="V224" s="257"/>
      <c r="W224" s="257"/>
      <c r="X224" s="257"/>
      <c r="Y224" s="257"/>
      <c r="Z224" s="257"/>
      <c r="AA224" s="257"/>
      <c r="AB224" s="257"/>
      <c r="AC224" s="257"/>
      <c r="AD224" s="257"/>
    </row>
    <row r="225" spans="1:30" s="51" customFormat="1" ht="18" customHeight="1" x14ac:dyDescent="0.3">
      <c r="A225" s="1423">
        <v>218</v>
      </c>
      <c r="B225" s="542"/>
      <c r="C225" s="296"/>
      <c r="D225" s="1168" t="s">
        <v>1307</v>
      </c>
      <c r="E225" s="1144"/>
      <c r="F225" s="1074"/>
      <c r="G225" s="1074"/>
      <c r="H225" s="1173"/>
      <c r="I225" s="373">
        <f>SUM(J225:Q225)</f>
        <v>3250</v>
      </c>
      <c r="J225" s="870">
        <v>2720</v>
      </c>
      <c r="K225" s="870">
        <v>530</v>
      </c>
      <c r="L225" s="870"/>
      <c r="M225" s="386"/>
      <c r="N225" s="386"/>
      <c r="O225" s="386"/>
      <c r="P225" s="386"/>
      <c r="Q225" s="387"/>
      <c r="R225" s="257"/>
      <c r="S225" s="257"/>
      <c r="T225" s="257"/>
      <c r="U225" s="257"/>
      <c r="V225" s="257"/>
      <c r="W225" s="257"/>
      <c r="X225" s="257"/>
      <c r="Y225" s="257"/>
      <c r="Z225" s="257"/>
      <c r="AA225" s="257"/>
      <c r="AB225" s="257"/>
      <c r="AC225" s="257"/>
      <c r="AD225" s="257"/>
    </row>
    <row r="226" spans="1:30" s="51" customFormat="1" ht="18" customHeight="1" x14ac:dyDescent="0.3">
      <c r="A226" s="1423">
        <v>219</v>
      </c>
      <c r="B226" s="542"/>
      <c r="C226" s="296"/>
      <c r="D226" s="1167" t="s">
        <v>733</v>
      </c>
      <c r="E226" s="536"/>
      <c r="F226" s="304"/>
      <c r="G226" s="304"/>
      <c r="H226" s="1174"/>
      <c r="I226" s="888">
        <f>SUM(J226:Q226)</f>
        <v>0</v>
      </c>
      <c r="J226" s="367"/>
      <c r="K226" s="367"/>
      <c r="L226" s="870"/>
      <c r="M226" s="386"/>
      <c r="N226" s="386"/>
      <c r="O226" s="386"/>
      <c r="P226" s="386"/>
      <c r="Q226" s="387"/>
      <c r="R226" s="257"/>
      <c r="S226" s="257"/>
      <c r="T226" s="257"/>
      <c r="U226" s="257"/>
      <c r="V226" s="257"/>
      <c r="W226" s="257"/>
      <c r="X226" s="257"/>
      <c r="Y226" s="257"/>
      <c r="Z226" s="257"/>
      <c r="AA226" s="257"/>
      <c r="AB226" s="257"/>
      <c r="AC226" s="257"/>
      <c r="AD226" s="257"/>
    </row>
    <row r="227" spans="1:30" s="51" customFormat="1" ht="18" customHeight="1" x14ac:dyDescent="0.3">
      <c r="A227" s="1423">
        <v>220</v>
      </c>
      <c r="B227" s="542"/>
      <c r="C227" s="296"/>
      <c r="D227" s="1091" t="s">
        <v>1391</v>
      </c>
      <c r="E227" s="536"/>
      <c r="F227" s="304"/>
      <c r="G227" s="304"/>
      <c r="H227" s="1174"/>
      <c r="I227" s="373">
        <f t="shared" si="56"/>
        <v>3250</v>
      </c>
      <c r="J227" s="870">
        <f>SUM(J225:J226)</f>
        <v>2720</v>
      </c>
      <c r="K227" s="870">
        <f>SUM(K225:K226)</f>
        <v>530</v>
      </c>
      <c r="L227" s="870"/>
      <c r="M227" s="386"/>
      <c r="N227" s="386"/>
      <c r="O227" s="386"/>
      <c r="P227" s="386"/>
      <c r="Q227" s="387"/>
      <c r="R227" s="257"/>
      <c r="S227" s="257"/>
      <c r="T227" s="257"/>
      <c r="U227" s="257"/>
      <c r="V227" s="257"/>
      <c r="W227" s="257"/>
      <c r="X227" s="257"/>
      <c r="Y227" s="257"/>
      <c r="Z227" s="257"/>
      <c r="AA227" s="257"/>
      <c r="AB227" s="257"/>
      <c r="AC227" s="257"/>
      <c r="AD227" s="257"/>
    </row>
    <row r="228" spans="1:30" s="51" customFormat="1" ht="20.100000000000001" customHeight="1" x14ac:dyDescent="0.3">
      <c r="A228" s="1423">
        <v>221</v>
      </c>
      <c r="B228" s="542"/>
      <c r="C228" s="296">
        <v>9</v>
      </c>
      <c r="D228" s="535" t="s">
        <v>540</v>
      </c>
      <c r="E228" s="536"/>
      <c r="F228" s="304"/>
      <c r="G228" s="304"/>
      <c r="H228" s="1174"/>
      <c r="I228" s="373"/>
      <c r="J228" s="870"/>
      <c r="K228" s="870"/>
      <c r="L228" s="870"/>
      <c r="M228" s="386"/>
      <c r="N228" s="386"/>
      <c r="O228" s="386"/>
      <c r="P228" s="386"/>
      <c r="Q228" s="387"/>
      <c r="R228" s="257"/>
      <c r="S228" s="257"/>
      <c r="T228" s="257"/>
      <c r="U228" s="257"/>
      <c r="V228" s="257"/>
      <c r="W228" s="257"/>
      <c r="X228" s="257"/>
      <c r="Y228" s="257"/>
      <c r="Z228" s="257"/>
      <c r="AA228" s="257"/>
      <c r="AB228" s="257"/>
      <c r="AC228" s="257"/>
      <c r="AD228" s="257"/>
    </row>
    <row r="229" spans="1:30" s="51" customFormat="1" ht="20.100000000000001" customHeight="1" x14ac:dyDescent="0.3">
      <c r="A229" s="1423">
        <v>222</v>
      </c>
      <c r="B229" s="542"/>
      <c r="C229" s="296"/>
      <c r="D229" s="1168" t="s">
        <v>1307</v>
      </c>
      <c r="E229" s="762"/>
      <c r="F229" s="304"/>
      <c r="G229" s="304"/>
      <c r="H229" s="1174"/>
      <c r="I229" s="373">
        <f>SUM(J229:Q229)</f>
        <v>6000</v>
      </c>
      <c r="J229" s="870">
        <v>4918</v>
      </c>
      <c r="K229" s="870">
        <v>1082</v>
      </c>
      <c r="L229" s="870"/>
      <c r="M229" s="386"/>
      <c r="N229" s="386"/>
      <c r="O229" s="386"/>
      <c r="P229" s="386"/>
      <c r="Q229" s="387"/>
      <c r="R229" s="257"/>
      <c r="S229" s="257"/>
      <c r="T229" s="257"/>
      <c r="U229" s="257"/>
      <c r="V229" s="257"/>
      <c r="W229" s="257"/>
      <c r="X229" s="257"/>
      <c r="Y229" s="257"/>
      <c r="Z229" s="257"/>
      <c r="AA229" s="257"/>
      <c r="AB229" s="257"/>
      <c r="AC229" s="257"/>
      <c r="AD229" s="257"/>
    </row>
    <row r="230" spans="1:30" s="51" customFormat="1" ht="18" customHeight="1" x14ac:dyDescent="0.3">
      <c r="A230" s="1423">
        <v>223</v>
      </c>
      <c r="B230" s="542"/>
      <c r="C230" s="296"/>
      <c r="D230" s="1167" t="s">
        <v>834</v>
      </c>
      <c r="E230" s="762"/>
      <c r="F230" s="304"/>
      <c r="G230" s="304"/>
      <c r="H230" s="1174"/>
      <c r="I230" s="373">
        <f>SUM(J230:Q230)</f>
        <v>0</v>
      </c>
      <c r="J230" s="379"/>
      <c r="K230" s="379"/>
      <c r="L230" s="870"/>
      <c r="M230" s="386"/>
      <c r="N230" s="386"/>
      <c r="O230" s="386"/>
      <c r="P230" s="386"/>
      <c r="Q230" s="387"/>
      <c r="R230" s="257"/>
      <c r="S230" s="257"/>
      <c r="T230" s="257"/>
      <c r="U230" s="257"/>
      <c r="V230" s="257"/>
      <c r="W230" s="257"/>
      <c r="X230" s="257"/>
      <c r="Y230" s="257"/>
      <c r="Z230" s="257"/>
      <c r="AA230" s="257"/>
      <c r="AB230" s="257"/>
      <c r="AC230" s="257"/>
      <c r="AD230" s="257"/>
    </row>
    <row r="231" spans="1:30" s="51" customFormat="1" ht="18" customHeight="1" x14ac:dyDescent="0.3">
      <c r="A231" s="1423">
        <v>224</v>
      </c>
      <c r="B231" s="542"/>
      <c r="C231" s="296"/>
      <c r="D231" s="1091" t="s">
        <v>1391</v>
      </c>
      <c r="E231" s="762"/>
      <c r="F231" s="304"/>
      <c r="G231" s="304"/>
      <c r="H231" s="1174"/>
      <c r="I231" s="373">
        <f t="shared" ref="I231" si="57">SUM(J231:Q231)</f>
        <v>6000</v>
      </c>
      <c r="J231" s="870">
        <f>SUM(J229:J230)</f>
        <v>4918</v>
      </c>
      <c r="K231" s="870">
        <f>SUM(K229:K230)</f>
        <v>1082</v>
      </c>
      <c r="L231" s="870"/>
      <c r="M231" s="386"/>
      <c r="N231" s="386"/>
      <c r="O231" s="386"/>
      <c r="P231" s="386"/>
      <c r="Q231" s="387"/>
      <c r="R231" s="257"/>
      <c r="S231" s="257"/>
      <c r="T231" s="257"/>
      <c r="U231" s="257"/>
      <c r="V231" s="257"/>
      <c r="W231" s="257"/>
      <c r="X231" s="257"/>
      <c r="Y231" s="257"/>
      <c r="Z231" s="257"/>
      <c r="AA231" s="257"/>
      <c r="AB231" s="257"/>
      <c r="AC231" s="257"/>
      <c r="AD231" s="257"/>
    </row>
    <row r="232" spans="1:30" s="41" customFormat="1" ht="19.5" customHeight="1" x14ac:dyDescent="0.3">
      <c r="A232" s="1423">
        <v>225</v>
      </c>
      <c r="B232" s="542"/>
      <c r="C232" s="296">
        <v>10</v>
      </c>
      <c r="D232" s="535" t="s">
        <v>448</v>
      </c>
      <c r="E232" s="536"/>
      <c r="F232" s="304">
        <v>4218</v>
      </c>
      <c r="G232" s="304"/>
      <c r="H232" s="1174">
        <v>7483</v>
      </c>
      <c r="I232" s="373"/>
      <c r="J232" s="870"/>
      <c r="K232" s="870"/>
      <c r="L232" s="870"/>
      <c r="M232" s="386"/>
      <c r="N232" s="386"/>
      <c r="O232" s="386"/>
      <c r="P232" s="386"/>
      <c r="Q232" s="387"/>
      <c r="R232" s="208"/>
      <c r="S232" s="208"/>
      <c r="T232" s="208"/>
      <c r="U232" s="208"/>
      <c r="V232" s="208"/>
      <c r="W232" s="208"/>
      <c r="X232" s="208"/>
      <c r="Y232" s="208"/>
      <c r="Z232" s="208"/>
      <c r="AA232" s="208"/>
      <c r="AB232" s="208"/>
      <c r="AC232" s="208"/>
      <c r="AD232" s="208"/>
    </row>
    <row r="233" spans="1:30" s="41" customFormat="1" ht="19.5" customHeight="1" x14ac:dyDescent="0.3">
      <c r="A233" s="1423">
        <v>226</v>
      </c>
      <c r="B233" s="542"/>
      <c r="C233" s="296"/>
      <c r="D233" s="1168" t="s">
        <v>1307</v>
      </c>
      <c r="E233" s="762"/>
      <c r="F233" s="304"/>
      <c r="G233" s="304"/>
      <c r="H233" s="1174"/>
      <c r="I233" s="373">
        <f>SUM(J233:Q233)</f>
        <v>3536</v>
      </c>
      <c r="J233" s="870">
        <v>2957</v>
      </c>
      <c r="K233" s="870">
        <v>579</v>
      </c>
      <c r="L233" s="870"/>
      <c r="M233" s="386"/>
      <c r="N233" s="386"/>
      <c r="O233" s="386"/>
      <c r="P233" s="386"/>
      <c r="Q233" s="387"/>
      <c r="R233" s="208"/>
      <c r="S233" s="208"/>
      <c r="T233" s="208"/>
      <c r="U233" s="208"/>
      <c r="V233" s="208"/>
      <c r="W233" s="208"/>
      <c r="X233" s="208"/>
      <c r="Y233" s="208"/>
      <c r="Z233" s="208"/>
      <c r="AA233" s="208"/>
      <c r="AB233" s="208"/>
      <c r="AC233" s="208"/>
      <c r="AD233" s="208"/>
    </row>
    <row r="234" spans="1:30" s="41" customFormat="1" ht="18" customHeight="1" x14ac:dyDescent="0.3">
      <c r="A234" s="1423">
        <v>227</v>
      </c>
      <c r="B234" s="542"/>
      <c r="C234" s="296"/>
      <c r="D234" s="1167" t="s">
        <v>954</v>
      </c>
      <c r="E234" s="762"/>
      <c r="F234" s="304"/>
      <c r="G234" s="304"/>
      <c r="H234" s="1174"/>
      <c r="I234" s="383">
        <f t="shared" ref="I234:I237" si="58">SUM(J234:Q234)</f>
        <v>0</v>
      </c>
      <c r="J234" s="379">
        <v>-1</v>
      </c>
      <c r="K234" s="379">
        <v>-2</v>
      </c>
      <c r="L234" s="379">
        <v>3</v>
      </c>
      <c r="M234" s="386"/>
      <c r="N234" s="386"/>
      <c r="O234" s="386"/>
      <c r="P234" s="386"/>
      <c r="Q234" s="387"/>
      <c r="R234" s="208"/>
      <c r="S234" s="208"/>
      <c r="T234" s="208"/>
      <c r="U234" s="208"/>
      <c r="V234" s="208"/>
      <c r="W234" s="208"/>
      <c r="X234" s="208"/>
      <c r="Y234" s="208"/>
      <c r="Z234" s="208"/>
      <c r="AA234" s="208"/>
      <c r="AB234" s="208"/>
      <c r="AC234" s="208"/>
      <c r="AD234" s="208"/>
    </row>
    <row r="235" spans="1:30" s="41" customFormat="1" ht="18" customHeight="1" x14ac:dyDescent="0.3">
      <c r="A235" s="1423">
        <v>228</v>
      </c>
      <c r="B235" s="542"/>
      <c r="C235" s="296"/>
      <c r="D235" s="1091" t="s">
        <v>1391</v>
      </c>
      <c r="E235" s="762"/>
      <c r="F235" s="304"/>
      <c r="G235" s="304"/>
      <c r="H235" s="1174"/>
      <c r="I235" s="373">
        <f t="shared" si="58"/>
        <v>3536</v>
      </c>
      <c r="J235" s="870">
        <f>SUM(J233:J234)</f>
        <v>2956</v>
      </c>
      <c r="K235" s="870">
        <f>SUM(K233:K234)</f>
        <v>577</v>
      </c>
      <c r="L235" s="870">
        <f>SUM(L234)</f>
        <v>3</v>
      </c>
      <c r="M235" s="386"/>
      <c r="N235" s="386"/>
      <c r="O235" s="386"/>
      <c r="P235" s="386"/>
      <c r="Q235" s="387"/>
      <c r="R235" s="208"/>
      <c r="S235" s="208"/>
      <c r="T235" s="208"/>
      <c r="U235" s="208"/>
      <c r="V235" s="208"/>
      <c r="W235" s="208"/>
      <c r="X235" s="208"/>
      <c r="Y235" s="208"/>
      <c r="Z235" s="208"/>
      <c r="AA235" s="208"/>
      <c r="AB235" s="208"/>
      <c r="AC235" s="208"/>
      <c r="AD235" s="208"/>
    </row>
    <row r="236" spans="1:30" s="41" customFormat="1" ht="30" customHeight="1" x14ac:dyDescent="0.3">
      <c r="A236" s="1423">
        <v>229</v>
      </c>
      <c r="B236" s="542"/>
      <c r="C236" s="302">
        <v>11</v>
      </c>
      <c r="D236" s="1796" t="s">
        <v>450</v>
      </c>
      <c r="E236" s="1797"/>
      <c r="F236" s="304"/>
      <c r="G236" s="304"/>
      <c r="H236" s="1174"/>
      <c r="I236" s="373"/>
      <c r="J236" s="870"/>
      <c r="K236" s="870"/>
      <c r="L236" s="870"/>
      <c r="M236" s="386"/>
      <c r="N236" s="386"/>
      <c r="O236" s="386"/>
      <c r="P236" s="386"/>
      <c r="Q236" s="387"/>
      <c r="R236" s="208"/>
      <c r="S236" s="208"/>
      <c r="T236" s="208"/>
      <c r="U236" s="208"/>
      <c r="V236" s="208"/>
      <c r="W236" s="208"/>
      <c r="X236" s="208"/>
      <c r="Y236" s="208"/>
      <c r="Z236" s="208"/>
      <c r="AA236" s="208"/>
      <c r="AB236" s="208"/>
      <c r="AC236" s="208"/>
      <c r="AD236" s="208"/>
    </row>
    <row r="237" spans="1:30" s="41" customFormat="1" ht="18" customHeight="1" x14ac:dyDescent="0.3">
      <c r="A237" s="1423">
        <v>230</v>
      </c>
      <c r="B237" s="542"/>
      <c r="C237" s="302"/>
      <c r="D237" s="1168" t="s">
        <v>1307</v>
      </c>
      <c r="E237" s="1733"/>
      <c r="F237" s="304"/>
      <c r="G237" s="304"/>
      <c r="H237" s="1174"/>
      <c r="I237" s="373">
        <f t="shared" si="58"/>
        <v>2506</v>
      </c>
      <c r="J237" s="870">
        <v>2097</v>
      </c>
      <c r="K237" s="870">
        <v>409</v>
      </c>
      <c r="L237" s="870"/>
      <c r="M237" s="386"/>
      <c r="N237" s="386"/>
      <c r="O237" s="386"/>
      <c r="P237" s="386"/>
      <c r="Q237" s="387"/>
      <c r="R237" s="208"/>
      <c r="S237" s="208"/>
      <c r="T237" s="208"/>
      <c r="U237" s="208"/>
      <c r="V237" s="208"/>
      <c r="W237" s="208"/>
      <c r="X237" s="208"/>
      <c r="Y237" s="208"/>
      <c r="Z237" s="208"/>
      <c r="AA237" s="208"/>
      <c r="AB237" s="208"/>
      <c r="AC237" s="208"/>
      <c r="AD237" s="208"/>
    </row>
    <row r="238" spans="1:30" s="41" customFormat="1" ht="18" customHeight="1" x14ac:dyDescent="0.3">
      <c r="A238" s="1423">
        <v>231</v>
      </c>
      <c r="B238" s="542"/>
      <c r="C238" s="296"/>
      <c r="D238" s="1167" t="s">
        <v>834</v>
      </c>
      <c r="E238" s="762"/>
      <c r="F238" s="304"/>
      <c r="G238" s="304"/>
      <c r="H238" s="1174"/>
      <c r="I238" s="373">
        <f t="shared" ref="I238:I239" si="59">SUM(J238:Q238)</f>
        <v>0</v>
      </c>
      <c r="J238" s="379"/>
      <c r="K238" s="379"/>
      <c r="L238" s="870"/>
      <c r="M238" s="386"/>
      <c r="N238" s="386"/>
      <c r="O238" s="386"/>
      <c r="P238" s="386"/>
      <c r="Q238" s="387"/>
      <c r="R238" s="208"/>
      <c r="S238" s="208"/>
      <c r="T238" s="208"/>
      <c r="U238" s="208"/>
      <c r="V238" s="208"/>
      <c r="W238" s="208"/>
      <c r="X238" s="208"/>
      <c r="Y238" s="208"/>
      <c r="Z238" s="208"/>
      <c r="AA238" s="208"/>
      <c r="AB238" s="208"/>
      <c r="AC238" s="208"/>
      <c r="AD238" s="208"/>
    </row>
    <row r="239" spans="1:30" s="41" customFormat="1" ht="18" customHeight="1" x14ac:dyDescent="0.3">
      <c r="A239" s="1423">
        <v>232</v>
      </c>
      <c r="B239" s="542"/>
      <c r="C239" s="296"/>
      <c r="D239" s="1091" t="s">
        <v>1391</v>
      </c>
      <c r="E239" s="762"/>
      <c r="F239" s="304"/>
      <c r="G239" s="304"/>
      <c r="H239" s="1174"/>
      <c r="I239" s="373">
        <f t="shared" si="59"/>
        <v>2506</v>
      </c>
      <c r="J239" s="870">
        <f>SUM(J237:J238)</f>
        <v>2097</v>
      </c>
      <c r="K239" s="870">
        <f>SUM(K237:K238)</f>
        <v>409</v>
      </c>
      <c r="L239" s="870"/>
      <c r="M239" s="386"/>
      <c r="N239" s="386"/>
      <c r="O239" s="386"/>
      <c r="P239" s="386"/>
      <c r="Q239" s="387"/>
      <c r="R239" s="208"/>
      <c r="S239" s="208"/>
      <c r="T239" s="208"/>
      <c r="U239" s="208"/>
      <c r="V239" s="208"/>
      <c r="W239" s="208"/>
      <c r="X239" s="208"/>
      <c r="Y239" s="208"/>
      <c r="Z239" s="208"/>
      <c r="AA239" s="208"/>
      <c r="AB239" s="208"/>
      <c r="AC239" s="208"/>
      <c r="AD239" s="208"/>
    </row>
    <row r="240" spans="1:30" s="41" customFormat="1" ht="19.5" customHeight="1" x14ac:dyDescent="0.3">
      <c r="A240" s="1423">
        <v>233</v>
      </c>
      <c r="B240" s="542"/>
      <c r="C240" s="296">
        <v>12</v>
      </c>
      <c r="D240" s="1803" t="s">
        <v>489</v>
      </c>
      <c r="E240" s="1804"/>
      <c r="F240" s="304"/>
      <c r="G240" s="304"/>
      <c r="H240" s="1174">
        <v>1622</v>
      </c>
      <c r="I240" s="373"/>
      <c r="J240" s="870"/>
      <c r="K240" s="870"/>
      <c r="L240" s="870"/>
      <c r="M240" s="386"/>
      <c r="N240" s="386"/>
      <c r="O240" s="386"/>
      <c r="P240" s="386"/>
      <c r="Q240" s="387"/>
      <c r="R240" s="208"/>
      <c r="S240" s="208"/>
      <c r="T240" s="208"/>
      <c r="U240" s="208"/>
      <c r="V240" s="208"/>
      <c r="W240" s="208"/>
      <c r="X240" s="208"/>
      <c r="Y240" s="208"/>
      <c r="Z240" s="208"/>
      <c r="AA240" s="208"/>
      <c r="AB240" s="208"/>
      <c r="AC240" s="208"/>
      <c r="AD240" s="208"/>
    </row>
    <row r="241" spans="1:30" s="41" customFormat="1" ht="30" customHeight="1" x14ac:dyDescent="0.3">
      <c r="A241" s="1423">
        <v>234</v>
      </c>
      <c r="B241" s="542"/>
      <c r="C241" s="302">
        <v>13</v>
      </c>
      <c r="D241" s="1796" t="s">
        <v>488</v>
      </c>
      <c r="E241" s="1797"/>
      <c r="F241" s="304"/>
      <c r="G241" s="304"/>
      <c r="H241" s="1174"/>
      <c r="I241" s="373"/>
      <c r="J241" s="870"/>
      <c r="K241" s="870"/>
      <c r="L241" s="870"/>
      <c r="M241" s="386"/>
      <c r="N241" s="386"/>
      <c r="O241" s="386"/>
      <c r="P241" s="386"/>
      <c r="Q241" s="387"/>
      <c r="R241" s="208"/>
      <c r="S241" s="208"/>
      <c r="T241" s="208"/>
      <c r="U241" s="208"/>
      <c r="V241" s="208"/>
      <c r="W241" s="208"/>
      <c r="X241" s="208"/>
      <c r="Y241" s="208"/>
      <c r="Z241" s="208"/>
      <c r="AA241" s="208"/>
      <c r="AB241" s="208"/>
      <c r="AC241" s="208"/>
      <c r="AD241" s="208"/>
    </row>
    <row r="242" spans="1:30" s="41" customFormat="1" ht="18" customHeight="1" x14ac:dyDescent="0.3">
      <c r="A242" s="1423">
        <v>235</v>
      </c>
      <c r="B242" s="542"/>
      <c r="C242" s="302"/>
      <c r="D242" s="1168" t="s">
        <v>1307</v>
      </c>
      <c r="E242" s="1733"/>
      <c r="F242" s="304"/>
      <c r="G242" s="304"/>
      <c r="H242" s="1174"/>
      <c r="I242" s="373">
        <f t="shared" ref="I242:I244" si="60">SUM(J242:Q242)</f>
        <v>5962</v>
      </c>
      <c r="J242" s="870">
        <v>4887</v>
      </c>
      <c r="K242" s="870">
        <v>1075</v>
      </c>
      <c r="L242" s="870"/>
      <c r="M242" s="386"/>
      <c r="N242" s="386"/>
      <c r="O242" s="386"/>
      <c r="P242" s="386"/>
      <c r="Q242" s="387"/>
      <c r="R242" s="208"/>
      <c r="S242" s="208"/>
      <c r="T242" s="208"/>
      <c r="U242" s="208"/>
      <c r="V242" s="208"/>
      <c r="W242" s="208"/>
      <c r="X242" s="208"/>
      <c r="Y242" s="208"/>
      <c r="Z242" s="208"/>
      <c r="AA242" s="208"/>
      <c r="AB242" s="208"/>
      <c r="AC242" s="208"/>
      <c r="AD242" s="208"/>
    </row>
    <row r="243" spans="1:30" s="41" customFormat="1" ht="18" customHeight="1" x14ac:dyDescent="0.3">
      <c r="A243" s="1423">
        <v>236</v>
      </c>
      <c r="B243" s="542"/>
      <c r="C243" s="296"/>
      <c r="D243" s="1167" t="s">
        <v>834</v>
      </c>
      <c r="E243" s="762"/>
      <c r="F243" s="304"/>
      <c r="G243" s="304"/>
      <c r="H243" s="1174"/>
      <c r="I243" s="373">
        <f t="shared" si="60"/>
        <v>0</v>
      </c>
      <c r="J243" s="379"/>
      <c r="K243" s="379"/>
      <c r="L243" s="870"/>
      <c r="M243" s="386"/>
      <c r="N243" s="386"/>
      <c r="O243" s="386"/>
      <c r="P243" s="386"/>
      <c r="Q243" s="387"/>
      <c r="R243" s="208"/>
      <c r="S243" s="208"/>
      <c r="T243" s="208"/>
      <c r="U243" s="208"/>
      <c r="V243" s="208"/>
      <c r="W243" s="208"/>
      <c r="X243" s="208"/>
      <c r="Y243" s="208"/>
      <c r="Z243" s="208"/>
      <c r="AA243" s="208"/>
      <c r="AB243" s="208"/>
      <c r="AC243" s="208"/>
      <c r="AD243" s="208"/>
    </row>
    <row r="244" spans="1:30" s="41" customFormat="1" ht="18" customHeight="1" x14ac:dyDescent="0.3">
      <c r="A244" s="1423">
        <v>237</v>
      </c>
      <c r="B244" s="542"/>
      <c r="C244" s="296"/>
      <c r="D244" s="1091" t="s">
        <v>1391</v>
      </c>
      <c r="E244" s="762"/>
      <c r="F244" s="304"/>
      <c r="G244" s="304"/>
      <c r="H244" s="1174"/>
      <c r="I244" s="373">
        <f t="shared" si="60"/>
        <v>5962</v>
      </c>
      <c r="J244" s="870">
        <f>SUM(J242:J243)</f>
        <v>4887</v>
      </c>
      <c r="K244" s="870">
        <f>SUM(K242:K243)</f>
        <v>1075</v>
      </c>
      <c r="L244" s="870"/>
      <c r="M244" s="386"/>
      <c r="N244" s="386"/>
      <c r="O244" s="386"/>
      <c r="P244" s="386"/>
      <c r="Q244" s="387"/>
      <c r="R244" s="208"/>
      <c r="S244" s="208"/>
      <c r="T244" s="208"/>
      <c r="U244" s="208"/>
      <c r="V244" s="208"/>
      <c r="W244" s="208"/>
      <c r="X244" s="208"/>
      <c r="Y244" s="208"/>
      <c r="Z244" s="208"/>
      <c r="AA244" s="208"/>
      <c r="AB244" s="208"/>
      <c r="AC244" s="208"/>
      <c r="AD244" s="208"/>
    </row>
    <row r="245" spans="1:30" s="41" customFormat="1" ht="19.5" customHeight="1" x14ac:dyDescent="0.3">
      <c r="A245" s="1423">
        <v>238</v>
      </c>
      <c r="B245" s="542"/>
      <c r="C245" s="296">
        <v>14</v>
      </c>
      <c r="D245" s="1803" t="s">
        <v>493</v>
      </c>
      <c r="E245" s="1804"/>
      <c r="F245" s="304"/>
      <c r="G245" s="304"/>
      <c r="H245" s="1174"/>
      <c r="I245" s="373"/>
      <c r="J245" s="870"/>
      <c r="K245" s="870"/>
      <c r="L245" s="870"/>
      <c r="M245" s="386"/>
      <c r="N245" s="386"/>
      <c r="O245" s="386"/>
      <c r="P245" s="386"/>
      <c r="Q245" s="387"/>
      <c r="R245" s="208"/>
      <c r="S245" s="208"/>
      <c r="T245" s="208"/>
      <c r="U245" s="208"/>
      <c r="V245" s="208"/>
      <c r="W245" s="208"/>
      <c r="X245" s="208"/>
      <c r="Y245" s="208"/>
      <c r="Z245" s="208"/>
      <c r="AA245" s="208"/>
      <c r="AB245" s="208"/>
      <c r="AC245" s="208"/>
      <c r="AD245" s="208"/>
    </row>
    <row r="246" spans="1:30" s="41" customFormat="1" ht="19.5" customHeight="1" x14ac:dyDescent="0.3">
      <c r="A246" s="1423">
        <v>239</v>
      </c>
      <c r="B246" s="542"/>
      <c r="C246" s="296"/>
      <c r="D246" s="1168" t="s">
        <v>1307</v>
      </c>
      <c r="E246" s="1736"/>
      <c r="F246" s="304"/>
      <c r="G246" s="304"/>
      <c r="H246" s="1174"/>
      <c r="I246" s="373">
        <f t="shared" ref="I246:I250" si="61">SUM(J246:Q246)</f>
        <v>482</v>
      </c>
      <c r="J246" s="870">
        <v>395</v>
      </c>
      <c r="K246" s="870">
        <v>87</v>
      </c>
      <c r="L246" s="870"/>
      <c r="M246" s="386"/>
      <c r="N246" s="386"/>
      <c r="O246" s="386"/>
      <c r="P246" s="386"/>
      <c r="Q246" s="387"/>
      <c r="R246" s="208"/>
      <c r="S246" s="208"/>
      <c r="T246" s="208"/>
      <c r="U246" s="208"/>
      <c r="V246" s="208"/>
      <c r="W246" s="208"/>
      <c r="X246" s="208"/>
      <c r="Y246" s="208"/>
      <c r="Z246" s="208"/>
      <c r="AA246" s="208"/>
      <c r="AB246" s="208"/>
      <c r="AC246" s="208"/>
      <c r="AD246" s="208"/>
    </row>
    <row r="247" spans="1:30" s="41" customFormat="1" ht="18" customHeight="1" x14ac:dyDescent="0.3">
      <c r="A247" s="1423">
        <v>240</v>
      </c>
      <c r="B247" s="542"/>
      <c r="C247" s="296"/>
      <c r="D247" s="1167" t="s">
        <v>834</v>
      </c>
      <c r="E247" s="762"/>
      <c r="F247" s="304"/>
      <c r="G247" s="304"/>
      <c r="H247" s="1174"/>
      <c r="I247" s="373">
        <f t="shared" si="61"/>
        <v>0</v>
      </c>
      <c r="J247" s="379"/>
      <c r="K247" s="379"/>
      <c r="L247" s="870"/>
      <c r="M247" s="386"/>
      <c r="N247" s="386"/>
      <c r="O247" s="386"/>
      <c r="P247" s="386"/>
      <c r="Q247" s="387"/>
      <c r="R247" s="208"/>
      <c r="S247" s="208"/>
      <c r="T247" s="208"/>
      <c r="U247" s="208"/>
      <c r="V247" s="208"/>
      <c r="W247" s="208"/>
      <c r="X247" s="208"/>
      <c r="Y247" s="208"/>
      <c r="Z247" s="208"/>
      <c r="AA247" s="208"/>
      <c r="AB247" s="208"/>
      <c r="AC247" s="208"/>
      <c r="AD247" s="208"/>
    </row>
    <row r="248" spans="1:30" s="41" customFormat="1" ht="18" customHeight="1" x14ac:dyDescent="0.3">
      <c r="A248" s="1423">
        <v>241</v>
      </c>
      <c r="B248" s="542"/>
      <c r="C248" s="296"/>
      <c r="D248" s="1091" t="s">
        <v>1391</v>
      </c>
      <c r="E248" s="762"/>
      <c r="F248" s="304"/>
      <c r="G248" s="304"/>
      <c r="H248" s="1174"/>
      <c r="I248" s="373">
        <f t="shared" si="61"/>
        <v>482</v>
      </c>
      <c r="J248" s="870">
        <f>SUM(J246:J247)</f>
        <v>395</v>
      </c>
      <c r="K248" s="870">
        <f>SUM(K246:K247)</f>
        <v>87</v>
      </c>
      <c r="L248" s="870"/>
      <c r="M248" s="386"/>
      <c r="N248" s="386"/>
      <c r="O248" s="386"/>
      <c r="P248" s="386"/>
      <c r="Q248" s="387"/>
      <c r="R248" s="208"/>
      <c r="S248" s="208"/>
      <c r="T248" s="208"/>
      <c r="U248" s="208"/>
      <c r="V248" s="208"/>
      <c r="W248" s="208"/>
      <c r="X248" s="208"/>
      <c r="Y248" s="208"/>
      <c r="Z248" s="208"/>
      <c r="AA248" s="208"/>
      <c r="AB248" s="208"/>
      <c r="AC248" s="208"/>
      <c r="AD248" s="208"/>
    </row>
    <row r="249" spans="1:30" s="41" customFormat="1" ht="19.5" customHeight="1" x14ac:dyDescent="0.3">
      <c r="A249" s="1423">
        <v>242</v>
      </c>
      <c r="B249" s="542"/>
      <c r="C249" s="296">
        <v>15</v>
      </c>
      <c r="D249" s="1803" t="s">
        <v>919</v>
      </c>
      <c r="E249" s="1804"/>
      <c r="F249" s="304"/>
      <c r="G249" s="304"/>
      <c r="H249" s="1174"/>
      <c r="I249" s="373"/>
      <c r="J249" s="870"/>
      <c r="K249" s="870"/>
      <c r="L249" s="870"/>
      <c r="M249" s="386"/>
      <c r="N249" s="386"/>
      <c r="O249" s="386"/>
      <c r="P249" s="386"/>
      <c r="Q249" s="387"/>
      <c r="R249" s="208"/>
      <c r="S249" s="208"/>
      <c r="T249" s="208"/>
      <c r="U249" s="208"/>
      <c r="V249" s="208"/>
      <c r="W249" s="208"/>
      <c r="X249" s="208"/>
      <c r="Y249" s="208"/>
      <c r="Z249" s="208"/>
      <c r="AA249" s="208"/>
      <c r="AB249" s="208"/>
      <c r="AC249" s="208"/>
      <c r="AD249" s="208"/>
    </row>
    <row r="250" spans="1:30" s="41" customFormat="1" ht="19.5" customHeight="1" x14ac:dyDescent="0.3">
      <c r="A250" s="1423">
        <v>243</v>
      </c>
      <c r="B250" s="542"/>
      <c r="C250" s="296"/>
      <c r="D250" s="1168" t="s">
        <v>1307</v>
      </c>
      <c r="E250" s="1736"/>
      <c r="F250" s="304"/>
      <c r="G250" s="304"/>
      <c r="H250" s="1174"/>
      <c r="I250" s="373">
        <f t="shared" si="61"/>
        <v>1540</v>
      </c>
      <c r="J250" s="870">
        <v>1262</v>
      </c>
      <c r="K250" s="870">
        <v>278</v>
      </c>
      <c r="L250" s="870"/>
      <c r="M250" s="386"/>
      <c r="N250" s="386"/>
      <c r="O250" s="386"/>
      <c r="P250" s="386"/>
      <c r="Q250" s="387"/>
      <c r="R250" s="208"/>
      <c r="S250" s="208"/>
      <c r="T250" s="208"/>
      <c r="U250" s="208"/>
      <c r="V250" s="208"/>
      <c r="W250" s="208"/>
      <c r="X250" s="208"/>
      <c r="Y250" s="208"/>
      <c r="Z250" s="208"/>
      <c r="AA250" s="208"/>
      <c r="AB250" s="208"/>
      <c r="AC250" s="208"/>
      <c r="AD250" s="208"/>
    </row>
    <row r="251" spans="1:30" s="41" customFormat="1" ht="18" customHeight="1" x14ac:dyDescent="0.3">
      <c r="A251" s="1423">
        <v>244</v>
      </c>
      <c r="B251" s="542"/>
      <c r="C251" s="296"/>
      <c r="D251" s="300" t="s">
        <v>834</v>
      </c>
      <c r="E251" s="762"/>
      <c r="F251" s="304"/>
      <c r="G251" s="304"/>
      <c r="H251" s="1174"/>
      <c r="I251" s="373">
        <f t="shared" ref="I251:I254" si="62">SUM(J251:Q251)</f>
        <v>0</v>
      </c>
      <c r="J251" s="379"/>
      <c r="K251" s="379"/>
      <c r="L251" s="870"/>
      <c r="M251" s="386"/>
      <c r="N251" s="386"/>
      <c r="O251" s="386"/>
      <c r="P251" s="386"/>
      <c r="Q251" s="387"/>
      <c r="R251" s="208"/>
      <c r="S251" s="208"/>
      <c r="T251" s="208"/>
      <c r="U251" s="208"/>
      <c r="V251" s="208"/>
      <c r="W251" s="208"/>
      <c r="X251" s="208"/>
      <c r="Y251" s="208"/>
      <c r="Z251" s="208"/>
      <c r="AA251" s="208"/>
      <c r="AB251" s="208"/>
      <c r="AC251" s="208"/>
      <c r="AD251" s="208"/>
    </row>
    <row r="252" spans="1:30" s="41" customFormat="1" ht="18" customHeight="1" x14ac:dyDescent="0.3">
      <c r="A252" s="1423">
        <v>245</v>
      </c>
      <c r="B252" s="542"/>
      <c r="C252" s="296"/>
      <c r="D252" s="1091" t="s">
        <v>1391</v>
      </c>
      <c r="E252" s="762"/>
      <c r="F252" s="304"/>
      <c r="G252" s="304"/>
      <c r="H252" s="1174"/>
      <c r="I252" s="373">
        <f t="shared" si="62"/>
        <v>1540</v>
      </c>
      <c r="J252" s="870">
        <f>SUM(J250:J251)</f>
        <v>1262</v>
      </c>
      <c r="K252" s="870">
        <f>SUM(K250:K251)</f>
        <v>278</v>
      </c>
      <c r="L252" s="870"/>
      <c r="M252" s="386"/>
      <c r="N252" s="386"/>
      <c r="O252" s="386"/>
      <c r="P252" s="386"/>
      <c r="Q252" s="387"/>
      <c r="R252" s="208"/>
      <c r="S252" s="208"/>
      <c r="T252" s="208"/>
      <c r="U252" s="208"/>
      <c r="V252" s="208"/>
      <c r="W252" s="208"/>
      <c r="X252" s="208"/>
      <c r="Y252" s="208"/>
      <c r="Z252" s="208"/>
      <c r="AA252" s="208"/>
      <c r="AB252" s="208"/>
      <c r="AC252" s="208"/>
      <c r="AD252" s="208"/>
    </row>
    <row r="253" spans="1:30" s="41" customFormat="1" ht="30" customHeight="1" x14ac:dyDescent="0.3">
      <c r="A253" s="1423">
        <v>246</v>
      </c>
      <c r="B253" s="542"/>
      <c r="C253" s="302">
        <v>16</v>
      </c>
      <c r="D253" s="1796" t="s">
        <v>544</v>
      </c>
      <c r="E253" s="1797"/>
      <c r="F253" s="304"/>
      <c r="G253" s="304"/>
      <c r="H253" s="1174"/>
      <c r="I253" s="373"/>
      <c r="J253" s="870"/>
      <c r="K253" s="870"/>
      <c r="L253" s="870"/>
      <c r="M253" s="386"/>
      <c r="N253" s="386"/>
      <c r="O253" s="386"/>
      <c r="P253" s="386"/>
      <c r="Q253" s="387"/>
      <c r="R253" s="208"/>
      <c r="S253" s="208"/>
      <c r="T253" s="208"/>
      <c r="U253" s="208"/>
      <c r="V253" s="208"/>
      <c r="W253" s="208"/>
      <c r="X253" s="208"/>
      <c r="Y253" s="208"/>
      <c r="Z253" s="208"/>
      <c r="AA253" s="208"/>
      <c r="AB253" s="208"/>
      <c r="AC253" s="208"/>
      <c r="AD253" s="208"/>
    </row>
    <row r="254" spans="1:30" s="41" customFormat="1" ht="17.25" customHeight="1" x14ac:dyDescent="0.3">
      <c r="A254" s="1423">
        <v>247</v>
      </c>
      <c r="B254" s="542"/>
      <c r="C254" s="302"/>
      <c r="D254" s="1091" t="s">
        <v>1307</v>
      </c>
      <c r="E254" s="1733"/>
      <c r="F254" s="304"/>
      <c r="G254" s="304"/>
      <c r="H254" s="1174"/>
      <c r="I254" s="373">
        <f t="shared" si="62"/>
        <v>75</v>
      </c>
      <c r="J254" s="870">
        <v>64</v>
      </c>
      <c r="K254" s="870">
        <v>11</v>
      </c>
      <c r="L254" s="870"/>
      <c r="M254" s="386"/>
      <c r="N254" s="386"/>
      <c r="O254" s="386"/>
      <c r="P254" s="386"/>
      <c r="Q254" s="387"/>
      <c r="R254" s="208"/>
      <c r="S254" s="208"/>
      <c r="T254" s="208"/>
      <c r="U254" s="208"/>
      <c r="V254" s="208"/>
      <c r="W254" s="208"/>
      <c r="X254" s="208"/>
      <c r="Y254" s="208"/>
      <c r="Z254" s="208"/>
      <c r="AA254" s="208"/>
      <c r="AB254" s="208"/>
      <c r="AC254" s="208"/>
      <c r="AD254" s="208"/>
    </row>
    <row r="255" spans="1:30" s="41" customFormat="1" ht="18" customHeight="1" x14ac:dyDescent="0.3">
      <c r="A255" s="1423">
        <v>248</v>
      </c>
      <c r="B255" s="542"/>
      <c r="C255" s="296"/>
      <c r="D255" s="1167" t="s">
        <v>733</v>
      </c>
      <c r="E255" s="536"/>
      <c r="F255" s="304"/>
      <c r="G255" s="304"/>
      <c r="H255" s="1174"/>
      <c r="I255" s="383">
        <f t="shared" ref="I255:I284" si="63">SUM(J255:Q255)</f>
        <v>0</v>
      </c>
      <c r="J255" s="379"/>
      <c r="K255" s="379"/>
      <c r="L255" s="870"/>
      <c r="M255" s="386"/>
      <c r="N255" s="386"/>
      <c r="O255" s="386"/>
      <c r="P255" s="386"/>
      <c r="Q255" s="387"/>
      <c r="R255" s="208"/>
      <c r="S255" s="208"/>
      <c r="T255" s="208"/>
      <c r="U255" s="208"/>
      <c r="V255" s="208"/>
      <c r="W255" s="208"/>
      <c r="X255" s="208"/>
      <c r="Y255" s="208"/>
      <c r="Z255" s="208"/>
      <c r="AA255" s="208"/>
      <c r="AB255" s="208"/>
      <c r="AC255" s="208"/>
      <c r="AD255" s="208"/>
    </row>
    <row r="256" spans="1:30" s="41" customFormat="1" ht="18" customHeight="1" x14ac:dyDescent="0.3">
      <c r="A256" s="1423">
        <v>249</v>
      </c>
      <c r="B256" s="542"/>
      <c r="C256" s="296"/>
      <c r="D256" s="1091" t="s">
        <v>1391</v>
      </c>
      <c r="E256" s="536"/>
      <c r="F256" s="304"/>
      <c r="G256" s="304"/>
      <c r="H256" s="1174"/>
      <c r="I256" s="373">
        <f t="shared" si="63"/>
        <v>75</v>
      </c>
      <c r="J256" s="870">
        <f>SUM(J254:J255)</f>
        <v>64</v>
      </c>
      <c r="K256" s="870">
        <f>SUM(K254:K255)</f>
        <v>11</v>
      </c>
      <c r="L256" s="870"/>
      <c r="M256" s="386"/>
      <c r="N256" s="386"/>
      <c r="O256" s="386"/>
      <c r="P256" s="386"/>
      <c r="Q256" s="387"/>
      <c r="R256" s="208"/>
      <c r="S256" s="208"/>
      <c r="T256" s="208"/>
      <c r="U256" s="208"/>
      <c r="V256" s="208"/>
      <c r="W256" s="208"/>
      <c r="X256" s="208"/>
      <c r="Y256" s="208"/>
      <c r="Z256" s="208"/>
      <c r="AA256" s="208"/>
      <c r="AB256" s="208"/>
      <c r="AC256" s="208"/>
      <c r="AD256" s="208"/>
    </row>
    <row r="257" spans="1:30" s="41" customFormat="1" ht="18" customHeight="1" x14ac:dyDescent="0.3">
      <c r="A257" s="1423">
        <v>250</v>
      </c>
      <c r="B257" s="542"/>
      <c r="C257" s="296">
        <v>17</v>
      </c>
      <c r="D257" s="1803" t="s">
        <v>590</v>
      </c>
      <c r="E257" s="1808"/>
      <c r="F257" s="1804"/>
      <c r="G257" s="304"/>
      <c r="H257" s="1174"/>
      <c r="I257" s="373"/>
      <c r="J257" s="870"/>
      <c r="K257" s="870"/>
      <c r="L257" s="870"/>
      <c r="M257" s="386"/>
      <c r="N257" s="386"/>
      <c r="O257" s="386"/>
      <c r="P257" s="386"/>
      <c r="Q257" s="387"/>
      <c r="R257" s="208"/>
      <c r="S257" s="208"/>
      <c r="T257" s="208"/>
      <c r="U257" s="208"/>
      <c r="V257" s="208"/>
      <c r="W257" s="208"/>
      <c r="X257" s="208"/>
      <c r="Y257" s="208"/>
      <c r="Z257" s="208"/>
      <c r="AA257" s="208"/>
      <c r="AB257" s="208"/>
      <c r="AC257" s="208"/>
      <c r="AD257" s="208"/>
    </row>
    <row r="258" spans="1:30" s="41" customFormat="1" ht="18" customHeight="1" x14ac:dyDescent="0.3">
      <c r="A258" s="1423">
        <v>251</v>
      </c>
      <c r="B258" s="542"/>
      <c r="C258" s="296"/>
      <c r="D258" s="1168" t="s">
        <v>1307</v>
      </c>
      <c r="E258" s="1737"/>
      <c r="F258" s="1736"/>
      <c r="G258" s="304"/>
      <c r="H258" s="1174"/>
      <c r="I258" s="373">
        <f t="shared" si="63"/>
        <v>12000</v>
      </c>
      <c r="J258" s="870">
        <v>10042</v>
      </c>
      <c r="K258" s="870">
        <v>1958</v>
      </c>
      <c r="L258" s="870"/>
      <c r="M258" s="386"/>
      <c r="N258" s="386"/>
      <c r="O258" s="386"/>
      <c r="P258" s="386"/>
      <c r="Q258" s="387"/>
      <c r="R258" s="208"/>
      <c r="S258" s="208"/>
      <c r="T258" s="208"/>
      <c r="U258" s="208"/>
      <c r="V258" s="208"/>
      <c r="W258" s="208"/>
      <c r="X258" s="208"/>
      <c r="Y258" s="208"/>
      <c r="Z258" s="208"/>
      <c r="AA258" s="208"/>
      <c r="AB258" s="208"/>
      <c r="AC258" s="208"/>
      <c r="AD258" s="208"/>
    </row>
    <row r="259" spans="1:30" s="41" customFormat="1" ht="18" customHeight="1" x14ac:dyDescent="0.3">
      <c r="A259" s="1423">
        <v>252</v>
      </c>
      <c r="B259" s="542"/>
      <c r="C259" s="296"/>
      <c r="D259" s="300" t="s">
        <v>834</v>
      </c>
      <c r="E259" s="536"/>
      <c r="F259" s="304"/>
      <c r="G259" s="304"/>
      <c r="H259" s="1174"/>
      <c r="I259" s="373">
        <f t="shared" si="63"/>
        <v>0</v>
      </c>
      <c r="J259" s="379"/>
      <c r="K259" s="379"/>
      <c r="L259" s="870"/>
      <c r="M259" s="386"/>
      <c r="N259" s="386"/>
      <c r="O259" s="386"/>
      <c r="P259" s="386"/>
      <c r="Q259" s="387"/>
      <c r="R259" s="208"/>
      <c r="S259" s="208"/>
      <c r="T259" s="208"/>
      <c r="U259" s="208"/>
      <c r="V259" s="208"/>
      <c r="W259" s="208"/>
      <c r="X259" s="208"/>
      <c r="Y259" s="208"/>
      <c r="Z259" s="208"/>
      <c r="AA259" s="208"/>
      <c r="AB259" s="208"/>
      <c r="AC259" s="208"/>
      <c r="AD259" s="208"/>
    </row>
    <row r="260" spans="1:30" s="41" customFormat="1" ht="18" customHeight="1" x14ac:dyDescent="0.3">
      <c r="A260" s="1423">
        <v>253</v>
      </c>
      <c r="B260" s="542"/>
      <c r="C260" s="296"/>
      <c r="D260" s="1091" t="s">
        <v>1391</v>
      </c>
      <c r="E260" s="536"/>
      <c r="F260" s="304"/>
      <c r="G260" s="304"/>
      <c r="H260" s="1174"/>
      <c r="I260" s="373">
        <f t="shared" si="63"/>
        <v>12000</v>
      </c>
      <c r="J260" s="870">
        <f>SUM(J258:J259)</f>
        <v>10042</v>
      </c>
      <c r="K260" s="870">
        <f>SUM(K258:K259)</f>
        <v>1958</v>
      </c>
      <c r="L260" s="870"/>
      <c r="M260" s="386"/>
      <c r="N260" s="386"/>
      <c r="O260" s="386"/>
      <c r="P260" s="386"/>
      <c r="Q260" s="387"/>
      <c r="R260" s="208"/>
      <c r="S260" s="208"/>
      <c r="T260" s="208"/>
      <c r="U260" s="208"/>
      <c r="V260" s="208"/>
      <c r="W260" s="208"/>
      <c r="X260" s="208"/>
      <c r="Y260" s="208"/>
      <c r="Z260" s="208"/>
      <c r="AA260" s="208"/>
      <c r="AB260" s="208"/>
      <c r="AC260" s="208"/>
      <c r="AD260" s="208"/>
    </row>
    <row r="261" spans="1:30" s="41" customFormat="1" ht="18" customHeight="1" x14ac:dyDescent="0.3">
      <c r="A261" s="1423">
        <v>254</v>
      </c>
      <c r="B261" s="542"/>
      <c r="C261" s="296">
        <v>18</v>
      </c>
      <c r="D261" s="300" t="s">
        <v>927</v>
      </c>
      <c r="E261" s="762"/>
      <c r="F261" s="304"/>
      <c r="G261" s="304"/>
      <c r="H261" s="1174"/>
      <c r="I261" s="373"/>
      <c r="J261" s="870"/>
      <c r="K261" s="870"/>
      <c r="L261" s="870"/>
      <c r="M261" s="386"/>
      <c r="N261" s="386"/>
      <c r="O261" s="386"/>
      <c r="P261" s="386"/>
      <c r="Q261" s="387"/>
      <c r="R261" s="208"/>
      <c r="S261" s="208"/>
      <c r="T261" s="208"/>
      <c r="U261" s="208"/>
      <c r="V261" s="208"/>
      <c r="W261" s="208"/>
      <c r="X261" s="208"/>
      <c r="Y261" s="208"/>
      <c r="Z261" s="208"/>
      <c r="AA261" s="208"/>
      <c r="AB261" s="208"/>
      <c r="AC261" s="208"/>
      <c r="AD261" s="208"/>
    </row>
    <row r="262" spans="1:30" s="41" customFormat="1" ht="18" customHeight="1" x14ac:dyDescent="0.3">
      <c r="A262" s="1423">
        <v>255</v>
      </c>
      <c r="B262" s="542"/>
      <c r="C262" s="296"/>
      <c r="D262" s="1168" t="s">
        <v>1307</v>
      </c>
      <c r="E262" s="762"/>
      <c r="F262" s="304"/>
      <c r="G262" s="304"/>
      <c r="H262" s="1174"/>
      <c r="I262" s="373">
        <f t="shared" si="63"/>
        <v>14715</v>
      </c>
      <c r="J262" s="870">
        <v>10908</v>
      </c>
      <c r="K262" s="870">
        <v>2255</v>
      </c>
      <c r="L262" s="870">
        <v>1455</v>
      </c>
      <c r="M262" s="386"/>
      <c r="N262" s="386"/>
      <c r="O262" s="386">
        <v>97</v>
      </c>
      <c r="P262" s="386"/>
      <c r="Q262" s="387"/>
      <c r="R262" s="208"/>
      <c r="S262" s="208"/>
      <c r="T262" s="208"/>
      <c r="U262" s="208"/>
      <c r="V262" s="208"/>
      <c r="W262" s="208"/>
      <c r="X262" s="208"/>
      <c r="Y262" s="208"/>
      <c r="Z262" s="208"/>
      <c r="AA262" s="208"/>
      <c r="AB262" s="208"/>
      <c r="AC262" s="208"/>
      <c r="AD262" s="208"/>
    </row>
    <row r="263" spans="1:30" s="41" customFormat="1" ht="18" customHeight="1" x14ac:dyDescent="0.3">
      <c r="A263" s="1423">
        <v>256</v>
      </c>
      <c r="B263" s="542"/>
      <c r="C263" s="296"/>
      <c r="D263" s="1167" t="s">
        <v>834</v>
      </c>
      <c r="E263" s="762"/>
      <c r="F263" s="304"/>
      <c r="G263" s="304"/>
      <c r="H263" s="1174"/>
      <c r="I263" s="373">
        <f t="shared" si="63"/>
        <v>0</v>
      </c>
      <c r="J263" s="379"/>
      <c r="K263" s="379"/>
      <c r="L263" s="379"/>
      <c r="M263" s="386"/>
      <c r="N263" s="386"/>
      <c r="O263" s="388"/>
      <c r="P263" s="386"/>
      <c r="Q263" s="387"/>
      <c r="R263" s="208"/>
      <c r="S263" s="208"/>
      <c r="T263" s="208"/>
      <c r="U263" s="208"/>
      <c r="V263" s="208"/>
      <c r="W263" s="208"/>
      <c r="X263" s="208"/>
      <c r="Y263" s="208"/>
      <c r="Z263" s="208"/>
      <c r="AA263" s="208"/>
      <c r="AB263" s="208"/>
      <c r="AC263" s="208"/>
      <c r="AD263" s="208"/>
    </row>
    <row r="264" spans="1:30" s="41" customFormat="1" ht="18" customHeight="1" x14ac:dyDescent="0.3">
      <c r="A264" s="1423">
        <v>257</v>
      </c>
      <c r="B264" s="542"/>
      <c r="C264" s="296"/>
      <c r="D264" s="1091" t="s">
        <v>1391</v>
      </c>
      <c r="E264" s="762"/>
      <c r="F264" s="304"/>
      <c r="G264" s="304"/>
      <c r="H264" s="1174"/>
      <c r="I264" s="373">
        <f t="shared" si="63"/>
        <v>14715</v>
      </c>
      <c r="J264" s="870">
        <f>SUM(J262:J263)</f>
        <v>10908</v>
      </c>
      <c r="K264" s="870">
        <f t="shared" ref="K264:L264" si="64">SUM(K262:K263)</f>
        <v>2255</v>
      </c>
      <c r="L264" s="870">
        <f t="shared" si="64"/>
        <v>1455</v>
      </c>
      <c r="M264" s="386"/>
      <c r="N264" s="386"/>
      <c r="O264" s="386">
        <f>SUM(O262:O263)</f>
        <v>97</v>
      </c>
      <c r="P264" s="386"/>
      <c r="Q264" s="387"/>
      <c r="R264" s="208"/>
      <c r="S264" s="208"/>
      <c r="T264" s="208"/>
      <c r="U264" s="208"/>
      <c r="V264" s="208"/>
      <c r="W264" s="208"/>
      <c r="X264" s="208"/>
      <c r="Y264" s="208"/>
      <c r="Z264" s="208"/>
      <c r="AA264" s="208"/>
      <c r="AB264" s="208"/>
      <c r="AC264" s="208"/>
      <c r="AD264" s="208"/>
    </row>
    <row r="265" spans="1:30" s="41" customFormat="1" ht="18" customHeight="1" x14ac:dyDescent="0.3">
      <c r="A265" s="1423">
        <v>258</v>
      </c>
      <c r="B265" s="542"/>
      <c r="C265" s="296">
        <v>19</v>
      </c>
      <c r="D265" s="300" t="s">
        <v>1140</v>
      </c>
      <c r="E265" s="762"/>
      <c r="F265" s="304"/>
      <c r="G265" s="304"/>
      <c r="H265" s="1174"/>
      <c r="I265" s="373"/>
      <c r="J265" s="870"/>
      <c r="K265" s="870"/>
      <c r="L265" s="870"/>
      <c r="M265" s="386"/>
      <c r="N265" s="386"/>
      <c r="O265" s="386"/>
      <c r="P265" s="386"/>
      <c r="Q265" s="387"/>
      <c r="R265" s="208"/>
      <c r="S265" s="208"/>
      <c r="T265" s="208"/>
      <c r="U265" s="208"/>
      <c r="V265" s="208"/>
      <c r="W265" s="208"/>
      <c r="X265" s="208"/>
      <c r="Y265" s="208"/>
      <c r="Z265" s="208"/>
      <c r="AA265" s="208"/>
      <c r="AB265" s="208"/>
      <c r="AC265" s="208"/>
      <c r="AD265" s="208"/>
    </row>
    <row r="266" spans="1:30" s="41" customFormat="1" ht="18" customHeight="1" x14ac:dyDescent="0.3">
      <c r="A266" s="1423">
        <v>259</v>
      </c>
      <c r="B266" s="542"/>
      <c r="C266" s="296"/>
      <c r="D266" s="1168" t="s">
        <v>1307</v>
      </c>
      <c r="E266" s="762"/>
      <c r="F266" s="304"/>
      <c r="G266" s="304"/>
      <c r="H266" s="1174"/>
      <c r="I266" s="373">
        <f t="shared" si="63"/>
        <v>38816</v>
      </c>
      <c r="J266" s="870">
        <v>32923</v>
      </c>
      <c r="K266" s="870">
        <v>5893</v>
      </c>
      <c r="L266" s="870"/>
      <c r="M266" s="386"/>
      <c r="N266" s="386"/>
      <c r="O266" s="386"/>
      <c r="P266" s="386"/>
      <c r="Q266" s="387"/>
      <c r="R266" s="208"/>
      <c r="S266" s="208"/>
      <c r="T266" s="208"/>
      <c r="U266" s="208"/>
      <c r="V266" s="208"/>
      <c r="W266" s="208"/>
      <c r="X266" s="208"/>
      <c r="Y266" s="208"/>
      <c r="Z266" s="208"/>
      <c r="AA266" s="208"/>
      <c r="AB266" s="208"/>
      <c r="AC266" s="208"/>
      <c r="AD266" s="208"/>
    </row>
    <row r="267" spans="1:30" s="41" customFormat="1" ht="18" customHeight="1" x14ac:dyDescent="0.3">
      <c r="A267" s="1423">
        <v>260</v>
      </c>
      <c r="B267" s="542"/>
      <c r="C267" s="296"/>
      <c r="D267" s="1167" t="s">
        <v>834</v>
      </c>
      <c r="E267" s="762"/>
      <c r="F267" s="304"/>
      <c r="G267" s="304"/>
      <c r="H267" s="1174"/>
      <c r="I267" s="888">
        <f t="shared" si="63"/>
        <v>0</v>
      </c>
      <c r="J267" s="379"/>
      <c r="K267" s="379"/>
      <c r="L267" s="379"/>
      <c r="M267" s="386"/>
      <c r="N267" s="386"/>
      <c r="O267" s="386"/>
      <c r="P267" s="386"/>
      <c r="Q267" s="387"/>
      <c r="R267" s="208"/>
      <c r="S267" s="208"/>
      <c r="T267" s="208"/>
      <c r="U267" s="208"/>
      <c r="V267" s="208"/>
      <c r="W267" s="208"/>
      <c r="X267" s="208"/>
      <c r="Y267" s="208"/>
      <c r="Z267" s="208"/>
      <c r="AA267" s="208"/>
      <c r="AB267" s="208"/>
      <c r="AC267" s="208"/>
      <c r="AD267" s="208"/>
    </row>
    <row r="268" spans="1:30" s="41" customFormat="1" ht="18" customHeight="1" x14ac:dyDescent="0.3">
      <c r="A268" s="1423">
        <v>261</v>
      </c>
      <c r="B268" s="542"/>
      <c r="C268" s="296"/>
      <c r="D268" s="1091" t="s">
        <v>1391</v>
      </c>
      <c r="E268" s="762"/>
      <c r="F268" s="304"/>
      <c r="G268" s="304"/>
      <c r="H268" s="1174"/>
      <c r="I268" s="373">
        <f t="shared" si="63"/>
        <v>38816</v>
      </c>
      <c r="J268" s="870">
        <f>SUM(J266:J267)</f>
        <v>32923</v>
      </c>
      <c r="K268" s="870">
        <f>SUM(K266:K267)</f>
        <v>5893</v>
      </c>
      <c r="L268" s="870"/>
      <c r="M268" s="386"/>
      <c r="N268" s="386"/>
      <c r="O268" s="386"/>
      <c r="P268" s="386"/>
      <c r="Q268" s="387"/>
      <c r="R268" s="208"/>
      <c r="S268" s="208"/>
      <c r="T268" s="208"/>
      <c r="U268" s="208"/>
      <c r="V268" s="208"/>
      <c r="W268" s="208"/>
      <c r="X268" s="208"/>
      <c r="Y268" s="208"/>
      <c r="Z268" s="208"/>
      <c r="AA268" s="208"/>
      <c r="AB268" s="208"/>
      <c r="AC268" s="208"/>
      <c r="AD268" s="208"/>
    </row>
    <row r="269" spans="1:30" s="41" customFormat="1" ht="18" customHeight="1" x14ac:dyDescent="0.3">
      <c r="A269" s="1423">
        <v>262</v>
      </c>
      <c r="B269" s="542"/>
      <c r="C269" s="296">
        <v>20</v>
      </c>
      <c r="D269" s="300" t="s">
        <v>682</v>
      </c>
      <c r="E269" s="762"/>
      <c r="F269" s="304"/>
      <c r="G269" s="304"/>
      <c r="H269" s="1174"/>
      <c r="I269" s="373"/>
      <c r="J269" s="870"/>
      <c r="K269" s="870"/>
      <c r="L269" s="870"/>
      <c r="M269" s="386"/>
      <c r="N269" s="386"/>
      <c r="O269" s="386"/>
      <c r="P269" s="386"/>
      <c r="Q269" s="387"/>
      <c r="R269" s="208"/>
      <c r="S269" s="208"/>
      <c r="T269" s="208"/>
      <c r="U269" s="208"/>
      <c r="V269" s="208"/>
      <c r="W269" s="208"/>
      <c r="X269" s="208"/>
      <c r="Y269" s="208"/>
      <c r="Z269" s="208"/>
      <c r="AA269" s="208"/>
      <c r="AB269" s="208"/>
      <c r="AC269" s="208"/>
      <c r="AD269" s="208"/>
    </row>
    <row r="270" spans="1:30" s="41" customFormat="1" ht="18" customHeight="1" x14ac:dyDescent="0.3">
      <c r="A270" s="1423">
        <v>263</v>
      </c>
      <c r="B270" s="542"/>
      <c r="C270" s="296"/>
      <c r="D270" s="1168" t="s">
        <v>1307</v>
      </c>
      <c r="E270" s="762"/>
      <c r="F270" s="304"/>
      <c r="G270" s="304"/>
      <c r="H270" s="1174"/>
      <c r="I270" s="373">
        <f t="shared" si="63"/>
        <v>2011</v>
      </c>
      <c r="J270" s="870">
        <v>1691</v>
      </c>
      <c r="K270" s="870">
        <v>320</v>
      </c>
      <c r="L270" s="870"/>
      <c r="M270" s="386"/>
      <c r="N270" s="386"/>
      <c r="O270" s="386"/>
      <c r="P270" s="386"/>
      <c r="Q270" s="387"/>
      <c r="R270" s="208"/>
      <c r="S270" s="208"/>
      <c r="T270" s="208"/>
      <c r="U270" s="208"/>
      <c r="V270" s="208"/>
      <c r="W270" s="208"/>
      <c r="X270" s="208"/>
      <c r="Y270" s="208"/>
      <c r="Z270" s="208"/>
      <c r="AA270" s="208"/>
      <c r="AB270" s="208"/>
      <c r="AC270" s="208"/>
      <c r="AD270" s="208"/>
    </row>
    <row r="271" spans="1:30" s="41" customFormat="1" ht="18" customHeight="1" x14ac:dyDescent="0.3">
      <c r="A271" s="1423">
        <v>264</v>
      </c>
      <c r="B271" s="542"/>
      <c r="C271" s="296"/>
      <c r="D271" s="1167" t="s">
        <v>954</v>
      </c>
      <c r="E271" s="762"/>
      <c r="F271" s="304"/>
      <c r="G271" s="304"/>
      <c r="H271" s="1174"/>
      <c r="I271" s="888">
        <f t="shared" si="63"/>
        <v>0</v>
      </c>
      <c r="J271" s="379">
        <v>-60</v>
      </c>
      <c r="K271" s="379"/>
      <c r="L271" s="379">
        <v>60</v>
      </c>
      <c r="M271" s="386"/>
      <c r="N271" s="386"/>
      <c r="O271" s="386"/>
      <c r="P271" s="386"/>
      <c r="Q271" s="387"/>
      <c r="R271" s="208"/>
      <c r="S271" s="208"/>
      <c r="T271" s="208"/>
      <c r="U271" s="208"/>
      <c r="V271" s="208"/>
      <c r="W271" s="208"/>
      <c r="X271" s="208"/>
      <c r="Y271" s="208"/>
      <c r="Z271" s="208"/>
      <c r="AA271" s="208"/>
      <c r="AB271" s="208"/>
      <c r="AC271" s="208"/>
      <c r="AD271" s="208"/>
    </row>
    <row r="272" spans="1:30" s="41" customFormat="1" ht="18" customHeight="1" x14ac:dyDescent="0.3">
      <c r="A272" s="1423">
        <v>265</v>
      </c>
      <c r="B272" s="542"/>
      <c r="C272" s="296"/>
      <c r="D272" s="1091" t="s">
        <v>1391</v>
      </c>
      <c r="E272" s="762"/>
      <c r="F272" s="304"/>
      <c r="G272" s="304"/>
      <c r="H272" s="1174"/>
      <c r="I272" s="373">
        <f t="shared" si="63"/>
        <v>2011</v>
      </c>
      <c r="J272" s="870">
        <f>SUM(J270:J271)</f>
        <v>1631</v>
      </c>
      <c r="K272" s="870">
        <f>SUM(K270:K271)</f>
        <v>320</v>
      </c>
      <c r="L272" s="870">
        <f>SUM(L271)</f>
        <v>60</v>
      </c>
      <c r="M272" s="386"/>
      <c r="N272" s="386"/>
      <c r="O272" s="386"/>
      <c r="P272" s="386"/>
      <c r="Q272" s="387"/>
      <c r="R272" s="208"/>
      <c r="S272" s="208"/>
      <c r="T272" s="208"/>
      <c r="U272" s="208"/>
      <c r="V272" s="208"/>
      <c r="W272" s="208"/>
      <c r="X272" s="208"/>
      <c r="Y272" s="208"/>
      <c r="Z272" s="208"/>
      <c r="AA272" s="208"/>
      <c r="AB272" s="208"/>
      <c r="AC272" s="208"/>
      <c r="AD272" s="208"/>
    </row>
    <row r="273" spans="1:30" s="41" customFormat="1" ht="18" customHeight="1" x14ac:dyDescent="0.3">
      <c r="A273" s="1423">
        <v>266</v>
      </c>
      <c r="B273" s="542"/>
      <c r="C273" s="296">
        <v>21</v>
      </c>
      <c r="D273" s="300" t="s">
        <v>841</v>
      </c>
      <c r="E273" s="762"/>
      <c r="F273" s="304"/>
      <c r="G273" s="304"/>
      <c r="H273" s="1174"/>
      <c r="I273" s="373"/>
      <c r="J273" s="870"/>
      <c r="K273" s="870"/>
      <c r="L273" s="870"/>
      <c r="M273" s="386"/>
      <c r="N273" s="386"/>
      <c r="O273" s="386"/>
      <c r="P273" s="386"/>
      <c r="Q273" s="387"/>
      <c r="R273" s="208"/>
      <c r="S273" s="208"/>
      <c r="T273" s="208"/>
      <c r="U273" s="208"/>
      <c r="V273" s="208"/>
      <c r="W273" s="208"/>
      <c r="X273" s="208"/>
      <c r="Y273" s="208"/>
      <c r="Z273" s="208"/>
      <c r="AA273" s="208"/>
      <c r="AB273" s="208"/>
      <c r="AC273" s="208"/>
      <c r="AD273" s="208"/>
    </row>
    <row r="274" spans="1:30" s="41" customFormat="1" ht="18" customHeight="1" x14ac:dyDescent="0.3">
      <c r="A274" s="1423">
        <v>267</v>
      </c>
      <c r="B274" s="542"/>
      <c r="C274" s="296"/>
      <c r="D274" s="1091" t="s">
        <v>1307</v>
      </c>
      <c r="E274" s="762"/>
      <c r="F274" s="304"/>
      <c r="G274" s="304"/>
      <c r="H274" s="1174"/>
      <c r="I274" s="373">
        <f t="shared" si="63"/>
        <v>329</v>
      </c>
      <c r="J274" s="870">
        <v>276</v>
      </c>
      <c r="K274" s="870">
        <v>53</v>
      </c>
      <c r="L274" s="870"/>
      <c r="M274" s="386"/>
      <c r="N274" s="386"/>
      <c r="O274" s="386"/>
      <c r="P274" s="386"/>
      <c r="Q274" s="387"/>
      <c r="R274" s="208"/>
      <c r="S274" s="208"/>
      <c r="T274" s="208"/>
      <c r="U274" s="208"/>
      <c r="V274" s="208"/>
      <c r="W274" s="208"/>
      <c r="X274" s="208"/>
      <c r="Y274" s="208"/>
      <c r="Z274" s="208"/>
      <c r="AA274" s="208"/>
      <c r="AB274" s="208"/>
      <c r="AC274" s="208"/>
      <c r="AD274" s="208"/>
    </row>
    <row r="275" spans="1:30" s="41" customFormat="1" ht="18" customHeight="1" x14ac:dyDescent="0.3">
      <c r="A275" s="1423">
        <v>268</v>
      </c>
      <c r="B275" s="542"/>
      <c r="C275" s="296"/>
      <c r="D275" s="1167" t="s">
        <v>834</v>
      </c>
      <c r="E275" s="762"/>
      <c r="F275" s="304"/>
      <c r="G275" s="304"/>
      <c r="H275" s="1174"/>
      <c r="I275" s="888">
        <f t="shared" si="63"/>
        <v>0</v>
      </c>
      <c r="J275" s="379"/>
      <c r="K275" s="379"/>
      <c r="L275" s="870"/>
      <c r="M275" s="386"/>
      <c r="N275" s="386"/>
      <c r="O275" s="386"/>
      <c r="P275" s="386"/>
      <c r="Q275" s="387"/>
      <c r="R275" s="208"/>
      <c r="S275" s="208"/>
      <c r="T275" s="208"/>
      <c r="U275" s="208"/>
      <c r="V275" s="208"/>
      <c r="W275" s="208"/>
      <c r="X275" s="208"/>
      <c r="Y275" s="208"/>
      <c r="Z275" s="208"/>
      <c r="AA275" s="208"/>
      <c r="AB275" s="208"/>
      <c r="AC275" s="208"/>
      <c r="AD275" s="208"/>
    </row>
    <row r="276" spans="1:30" s="41" customFormat="1" ht="18" customHeight="1" x14ac:dyDescent="0.3">
      <c r="A276" s="1423">
        <v>269</v>
      </c>
      <c r="B276" s="542"/>
      <c r="C276" s="296"/>
      <c r="D276" s="1091" t="s">
        <v>1391</v>
      </c>
      <c r="E276" s="762"/>
      <c r="F276" s="304"/>
      <c r="G276" s="304"/>
      <c r="H276" s="1174"/>
      <c r="I276" s="373">
        <f t="shared" si="63"/>
        <v>329</v>
      </c>
      <c r="J276" s="870">
        <f>SUM(J274:J275)</f>
        <v>276</v>
      </c>
      <c r="K276" s="870">
        <f>SUM(K274:K275)</f>
        <v>53</v>
      </c>
      <c r="L276" s="870"/>
      <c r="M276" s="386"/>
      <c r="N276" s="386"/>
      <c r="O276" s="386"/>
      <c r="P276" s="386"/>
      <c r="Q276" s="387"/>
      <c r="R276" s="208"/>
      <c r="S276" s="208"/>
      <c r="T276" s="208"/>
      <c r="U276" s="208"/>
      <c r="V276" s="208"/>
      <c r="W276" s="208"/>
      <c r="X276" s="208"/>
      <c r="Y276" s="208"/>
      <c r="Z276" s="208"/>
      <c r="AA276" s="208"/>
      <c r="AB276" s="208"/>
      <c r="AC276" s="208"/>
      <c r="AD276" s="208"/>
    </row>
    <row r="277" spans="1:30" s="51" customFormat="1" ht="31.15" customHeight="1" x14ac:dyDescent="0.3">
      <c r="A277" s="1423">
        <v>270</v>
      </c>
      <c r="B277" s="542"/>
      <c r="C277" s="296">
        <v>22</v>
      </c>
      <c r="D277" s="1796" t="s">
        <v>546</v>
      </c>
      <c r="E277" s="1797"/>
      <c r="F277" s="304">
        <v>568</v>
      </c>
      <c r="G277" s="304"/>
      <c r="H277" s="1174"/>
      <c r="I277" s="373"/>
      <c r="J277" s="386"/>
      <c r="K277" s="386"/>
      <c r="L277" s="386"/>
      <c r="M277" s="386"/>
      <c r="N277" s="386"/>
      <c r="O277" s="386"/>
      <c r="P277" s="386"/>
      <c r="Q277" s="387"/>
      <c r="R277" s="257"/>
      <c r="S277" s="257"/>
      <c r="T277" s="257"/>
      <c r="U277" s="257"/>
      <c r="V277" s="257"/>
      <c r="W277" s="257"/>
      <c r="X277" s="257"/>
      <c r="Y277" s="257"/>
      <c r="Z277" s="257"/>
      <c r="AA277" s="257"/>
      <c r="AB277" s="257"/>
      <c r="AC277" s="257"/>
      <c r="AD277" s="257"/>
    </row>
    <row r="278" spans="1:30" s="51" customFormat="1" ht="17.25" customHeight="1" x14ac:dyDescent="0.3">
      <c r="A278" s="1423">
        <v>271</v>
      </c>
      <c r="B278" s="542"/>
      <c r="C278" s="296"/>
      <c r="D278" s="1091" t="s">
        <v>1307</v>
      </c>
      <c r="E278" s="1733"/>
      <c r="F278" s="304"/>
      <c r="G278" s="304"/>
      <c r="H278" s="1174"/>
      <c r="I278" s="373">
        <f t="shared" si="63"/>
        <v>11</v>
      </c>
      <c r="J278" s="386"/>
      <c r="K278" s="386"/>
      <c r="L278" s="386">
        <v>11</v>
      </c>
      <c r="M278" s="386"/>
      <c r="N278" s="386"/>
      <c r="O278" s="386"/>
      <c r="P278" s="386"/>
      <c r="Q278" s="387"/>
      <c r="R278" s="257"/>
      <c r="S278" s="257"/>
      <c r="T278" s="257"/>
      <c r="U278" s="257"/>
      <c r="V278" s="257"/>
      <c r="W278" s="257"/>
      <c r="X278" s="257"/>
      <c r="Y278" s="257"/>
      <c r="Z278" s="257"/>
      <c r="AA278" s="257"/>
      <c r="AB278" s="257"/>
      <c r="AC278" s="257"/>
      <c r="AD278" s="257"/>
    </row>
    <row r="279" spans="1:30" s="41" customFormat="1" ht="18" customHeight="1" x14ac:dyDescent="0.3">
      <c r="A279" s="1423">
        <v>272</v>
      </c>
      <c r="B279" s="542"/>
      <c r="C279" s="296"/>
      <c r="D279" s="1167" t="s">
        <v>834</v>
      </c>
      <c r="E279" s="762"/>
      <c r="F279" s="304"/>
      <c r="G279" s="304"/>
      <c r="H279" s="1174"/>
      <c r="I279" s="888">
        <f t="shared" si="63"/>
        <v>0</v>
      </c>
      <c r="J279" s="870"/>
      <c r="K279" s="870"/>
      <c r="L279" s="379"/>
      <c r="M279" s="386"/>
      <c r="N279" s="386"/>
      <c r="O279" s="386"/>
      <c r="P279" s="386"/>
      <c r="Q279" s="387"/>
      <c r="R279" s="208"/>
      <c r="S279" s="208"/>
      <c r="T279" s="208"/>
      <c r="U279" s="208"/>
      <c r="V279" s="208"/>
      <c r="W279" s="208"/>
      <c r="X279" s="208"/>
      <c r="Y279" s="208"/>
      <c r="Z279" s="208"/>
      <c r="AA279" s="208"/>
      <c r="AB279" s="208"/>
      <c r="AC279" s="208"/>
      <c r="AD279" s="208"/>
    </row>
    <row r="280" spans="1:30" s="41" customFormat="1" ht="18" customHeight="1" x14ac:dyDescent="0.3">
      <c r="A280" s="1423">
        <v>273</v>
      </c>
      <c r="B280" s="542"/>
      <c r="C280" s="296"/>
      <c r="D280" s="1091" t="s">
        <v>1391</v>
      </c>
      <c r="E280" s="762"/>
      <c r="F280" s="304"/>
      <c r="G280" s="304"/>
      <c r="H280" s="1174"/>
      <c r="I280" s="373">
        <f t="shared" si="63"/>
        <v>11</v>
      </c>
      <c r="J280" s="870"/>
      <c r="K280" s="870"/>
      <c r="L280" s="870">
        <f>SUM(L278:L279)</f>
        <v>11</v>
      </c>
      <c r="M280" s="386"/>
      <c r="N280" s="386"/>
      <c r="O280" s="386"/>
      <c r="P280" s="386"/>
      <c r="Q280" s="387"/>
      <c r="R280" s="208"/>
      <c r="S280" s="208"/>
      <c r="T280" s="208"/>
      <c r="U280" s="208"/>
      <c r="V280" s="208"/>
      <c r="W280" s="208"/>
      <c r="X280" s="208"/>
      <c r="Y280" s="208"/>
      <c r="Z280" s="208"/>
      <c r="AA280" s="208"/>
      <c r="AB280" s="208"/>
      <c r="AC280" s="208"/>
      <c r="AD280" s="208"/>
    </row>
    <row r="281" spans="1:30" s="41" customFormat="1" ht="18" customHeight="1" x14ac:dyDescent="0.3">
      <c r="A281" s="1423">
        <v>274</v>
      </c>
      <c r="B281" s="542"/>
      <c r="C281" s="296">
        <v>23</v>
      </c>
      <c r="D281" s="300" t="s">
        <v>1302</v>
      </c>
      <c r="E281" s="762"/>
      <c r="F281" s="304"/>
      <c r="G281" s="304"/>
      <c r="H281" s="1174"/>
      <c r="I281" s="373"/>
      <c r="J281" s="870"/>
      <c r="K281" s="870"/>
      <c r="L281" s="870"/>
      <c r="M281" s="386"/>
      <c r="N281" s="386"/>
      <c r="O281" s="386"/>
      <c r="P281" s="386"/>
      <c r="Q281" s="387"/>
      <c r="R281" s="208"/>
      <c r="S281" s="208"/>
      <c r="T281" s="208"/>
      <c r="U281" s="208"/>
      <c r="V281" s="208"/>
      <c r="W281" s="208"/>
      <c r="X281" s="208"/>
      <c r="Y281" s="208"/>
      <c r="Z281" s="208"/>
      <c r="AA281" s="208"/>
      <c r="AB281" s="208"/>
      <c r="AC281" s="208"/>
      <c r="AD281" s="208"/>
    </row>
    <row r="282" spans="1:30" s="41" customFormat="1" ht="18" customHeight="1" x14ac:dyDescent="0.3">
      <c r="A282" s="1423">
        <v>275</v>
      </c>
      <c r="B282" s="542"/>
      <c r="C282" s="296"/>
      <c r="D282" s="1091" t="s">
        <v>1307</v>
      </c>
      <c r="E282" s="762"/>
      <c r="F282" s="304"/>
      <c r="G282" s="304"/>
      <c r="H282" s="1174"/>
      <c r="I282" s="373">
        <f t="shared" si="63"/>
        <v>14913</v>
      </c>
      <c r="J282" s="870">
        <v>11101</v>
      </c>
      <c r="K282" s="870">
        <v>2099</v>
      </c>
      <c r="L282" s="870">
        <v>1676</v>
      </c>
      <c r="M282" s="386"/>
      <c r="N282" s="386"/>
      <c r="O282" s="386">
        <v>37</v>
      </c>
      <c r="P282" s="386"/>
      <c r="Q282" s="387"/>
      <c r="R282" s="208"/>
      <c r="S282" s="208"/>
      <c r="T282" s="208"/>
      <c r="U282" s="208"/>
      <c r="V282" s="208"/>
      <c r="W282" s="208"/>
      <c r="X282" s="208"/>
      <c r="Y282" s="208"/>
      <c r="Z282" s="208"/>
      <c r="AA282" s="208"/>
      <c r="AB282" s="208"/>
      <c r="AC282" s="208"/>
      <c r="AD282" s="208"/>
    </row>
    <row r="283" spans="1:30" s="41" customFormat="1" ht="18" customHeight="1" x14ac:dyDescent="0.3">
      <c r="A283" s="1423">
        <v>276</v>
      </c>
      <c r="B283" s="542"/>
      <c r="C283" s="296"/>
      <c r="D283" s="1167" t="s">
        <v>1299</v>
      </c>
      <c r="E283" s="762"/>
      <c r="F283" s="304"/>
      <c r="G283" s="304"/>
      <c r="H283" s="1174"/>
      <c r="I283" s="888">
        <f t="shared" si="63"/>
        <v>0</v>
      </c>
      <c r="J283" s="379"/>
      <c r="K283" s="379"/>
      <c r="L283" s="379"/>
      <c r="M283" s="386"/>
      <c r="N283" s="386"/>
      <c r="O283" s="388"/>
      <c r="P283" s="386"/>
      <c r="Q283" s="387"/>
      <c r="R283" s="208"/>
      <c r="S283" s="208"/>
      <c r="T283" s="208"/>
      <c r="U283" s="208"/>
      <c r="V283" s="208"/>
      <c r="W283" s="208"/>
      <c r="X283" s="208"/>
      <c r="Y283" s="208"/>
      <c r="Z283" s="208"/>
      <c r="AA283" s="208"/>
      <c r="AB283" s="208"/>
      <c r="AC283" s="208"/>
      <c r="AD283" s="208"/>
    </row>
    <row r="284" spans="1:30" s="41" customFormat="1" ht="18" customHeight="1" x14ac:dyDescent="0.3">
      <c r="A284" s="1423">
        <v>277</v>
      </c>
      <c r="B284" s="542"/>
      <c r="C284" s="296"/>
      <c r="D284" s="1091" t="s">
        <v>1391</v>
      </c>
      <c r="E284" s="762"/>
      <c r="F284" s="304"/>
      <c r="G284" s="304"/>
      <c r="H284" s="1174"/>
      <c r="I284" s="373">
        <f t="shared" si="63"/>
        <v>14913</v>
      </c>
      <c r="J284" s="870">
        <f>SUM(J282:J283)</f>
        <v>11101</v>
      </c>
      <c r="K284" s="870">
        <f t="shared" ref="K284:L284" si="65">SUM(K282:K283)</f>
        <v>2099</v>
      </c>
      <c r="L284" s="870">
        <f t="shared" si="65"/>
        <v>1676</v>
      </c>
      <c r="M284" s="386"/>
      <c r="N284" s="386"/>
      <c r="O284" s="386">
        <f>SUM(O282:O283)</f>
        <v>37</v>
      </c>
      <c r="P284" s="386"/>
      <c r="Q284" s="387"/>
      <c r="R284" s="208"/>
      <c r="S284" s="208"/>
      <c r="T284" s="208"/>
      <c r="U284" s="208"/>
      <c r="V284" s="208"/>
      <c r="W284" s="208"/>
      <c r="X284" s="208"/>
      <c r="Y284" s="208"/>
      <c r="Z284" s="208"/>
      <c r="AA284" s="208"/>
      <c r="AB284" s="208"/>
      <c r="AC284" s="208"/>
      <c r="AD284" s="208"/>
    </row>
    <row r="285" spans="1:30" s="41" customFormat="1" ht="19.5" customHeight="1" x14ac:dyDescent="0.3">
      <c r="A285" s="1423">
        <v>278</v>
      </c>
      <c r="B285" s="542"/>
      <c r="C285" s="296">
        <v>24</v>
      </c>
      <c r="D285" s="1803" t="s">
        <v>449</v>
      </c>
      <c r="E285" s="1804"/>
      <c r="F285" s="304"/>
      <c r="G285" s="304">
        <v>14404</v>
      </c>
      <c r="H285" s="1174">
        <v>15790</v>
      </c>
      <c r="I285" s="373"/>
      <c r="J285" s="870"/>
      <c r="K285" s="870"/>
      <c r="L285" s="870"/>
      <c r="M285" s="386"/>
      <c r="N285" s="386"/>
      <c r="O285" s="386"/>
      <c r="P285" s="386"/>
      <c r="Q285" s="387"/>
      <c r="R285" s="208"/>
      <c r="S285" s="208"/>
      <c r="T285" s="208"/>
      <c r="U285" s="208"/>
      <c r="V285" s="208"/>
      <c r="W285" s="208"/>
      <c r="X285" s="208"/>
      <c r="Y285" s="208"/>
      <c r="Z285" s="208"/>
      <c r="AA285" s="208"/>
      <c r="AB285" s="208"/>
      <c r="AC285" s="208"/>
      <c r="AD285" s="208"/>
    </row>
    <row r="286" spans="1:30" s="41" customFormat="1" ht="19.5" customHeight="1" x14ac:dyDescent="0.3">
      <c r="A286" s="1423">
        <v>279</v>
      </c>
      <c r="B286" s="542"/>
      <c r="C286" s="296">
        <v>25</v>
      </c>
      <c r="D286" s="1803" t="s">
        <v>542</v>
      </c>
      <c r="E286" s="1804"/>
      <c r="F286" s="304"/>
      <c r="G286" s="304"/>
      <c r="H286" s="1174">
        <v>956</v>
      </c>
      <c r="I286" s="373"/>
      <c r="J286" s="870"/>
      <c r="K286" s="870"/>
      <c r="L286" s="870"/>
      <c r="M286" s="386"/>
      <c r="N286" s="386"/>
      <c r="O286" s="386"/>
      <c r="P286" s="386"/>
      <c r="Q286" s="387"/>
      <c r="R286" s="208"/>
      <c r="S286" s="208"/>
      <c r="T286" s="208"/>
      <c r="U286" s="208"/>
      <c r="V286" s="208"/>
      <c r="W286" s="208"/>
      <c r="X286" s="208"/>
      <c r="Y286" s="208"/>
      <c r="Z286" s="208"/>
      <c r="AA286" s="208"/>
      <c r="AB286" s="208"/>
      <c r="AC286" s="208"/>
      <c r="AD286" s="208"/>
    </row>
    <row r="287" spans="1:30" s="41" customFormat="1" ht="19.5" customHeight="1" x14ac:dyDescent="0.3">
      <c r="A287" s="1423">
        <v>280</v>
      </c>
      <c r="B287" s="542"/>
      <c r="C287" s="296">
        <v>26</v>
      </c>
      <c r="D287" s="1803" t="s">
        <v>543</v>
      </c>
      <c r="E287" s="1804"/>
      <c r="F287" s="304"/>
      <c r="G287" s="304"/>
      <c r="H287" s="1174">
        <v>1063</v>
      </c>
      <c r="I287" s="373"/>
      <c r="J287" s="870"/>
      <c r="K287" s="870"/>
      <c r="L287" s="870"/>
      <c r="M287" s="386"/>
      <c r="N287" s="386"/>
      <c r="O287" s="386"/>
      <c r="P287" s="386"/>
      <c r="Q287" s="387"/>
      <c r="R287" s="208"/>
      <c r="S287" s="208"/>
      <c r="T287" s="208"/>
      <c r="U287" s="208"/>
      <c r="V287" s="208"/>
      <c r="W287" s="208"/>
      <c r="X287" s="208"/>
      <c r="Y287" s="208"/>
      <c r="Z287" s="208"/>
      <c r="AA287" s="208"/>
      <c r="AB287" s="208"/>
      <c r="AC287" s="208"/>
      <c r="AD287" s="208"/>
    </row>
    <row r="288" spans="1:30" s="51" customFormat="1" ht="30" customHeight="1" x14ac:dyDescent="0.3">
      <c r="A288" s="1423">
        <v>281</v>
      </c>
      <c r="B288" s="542"/>
      <c r="C288" s="302">
        <v>27</v>
      </c>
      <c r="D288" s="1796" t="s">
        <v>541</v>
      </c>
      <c r="E288" s="1797"/>
      <c r="F288" s="304"/>
      <c r="G288" s="304"/>
      <c r="H288" s="1174">
        <v>252</v>
      </c>
      <c r="I288" s="373"/>
      <c r="J288" s="870"/>
      <c r="K288" s="870"/>
      <c r="L288" s="870"/>
      <c r="M288" s="386"/>
      <c r="N288" s="386"/>
      <c r="O288" s="386"/>
      <c r="P288" s="386"/>
      <c r="Q288" s="387"/>
      <c r="R288" s="257"/>
      <c r="S288" s="257"/>
      <c r="T288" s="257"/>
      <c r="U288" s="257"/>
      <c r="V288" s="257"/>
      <c r="W288" s="257"/>
      <c r="X288" s="257"/>
      <c r="Y288" s="257"/>
      <c r="Z288" s="257"/>
      <c r="AA288" s="257"/>
      <c r="AB288" s="257"/>
      <c r="AC288" s="257"/>
      <c r="AD288" s="257"/>
    </row>
    <row r="289" spans="1:30" s="51" customFormat="1" ht="20.100000000000001" customHeight="1" x14ac:dyDescent="0.3">
      <c r="A289" s="1423">
        <v>282</v>
      </c>
      <c r="B289" s="542"/>
      <c r="C289" s="296">
        <v>28</v>
      </c>
      <c r="D289" s="535" t="s">
        <v>367</v>
      </c>
      <c r="E289" s="536"/>
      <c r="F289" s="304">
        <v>750</v>
      </c>
      <c r="G289" s="304"/>
      <c r="H289" s="1174"/>
      <c r="I289" s="373"/>
      <c r="J289" s="870"/>
      <c r="K289" s="870"/>
      <c r="L289" s="870"/>
      <c r="M289" s="386"/>
      <c r="N289" s="386"/>
      <c r="O289" s="386"/>
      <c r="P289" s="386"/>
      <c r="Q289" s="387"/>
      <c r="R289" s="257"/>
      <c r="S289" s="257"/>
      <c r="T289" s="257"/>
      <c r="U289" s="257"/>
      <c r="V289" s="257"/>
      <c r="W289" s="257"/>
      <c r="X289" s="257"/>
      <c r="Y289" s="257"/>
      <c r="Z289" s="257"/>
      <c r="AA289" s="257"/>
      <c r="AB289" s="257"/>
      <c r="AC289" s="257"/>
      <c r="AD289" s="257"/>
    </row>
    <row r="290" spans="1:30" s="51" customFormat="1" ht="20.100000000000001" customHeight="1" x14ac:dyDescent="0.3">
      <c r="A290" s="1423">
        <v>283</v>
      </c>
      <c r="B290" s="542"/>
      <c r="C290" s="296">
        <v>29</v>
      </c>
      <c r="D290" s="535" t="s">
        <v>379</v>
      </c>
      <c r="E290" s="323"/>
      <c r="F290" s="323">
        <v>1250</v>
      </c>
      <c r="G290" s="304"/>
      <c r="H290" s="1174"/>
      <c r="I290" s="373"/>
      <c r="J290" s="870"/>
      <c r="K290" s="870"/>
      <c r="L290" s="870"/>
      <c r="M290" s="386"/>
      <c r="N290" s="386"/>
      <c r="O290" s="386"/>
      <c r="P290" s="386"/>
      <c r="Q290" s="387"/>
      <c r="R290" s="257"/>
      <c r="S290" s="257"/>
      <c r="T290" s="257"/>
      <c r="U290" s="257"/>
      <c r="V290" s="257"/>
      <c r="W290" s="257"/>
      <c r="X290" s="257"/>
      <c r="Y290" s="257"/>
      <c r="Z290" s="257"/>
      <c r="AA290" s="257"/>
      <c r="AB290" s="257"/>
      <c r="AC290" s="257"/>
      <c r="AD290" s="257"/>
    </row>
    <row r="291" spans="1:30" s="51" customFormat="1" ht="20.100000000000001" customHeight="1" thickBot="1" x14ac:dyDescent="0.35">
      <c r="A291" s="1423">
        <v>284</v>
      </c>
      <c r="B291" s="542"/>
      <c r="C291" s="296">
        <v>30</v>
      </c>
      <c r="D291" s="535" t="s">
        <v>376</v>
      </c>
      <c r="E291" s="536"/>
      <c r="F291" s="304">
        <v>2959</v>
      </c>
      <c r="G291" s="304"/>
      <c r="H291" s="1174"/>
      <c r="I291" s="373"/>
      <c r="J291" s="870"/>
      <c r="K291" s="870"/>
      <c r="L291" s="870"/>
      <c r="M291" s="386"/>
      <c r="N291" s="386"/>
      <c r="O291" s="386"/>
      <c r="P291" s="386"/>
      <c r="Q291" s="387"/>
      <c r="R291" s="257"/>
      <c r="S291" s="257"/>
      <c r="T291" s="257"/>
      <c r="U291" s="257"/>
      <c r="V291" s="257"/>
      <c r="W291" s="257"/>
      <c r="X291" s="257"/>
      <c r="Y291" s="257"/>
      <c r="Z291" s="257"/>
      <c r="AA291" s="257"/>
      <c r="AB291" s="257"/>
      <c r="AC291" s="257"/>
      <c r="AD291" s="257"/>
    </row>
    <row r="292" spans="1:30" s="41" customFormat="1" ht="19.899999999999999" customHeight="1" thickTop="1" x14ac:dyDescent="0.3">
      <c r="A292" s="1423">
        <v>285</v>
      </c>
      <c r="B292" s="763"/>
      <c r="C292" s="296"/>
      <c r="D292" s="1119" t="s">
        <v>179</v>
      </c>
      <c r="E292" s="1129"/>
      <c r="F292" s="1069"/>
      <c r="G292" s="1069"/>
      <c r="H292" s="1177"/>
      <c r="I292" s="1108"/>
      <c r="J292" s="1127"/>
      <c r="K292" s="1127"/>
      <c r="L292" s="1127"/>
      <c r="M292" s="1127"/>
      <c r="N292" s="1127"/>
      <c r="O292" s="1127"/>
      <c r="P292" s="1127"/>
      <c r="Q292" s="1128"/>
      <c r="R292" s="208"/>
      <c r="S292" s="208"/>
      <c r="T292" s="208"/>
      <c r="U292" s="208"/>
      <c r="V292" s="208"/>
      <c r="W292" s="208"/>
      <c r="X292" s="208"/>
      <c r="Y292" s="208"/>
      <c r="Z292" s="208"/>
      <c r="AA292" s="208"/>
      <c r="AB292" s="208"/>
      <c r="AC292" s="208"/>
      <c r="AD292" s="208"/>
    </row>
    <row r="293" spans="1:30" s="50" customFormat="1" ht="20.100000000000001" customHeight="1" x14ac:dyDescent="0.3">
      <c r="A293" s="1423">
        <v>286</v>
      </c>
      <c r="B293" s="516"/>
      <c r="C293" s="296"/>
      <c r="D293" s="1139" t="s">
        <v>334</v>
      </c>
      <c r="E293" s="1489"/>
      <c r="F293" s="1431">
        <f>SUM(F192:F291)</f>
        <v>1427756</v>
      </c>
      <c r="G293" s="1431">
        <f>SUM(G192:G291)</f>
        <v>1474608</v>
      </c>
      <c r="H293" s="1459">
        <f>SUM(H192:H291)</f>
        <v>1459238</v>
      </c>
      <c r="I293" s="1460">
        <f>SUM(J293:Q293)</f>
        <v>1572895</v>
      </c>
      <c r="J293" s="1490">
        <f t="shared" ref="J293:Q293" si="66">SUM(J193,J198,J203,J208,J214,J289,J290,J291,)+J219+J224</f>
        <v>1047241</v>
      </c>
      <c r="K293" s="1490">
        <f t="shared" si="66"/>
        <v>221198</v>
      </c>
      <c r="L293" s="1490">
        <f t="shared" si="66"/>
        <v>281631</v>
      </c>
      <c r="M293" s="1490">
        <f t="shared" si="66"/>
        <v>0</v>
      </c>
      <c r="N293" s="1490">
        <f t="shared" si="66"/>
        <v>0</v>
      </c>
      <c r="O293" s="1490">
        <f t="shared" si="66"/>
        <v>22825</v>
      </c>
      <c r="P293" s="1490">
        <f t="shared" si="66"/>
        <v>0</v>
      </c>
      <c r="Q293" s="1491">
        <f t="shared" si="66"/>
        <v>0</v>
      </c>
      <c r="R293" s="253"/>
      <c r="S293" s="253"/>
      <c r="T293" s="253"/>
      <c r="U293" s="253"/>
      <c r="V293" s="253"/>
      <c r="W293" s="253"/>
      <c r="X293" s="253"/>
      <c r="Y293" s="253"/>
      <c r="Z293" s="253"/>
      <c r="AA293" s="253"/>
      <c r="AB293" s="253"/>
      <c r="AC293" s="253"/>
      <c r="AD293" s="253"/>
    </row>
    <row r="294" spans="1:30" s="50" customFormat="1" ht="20.100000000000001" customHeight="1" x14ac:dyDescent="0.3">
      <c r="A294" s="1423">
        <v>287</v>
      </c>
      <c r="B294" s="516"/>
      <c r="C294" s="296"/>
      <c r="D294" s="1168" t="s">
        <v>1307</v>
      </c>
      <c r="E294" s="1141"/>
      <c r="F294" s="1062"/>
      <c r="G294" s="1062"/>
      <c r="H294" s="1196"/>
      <c r="I294" s="373">
        <f t="shared" ref="I294" si="67">SUM(J294:Q294)</f>
        <v>1962439</v>
      </c>
      <c r="J294" s="870">
        <f t="shared" ref="J294:Q294" si="68">J262+J258+J250+J246+J242+J237+J233+J229+J225+J220+J215+J209+J204+J199+J194+J266+J270+J274+J278+J282+J254</f>
        <v>1245701</v>
      </c>
      <c r="K294" s="870">
        <f t="shared" si="68"/>
        <v>271273</v>
      </c>
      <c r="L294" s="870">
        <f t="shared" si="68"/>
        <v>397465</v>
      </c>
      <c r="M294" s="870">
        <f t="shared" si="68"/>
        <v>0</v>
      </c>
      <c r="N294" s="870">
        <f t="shared" si="68"/>
        <v>0</v>
      </c>
      <c r="O294" s="870">
        <f t="shared" si="68"/>
        <v>48000</v>
      </c>
      <c r="P294" s="870">
        <f t="shared" si="68"/>
        <v>0</v>
      </c>
      <c r="Q294" s="904">
        <f t="shared" si="68"/>
        <v>0</v>
      </c>
      <c r="R294" s="253"/>
      <c r="S294" s="253"/>
      <c r="T294" s="253"/>
      <c r="U294" s="253"/>
      <c r="V294" s="253"/>
      <c r="W294" s="253"/>
      <c r="X294" s="253"/>
      <c r="Y294" s="253"/>
      <c r="Z294" s="253"/>
      <c r="AA294" s="253"/>
      <c r="AB294" s="253"/>
      <c r="AC294" s="253"/>
      <c r="AD294" s="253"/>
    </row>
    <row r="295" spans="1:30" s="324" customFormat="1" ht="20.100000000000001" customHeight="1" x14ac:dyDescent="0.3">
      <c r="A295" s="1423">
        <v>288</v>
      </c>
      <c r="B295" s="1206"/>
      <c r="C295" s="296"/>
      <c r="D295" s="1167" t="s">
        <v>733</v>
      </c>
      <c r="E295" s="1207"/>
      <c r="F295" s="887"/>
      <c r="G295" s="887"/>
      <c r="H295" s="1179"/>
      <c r="I295" s="383">
        <f t="shared" ref="I295:I301" si="69">SUM(J295:Q295)</f>
        <v>132</v>
      </c>
      <c r="J295" s="913">
        <f>J259+J255+J251+J247+J243+J238+J234+J230+J226+J221+J216+J210+J205+J200+J195+J263+J267+J271+J275+J279+J283</f>
        <v>51</v>
      </c>
      <c r="K295" s="913">
        <f t="shared" ref="K295:Q295" si="70">K259+K255+K251+K247+K243+K238+K234+K230+K226+K221+K216+K210+K205+K200+K195+K263+K267+K271+K275+K279+K283</f>
        <v>18</v>
      </c>
      <c r="L295" s="913">
        <f t="shared" si="70"/>
        <v>63</v>
      </c>
      <c r="M295" s="913">
        <f t="shared" si="70"/>
        <v>0</v>
      </c>
      <c r="N295" s="913">
        <f t="shared" si="70"/>
        <v>0</v>
      </c>
      <c r="O295" s="913">
        <f t="shared" si="70"/>
        <v>0</v>
      </c>
      <c r="P295" s="913">
        <f t="shared" si="70"/>
        <v>0</v>
      </c>
      <c r="Q295" s="1688">
        <f t="shared" si="70"/>
        <v>0</v>
      </c>
      <c r="R295" s="1208"/>
      <c r="S295" s="1208"/>
      <c r="T295" s="1208"/>
      <c r="U295" s="1208"/>
      <c r="V295" s="1208"/>
      <c r="W295" s="1208"/>
      <c r="X295" s="1208"/>
      <c r="Y295" s="1208"/>
      <c r="Z295" s="1208"/>
      <c r="AA295" s="1208"/>
      <c r="AB295" s="1208"/>
      <c r="AC295" s="1208"/>
      <c r="AD295" s="1208"/>
    </row>
    <row r="296" spans="1:30" s="50" customFormat="1" ht="20.100000000000001" customHeight="1" thickBot="1" x14ac:dyDescent="0.35">
      <c r="A296" s="1423">
        <v>289</v>
      </c>
      <c r="B296" s="516"/>
      <c r="C296" s="296"/>
      <c r="D296" s="878" t="s">
        <v>1391</v>
      </c>
      <c r="E296" s="908"/>
      <c r="F296" s="909"/>
      <c r="G296" s="909"/>
      <c r="H296" s="1197"/>
      <c r="I296" s="910">
        <f t="shared" si="69"/>
        <v>1962571</v>
      </c>
      <c r="J296" s="1145">
        <f>SUM(J294:J295)</f>
        <v>1245752</v>
      </c>
      <c r="K296" s="1145">
        <f t="shared" ref="K296:Q296" si="71">SUM(K294:K295)</f>
        <v>271291</v>
      </c>
      <c r="L296" s="1145">
        <f t="shared" si="71"/>
        <v>397528</v>
      </c>
      <c r="M296" s="1145">
        <f t="shared" si="71"/>
        <v>0</v>
      </c>
      <c r="N296" s="1145">
        <f t="shared" si="71"/>
        <v>0</v>
      </c>
      <c r="O296" s="1145">
        <f t="shared" si="71"/>
        <v>48000</v>
      </c>
      <c r="P296" s="1145">
        <f t="shared" si="71"/>
        <v>0</v>
      </c>
      <c r="Q296" s="1214">
        <f t="shared" si="71"/>
        <v>0</v>
      </c>
      <c r="R296" s="253"/>
      <c r="S296" s="253"/>
      <c r="T296" s="253"/>
      <c r="U296" s="253"/>
      <c r="V296" s="253"/>
      <c r="W296" s="253"/>
      <c r="X296" s="253"/>
      <c r="Y296" s="253"/>
      <c r="Z296" s="253"/>
      <c r="AA296" s="253"/>
      <c r="AB296" s="253"/>
      <c r="AC296" s="253"/>
      <c r="AD296" s="253"/>
    </row>
    <row r="297" spans="1:30" s="50" customFormat="1" ht="20.100000000000001" customHeight="1" x14ac:dyDescent="0.3">
      <c r="A297" s="1423">
        <v>290</v>
      </c>
      <c r="B297" s="905"/>
      <c r="C297" s="296"/>
      <c r="D297" s="911" t="s">
        <v>14</v>
      </c>
      <c r="E297" s="1130"/>
      <c r="F297" s="1131"/>
      <c r="G297" s="1131"/>
      <c r="H297" s="1198"/>
      <c r="I297" s="389"/>
      <c r="J297" s="1132"/>
      <c r="K297" s="1132"/>
      <c r="L297" s="1132"/>
      <c r="M297" s="1132"/>
      <c r="N297" s="1132"/>
      <c r="O297" s="1132"/>
      <c r="P297" s="1132"/>
      <c r="Q297" s="1211"/>
      <c r="R297" s="253"/>
      <c r="S297" s="253"/>
      <c r="T297" s="253"/>
      <c r="U297" s="253"/>
      <c r="V297" s="253"/>
      <c r="W297" s="253"/>
      <c r="X297" s="253"/>
      <c r="Y297" s="253"/>
      <c r="Z297" s="253"/>
      <c r="AA297" s="253"/>
      <c r="AB297" s="253"/>
      <c r="AC297" s="253"/>
      <c r="AD297" s="253"/>
    </row>
    <row r="298" spans="1:30" s="50" customFormat="1" ht="20.100000000000001" customHeight="1" x14ac:dyDescent="0.3">
      <c r="A298" s="1423">
        <v>291</v>
      </c>
      <c r="B298" s="517"/>
      <c r="C298" s="296"/>
      <c r="D298" s="1139" t="s">
        <v>334</v>
      </c>
      <c r="E298" s="1111"/>
      <c r="F298" s="1431">
        <f>SUM(F187,F293)</f>
        <v>6705548</v>
      </c>
      <c r="G298" s="1431">
        <f>SUM(G187,G293)</f>
        <v>7096344</v>
      </c>
      <c r="H298" s="1459">
        <f>SUM(H187,H293)</f>
        <v>7353582</v>
      </c>
      <c r="I298" s="1460">
        <f>SUM(J298:Q298)</f>
        <v>7596089</v>
      </c>
      <c r="J298" s="1431">
        <f t="shared" ref="J298:Q298" si="72">SUM(J293,J187)</f>
        <v>4068099</v>
      </c>
      <c r="K298" s="1431">
        <f t="shared" si="72"/>
        <v>871743</v>
      </c>
      <c r="L298" s="1431">
        <f t="shared" si="72"/>
        <v>2490158</v>
      </c>
      <c r="M298" s="1431">
        <f t="shared" si="72"/>
        <v>0</v>
      </c>
      <c r="N298" s="1431">
        <f t="shared" si="72"/>
        <v>1316</v>
      </c>
      <c r="O298" s="1431">
        <f t="shared" si="72"/>
        <v>164773</v>
      </c>
      <c r="P298" s="1431">
        <f t="shared" si="72"/>
        <v>0</v>
      </c>
      <c r="Q298" s="1461">
        <f t="shared" si="72"/>
        <v>0</v>
      </c>
      <c r="R298" s="253"/>
      <c r="S298" s="253"/>
      <c r="T298" s="253"/>
      <c r="U298" s="253"/>
      <c r="V298" s="253"/>
      <c r="W298" s="253"/>
      <c r="X298" s="253"/>
      <c r="Y298" s="253"/>
      <c r="Z298" s="253"/>
      <c r="AA298" s="253"/>
      <c r="AB298" s="253"/>
      <c r="AC298" s="253"/>
      <c r="AD298" s="253"/>
    </row>
    <row r="299" spans="1:30" s="50" customFormat="1" ht="20.100000000000001" customHeight="1" x14ac:dyDescent="0.3">
      <c r="A299" s="1423">
        <v>292</v>
      </c>
      <c r="B299" s="517"/>
      <c r="C299" s="296"/>
      <c r="D299" s="1492" t="s">
        <v>1307</v>
      </c>
      <c r="E299" s="1140"/>
      <c r="F299" s="1062"/>
      <c r="G299" s="1062"/>
      <c r="H299" s="1196"/>
      <c r="I299" s="373">
        <f t="shared" ref="I299" si="73">SUM(J299:Q299)</f>
        <v>8959091</v>
      </c>
      <c r="J299" s="870">
        <f t="shared" ref="J299:Q300" si="74">J294+J188</f>
        <v>4645001</v>
      </c>
      <c r="K299" s="870">
        <f t="shared" si="74"/>
        <v>991367</v>
      </c>
      <c r="L299" s="870">
        <f t="shared" si="74"/>
        <v>2971720</v>
      </c>
      <c r="M299" s="870">
        <f t="shared" si="74"/>
        <v>0</v>
      </c>
      <c r="N299" s="870">
        <f t="shared" si="74"/>
        <v>1406</v>
      </c>
      <c r="O299" s="870">
        <f t="shared" si="74"/>
        <v>346217</v>
      </c>
      <c r="P299" s="870">
        <f t="shared" si="74"/>
        <v>3380</v>
      </c>
      <c r="Q299" s="904">
        <f t="shared" si="74"/>
        <v>0</v>
      </c>
      <c r="R299" s="253"/>
      <c r="S299" s="253"/>
      <c r="T299" s="253"/>
      <c r="U299" s="253"/>
      <c r="V299" s="253"/>
      <c r="W299" s="253"/>
      <c r="X299" s="253"/>
      <c r="Y299" s="253"/>
      <c r="Z299" s="253"/>
      <c r="AA299" s="253"/>
      <c r="AB299" s="253"/>
      <c r="AC299" s="253"/>
      <c r="AD299" s="253"/>
    </row>
    <row r="300" spans="1:30" s="324" customFormat="1" ht="20.100000000000001" customHeight="1" x14ac:dyDescent="0.3">
      <c r="A300" s="1423">
        <v>293</v>
      </c>
      <c r="B300" s="1209"/>
      <c r="C300" s="296"/>
      <c r="D300" s="1167" t="s">
        <v>733</v>
      </c>
      <c r="E300" s="1210"/>
      <c r="F300" s="862"/>
      <c r="G300" s="862"/>
      <c r="H300" s="1185"/>
      <c r="I300" s="383">
        <f t="shared" si="69"/>
        <v>149263</v>
      </c>
      <c r="J300" s="158">
        <f t="shared" si="74"/>
        <v>37515</v>
      </c>
      <c r="K300" s="158">
        <f t="shared" si="74"/>
        <v>6926</v>
      </c>
      <c r="L300" s="158">
        <f t="shared" si="74"/>
        <v>85515</v>
      </c>
      <c r="M300" s="158">
        <f t="shared" si="74"/>
        <v>0</v>
      </c>
      <c r="N300" s="158">
        <f t="shared" si="74"/>
        <v>0</v>
      </c>
      <c r="O300" s="158">
        <f t="shared" si="74"/>
        <v>19107</v>
      </c>
      <c r="P300" s="158">
        <f t="shared" si="74"/>
        <v>200</v>
      </c>
      <c r="Q300" s="1169">
        <f t="shared" si="74"/>
        <v>0</v>
      </c>
      <c r="R300" s="1208"/>
      <c r="S300" s="1208"/>
      <c r="T300" s="1208"/>
      <c r="U300" s="1208"/>
      <c r="V300" s="1208"/>
      <c r="W300" s="1208"/>
      <c r="X300" s="1208"/>
      <c r="Y300" s="1208"/>
      <c r="Z300" s="1208"/>
      <c r="AA300" s="1208"/>
      <c r="AB300" s="1208"/>
      <c r="AC300" s="1208"/>
      <c r="AD300" s="1208"/>
    </row>
    <row r="301" spans="1:30" s="50" customFormat="1" ht="20.100000000000001" customHeight="1" thickBot="1" x14ac:dyDescent="0.35">
      <c r="A301" s="1423">
        <v>294</v>
      </c>
      <c r="B301" s="517"/>
      <c r="C301" s="296"/>
      <c r="D301" s="878" t="s">
        <v>1391</v>
      </c>
      <c r="E301" s="543"/>
      <c r="F301" s="518"/>
      <c r="G301" s="518"/>
      <c r="H301" s="1199"/>
      <c r="I301" s="910">
        <f t="shared" si="69"/>
        <v>9108354</v>
      </c>
      <c r="J301" s="1493">
        <f>SUM(J299:J300)</f>
        <v>4682516</v>
      </c>
      <c r="K301" s="1493">
        <f t="shared" ref="K301:Q301" si="75">SUM(K299:K300)</f>
        <v>998293</v>
      </c>
      <c r="L301" s="1493">
        <f t="shared" si="75"/>
        <v>3057235</v>
      </c>
      <c r="M301" s="1493">
        <f t="shared" si="75"/>
        <v>0</v>
      </c>
      <c r="N301" s="1493">
        <f t="shared" si="75"/>
        <v>1406</v>
      </c>
      <c r="O301" s="1493">
        <f t="shared" si="75"/>
        <v>365324</v>
      </c>
      <c r="P301" s="1493">
        <f t="shared" si="75"/>
        <v>3580</v>
      </c>
      <c r="Q301" s="330">
        <f t="shared" si="75"/>
        <v>0</v>
      </c>
      <c r="R301" s="253"/>
      <c r="S301" s="253"/>
      <c r="T301" s="253"/>
      <c r="U301" s="253"/>
      <c r="V301" s="253"/>
      <c r="W301" s="253"/>
      <c r="X301" s="253"/>
      <c r="Y301" s="253"/>
      <c r="Z301" s="253"/>
      <c r="AA301" s="253"/>
      <c r="AB301" s="253"/>
      <c r="AC301" s="253"/>
      <c r="AD301" s="253"/>
    </row>
    <row r="302" spans="1:30" s="48" customFormat="1" ht="15" customHeight="1" x14ac:dyDescent="0.3">
      <c r="A302" s="1423">
        <v>295</v>
      </c>
      <c r="B302" s="1806" t="s">
        <v>180</v>
      </c>
      <c r="C302" s="1807"/>
      <c r="D302" s="1807"/>
      <c r="E302" s="544"/>
      <c r="F302" s="390"/>
      <c r="G302" s="390"/>
      <c r="H302" s="1200"/>
      <c r="I302" s="393"/>
      <c r="J302" s="390"/>
      <c r="K302" s="390"/>
      <c r="L302" s="390"/>
      <c r="M302" s="390"/>
      <c r="N302" s="390"/>
      <c r="O302" s="390"/>
      <c r="P302" s="390"/>
      <c r="Q302" s="391"/>
      <c r="R302" s="259"/>
      <c r="S302" s="153"/>
      <c r="T302" s="153"/>
      <c r="U302" s="153"/>
      <c r="V302" s="153"/>
      <c r="W302" s="153"/>
      <c r="X302" s="153"/>
      <c r="Y302" s="153"/>
      <c r="Z302" s="153"/>
      <c r="AA302" s="153"/>
      <c r="AB302" s="153"/>
      <c r="AC302" s="153"/>
      <c r="AD302" s="153"/>
    </row>
    <row r="303" spans="1:30" s="48" customFormat="1" ht="15" customHeight="1" x14ac:dyDescent="0.3">
      <c r="A303" s="1423">
        <v>296</v>
      </c>
      <c r="B303" s="1798" t="s">
        <v>181</v>
      </c>
      <c r="C303" s="1799"/>
      <c r="D303" s="1799"/>
      <c r="E303" s="1799"/>
      <c r="F303" s="371">
        <f>SUM(F96:F142,F92,F52,F181)</f>
        <v>4505194</v>
      </c>
      <c r="G303" s="371">
        <f>SUM(G96:G142,G92,G52,G181)</f>
        <v>4670983</v>
      </c>
      <c r="H303" s="1201">
        <f>SUM(H96:H142,H92,H52,H181)+H147</f>
        <v>4832764</v>
      </c>
      <c r="I303" s="392"/>
      <c r="J303" s="304"/>
      <c r="K303" s="304"/>
      <c r="L303" s="304"/>
      <c r="M303" s="304"/>
      <c r="N303" s="304"/>
      <c r="O303" s="304"/>
      <c r="P303" s="304"/>
      <c r="Q303" s="320"/>
      <c r="R303" s="259"/>
      <c r="S303" s="153"/>
      <c r="T303" s="153"/>
      <c r="U303" s="153"/>
      <c r="V303" s="153"/>
      <c r="W303" s="153"/>
      <c r="X303" s="153"/>
      <c r="Y303" s="153"/>
      <c r="Z303" s="153"/>
      <c r="AA303" s="153"/>
      <c r="AB303" s="153"/>
      <c r="AC303" s="153"/>
      <c r="AD303" s="153"/>
    </row>
    <row r="304" spans="1:30" s="44" customFormat="1" ht="15" customHeight="1" x14ac:dyDescent="0.3">
      <c r="A304" s="1423">
        <v>297</v>
      </c>
      <c r="B304" s="1734"/>
      <c r="C304" s="1735"/>
      <c r="D304" s="1052" t="s">
        <v>334</v>
      </c>
      <c r="E304" s="1133"/>
      <c r="F304" s="1134"/>
      <c r="G304" s="1134"/>
      <c r="H304" s="1202"/>
      <c r="I304" s="1135">
        <f>SUM(J304:Q304)</f>
        <v>5148329</v>
      </c>
      <c r="J304" s="1487">
        <f t="shared" ref="J304:Q304" si="76">SUM(J97,J110,J119,J126,J135,J143,J182,J92,J52)+J148</f>
        <v>2611935</v>
      </c>
      <c r="K304" s="1487">
        <f t="shared" si="76"/>
        <v>568246</v>
      </c>
      <c r="L304" s="1487">
        <f t="shared" si="76"/>
        <v>1832263</v>
      </c>
      <c r="M304" s="1487">
        <f t="shared" si="76"/>
        <v>0</v>
      </c>
      <c r="N304" s="1487">
        <f t="shared" si="76"/>
        <v>1316</v>
      </c>
      <c r="O304" s="1487">
        <f t="shared" si="76"/>
        <v>134569</v>
      </c>
      <c r="P304" s="1487">
        <f t="shared" si="76"/>
        <v>0</v>
      </c>
      <c r="Q304" s="1644">
        <f t="shared" si="76"/>
        <v>0</v>
      </c>
      <c r="R304" s="112"/>
      <c r="S304" s="53"/>
      <c r="T304" s="53"/>
      <c r="U304" s="53"/>
      <c r="V304" s="53"/>
      <c r="W304" s="53"/>
      <c r="X304" s="53"/>
      <c r="Y304" s="53"/>
      <c r="Z304" s="53"/>
      <c r="AA304" s="53"/>
      <c r="AB304" s="53"/>
      <c r="AC304" s="53"/>
      <c r="AD304" s="53"/>
    </row>
    <row r="305" spans="1:30" s="44" customFormat="1" ht="15" customHeight="1" x14ac:dyDescent="0.3">
      <c r="A305" s="1423">
        <v>298</v>
      </c>
      <c r="B305" s="1734"/>
      <c r="C305" s="1735"/>
      <c r="D305" s="1492" t="s">
        <v>1307</v>
      </c>
      <c r="E305" s="1133"/>
      <c r="F305" s="1134"/>
      <c r="G305" s="1134"/>
      <c r="H305" s="1202"/>
      <c r="I305" s="373">
        <f t="shared" ref="I305" si="77">SUM(J305:Q305)</f>
        <v>5973857</v>
      </c>
      <c r="J305" s="386">
        <f t="shared" ref="J305:Q305" si="78">J183+J149+J144+J136+J131+J120+J111+J106+J98+J93+J53</f>
        <v>2952070</v>
      </c>
      <c r="K305" s="386">
        <f t="shared" si="78"/>
        <v>633422</v>
      </c>
      <c r="L305" s="386">
        <f t="shared" si="78"/>
        <v>2106965</v>
      </c>
      <c r="M305" s="386">
        <f t="shared" si="78"/>
        <v>0</v>
      </c>
      <c r="N305" s="386">
        <f t="shared" si="78"/>
        <v>1406</v>
      </c>
      <c r="O305" s="386">
        <f t="shared" si="78"/>
        <v>276614</v>
      </c>
      <c r="P305" s="386">
        <f t="shared" si="78"/>
        <v>3380</v>
      </c>
      <c r="Q305" s="387">
        <f t="shared" si="78"/>
        <v>0</v>
      </c>
      <c r="R305" s="112"/>
      <c r="S305" s="53"/>
      <c r="T305" s="53"/>
      <c r="U305" s="53"/>
      <c r="V305" s="53"/>
      <c r="W305" s="53"/>
      <c r="X305" s="53"/>
      <c r="Y305" s="53"/>
      <c r="Z305" s="53"/>
      <c r="AA305" s="53"/>
      <c r="AB305" s="53"/>
      <c r="AC305" s="53"/>
      <c r="AD305" s="53"/>
    </row>
    <row r="306" spans="1:30" s="48" customFormat="1" ht="15" customHeight="1" x14ac:dyDescent="0.3">
      <c r="A306" s="1423">
        <v>299</v>
      </c>
      <c r="B306" s="1734"/>
      <c r="C306" s="1735"/>
      <c r="D306" s="1167" t="s">
        <v>733</v>
      </c>
      <c r="E306" s="1735"/>
      <c r="F306" s="388"/>
      <c r="G306" s="388"/>
      <c r="H306" s="1203"/>
      <c r="I306" s="383">
        <f t="shared" ref="I306" si="79">SUM(J306:Q306)</f>
        <v>41183</v>
      </c>
      <c r="J306" s="388">
        <f>J184+J150+J145+J140+J138+J137+J128+J123+J122+J121+J113+J112+J101+J100+J99+J94+J54+J132+J115+J114+J107+J103+J139+J102+J116</f>
        <v>8266</v>
      </c>
      <c r="K306" s="388">
        <f t="shared" ref="K306:Q306" si="80">K184+K150+K145+K140+K138+K137+K128+K123+K122+K121+K113+K112+K101+K100+K99+K94+K54+K132+K115+K114+K107+K103+K139+K102+K116</f>
        <v>2197</v>
      </c>
      <c r="L306" s="388">
        <f t="shared" si="80"/>
        <v>24714</v>
      </c>
      <c r="M306" s="388">
        <f t="shared" si="80"/>
        <v>0</v>
      </c>
      <c r="N306" s="388">
        <f t="shared" si="80"/>
        <v>0</v>
      </c>
      <c r="O306" s="388">
        <f t="shared" si="80"/>
        <v>5806</v>
      </c>
      <c r="P306" s="388">
        <f t="shared" si="80"/>
        <v>200</v>
      </c>
      <c r="Q306" s="1212">
        <f t="shared" si="80"/>
        <v>0</v>
      </c>
      <c r="R306" s="259"/>
      <c r="S306" s="153"/>
      <c r="T306" s="153"/>
      <c r="U306" s="153"/>
      <c r="V306" s="153"/>
      <c r="W306" s="153"/>
      <c r="X306" s="153"/>
      <c r="Y306" s="153"/>
      <c r="Z306" s="153"/>
      <c r="AA306" s="153"/>
      <c r="AB306" s="153"/>
      <c r="AC306" s="153"/>
      <c r="AD306" s="153"/>
    </row>
    <row r="307" spans="1:30" s="44" customFormat="1" ht="15" customHeight="1" x14ac:dyDescent="0.3">
      <c r="A307" s="1423">
        <v>300</v>
      </c>
      <c r="B307" s="1734"/>
      <c r="C307" s="1735"/>
      <c r="D307" s="1091" t="s">
        <v>1391</v>
      </c>
      <c r="E307" s="1735"/>
      <c r="F307" s="388"/>
      <c r="G307" s="388"/>
      <c r="H307" s="1203"/>
      <c r="I307" s="392">
        <f>SUM(J307:Q307)</f>
        <v>6015040</v>
      </c>
      <c r="J307" s="386">
        <f>SUM(J305:J306)</f>
        <v>2960336</v>
      </c>
      <c r="K307" s="386">
        <f t="shared" ref="K307:Q307" si="81">SUM(K305:K306)</f>
        <v>635619</v>
      </c>
      <c r="L307" s="386">
        <f t="shared" si="81"/>
        <v>2131679</v>
      </c>
      <c r="M307" s="386">
        <f t="shared" si="81"/>
        <v>0</v>
      </c>
      <c r="N307" s="386">
        <f t="shared" si="81"/>
        <v>1406</v>
      </c>
      <c r="O307" s="386">
        <f t="shared" si="81"/>
        <v>282420</v>
      </c>
      <c r="P307" s="386">
        <f t="shared" si="81"/>
        <v>3580</v>
      </c>
      <c r="Q307" s="387">
        <f t="shared" si="81"/>
        <v>0</v>
      </c>
      <c r="R307" s="112"/>
      <c r="S307" s="53"/>
      <c r="T307" s="53"/>
      <c r="U307" s="53"/>
      <c r="V307" s="53"/>
      <c r="W307" s="53"/>
      <c r="X307" s="53"/>
      <c r="Y307" s="53"/>
      <c r="Z307" s="53"/>
      <c r="AA307" s="53"/>
      <c r="AB307" s="53"/>
      <c r="AC307" s="53"/>
      <c r="AD307" s="53"/>
    </row>
    <row r="308" spans="1:30" s="48" customFormat="1" ht="15" customHeight="1" x14ac:dyDescent="0.3">
      <c r="A308" s="1423">
        <v>301</v>
      </c>
      <c r="B308" s="1798" t="s">
        <v>180</v>
      </c>
      <c r="C308" s="1799"/>
      <c r="D308" s="1799"/>
      <c r="E308" s="545"/>
      <c r="F308" s="371"/>
      <c r="G308" s="371"/>
      <c r="H308" s="1201"/>
      <c r="I308" s="394"/>
      <c r="J308" s="371"/>
      <c r="K308" s="371"/>
      <c r="L308" s="371"/>
      <c r="M308" s="371"/>
      <c r="N308" s="371"/>
      <c r="O308" s="371"/>
      <c r="P308" s="371"/>
      <c r="Q308" s="381"/>
      <c r="R308" s="259"/>
      <c r="S308" s="153"/>
      <c r="T308" s="153"/>
      <c r="U308" s="153"/>
      <c r="V308" s="153"/>
      <c r="W308" s="153"/>
      <c r="X308" s="153"/>
      <c r="Y308" s="153"/>
      <c r="Z308" s="153"/>
      <c r="AA308" s="153"/>
      <c r="AB308" s="153"/>
      <c r="AC308" s="153"/>
      <c r="AD308" s="153"/>
    </row>
    <row r="309" spans="1:30" s="48" customFormat="1" ht="15" customHeight="1" x14ac:dyDescent="0.3">
      <c r="A309" s="1423">
        <v>302</v>
      </c>
      <c r="B309" s="1798" t="s">
        <v>182</v>
      </c>
      <c r="C309" s="1799"/>
      <c r="D309" s="1799"/>
      <c r="E309" s="1799"/>
      <c r="F309" s="371">
        <f>SUM(F152:F169)</f>
        <v>772598</v>
      </c>
      <c r="G309" s="371">
        <f>SUM(G152:G169)</f>
        <v>950753</v>
      </c>
      <c r="H309" s="1201">
        <f>SUM(H152:H169)</f>
        <v>1061580</v>
      </c>
      <c r="I309" s="394"/>
      <c r="J309" s="371"/>
      <c r="K309" s="371"/>
      <c r="L309" s="371"/>
      <c r="M309" s="371"/>
      <c r="N309" s="371"/>
      <c r="O309" s="371"/>
      <c r="P309" s="371"/>
      <c r="Q309" s="381"/>
      <c r="R309" s="259"/>
      <c r="S309" s="153"/>
      <c r="T309" s="153"/>
      <c r="U309" s="153"/>
      <c r="V309" s="153"/>
      <c r="W309" s="153"/>
      <c r="X309" s="153"/>
      <c r="Y309" s="153"/>
      <c r="Z309" s="153"/>
      <c r="AA309" s="153"/>
      <c r="AB309" s="153"/>
      <c r="AC309" s="153"/>
      <c r="AD309" s="153"/>
    </row>
    <row r="310" spans="1:30" s="44" customFormat="1" ht="15" customHeight="1" x14ac:dyDescent="0.3">
      <c r="A310" s="1423">
        <v>303</v>
      </c>
      <c r="B310" s="1734"/>
      <c r="C310" s="1735"/>
      <c r="D310" s="1052" t="s">
        <v>334</v>
      </c>
      <c r="E310" s="1133"/>
      <c r="F310" s="1134"/>
      <c r="G310" s="1134"/>
      <c r="H310" s="1202"/>
      <c r="I310" s="1135">
        <f>SUM(J310:Q310)</f>
        <v>874865</v>
      </c>
      <c r="J310" s="1487">
        <f t="shared" ref="J310:Q310" si="82">SUM(J153,J159,J169)+J164</f>
        <v>408923</v>
      </c>
      <c r="K310" s="1487">
        <f t="shared" si="82"/>
        <v>82299</v>
      </c>
      <c r="L310" s="1487">
        <f t="shared" si="82"/>
        <v>376264</v>
      </c>
      <c r="M310" s="1487">
        <f t="shared" si="82"/>
        <v>0</v>
      </c>
      <c r="N310" s="1487">
        <f t="shared" si="82"/>
        <v>0</v>
      </c>
      <c r="O310" s="1487">
        <f t="shared" si="82"/>
        <v>7379</v>
      </c>
      <c r="P310" s="1487">
        <f t="shared" si="82"/>
        <v>0</v>
      </c>
      <c r="Q310" s="1644">
        <f t="shared" si="82"/>
        <v>0</v>
      </c>
      <c r="R310" s="112"/>
      <c r="S310" s="53"/>
      <c r="T310" s="53"/>
      <c r="U310" s="53"/>
      <c r="V310" s="53"/>
      <c r="W310" s="53"/>
      <c r="X310" s="53"/>
      <c r="Y310" s="53"/>
      <c r="Z310" s="53"/>
      <c r="AA310" s="53"/>
      <c r="AB310" s="53"/>
      <c r="AC310" s="53"/>
      <c r="AD310" s="53"/>
    </row>
    <row r="311" spans="1:30" s="44" customFormat="1" ht="15" customHeight="1" x14ac:dyDescent="0.3">
      <c r="A311" s="1423">
        <v>304</v>
      </c>
      <c r="B311" s="1734"/>
      <c r="C311" s="1735"/>
      <c r="D311" s="1492" t="s">
        <v>1307</v>
      </c>
      <c r="E311" s="1133"/>
      <c r="F311" s="1134"/>
      <c r="G311" s="1134"/>
      <c r="H311" s="1202"/>
      <c r="I311" s="373">
        <f t="shared" ref="I311" si="83">SUM(J311:Q311)</f>
        <v>1022795</v>
      </c>
      <c r="J311" s="386">
        <f t="shared" ref="J311:Q311" si="84">J170+J165+J160+J154</f>
        <v>447230</v>
      </c>
      <c r="K311" s="386">
        <f t="shared" si="84"/>
        <v>86672</v>
      </c>
      <c r="L311" s="386">
        <f t="shared" si="84"/>
        <v>467290</v>
      </c>
      <c r="M311" s="386">
        <f t="shared" si="84"/>
        <v>0</v>
      </c>
      <c r="N311" s="386">
        <f t="shared" si="84"/>
        <v>0</v>
      </c>
      <c r="O311" s="386">
        <f t="shared" si="84"/>
        <v>21603</v>
      </c>
      <c r="P311" s="386">
        <f t="shared" si="84"/>
        <v>0</v>
      </c>
      <c r="Q311" s="387">
        <f t="shared" si="84"/>
        <v>0</v>
      </c>
      <c r="R311" s="112"/>
      <c r="S311" s="53"/>
      <c r="T311" s="53"/>
      <c r="U311" s="53"/>
      <c r="V311" s="53"/>
      <c r="W311" s="53"/>
      <c r="X311" s="53"/>
      <c r="Y311" s="53"/>
      <c r="Z311" s="53"/>
      <c r="AA311" s="53"/>
      <c r="AB311" s="53"/>
      <c r="AC311" s="53"/>
      <c r="AD311" s="53"/>
    </row>
    <row r="312" spans="1:30" s="48" customFormat="1" ht="15" customHeight="1" x14ac:dyDescent="0.3">
      <c r="A312" s="1423">
        <v>305</v>
      </c>
      <c r="B312" s="1734"/>
      <c r="C312" s="1735"/>
      <c r="D312" s="1167" t="s">
        <v>733</v>
      </c>
      <c r="E312" s="1735"/>
      <c r="F312" s="388"/>
      <c r="G312" s="388"/>
      <c r="H312" s="1203"/>
      <c r="I312" s="383">
        <f t="shared" ref="I312" si="85">SUM(J312:Q312)</f>
        <v>107948</v>
      </c>
      <c r="J312" s="388">
        <f t="shared" ref="J312:Q312" si="86">J171+J166+J161+J155+J174+J172+J156+J173</f>
        <v>29198</v>
      </c>
      <c r="K312" s="388">
        <f t="shared" si="86"/>
        <v>4711</v>
      </c>
      <c r="L312" s="388">
        <f t="shared" si="86"/>
        <v>60738</v>
      </c>
      <c r="M312" s="388">
        <f t="shared" si="86"/>
        <v>0</v>
      </c>
      <c r="N312" s="388">
        <f t="shared" si="86"/>
        <v>0</v>
      </c>
      <c r="O312" s="388">
        <f t="shared" si="86"/>
        <v>13301</v>
      </c>
      <c r="P312" s="388">
        <f t="shared" si="86"/>
        <v>0</v>
      </c>
      <c r="Q312" s="1212">
        <f t="shared" si="86"/>
        <v>0</v>
      </c>
      <c r="R312" s="259"/>
      <c r="S312" s="153"/>
      <c r="T312" s="153"/>
      <c r="U312" s="153"/>
      <c r="V312" s="153"/>
      <c r="W312" s="153"/>
      <c r="X312" s="153"/>
      <c r="Y312" s="153"/>
      <c r="Z312" s="153"/>
      <c r="AA312" s="153"/>
      <c r="AB312" s="153"/>
      <c r="AC312" s="153"/>
      <c r="AD312" s="153"/>
    </row>
    <row r="313" spans="1:30" s="44" customFormat="1" ht="15" customHeight="1" x14ac:dyDescent="0.3">
      <c r="A313" s="1423">
        <v>306</v>
      </c>
      <c r="B313" s="1734"/>
      <c r="C313" s="1735"/>
      <c r="D313" s="1091" t="s">
        <v>1391</v>
      </c>
      <c r="E313" s="1735"/>
      <c r="F313" s="388"/>
      <c r="G313" s="388"/>
      <c r="H313" s="1203"/>
      <c r="I313" s="392">
        <f>SUM(J313:Q313)</f>
        <v>1130743</v>
      </c>
      <c r="J313" s="386">
        <f>SUM(J311:J312)</f>
        <v>476428</v>
      </c>
      <c r="K313" s="386">
        <f t="shared" ref="K313:Q313" si="87">SUM(K311:K312)</f>
        <v>91383</v>
      </c>
      <c r="L313" s="386">
        <f t="shared" si="87"/>
        <v>528028</v>
      </c>
      <c r="M313" s="386">
        <f t="shared" si="87"/>
        <v>0</v>
      </c>
      <c r="N313" s="386">
        <f t="shared" si="87"/>
        <v>0</v>
      </c>
      <c r="O313" s="386">
        <f t="shared" si="87"/>
        <v>34904</v>
      </c>
      <c r="P313" s="386">
        <f t="shared" si="87"/>
        <v>0</v>
      </c>
      <c r="Q313" s="387">
        <f t="shared" si="87"/>
        <v>0</v>
      </c>
      <c r="R313" s="112"/>
      <c r="S313" s="53"/>
      <c r="T313" s="53"/>
      <c r="U313" s="53"/>
      <c r="V313" s="53"/>
      <c r="W313" s="53"/>
      <c r="X313" s="53"/>
      <c r="Y313" s="53"/>
      <c r="Z313" s="53"/>
      <c r="AA313" s="53"/>
      <c r="AB313" s="53"/>
      <c r="AC313" s="53"/>
      <c r="AD313" s="53"/>
    </row>
    <row r="314" spans="1:30" s="48" customFormat="1" ht="15" customHeight="1" x14ac:dyDescent="0.3">
      <c r="A314" s="1423">
        <v>307</v>
      </c>
      <c r="B314" s="1798" t="s">
        <v>180</v>
      </c>
      <c r="C314" s="1799"/>
      <c r="D314" s="1799"/>
      <c r="E314" s="545"/>
      <c r="F314" s="371"/>
      <c r="G314" s="371"/>
      <c r="H314" s="1201"/>
      <c r="I314" s="394"/>
      <c r="J314" s="386"/>
      <c r="K314" s="386"/>
      <c r="L314" s="386"/>
      <c r="M314" s="386"/>
      <c r="N314" s="386"/>
      <c r="O314" s="386"/>
      <c r="P314" s="386"/>
      <c r="Q314" s="387"/>
      <c r="R314" s="259"/>
      <c r="S314" s="153"/>
      <c r="T314" s="153"/>
      <c r="U314" s="153"/>
      <c r="V314" s="153"/>
      <c r="W314" s="153"/>
      <c r="X314" s="153"/>
      <c r="Y314" s="153"/>
      <c r="Z314" s="153"/>
      <c r="AA314" s="153"/>
      <c r="AB314" s="153"/>
      <c r="AC314" s="153"/>
      <c r="AD314" s="153"/>
    </row>
    <row r="315" spans="1:30" s="48" customFormat="1" ht="15" customHeight="1" x14ac:dyDescent="0.3">
      <c r="A315" s="1423">
        <v>308</v>
      </c>
      <c r="B315" s="1800" t="s">
        <v>183</v>
      </c>
      <c r="C315" s="1801"/>
      <c r="D315" s="1801"/>
      <c r="E315" s="1801"/>
      <c r="F315" s="369">
        <f>SUM(F293)</f>
        <v>1427756</v>
      </c>
      <c r="G315" s="369">
        <f>SUM(G293)</f>
        <v>1474608</v>
      </c>
      <c r="H315" s="1204">
        <f>SUM(H293)</f>
        <v>1459238</v>
      </c>
      <c r="I315" s="394"/>
      <c r="J315" s="371"/>
      <c r="K315" s="371"/>
      <c r="L315" s="371"/>
      <c r="M315" s="371"/>
      <c r="N315" s="371"/>
      <c r="O315" s="371"/>
      <c r="P315" s="371"/>
      <c r="Q315" s="381"/>
      <c r="R315" s="259"/>
      <c r="S315" s="153"/>
      <c r="T315" s="153"/>
      <c r="U315" s="153"/>
      <c r="V315" s="153"/>
      <c r="W315" s="153"/>
      <c r="X315" s="153"/>
      <c r="Y315" s="153"/>
      <c r="Z315" s="153"/>
      <c r="AA315" s="153"/>
      <c r="AB315" s="153"/>
      <c r="AC315" s="153"/>
      <c r="AD315" s="153"/>
    </row>
    <row r="316" spans="1:30" ht="15" customHeight="1" x14ac:dyDescent="0.3">
      <c r="A316" s="1423">
        <v>309</v>
      </c>
      <c r="B316" s="765"/>
      <c r="C316" s="766"/>
      <c r="D316" s="1052" t="s">
        <v>334</v>
      </c>
      <c r="E316" s="1136"/>
      <c r="F316" s="1137"/>
      <c r="G316" s="1137"/>
      <c r="H316" s="1205"/>
      <c r="I316" s="1138">
        <f>SUM(J316:Q316)</f>
        <v>1572895</v>
      </c>
      <c r="J316" s="1645">
        <f>J293</f>
        <v>1047241</v>
      </c>
      <c r="K316" s="1645">
        <f t="shared" ref="K316:Q316" si="88">K293</f>
        <v>221198</v>
      </c>
      <c r="L316" s="1645">
        <f t="shared" si="88"/>
        <v>281631</v>
      </c>
      <c r="M316" s="1645">
        <f t="shared" si="88"/>
        <v>0</v>
      </c>
      <c r="N316" s="1645">
        <f t="shared" si="88"/>
        <v>0</v>
      </c>
      <c r="O316" s="1645">
        <f t="shared" si="88"/>
        <v>22825</v>
      </c>
      <c r="P316" s="1645">
        <f t="shared" si="88"/>
        <v>0</v>
      </c>
      <c r="Q316" s="1646">
        <f t="shared" si="88"/>
        <v>0</v>
      </c>
    </row>
    <row r="317" spans="1:30" ht="15" customHeight="1" x14ac:dyDescent="0.3">
      <c r="A317" s="1423">
        <v>310</v>
      </c>
      <c r="B317" s="765"/>
      <c r="C317" s="766"/>
      <c r="D317" s="1492" t="s">
        <v>1307</v>
      </c>
      <c r="E317" s="1136"/>
      <c r="F317" s="1137"/>
      <c r="G317" s="1137"/>
      <c r="H317" s="1205"/>
      <c r="I317" s="373">
        <f t="shared" ref="I317" si="89">SUM(J317:Q317)</f>
        <v>1962439</v>
      </c>
      <c r="J317" s="386">
        <f>J294</f>
        <v>1245701</v>
      </c>
      <c r="K317" s="386">
        <f t="shared" ref="K317:Q317" si="90">K294</f>
        <v>271273</v>
      </c>
      <c r="L317" s="386">
        <f t="shared" si="90"/>
        <v>397465</v>
      </c>
      <c r="M317" s="386">
        <f t="shared" si="90"/>
        <v>0</v>
      </c>
      <c r="N317" s="386">
        <f t="shared" si="90"/>
        <v>0</v>
      </c>
      <c r="O317" s="386">
        <f t="shared" si="90"/>
        <v>48000</v>
      </c>
      <c r="P317" s="386">
        <f t="shared" si="90"/>
        <v>0</v>
      </c>
      <c r="Q317" s="387">
        <f t="shared" si="90"/>
        <v>0</v>
      </c>
    </row>
    <row r="318" spans="1:30" s="48" customFormat="1" ht="15" customHeight="1" x14ac:dyDescent="0.3">
      <c r="A318" s="1423">
        <v>311</v>
      </c>
      <c r="B318" s="1734"/>
      <c r="C318" s="1735"/>
      <c r="D318" s="1167" t="s">
        <v>733</v>
      </c>
      <c r="E318" s="1735"/>
      <c r="F318" s="388"/>
      <c r="G318" s="388"/>
      <c r="H318" s="1203"/>
      <c r="I318" s="383">
        <f t="shared" ref="I318" si="91">SUM(J318:Q318)</f>
        <v>132</v>
      </c>
      <c r="J318" s="388">
        <f>J295</f>
        <v>51</v>
      </c>
      <c r="K318" s="388">
        <f t="shared" ref="K318:Q318" si="92">K295</f>
        <v>18</v>
      </c>
      <c r="L318" s="388">
        <f t="shared" si="92"/>
        <v>63</v>
      </c>
      <c r="M318" s="388">
        <f t="shared" si="92"/>
        <v>0</v>
      </c>
      <c r="N318" s="388">
        <f t="shared" si="92"/>
        <v>0</v>
      </c>
      <c r="O318" s="388">
        <f t="shared" si="92"/>
        <v>0</v>
      </c>
      <c r="P318" s="388">
        <f t="shared" si="92"/>
        <v>0</v>
      </c>
      <c r="Q318" s="1212">
        <f t="shared" si="92"/>
        <v>0</v>
      </c>
      <c r="R318" s="259"/>
      <c r="S318" s="153"/>
      <c r="T318" s="153"/>
      <c r="U318" s="153"/>
      <c r="V318" s="153"/>
      <c r="W318" s="153"/>
      <c r="X318" s="153"/>
      <c r="Y318" s="153"/>
      <c r="Z318" s="153"/>
      <c r="AA318" s="153"/>
      <c r="AB318" s="153"/>
      <c r="AC318" s="153"/>
      <c r="AD318" s="153"/>
    </row>
    <row r="319" spans="1:30" ht="15" customHeight="1" thickBot="1" x14ac:dyDescent="0.35">
      <c r="A319" s="1423">
        <v>312</v>
      </c>
      <c r="B319" s="764"/>
      <c r="C319" s="1213"/>
      <c r="D319" s="878" t="s">
        <v>1391</v>
      </c>
      <c r="E319" s="914"/>
      <c r="F319" s="915"/>
      <c r="G319" s="915"/>
      <c r="H319" s="915"/>
      <c r="I319" s="916">
        <f>SUM(J319:Q319)</f>
        <v>1962571</v>
      </c>
      <c r="J319" s="1145">
        <f>SUM(J317:J318)</f>
        <v>1245752</v>
      </c>
      <c r="K319" s="1145">
        <f t="shared" ref="K319:Q319" si="93">SUM(K317:K318)</f>
        <v>271291</v>
      </c>
      <c r="L319" s="1145">
        <f t="shared" si="93"/>
        <v>397528</v>
      </c>
      <c r="M319" s="1145">
        <f t="shared" si="93"/>
        <v>0</v>
      </c>
      <c r="N319" s="1145">
        <f t="shared" si="93"/>
        <v>0</v>
      </c>
      <c r="O319" s="1145">
        <f t="shared" si="93"/>
        <v>48000</v>
      </c>
      <c r="P319" s="1145">
        <f t="shared" si="93"/>
        <v>0</v>
      </c>
      <c r="Q319" s="1214">
        <f t="shared" si="93"/>
        <v>0</v>
      </c>
    </row>
    <row r="320" spans="1:30" s="262" customFormat="1" ht="18" customHeight="1" x14ac:dyDescent="0.3">
      <c r="A320" s="55"/>
      <c r="B320" s="1802" t="s">
        <v>28</v>
      </c>
      <c r="C320" s="1802"/>
      <c r="D320" s="1802"/>
      <c r="E320" s="1738"/>
      <c r="F320" s="1739"/>
      <c r="G320" s="1739"/>
      <c r="H320" s="1739"/>
      <c r="I320" s="1740"/>
      <c r="J320" s="1739"/>
      <c r="K320" s="1739"/>
      <c r="L320" s="1739"/>
      <c r="M320" s="1739"/>
      <c r="N320" s="1739"/>
      <c r="O320" s="1739"/>
      <c r="P320" s="1739"/>
      <c r="Q320" s="1739"/>
      <c r="R320" s="261"/>
      <c r="S320" s="261"/>
      <c r="T320" s="261"/>
      <c r="U320" s="261"/>
      <c r="V320" s="261"/>
      <c r="W320" s="261"/>
      <c r="X320" s="261"/>
      <c r="Y320" s="261"/>
      <c r="Z320" s="261"/>
      <c r="AA320" s="261"/>
      <c r="AB320" s="261"/>
      <c r="AC320" s="261"/>
      <c r="AD320" s="261"/>
    </row>
    <row r="321" spans="1:30" s="263" customFormat="1" ht="18" customHeight="1" x14ac:dyDescent="0.3">
      <c r="A321" s="55"/>
      <c r="B321" s="1795" t="s">
        <v>29</v>
      </c>
      <c r="C321" s="1795"/>
      <c r="D321" s="1795"/>
      <c r="E321" s="1795"/>
      <c r="F321" s="1795"/>
      <c r="G321" s="1795"/>
      <c r="H321" s="1795"/>
      <c r="I321" s="1795"/>
      <c r="J321" s="112"/>
      <c r="K321" s="112"/>
      <c r="L321" s="112"/>
      <c r="M321" s="112"/>
      <c r="N321" s="112"/>
      <c r="O321" s="112"/>
      <c r="P321" s="112"/>
      <c r="Q321" s="112"/>
      <c r="R321" s="154"/>
      <c r="S321" s="154"/>
      <c r="T321" s="154"/>
      <c r="U321" s="154"/>
      <c r="V321" s="154"/>
      <c r="W321" s="154"/>
      <c r="X321" s="154"/>
      <c r="Y321" s="154"/>
      <c r="Z321" s="154"/>
      <c r="AA321" s="154"/>
      <c r="AB321" s="154"/>
      <c r="AC321" s="154"/>
      <c r="AD321" s="154"/>
    </row>
    <row r="322" spans="1:30" ht="18" customHeight="1" x14ac:dyDescent="0.3">
      <c r="A322" s="55"/>
      <c r="B322" s="1795" t="s">
        <v>30</v>
      </c>
      <c r="C322" s="1795"/>
      <c r="D322" s="1795"/>
      <c r="E322" s="1692"/>
      <c r="F322" s="112"/>
      <c r="G322" s="112"/>
      <c r="H322" s="112"/>
      <c r="I322" s="749"/>
      <c r="J322" s="112"/>
      <c r="K322" s="112"/>
      <c r="L322" s="112"/>
      <c r="M322" s="112"/>
      <c r="N322" s="112"/>
      <c r="O322" s="112"/>
      <c r="P322" s="112"/>
      <c r="Q322" s="112"/>
    </row>
    <row r="323" spans="1:30" x14ac:dyDescent="0.3">
      <c r="F323" s="111">
        <f t="shared" ref="F323:G323" si="94">+F298-F303-F309-F315</f>
        <v>0</v>
      </c>
      <c r="G323" s="111">
        <f t="shared" si="94"/>
        <v>0</v>
      </c>
      <c r="H323" s="111">
        <f>+H298-H303-H309-H315</f>
        <v>0</v>
      </c>
      <c r="I323" s="154">
        <f>+I298-I304-I310-I316</f>
        <v>0</v>
      </c>
      <c r="J323" s="154">
        <f t="shared" ref="J323:Q323" si="95">+J298-J304-J310-J316</f>
        <v>0</v>
      </c>
      <c r="K323" s="154">
        <f t="shared" si="95"/>
        <v>0</v>
      </c>
      <c r="L323" s="154">
        <f t="shared" si="95"/>
        <v>0</v>
      </c>
      <c r="M323" s="154">
        <f t="shared" si="95"/>
        <v>0</v>
      </c>
      <c r="N323" s="154">
        <f t="shared" si="95"/>
        <v>0</v>
      </c>
      <c r="O323" s="154">
        <f t="shared" si="95"/>
        <v>0</v>
      </c>
      <c r="P323" s="154">
        <f t="shared" si="95"/>
        <v>0</v>
      </c>
      <c r="Q323" s="154">
        <f t="shared" si="95"/>
        <v>0</v>
      </c>
    </row>
    <row r="325" spans="1:30" x14ac:dyDescent="0.3">
      <c r="F325" s="111">
        <f>+F298-'2.Onki'!G7</f>
        <v>0</v>
      </c>
      <c r="G325" s="111">
        <f>+G298-'2.Onki'!H7</f>
        <v>0</v>
      </c>
      <c r="H325" s="111">
        <f>H298-'2.Onki'!I7</f>
        <v>0</v>
      </c>
    </row>
  </sheetData>
  <mergeCells count="39">
    <mergeCell ref="D245:E245"/>
    <mergeCell ref="D285:E285"/>
    <mergeCell ref="C191:D191"/>
    <mergeCell ref="B302:D302"/>
    <mergeCell ref="D212:E212"/>
    <mergeCell ref="D288:E288"/>
    <mergeCell ref="D236:E236"/>
    <mergeCell ref="D240:E240"/>
    <mergeCell ref="D241:E241"/>
    <mergeCell ref="D257:F257"/>
    <mergeCell ref="D286:E286"/>
    <mergeCell ref="D287:E287"/>
    <mergeCell ref="D249:E249"/>
    <mergeCell ref="D253:E253"/>
    <mergeCell ref="B321:I321"/>
    <mergeCell ref="D277:E277"/>
    <mergeCell ref="B322:D322"/>
    <mergeCell ref="B303:E303"/>
    <mergeCell ref="B308:D308"/>
    <mergeCell ref="B309:E309"/>
    <mergeCell ref="B314:D314"/>
    <mergeCell ref="B315:E315"/>
    <mergeCell ref="B320:D320"/>
    <mergeCell ref="D105:G105"/>
    <mergeCell ref="D130:G130"/>
    <mergeCell ref="J6:N6"/>
    <mergeCell ref="O6:Q6"/>
    <mergeCell ref="B1:F1"/>
    <mergeCell ref="B2:Q2"/>
    <mergeCell ref="B3:Q3"/>
    <mergeCell ref="P4:Q4"/>
    <mergeCell ref="B6:B7"/>
    <mergeCell ref="C6:C7"/>
    <mergeCell ref="I6:I7"/>
    <mergeCell ref="D6:D7"/>
    <mergeCell ref="E6:E7"/>
    <mergeCell ref="F6:F7"/>
    <mergeCell ref="H6:H7"/>
    <mergeCell ref="G6:G7"/>
  </mergeCells>
  <printOptions horizontalCentered="1"/>
  <pageMargins left="0.19685039370078741" right="0.19685039370078741" top="0.59055118110236227" bottom="0.59055118110236227" header="0.31496062992125984" footer="0.31496062992125984"/>
  <pageSetup paperSize="9" scale="60" fitToHeight="6" orientation="landscape" r:id="rId1"/>
  <headerFooter alignWithMargins="0">
    <oddFooter>&amp;C -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24"/>
  <sheetViews>
    <sheetView view="pageBreakPreview" zoomScaleNormal="75" zoomScaleSheetLayoutView="100" workbookViewId="0">
      <selection activeCell="B1" sqref="B1:D1"/>
    </sheetView>
  </sheetViews>
  <sheetFormatPr defaultColWidth="9.140625" defaultRowHeight="17.25" x14ac:dyDescent="0.35"/>
  <cols>
    <col min="1" max="1" width="3.7109375" style="699" customWidth="1"/>
    <col min="2" max="2" width="4.7109375" style="3" customWidth="1"/>
    <col min="3" max="3" width="4.7109375" style="7" customWidth="1"/>
    <col min="4" max="4" width="87.7109375" style="18" customWidth="1"/>
    <col min="5" max="7" width="11.7109375" style="4" customWidth="1"/>
    <col min="8" max="8" width="5.7109375" style="3" customWidth="1"/>
    <col min="9" max="14" width="12.7109375" style="15" customWidth="1"/>
    <col min="15" max="15" width="9.28515625" style="4" bestFit="1" customWidth="1"/>
    <col min="16" max="16384" width="9.140625" style="4"/>
  </cols>
  <sheetData>
    <row r="1" spans="1:16" s="181" customFormat="1" ht="15" x14ac:dyDescent="0.3">
      <c r="A1" s="699"/>
      <c r="B1" s="1829" t="s">
        <v>1498</v>
      </c>
      <c r="C1" s="1829"/>
      <c r="D1" s="1829"/>
      <c r="E1" s="403"/>
      <c r="F1" s="403"/>
      <c r="G1" s="1830"/>
      <c r="H1" s="1830"/>
      <c r="I1" s="1830"/>
      <c r="J1" s="1698"/>
      <c r="K1" s="1698"/>
      <c r="L1" s="1698"/>
      <c r="M1" s="1698"/>
      <c r="N1" s="1698"/>
    </row>
    <row r="2" spans="1:16" ht="16.5" x14ac:dyDescent="0.3">
      <c r="B2" s="1831" t="s">
        <v>15</v>
      </c>
      <c r="C2" s="1831"/>
      <c r="D2" s="1831"/>
      <c r="E2" s="1831"/>
      <c r="F2" s="1831"/>
      <c r="G2" s="1831"/>
      <c r="H2" s="1831"/>
      <c r="I2" s="1831"/>
      <c r="J2" s="1831"/>
      <c r="K2" s="1831"/>
      <c r="L2" s="1831"/>
      <c r="M2" s="1831"/>
      <c r="N2" s="1831"/>
    </row>
    <row r="3" spans="1:16" s="6" customFormat="1" ht="16.5" x14ac:dyDescent="0.2">
      <c r="A3" s="699"/>
      <c r="B3" s="1832" t="s">
        <v>1395</v>
      </c>
      <c r="C3" s="1832"/>
      <c r="D3" s="1832"/>
      <c r="E3" s="1832"/>
      <c r="F3" s="1832"/>
      <c r="G3" s="1832"/>
      <c r="H3" s="1832"/>
      <c r="I3" s="1832"/>
      <c r="J3" s="1832"/>
      <c r="K3" s="1832"/>
      <c r="L3" s="1832"/>
      <c r="M3" s="1832"/>
      <c r="N3" s="1832"/>
    </row>
    <row r="4" spans="1:16" x14ac:dyDescent="0.35">
      <c r="D4" s="8"/>
      <c r="G4" s="9"/>
      <c r="H4" s="698"/>
      <c r="I4" s="405"/>
      <c r="J4" s="109"/>
      <c r="K4" s="109"/>
      <c r="L4" s="109"/>
      <c r="M4" s="1833" t="s">
        <v>0</v>
      </c>
      <c r="N4" s="1833"/>
    </row>
    <row r="5" spans="1:16" s="143" customFormat="1" ht="14.25" thickBot="1" x14ac:dyDescent="0.35">
      <c r="A5" s="699"/>
      <c r="B5" s="143" t="s">
        <v>1</v>
      </c>
      <c r="C5" s="155" t="s">
        <v>3</v>
      </c>
      <c r="D5" s="185" t="s">
        <v>2</v>
      </c>
      <c r="E5" s="143" t="s">
        <v>4</v>
      </c>
      <c r="F5" s="143" t="s">
        <v>5</v>
      </c>
      <c r="G5" s="143" t="s">
        <v>16</v>
      </c>
      <c r="H5" s="688" t="s">
        <v>17</v>
      </c>
      <c r="I5" s="155" t="s">
        <v>18</v>
      </c>
      <c r="J5" s="155" t="s">
        <v>39</v>
      </c>
      <c r="K5" s="155" t="s">
        <v>31</v>
      </c>
      <c r="L5" s="155" t="s">
        <v>24</v>
      </c>
      <c r="M5" s="155" t="s">
        <v>40</v>
      </c>
      <c r="N5" s="155" t="s">
        <v>41</v>
      </c>
    </row>
    <row r="6" spans="1:16" s="1699" customFormat="1" ht="34.5" customHeight="1" x14ac:dyDescent="0.2">
      <c r="A6" s="699"/>
      <c r="B6" s="1819" t="s">
        <v>19</v>
      </c>
      <c r="C6" s="1821" t="s">
        <v>20</v>
      </c>
      <c r="D6" s="1825" t="s">
        <v>6</v>
      </c>
      <c r="E6" s="1817" t="s">
        <v>539</v>
      </c>
      <c r="F6" s="1817" t="s">
        <v>529</v>
      </c>
      <c r="G6" s="1823" t="s">
        <v>924</v>
      </c>
      <c r="H6" s="1827" t="s">
        <v>21</v>
      </c>
      <c r="I6" s="1813" t="s">
        <v>355</v>
      </c>
      <c r="J6" s="1815" t="s">
        <v>42</v>
      </c>
      <c r="K6" s="1815"/>
      <c r="L6" s="1815"/>
      <c r="M6" s="1815"/>
      <c r="N6" s="1816"/>
    </row>
    <row r="7" spans="1:16" s="1699" customFormat="1" ht="45.75" thickBot="1" x14ac:dyDescent="0.25">
      <c r="A7" s="699"/>
      <c r="B7" s="1820"/>
      <c r="C7" s="1822"/>
      <c r="D7" s="1826"/>
      <c r="E7" s="1818"/>
      <c r="F7" s="1818"/>
      <c r="G7" s="1824"/>
      <c r="H7" s="1828"/>
      <c r="I7" s="1814"/>
      <c r="J7" s="161" t="s">
        <v>43</v>
      </c>
      <c r="K7" s="161" t="s">
        <v>44</v>
      </c>
      <c r="L7" s="161" t="s">
        <v>45</v>
      </c>
      <c r="M7" s="161" t="s">
        <v>239</v>
      </c>
      <c r="N7" s="162" t="s">
        <v>46</v>
      </c>
    </row>
    <row r="8" spans="1:16" s="3" customFormat="1" ht="22.5" customHeight="1" thickTop="1" x14ac:dyDescent="0.3">
      <c r="A8" s="699">
        <v>1</v>
      </c>
      <c r="B8" s="1282">
        <v>18</v>
      </c>
      <c r="C8" s="1387">
        <v>1</v>
      </c>
      <c r="D8" s="691" t="s">
        <v>47</v>
      </c>
      <c r="E8" s="164">
        <v>6005</v>
      </c>
      <c r="F8" s="164">
        <v>7000</v>
      </c>
      <c r="G8" s="1277">
        <v>6918</v>
      </c>
      <c r="H8" s="702" t="s">
        <v>24</v>
      </c>
      <c r="I8" s="664"/>
      <c r="J8" s="165"/>
      <c r="K8" s="165"/>
      <c r="L8" s="165"/>
      <c r="M8" s="165"/>
      <c r="N8" s="166"/>
    </row>
    <row r="9" spans="1:16" s="1237" customFormat="1" ht="18" customHeight="1" x14ac:dyDescent="0.3">
      <c r="A9" s="699">
        <v>2</v>
      </c>
      <c r="B9" s="1283"/>
      <c r="C9" s="1388"/>
      <c r="D9" s="1231" t="s">
        <v>334</v>
      </c>
      <c r="E9" s="1232"/>
      <c r="F9" s="1232"/>
      <c r="G9" s="1277"/>
      <c r="H9" s="1233"/>
      <c r="I9" s="1234">
        <f>SUM(J9:N9)</f>
        <v>7000</v>
      </c>
      <c r="J9" s="1235"/>
      <c r="K9" s="1235"/>
      <c r="L9" s="1235">
        <v>7000</v>
      </c>
      <c r="M9" s="1235"/>
      <c r="N9" s="1236"/>
    </row>
    <row r="10" spans="1:16" s="1699" customFormat="1" ht="18" customHeight="1" x14ac:dyDescent="0.3">
      <c r="A10" s="699">
        <v>3</v>
      </c>
      <c r="B10" s="1295"/>
      <c r="C10" s="1390"/>
      <c r="D10" s="690" t="s">
        <v>1307</v>
      </c>
      <c r="E10" s="1305"/>
      <c r="F10" s="1305"/>
      <c r="G10" s="1306"/>
      <c r="H10" s="919"/>
      <c r="I10" s="1305">
        <f>SUM(J10:N10)</f>
        <v>7575</v>
      </c>
      <c r="J10" s="165"/>
      <c r="K10" s="165">
        <v>17</v>
      </c>
      <c r="L10" s="165">
        <v>7558</v>
      </c>
      <c r="M10" s="165"/>
      <c r="N10" s="166"/>
    </row>
    <row r="11" spans="1:16" s="10" customFormat="1" ht="18" customHeight="1" x14ac:dyDescent="0.3">
      <c r="A11" s="699">
        <v>4</v>
      </c>
      <c r="B11" s="1284"/>
      <c r="C11" s="1389"/>
      <c r="D11" s="1150" t="s">
        <v>834</v>
      </c>
      <c r="E11" s="164"/>
      <c r="F11" s="164"/>
      <c r="G11" s="1277"/>
      <c r="H11" s="919"/>
      <c r="I11" s="158">
        <f>SUM(J11:Q11)</f>
        <v>0</v>
      </c>
      <c r="J11" s="197"/>
      <c r="K11" s="197"/>
      <c r="L11" s="717"/>
      <c r="M11" s="197"/>
      <c r="N11" s="205"/>
    </row>
    <row r="12" spans="1:16" s="1699" customFormat="1" ht="18" customHeight="1" x14ac:dyDescent="0.3">
      <c r="A12" s="699">
        <v>5</v>
      </c>
      <c r="B12" s="1295"/>
      <c r="C12" s="1390"/>
      <c r="D12" s="690" t="s">
        <v>1391</v>
      </c>
      <c r="E12" s="1305"/>
      <c r="F12" s="1305"/>
      <c r="G12" s="1306"/>
      <c r="H12" s="702"/>
      <c r="I12" s="665">
        <f>SUM(J12:N12)</f>
        <v>7575</v>
      </c>
      <c r="J12" s="165"/>
      <c r="K12" s="165">
        <f>SUM(K10:K11)</f>
        <v>17</v>
      </c>
      <c r="L12" s="165">
        <f>SUM(L10:L11)</f>
        <v>7558</v>
      </c>
      <c r="M12" s="165"/>
      <c r="N12" s="166"/>
    </row>
    <row r="13" spans="1:16" s="3" customFormat="1" ht="22.5" customHeight="1" x14ac:dyDescent="0.3">
      <c r="A13" s="699">
        <v>6</v>
      </c>
      <c r="B13" s="1282"/>
      <c r="C13" s="1387">
        <v>2</v>
      </c>
      <c r="D13" s="691" t="s">
        <v>48</v>
      </c>
      <c r="E13" s="164">
        <v>3150</v>
      </c>
      <c r="F13" s="164">
        <v>5000</v>
      </c>
      <c r="G13" s="1277">
        <v>4298</v>
      </c>
      <c r="H13" s="702" t="s">
        <v>25</v>
      </c>
      <c r="I13" s="664"/>
      <c r="J13" s="165"/>
      <c r="K13" s="165"/>
      <c r="L13" s="165"/>
      <c r="M13" s="165"/>
      <c r="N13" s="166"/>
      <c r="P13" s="10"/>
    </row>
    <row r="14" spans="1:16" s="1237" customFormat="1" ht="18" customHeight="1" x14ac:dyDescent="0.3">
      <c r="A14" s="699">
        <v>7</v>
      </c>
      <c r="B14" s="1283"/>
      <c r="C14" s="1388"/>
      <c r="D14" s="1231" t="s">
        <v>334</v>
      </c>
      <c r="E14" s="1232"/>
      <c r="F14" s="1232"/>
      <c r="G14" s="1277"/>
      <c r="H14" s="1233"/>
      <c r="I14" s="1234">
        <f>SUM(J14:N14)</f>
        <v>5000</v>
      </c>
      <c r="J14" s="1235"/>
      <c r="K14" s="1235"/>
      <c r="L14" s="1235">
        <v>5000</v>
      </c>
      <c r="M14" s="1235"/>
      <c r="N14" s="1236"/>
    </row>
    <row r="15" spans="1:16" s="1237" customFormat="1" ht="18" customHeight="1" x14ac:dyDescent="0.3">
      <c r="A15" s="699">
        <v>8</v>
      </c>
      <c r="B15" s="1283"/>
      <c r="C15" s="1388"/>
      <c r="D15" s="690" t="s">
        <v>1307</v>
      </c>
      <c r="E15" s="1232"/>
      <c r="F15" s="1232"/>
      <c r="G15" s="1277"/>
      <c r="H15" s="1233"/>
      <c r="I15" s="1305">
        <f>SUM(J15:N15)</f>
        <v>5672</v>
      </c>
      <c r="J15" s="1235"/>
      <c r="K15" s="527">
        <v>35</v>
      </c>
      <c r="L15" s="527">
        <v>5437</v>
      </c>
      <c r="M15" s="1235"/>
      <c r="N15" s="520">
        <v>200</v>
      </c>
    </row>
    <row r="16" spans="1:16" s="10" customFormat="1" ht="18" customHeight="1" x14ac:dyDescent="0.3">
      <c r="A16" s="699">
        <v>9</v>
      </c>
      <c r="B16" s="1284"/>
      <c r="C16" s="1389"/>
      <c r="D16" s="1150" t="s">
        <v>834</v>
      </c>
      <c r="E16" s="164"/>
      <c r="F16" s="164"/>
      <c r="G16" s="1277"/>
      <c r="H16" s="702"/>
      <c r="I16" s="158">
        <f>SUM(J16:Q16)</f>
        <v>0</v>
      </c>
      <c r="J16" s="168"/>
      <c r="K16" s="168"/>
      <c r="L16" s="168"/>
      <c r="M16" s="168"/>
      <c r="N16" s="169"/>
    </row>
    <row r="17" spans="1:16" s="1699" customFormat="1" ht="18" customHeight="1" x14ac:dyDescent="0.3">
      <c r="A17" s="699">
        <v>10</v>
      </c>
      <c r="B17" s="1295"/>
      <c r="C17" s="1390"/>
      <c r="D17" s="690" t="s">
        <v>1391</v>
      </c>
      <c r="E17" s="1305"/>
      <c r="F17" s="1305"/>
      <c r="G17" s="1306"/>
      <c r="H17" s="702"/>
      <c r="I17" s="665">
        <f>SUM(J17:N17)</f>
        <v>5672</v>
      </c>
      <c r="J17" s="527"/>
      <c r="K17" s="527">
        <f>SUM(K15:K16)</f>
        <v>35</v>
      </c>
      <c r="L17" s="527">
        <f>SUM(L15:L16)</f>
        <v>5437</v>
      </c>
      <c r="M17" s="527"/>
      <c r="N17" s="520">
        <f>SUM(N15:N16)</f>
        <v>200</v>
      </c>
    </row>
    <row r="18" spans="1:16" s="3" customFormat="1" ht="22.5" customHeight="1" x14ac:dyDescent="0.3">
      <c r="A18" s="699">
        <v>11</v>
      </c>
      <c r="B18" s="1282"/>
      <c r="C18" s="1387">
        <v>3</v>
      </c>
      <c r="D18" s="691" t="s">
        <v>49</v>
      </c>
      <c r="E18" s="164">
        <v>8774</v>
      </c>
      <c r="F18" s="164">
        <v>10000</v>
      </c>
      <c r="G18" s="1277">
        <v>15651</v>
      </c>
      <c r="H18" s="702" t="s">
        <v>25</v>
      </c>
      <c r="I18" s="666"/>
      <c r="J18" s="171"/>
      <c r="K18" s="171"/>
      <c r="L18" s="171"/>
      <c r="M18" s="171"/>
      <c r="N18" s="172"/>
      <c r="P18" s="10"/>
    </row>
    <row r="19" spans="1:16" s="1237" customFormat="1" ht="18" customHeight="1" x14ac:dyDescent="0.3">
      <c r="A19" s="699">
        <v>12</v>
      </c>
      <c r="B19" s="1283"/>
      <c r="C19" s="1388"/>
      <c r="D19" s="1231" t="s">
        <v>334</v>
      </c>
      <c r="E19" s="1232"/>
      <c r="F19" s="1232"/>
      <c r="G19" s="1277"/>
      <c r="H19" s="1233"/>
      <c r="I19" s="1234">
        <f>SUM(J19:N19)</f>
        <v>10000</v>
      </c>
      <c r="J19" s="1235">
        <v>1000</v>
      </c>
      <c r="K19" s="1235">
        <v>500</v>
      </c>
      <c r="L19" s="1235">
        <v>8500</v>
      </c>
      <c r="M19" s="1235"/>
      <c r="N19" s="1236"/>
    </row>
    <row r="20" spans="1:16" s="1237" customFormat="1" ht="18" customHeight="1" x14ac:dyDescent="0.3">
      <c r="A20" s="699">
        <v>13</v>
      </c>
      <c r="B20" s="1283"/>
      <c r="C20" s="1388"/>
      <c r="D20" s="690" t="s">
        <v>1307</v>
      </c>
      <c r="E20" s="1232"/>
      <c r="F20" s="1232"/>
      <c r="G20" s="1277"/>
      <c r="H20" s="1233"/>
      <c r="I20" s="665">
        <f>SUM(J20:N20)</f>
        <v>10571</v>
      </c>
      <c r="J20" s="527">
        <v>2120</v>
      </c>
      <c r="K20" s="527">
        <v>863</v>
      </c>
      <c r="L20" s="527">
        <v>7588</v>
      </c>
      <c r="M20" s="1235"/>
      <c r="N20" s="1236"/>
    </row>
    <row r="21" spans="1:16" s="10" customFormat="1" ht="18" customHeight="1" x14ac:dyDescent="0.3">
      <c r="A21" s="699">
        <v>14</v>
      </c>
      <c r="B21" s="1284"/>
      <c r="C21" s="1389"/>
      <c r="D21" s="1150" t="s">
        <v>1460</v>
      </c>
      <c r="E21" s="164"/>
      <c r="F21" s="164"/>
      <c r="G21" s="1277"/>
      <c r="H21" s="702"/>
      <c r="I21" s="158">
        <f>SUM(J21:Q21)</f>
        <v>0</v>
      </c>
      <c r="J21" s="168"/>
      <c r="K21" s="168">
        <v>140</v>
      </c>
      <c r="L21" s="168">
        <v>-140</v>
      </c>
      <c r="M21" s="168"/>
      <c r="N21" s="169"/>
    </row>
    <row r="22" spans="1:16" s="1699" customFormat="1" ht="18" customHeight="1" x14ac:dyDescent="0.3">
      <c r="A22" s="699">
        <v>15</v>
      </c>
      <c r="B22" s="1295"/>
      <c r="C22" s="1390"/>
      <c r="D22" s="690" t="s">
        <v>1391</v>
      </c>
      <c r="E22" s="1305"/>
      <c r="F22" s="1305"/>
      <c r="G22" s="1306"/>
      <c r="H22" s="702"/>
      <c r="I22" s="665">
        <f>SUM(J22:N22)</f>
        <v>10571</v>
      </c>
      <c r="J22" s="527">
        <f>SUM(J20:J21)</f>
        <v>2120</v>
      </c>
      <c r="K22" s="527">
        <f>SUM(K20:K21)</f>
        <v>1003</v>
      </c>
      <c r="L22" s="527">
        <f>SUM(L20:L21)</f>
        <v>7448</v>
      </c>
      <c r="M22" s="527"/>
      <c r="N22" s="520"/>
    </row>
    <row r="23" spans="1:16" s="3" customFormat="1" ht="22.5" customHeight="1" x14ac:dyDescent="0.3">
      <c r="A23" s="699">
        <v>16</v>
      </c>
      <c r="B23" s="1282"/>
      <c r="C23" s="1387">
        <v>4</v>
      </c>
      <c r="D23" s="691" t="s">
        <v>50</v>
      </c>
      <c r="E23" s="164">
        <v>13898</v>
      </c>
      <c r="F23" s="164">
        <v>11000</v>
      </c>
      <c r="G23" s="1277">
        <v>12950</v>
      </c>
      <c r="H23" s="702" t="s">
        <v>25</v>
      </c>
      <c r="I23" s="665"/>
      <c r="J23" s="168"/>
      <c r="K23" s="168"/>
      <c r="L23" s="168"/>
      <c r="M23" s="168"/>
      <c r="N23" s="169"/>
      <c r="P23" s="10"/>
    </row>
    <row r="24" spans="1:16" s="1237" customFormat="1" ht="18" customHeight="1" x14ac:dyDescent="0.3">
      <c r="A24" s="699">
        <v>17</v>
      </c>
      <c r="B24" s="1283"/>
      <c r="C24" s="1388"/>
      <c r="D24" s="1231" t="s">
        <v>334</v>
      </c>
      <c r="E24" s="1232"/>
      <c r="F24" s="1232"/>
      <c r="G24" s="1277"/>
      <c r="H24" s="1233"/>
      <c r="I24" s="1234">
        <f>SUM(J24:N24)</f>
        <v>11000</v>
      </c>
      <c r="J24" s="1235"/>
      <c r="K24" s="1235"/>
      <c r="L24" s="1235">
        <v>11000</v>
      </c>
      <c r="M24" s="1235"/>
      <c r="N24" s="1236"/>
    </row>
    <row r="25" spans="1:16" s="1237" customFormat="1" ht="18" customHeight="1" x14ac:dyDescent="0.3">
      <c r="A25" s="699">
        <v>18</v>
      </c>
      <c r="B25" s="1283"/>
      <c r="C25" s="1388"/>
      <c r="D25" s="690" t="s">
        <v>1307</v>
      </c>
      <c r="E25" s="1232"/>
      <c r="F25" s="1232"/>
      <c r="G25" s="1277"/>
      <c r="H25" s="1233"/>
      <c r="I25" s="665">
        <f>SUM(J25:N25)</f>
        <v>16014</v>
      </c>
      <c r="J25" s="1235"/>
      <c r="K25" s="1235"/>
      <c r="L25" s="527">
        <v>16014</v>
      </c>
      <c r="M25" s="1235"/>
      <c r="N25" s="1236"/>
    </row>
    <row r="26" spans="1:16" s="10" customFormat="1" ht="18" customHeight="1" x14ac:dyDescent="0.3">
      <c r="A26" s="699">
        <v>19</v>
      </c>
      <c r="B26" s="1284"/>
      <c r="C26" s="1389"/>
      <c r="D26" s="1150" t="s">
        <v>834</v>
      </c>
      <c r="E26" s="164"/>
      <c r="F26" s="164"/>
      <c r="G26" s="1277"/>
      <c r="H26" s="702"/>
      <c r="I26" s="158">
        <f>SUM(J26:Q26)</f>
        <v>0</v>
      </c>
      <c r="J26" s="168"/>
      <c r="K26" s="168"/>
      <c r="L26" s="183"/>
      <c r="M26" s="168"/>
      <c r="N26" s="169"/>
    </row>
    <row r="27" spans="1:16" s="1699" customFormat="1" ht="18" customHeight="1" x14ac:dyDescent="0.3">
      <c r="A27" s="699">
        <v>20</v>
      </c>
      <c r="B27" s="1295"/>
      <c r="C27" s="1390"/>
      <c r="D27" s="690" t="s">
        <v>1391</v>
      </c>
      <c r="E27" s="1305"/>
      <c r="F27" s="1305"/>
      <c r="G27" s="1306"/>
      <c r="H27" s="702"/>
      <c r="I27" s="665">
        <f>SUM(J27:N27)</f>
        <v>16014</v>
      </c>
      <c r="J27" s="527"/>
      <c r="K27" s="527"/>
      <c r="L27" s="527">
        <f>SUM(L25:L26)</f>
        <v>16014</v>
      </c>
      <c r="M27" s="527"/>
      <c r="N27" s="520"/>
    </row>
    <row r="28" spans="1:16" s="3" customFormat="1" ht="22.5" customHeight="1" x14ac:dyDescent="0.3">
      <c r="A28" s="699">
        <v>21</v>
      </c>
      <c r="B28" s="1282"/>
      <c r="C28" s="1387">
        <v>5</v>
      </c>
      <c r="D28" s="691" t="s">
        <v>13</v>
      </c>
      <c r="E28" s="164">
        <v>7830</v>
      </c>
      <c r="F28" s="164">
        <v>9653</v>
      </c>
      <c r="G28" s="1277">
        <v>8243</v>
      </c>
      <c r="H28" s="702" t="s">
        <v>25</v>
      </c>
      <c r="I28" s="666"/>
      <c r="J28" s="171"/>
      <c r="K28" s="171"/>
      <c r="L28" s="171"/>
      <c r="M28" s="171"/>
      <c r="N28" s="172"/>
      <c r="O28" s="10"/>
      <c r="P28" s="10"/>
    </row>
    <row r="29" spans="1:16" s="1237" customFormat="1" ht="18" customHeight="1" x14ac:dyDescent="0.3">
      <c r="A29" s="699">
        <v>22</v>
      </c>
      <c r="B29" s="1283"/>
      <c r="C29" s="1388"/>
      <c r="D29" s="1231" t="s">
        <v>334</v>
      </c>
      <c r="E29" s="1232"/>
      <c r="F29" s="1232"/>
      <c r="G29" s="1277"/>
      <c r="H29" s="1233"/>
      <c r="I29" s="1234">
        <f>SUM(J29:N29)</f>
        <v>10167</v>
      </c>
      <c r="J29" s="1235">
        <v>5595</v>
      </c>
      <c r="K29" s="1235">
        <v>1132</v>
      </c>
      <c r="L29" s="1235">
        <v>3090</v>
      </c>
      <c r="M29" s="1235"/>
      <c r="N29" s="1236">
        <v>350</v>
      </c>
    </row>
    <row r="30" spans="1:16" s="1237" customFormat="1" ht="18" customHeight="1" x14ac:dyDescent="0.3">
      <c r="A30" s="699">
        <v>23</v>
      </c>
      <c r="B30" s="1283"/>
      <c r="C30" s="1388"/>
      <c r="D30" s="690" t="s">
        <v>1307</v>
      </c>
      <c r="E30" s="1232"/>
      <c r="F30" s="1232"/>
      <c r="G30" s="1277"/>
      <c r="H30" s="1233"/>
      <c r="I30" s="665">
        <f>SUM(J30:N30)</f>
        <v>11467</v>
      </c>
      <c r="J30" s="527">
        <v>5595</v>
      </c>
      <c r="K30" s="527">
        <v>1132</v>
      </c>
      <c r="L30" s="527">
        <v>4390</v>
      </c>
      <c r="M30" s="1235"/>
      <c r="N30" s="520">
        <v>350</v>
      </c>
    </row>
    <row r="31" spans="1:16" s="10" customFormat="1" ht="18" customHeight="1" x14ac:dyDescent="0.3">
      <c r="A31" s="699">
        <v>24</v>
      </c>
      <c r="B31" s="1284"/>
      <c r="C31" s="1389"/>
      <c r="D31" s="1150" t="s">
        <v>834</v>
      </c>
      <c r="E31" s="164"/>
      <c r="F31" s="164"/>
      <c r="G31" s="1277"/>
      <c r="H31" s="702"/>
      <c r="I31" s="158">
        <f>SUM(J31:Q31)</f>
        <v>0</v>
      </c>
      <c r="J31" s="168"/>
      <c r="K31" s="168"/>
      <c r="L31" s="168"/>
      <c r="M31" s="168"/>
      <c r="N31" s="169"/>
    </row>
    <row r="32" spans="1:16" s="1699" customFormat="1" ht="18" customHeight="1" x14ac:dyDescent="0.3">
      <c r="A32" s="699">
        <v>25</v>
      </c>
      <c r="B32" s="1295"/>
      <c r="C32" s="1390"/>
      <c r="D32" s="690" t="s">
        <v>1391</v>
      </c>
      <c r="E32" s="1305"/>
      <c r="F32" s="1305"/>
      <c r="G32" s="1306"/>
      <c r="H32" s="702"/>
      <c r="I32" s="665">
        <f>SUM(J32:N32)</f>
        <v>11467</v>
      </c>
      <c r="J32" s="527">
        <f>SUM(J30:J31)</f>
        <v>5595</v>
      </c>
      <c r="K32" s="527">
        <f>SUM(K30:K31)</f>
        <v>1132</v>
      </c>
      <c r="L32" s="527">
        <f>SUM(L30:L31)</f>
        <v>4390</v>
      </c>
      <c r="M32" s="527"/>
      <c r="N32" s="520">
        <f>SUM(N30:N31)</f>
        <v>350</v>
      </c>
    </row>
    <row r="33" spans="1:16" s="3" customFormat="1" ht="22.5" customHeight="1" x14ac:dyDescent="0.3">
      <c r="A33" s="699">
        <v>26</v>
      </c>
      <c r="B33" s="1282"/>
      <c r="C33" s="1387">
        <v>6</v>
      </c>
      <c r="D33" s="691" t="s">
        <v>415</v>
      </c>
      <c r="E33" s="164">
        <v>1000</v>
      </c>
      <c r="F33" s="164">
        <v>1000</v>
      </c>
      <c r="G33" s="1277">
        <v>1000</v>
      </c>
      <c r="H33" s="702" t="s">
        <v>25</v>
      </c>
      <c r="I33" s="666"/>
      <c r="J33" s="171"/>
      <c r="K33" s="171"/>
      <c r="L33" s="171"/>
      <c r="M33" s="171"/>
      <c r="N33" s="172"/>
      <c r="O33" s="10"/>
      <c r="P33" s="10"/>
    </row>
    <row r="34" spans="1:16" s="1237" customFormat="1" ht="18" customHeight="1" x14ac:dyDescent="0.3">
      <c r="A34" s="699">
        <v>27</v>
      </c>
      <c r="B34" s="1283"/>
      <c r="C34" s="1388"/>
      <c r="D34" s="1231" t="s">
        <v>334</v>
      </c>
      <c r="E34" s="1232"/>
      <c r="F34" s="1232"/>
      <c r="G34" s="1277"/>
      <c r="H34" s="1233"/>
      <c r="I34" s="1234">
        <f>SUM(J34:N34)</f>
        <v>1000</v>
      </c>
      <c r="J34" s="1235"/>
      <c r="K34" s="1235"/>
      <c r="L34" s="1235">
        <v>1000</v>
      </c>
      <c r="M34" s="1235"/>
      <c r="N34" s="1236"/>
    </row>
    <row r="35" spans="1:16" s="1237" customFormat="1" ht="18" customHeight="1" x14ac:dyDescent="0.3">
      <c r="A35" s="699">
        <v>28</v>
      </c>
      <c r="B35" s="1283"/>
      <c r="C35" s="1388"/>
      <c r="D35" s="690" t="s">
        <v>1307</v>
      </c>
      <c r="E35" s="1232"/>
      <c r="F35" s="1232"/>
      <c r="G35" s="1277"/>
      <c r="H35" s="1233"/>
      <c r="I35" s="665">
        <f>SUM(J35:N35)</f>
        <v>1000</v>
      </c>
      <c r="J35" s="1235"/>
      <c r="K35" s="1235"/>
      <c r="L35" s="527">
        <v>1000</v>
      </c>
      <c r="M35" s="1235"/>
      <c r="N35" s="1236"/>
    </row>
    <row r="36" spans="1:16" s="10" customFormat="1" ht="18" customHeight="1" x14ac:dyDescent="0.3">
      <c r="A36" s="699">
        <v>29</v>
      </c>
      <c r="B36" s="1284"/>
      <c r="C36" s="1389"/>
      <c r="D36" s="1150" t="s">
        <v>733</v>
      </c>
      <c r="E36" s="164"/>
      <c r="F36" s="164"/>
      <c r="G36" s="1277"/>
      <c r="H36" s="702"/>
      <c r="I36" s="158">
        <f>SUM(J36:Q36)</f>
        <v>0</v>
      </c>
      <c r="J36" s="168"/>
      <c r="K36" s="168"/>
      <c r="L36" s="168"/>
      <c r="M36" s="168"/>
      <c r="N36" s="169"/>
    </row>
    <row r="37" spans="1:16" s="1699" customFormat="1" ht="18" customHeight="1" x14ac:dyDescent="0.3">
      <c r="A37" s="699">
        <v>30</v>
      </c>
      <c r="B37" s="1295"/>
      <c r="C37" s="1390"/>
      <c r="D37" s="690" t="s">
        <v>1391</v>
      </c>
      <c r="E37" s="1305"/>
      <c r="F37" s="1305"/>
      <c r="G37" s="1306"/>
      <c r="H37" s="702"/>
      <c r="I37" s="665">
        <f>SUM(J37:N37)</f>
        <v>1000</v>
      </c>
      <c r="J37" s="527"/>
      <c r="K37" s="527"/>
      <c r="L37" s="527">
        <f>SUM(L35:L36)</f>
        <v>1000</v>
      </c>
      <c r="M37" s="527"/>
      <c r="N37" s="520"/>
    </row>
    <row r="38" spans="1:16" s="3" customFormat="1" ht="22.5" customHeight="1" x14ac:dyDescent="0.3">
      <c r="A38" s="699">
        <v>31</v>
      </c>
      <c r="B38" s="1282"/>
      <c r="C38" s="1387">
        <v>7</v>
      </c>
      <c r="D38" s="691" t="s">
        <v>11</v>
      </c>
      <c r="E38" s="164">
        <f>SUM(E43,E48,E53,E58,E63,E68)</f>
        <v>62200</v>
      </c>
      <c r="F38" s="164">
        <f>SUM(F43,F48,F53,F58,F63,F68)</f>
        <v>72000</v>
      </c>
      <c r="G38" s="1277">
        <f>SUM(G43,G48,G53,G58,G63,G68)</f>
        <v>72000</v>
      </c>
      <c r="H38" s="702" t="s">
        <v>25</v>
      </c>
      <c r="I38" s="666"/>
      <c r="J38" s="171"/>
      <c r="K38" s="171"/>
      <c r="L38" s="171"/>
      <c r="M38" s="171"/>
      <c r="N38" s="172"/>
      <c r="O38" s="10"/>
      <c r="P38" s="10"/>
    </row>
    <row r="39" spans="1:16" s="1237" customFormat="1" ht="18" customHeight="1" x14ac:dyDescent="0.3">
      <c r="A39" s="699">
        <v>32</v>
      </c>
      <c r="B39" s="1283"/>
      <c r="C39" s="1388"/>
      <c r="D39" s="1231" t="s">
        <v>334</v>
      </c>
      <c r="E39" s="1232"/>
      <c r="F39" s="1232"/>
      <c r="G39" s="1277"/>
      <c r="H39" s="1233"/>
      <c r="I39" s="1234">
        <f>SUM(J39:N39)</f>
        <v>74000</v>
      </c>
      <c r="J39" s="1238">
        <f>SUM(J44,J49,J54,J59,J64,J69)</f>
        <v>0</v>
      </c>
      <c r="K39" s="1238">
        <f>SUM(K44,K49,K54,K59,K64,K69)</f>
        <v>0</v>
      </c>
      <c r="L39" s="1238">
        <f>SUM(L44,L49,L54,L59,L64,L69)</f>
        <v>15000</v>
      </c>
      <c r="M39" s="1238">
        <f>SUM(M44,M49,M54,M59,M64,M69)</f>
        <v>0</v>
      </c>
      <c r="N39" s="1239">
        <f>SUM(N44,N49,N54,N59,N64,N69)</f>
        <v>59000</v>
      </c>
    </row>
    <row r="40" spans="1:16" s="1237" customFormat="1" ht="18" customHeight="1" x14ac:dyDescent="0.3">
      <c r="A40" s="699">
        <v>33</v>
      </c>
      <c r="B40" s="1283"/>
      <c r="C40" s="1388"/>
      <c r="D40" s="690" t="s">
        <v>1307</v>
      </c>
      <c r="E40" s="1232"/>
      <c r="F40" s="1232"/>
      <c r="G40" s="1277"/>
      <c r="H40" s="1233"/>
      <c r="I40" s="665">
        <f>SUM(J40:N40)</f>
        <v>74000</v>
      </c>
      <c r="J40" s="527">
        <f>J45+J50+J55+J60+J65+J70</f>
        <v>0</v>
      </c>
      <c r="K40" s="527">
        <f t="shared" ref="K40:N40" si="0">K45+K50+K55+K60+K65+K70</f>
        <v>0</v>
      </c>
      <c r="L40" s="527">
        <f t="shared" si="0"/>
        <v>15000</v>
      </c>
      <c r="M40" s="527">
        <f t="shared" si="0"/>
        <v>0</v>
      </c>
      <c r="N40" s="520">
        <f t="shared" si="0"/>
        <v>59000</v>
      </c>
    </row>
    <row r="41" spans="1:16" s="10" customFormat="1" ht="18" customHeight="1" x14ac:dyDescent="0.3">
      <c r="A41" s="699">
        <v>34</v>
      </c>
      <c r="B41" s="1284"/>
      <c r="C41" s="1389"/>
      <c r="D41" s="1150" t="s">
        <v>733</v>
      </c>
      <c r="E41" s="164"/>
      <c r="F41" s="164"/>
      <c r="G41" s="1277"/>
      <c r="H41" s="702"/>
      <c r="I41" s="158">
        <f>SUM(J41:Q41)</f>
        <v>0</v>
      </c>
      <c r="J41" s="168">
        <f>J46+J51+J56+J61+J66+J71</f>
        <v>0</v>
      </c>
      <c r="K41" s="168">
        <f t="shared" ref="K41:N41" si="1">K46+K51+K56+K61+K66+K71</f>
        <v>0</v>
      </c>
      <c r="L41" s="168">
        <f t="shared" si="1"/>
        <v>0</v>
      </c>
      <c r="M41" s="168">
        <f t="shared" si="1"/>
        <v>0</v>
      </c>
      <c r="N41" s="169">
        <f t="shared" si="1"/>
        <v>0</v>
      </c>
    </row>
    <row r="42" spans="1:16" s="1699" customFormat="1" ht="18" customHeight="1" x14ac:dyDescent="0.3">
      <c r="A42" s="699">
        <v>35</v>
      </c>
      <c r="B42" s="1295"/>
      <c r="C42" s="1390"/>
      <c r="D42" s="690" t="s">
        <v>1391</v>
      </c>
      <c r="E42" s="1305"/>
      <c r="F42" s="1305"/>
      <c r="G42" s="1306"/>
      <c r="H42" s="702"/>
      <c r="I42" s="665">
        <f>SUM(J42:N42)</f>
        <v>74000</v>
      </c>
      <c r="J42" s="527">
        <f>SUM(J40:J41)</f>
        <v>0</v>
      </c>
      <c r="K42" s="527">
        <f t="shared" ref="K42:N42" si="2">SUM(K40:K41)</f>
        <v>0</v>
      </c>
      <c r="L42" s="527">
        <f t="shared" si="2"/>
        <v>15000</v>
      </c>
      <c r="M42" s="527">
        <f t="shared" si="2"/>
        <v>0</v>
      </c>
      <c r="N42" s="520">
        <f t="shared" si="2"/>
        <v>59000</v>
      </c>
    </row>
    <row r="43" spans="1:16" s="11" customFormat="1" ht="18" customHeight="1" x14ac:dyDescent="0.3">
      <c r="A43" s="699">
        <v>36</v>
      </c>
      <c r="B43" s="1285"/>
      <c r="C43" s="1391"/>
      <c r="D43" s="521" t="s">
        <v>51</v>
      </c>
      <c r="E43" s="173">
        <v>30000</v>
      </c>
      <c r="F43" s="173">
        <v>30000</v>
      </c>
      <c r="G43" s="1264">
        <v>30000</v>
      </c>
      <c r="H43" s="703"/>
      <c r="I43" s="667"/>
      <c r="J43" s="183"/>
      <c r="K43" s="183"/>
      <c r="L43" s="183"/>
      <c r="M43" s="183"/>
      <c r="N43" s="184"/>
      <c r="P43" s="10"/>
    </row>
    <row r="44" spans="1:16" s="1246" customFormat="1" ht="18" customHeight="1" x14ac:dyDescent="0.3">
      <c r="A44" s="699">
        <v>37</v>
      </c>
      <c r="B44" s="1286"/>
      <c r="C44" s="1392"/>
      <c r="D44" s="1240" t="s">
        <v>334</v>
      </c>
      <c r="E44" s="1241"/>
      <c r="F44" s="1241"/>
      <c r="G44" s="1264"/>
      <c r="H44" s="1242"/>
      <c r="I44" s="1243">
        <f>SUM(J44:N44)</f>
        <v>30000</v>
      </c>
      <c r="J44" s="1244"/>
      <c r="K44" s="1244"/>
      <c r="L44" s="1244"/>
      <c r="M44" s="1244"/>
      <c r="N44" s="1245">
        <v>30000</v>
      </c>
      <c r="P44" s="1237"/>
    </row>
    <row r="45" spans="1:16" s="1246" customFormat="1" ht="18" customHeight="1" x14ac:dyDescent="0.3">
      <c r="A45" s="699">
        <v>38</v>
      </c>
      <c r="B45" s="1286"/>
      <c r="C45" s="1392"/>
      <c r="D45" s="522" t="s">
        <v>1307</v>
      </c>
      <c r="E45" s="1241"/>
      <c r="F45" s="1241"/>
      <c r="G45" s="1264"/>
      <c r="H45" s="1242"/>
      <c r="I45" s="665">
        <f>SUM(J45:N45)</f>
        <v>30000</v>
      </c>
      <c r="J45" s="1244"/>
      <c r="K45" s="1244"/>
      <c r="L45" s="1244"/>
      <c r="M45" s="1244"/>
      <c r="N45" s="184">
        <v>30000</v>
      </c>
      <c r="P45" s="1237"/>
    </row>
    <row r="46" spans="1:16" s="11" customFormat="1" ht="18" customHeight="1" x14ac:dyDescent="0.3">
      <c r="A46" s="699">
        <v>39</v>
      </c>
      <c r="B46" s="1285"/>
      <c r="C46" s="1393"/>
      <c r="D46" s="522" t="s">
        <v>733</v>
      </c>
      <c r="E46" s="173"/>
      <c r="F46" s="173"/>
      <c r="G46" s="1264"/>
      <c r="H46" s="703"/>
      <c r="I46" s="158">
        <f>SUM(J46:Q46)</f>
        <v>0</v>
      </c>
      <c r="J46" s="183"/>
      <c r="K46" s="183"/>
      <c r="L46" s="183"/>
      <c r="M46" s="183"/>
      <c r="N46" s="184"/>
      <c r="P46" s="10"/>
    </row>
    <row r="47" spans="1:16" s="11" customFormat="1" ht="18" customHeight="1" x14ac:dyDescent="0.3">
      <c r="A47" s="699">
        <v>40</v>
      </c>
      <c r="B47" s="1285"/>
      <c r="C47" s="1393"/>
      <c r="D47" s="522" t="s">
        <v>1391</v>
      </c>
      <c r="E47" s="173"/>
      <c r="F47" s="173"/>
      <c r="G47" s="1264"/>
      <c r="H47" s="703"/>
      <c r="I47" s="665">
        <f>SUM(J47:N47)</f>
        <v>30000</v>
      </c>
      <c r="J47" s="183"/>
      <c r="K47" s="183"/>
      <c r="L47" s="183"/>
      <c r="M47" s="183"/>
      <c r="N47" s="184">
        <f>SUM(N45:N46)</f>
        <v>30000</v>
      </c>
      <c r="P47" s="10"/>
    </row>
    <row r="48" spans="1:16" s="11" customFormat="1" ht="18" customHeight="1" x14ac:dyDescent="0.3">
      <c r="A48" s="699">
        <v>41</v>
      </c>
      <c r="B48" s="1285"/>
      <c r="C48" s="1391"/>
      <c r="D48" s="521" t="s">
        <v>52</v>
      </c>
      <c r="E48" s="173">
        <v>10200</v>
      </c>
      <c r="F48" s="173">
        <v>15000</v>
      </c>
      <c r="G48" s="1264">
        <v>15000</v>
      </c>
      <c r="H48" s="703"/>
      <c r="I48" s="668"/>
      <c r="J48" s="174"/>
      <c r="K48" s="174"/>
      <c r="L48" s="174"/>
      <c r="M48" s="174"/>
      <c r="N48" s="175"/>
      <c r="P48" s="10"/>
    </row>
    <row r="49" spans="1:16" s="1246" customFormat="1" ht="18" customHeight="1" x14ac:dyDescent="0.3">
      <c r="A49" s="699">
        <v>42</v>
      </c>
      <c r="B49" s="1286"/>
      <c r="C49" s="1392"/>
      <c r="D49" s="1240" t="s">
        <v>334</v>
      </c>
      <c r="E49" s="1241"/>
      <c r="F49" s="1241"/>
      <c r="G49" s="1264"/>
      <c r="H49" s="1242"/>
      <c r="I49" s="1243">
        <f>SUM(J49:N49)</f>
        <v>15000</v>
      </c>
      <c r="J49" s="1244"/>
      <c r="K49" s="1244"/>
      <c r="L49" s="1244">
        <v>15000</v>
      </c>
      <c r="M49" s="1244"/>
      <c r="N49" s="1245"/>
      <c r="P49" s="1237"/>
    </row>
    <row r="50" spans="1:16" s="1246" customFormat="1" ht="18" customHeight="1" x14ac:dyDescent="0.3">
      <c r="A50" s="699">
        <v>43</v>
      </c>
      <c r="B50" s="1286"/>
      <c r="C50" s="1392"/>
      <c r="D50" s="522" t="s">
        <v>1307</v>
      </c>
      <c r="E50" s="1241"/>
      <c r="F50" s="1241"/>
      <c r="G50" s="1264"/>
      <c r="H50" s="1242"/>
      <c r="I50" s="665">
        <f>SUM(J50:N50)</f>
        <v>15000</v>
      </c>
      <c r="J50" s="1244"/>
      <c r="K50" s="1244"/>
      <c r="L50" s="183">
        <v>15000</v>
      </c>
      <c r="M50" s="1244"/>
      <c r="N50" s="1245"/>
      <c r="P50" s="1237"/>
    </row>
    <row r="51" spans="1:16" s="11" customFormat="1" ht="18" customHeight="1" x14ac:dyDescent="0.3">
      <c r="A51" s="699">
        <v>44</v>
      </c>
      <c r="B51" s="1285"/>
      <c r="C51" s="1393"/>
      <c r="D51" s="522" t="s">
        <v>733</v>
      </c>
      <c r="E51" s="173"/>
      <c r="F51" s="173"/>
      <c r="G51" s="1264"/>
      <c r="H51" s="703"/>
      <c r="I51" s="158">
        <f>SUM(J51:Q51)</f>
        <v>0</v>
      </c>
      <c r="J51" s="183"/>
      <c r="K51" s="183"/>
      <c r="L51" s="183"/>
      <c r="M51" s="183"/>
      <c r="N51" s="184"/>
      <c r="P51" s="10"/>
    </row>
    <row r="52" spans="1:16" s="11" customFormat="1" ht="18" customHeight="1" x14ac:dyDescent="0.3">
      <c r="A52" s="699">
        <v>45</v>
      </c>
      <c r="B52" s="1285"/>
      <c r="C52" s="1393"/>
      <c r="D52" s="522" t="s">
        <v>1391</v>
      </c>
      <c r="E52" s="173"/>
      <c r="F52" s="173"/>
      <c r="G52" s="1264"/>
      <c r="H52" s="703"/>
      <c r="I52" s="665">
        <f>SUM(J52:N52)</f>
        <v>15000</v>
      </c>
      <c r="J52" s="183"/>
      <c r="K52" s="183"/>
      <c r="L52" s="183">
        <f>SUM(L50:L51)</f>
        <v>15000</v>
      </c>
      <c r="M52" s="183"/>
      <c r="N52" s="184"/>
      <c r="P52" s="10"/>
    </row>
    <row r="53" spans="1:16" s="11" customFormat="1" ht="18" customHeight="1" x14ac:dyDescent="0.3">
      <c r="A53" s="699">
        <v>46</v>
      </c>
      <c r="B53" s="1285"/>
      <c r="C53" s="1391"/>
      <c r="D53" s="521" t="s">
        <v>53</v>
      </c>
      <c r="E53" s="173">
        <v>2000</v>
      </c>
      <c r="F53" s="173">
        <v>5000</v>
      </c>
      <c r="G53" s="1264">
        <v>5000</v>
      </c>
      <c r="H53" s="703"/>
      <c r="I53" s="668"/>
      <c r="J53" s="174"/>
      <c r="K53" s="174"/>
      <c r="L53" s="174"/>
      <c r="M53" s="174"/>
      <c r="N53" s="175"/>
      <c r="P53" s="10"/>
    </row>
    <row r="54" spans="1:16" s="1246" customFormat="1" ht="18" customHeight="1" x14ac:dyDescent="0.3">
      <c r="A54" s="699">
        <v>47</v>
      </c>
      <c r="B54" s="1286"/>
      <c r="C54" s="1392"/>
      <c r="D54" s="1240" t="s">
        <v>334</v>
      </c>
      <c r="E54" s="1241"/>
      <c r="F54" s="1241"/>
      <c r="G54" s="1264"/>
      <c r="H54" s="1242"/>
      <c r="I54" s="1243">
        <f>SUM(J54:N54)</f>
        <v>2000</v>
      </c>
      <c r="J54" s="1244"/>
      <c r="K54" s="1244"/>
      <c r="L54" s="1244"/>
      <c r="M54" s="1244"/>
      <c r="N54" s="1245">
        <v>2000</v>
      </c>
      <c r="P54" s="1237"/>
    </row>
    <row r="55" spans="1:16" s="1246" customFormat="1" ht="18" customHeight="1" x14ac:dyDescent="0.3">
      <c r="A55" s="699">
        <v>48</v>
      </c>
      <c r="B55" s="1286"/>
      <c r="C55" s="1392"/>
      <c r="D55" s="522" t="s">
        <v>1307</v>
      </c>
      <c r="E55" s="1241"/>
      <c r="F55" s="1241"/>
      <c r="G55" s="1264"/>
      <c r="H55" s="1242"/>
      <c r="I55" s="665">
        <f>SUM(J55:N55)</f>
        <v>2000</v>
      </c>
      <c r="J55" s="1244"/>
      <c r="K55" s="1244"/>
      <c r="L55" s="1244"/>
      <c r="M55" s="1244"/>
      <c r="N55" s="184">
        <v>2000</v>
      </c>
      <c r="P55" s="1237"/>
    </row>
    <row r="56" spans="1:16" s="11" customFormat="1" ht="18" customHeight="1" x14ac:dyDescent="0.3">
      <c r="A56" s="699">
        <v>49</v>
      </c>
      <c r="B56" s="1285"/>
      <c r="C56" s="1393"/>
      <c r="D56" s="522" t="s">
        <v>733</v>
      </c>
      <c r="E56" s="173"/>
      <c r="F56" s="173"/>
      <c r="G56" s="1264"/>
      <c r="H56" s="703"/>
      <c r="I56" s="158">
        <f>SUM(J56:Q56)</f>
        <v>0</v>
      </c>
      <c r="J56" s="183"/>
      <c r="K56" s="183"/>
      <c r="L56" s="183"/>
      <c r="M56" s="183"/>
      <c r="N56" s="184"/>
      <c r="P56" s="10"/>
    </row>
    <row r="57" spans="1:16" s="11" customFormat="1" ht="18" customHeight="1" x14ac:dyDescent="0.3">
      <c r="A57" s="699">
        <v>50</v>
      </c>
      <c r="B57" s="1285"/>
      <c r="C57" s="1393"/>
      <c r="D57" s="522" t="s">
        <v>1391</v>
      </c>
      <c r="E57" s="173"/>
      <c r="F57" s="173"/>
      <c r="G57" s="1264"/>
      <c r="H57" s="703"/>
      <c r="I57" s="665">
        <f>SUM(J57:N57)</f>
        <v>2000</v>
      </c>
      <c r="J57" s="183"/>
      <c r="K57" s="183"/>
      <c r="L57" s="183"/>
      <c r="M57" s="183"/>
      <c r="N57" s="184">
        <f>SUM(N55:N56)</f>
        <v>2000</v>
      </c>
      <c r="P57" s="10"/>
    </row>
    <row r="58" spans="1:16" s="11" customFormat="1" ht="18" customHeight="1" x14ac:dyDescent="0.3">
      <c r="A58" s="699">
        <v>51</v>
      </c>
      <c r="B58" s="1285"/>
      <c r="C58" s="1391"/>
      <c r="D58" s="521" t="s">
        <v>54</v>
      </c>
      <c r="E58" s="173">
        <v>15000</v>
      </c>
      <c r="F58" s="173">
        <v>15000</v>
      </c>
      <c r="G58" s="1264">
        <v>15000</v>
      </c>
      <c r="H58" s="703"/>
      <c r="I58" s="668"/>
      <c r="J58" s="174"/>
      <c r="K58" s="174"/>
      <c r="L58" s="174"/>
      <c r="M58" s="174"/>
      <c r="N58" s="175"/>
      <c r="P58" s="10"/>
    </row>
    <row r="59" spans="1:16" s="1246" customFormat="1" ht="18" customHeight="1" x14ac:dyDescent="0.3">
      <c r="A59" s="699">
        <v>52</v>
      </c>
      <c r="B59" s="1286"/>
      <c r="C59" s="1392"/>
      <c r="D59" s="1240" t="s">
        <v>334</v>
      </c>
      <c r="E59" s="1241"/>
      <c r="F59" s="1241"/>
      <c r="G59" s="1264"/>
      <c r="H59" s="1242"/>
      <c r="I59" s="1243">
        <f>SUM(J59:N59)</f>
        <v>15000</v>
      </c>
      <c r="J59" s="1244"/>
      <c r="K59" s="1244"/>
      <c r="L59" s="1244"/>
      <c r="M59" s="1244"/>
      <c r="N59" s="1245">
        <v>15000</v>
      </c>
      <c r="P59" s="1237"/>
    </row>
    <row r="60" spans="1:16" s="1246" customFormat="1" ht="18" customHeight="1" x14ac:dyDescent="0.3">
      <c r="A60" s="699">
        <v>53</v>
      </c>
      <c r="B60" s="1286"/>
      <c r="C60" s="1392"/>
      <c r="D60" s="522" t="s">
        <v>1307</v>
      </c>
      <c r="E60" s="1241"/>
      <c r="F60" s="1241"/>
      <c r="G60" s="1264"/>
      <c r="H60" s="1242"/>
      <c r="I60" s="665">
        <f>SUM(J60:N60)</f>
        <v>15000</v>
      </c>
      <c r="J60" s="1244"/>
      <c r="K60" s="1244"/>
      <c r="L60" s="1244"/>
      <c r="M60" s="1244"/>
      <c r="N60" s="184">
        <v>15000</v>
      </c>
      <c r="P60" s="1237"/>
    </row>
    <row r="61" spans="1:16" s="11" customFormat="1" ht="18" customHeight="1" x14ac:dyDescent="0.3">
      <c r="A61" s="699">
        <v>54</v>
      </c>
      <c r="B61" s="1285"/>
      <c r="C61" s="1393"/>
      <c r="D61" s="522" t="s">
        <v>733</v>
      </c>
      <c r="E61" s="173"/>
      <c r="F61" s="173"/>
      <c r="G61" s="1264"/>
      <c r="H61" s="703"/>
      <c r="I61" s="158">
        <f>SUM(J61:Q61)</f>
        <v>0</v>
      </c>
      <c r="J61" s="183"/>
      <c r="K61" s="183"/>
      <c r="L61" s="183"/>
      <c r="M61" s="183"/>
      <c r="N61" s="184"/>
      <c r="P61" s="10"/>
    </row>
    <row r="62" spans="1:16" s="11" customFormat="1" ht="18" customHeight="1" x14ac:dyDescent="0.3">
      <c r="A62" s="699">
        <v>55</v>
      </c>
      <c r="B62" s="1285"/>
      <c r="C62" s="1393"/>
      <c r="D62" s="522" t="s">
        <v>1391</v>
      </c>
      <c r="E62" s="173"/>
      <c r="F62" s="173"/>
      <c r="G62" s="1264"/>
      <c r="H62" s="703"/>
      <c r="I62" s="665">
        <f>SUM(J62:N62)</f>
        <v>15000</v>
      </c>
      <c r="J62" s="183"/>
      <c r="K62" s="183"/>
      <c r="L62" s="183"/>
      <c r="M62" s="183"/>
      <c r="N62" s="184">
        <f>SUM(N60:N61)</f>
        <v>15000</v>
      </c>
      <c r="P62" s="10"/>
    </row>
    <row r="63" spans="1:16" s="11" customFormat="1" ht="18" customHeight="1" x14ac:dyDescent="0.3">
      <c r="A63" s="699">
        <v>56</v>
      </c>
      <c r="B63" s="1285"/>
      <c r="C63" s="1393"/>
      <c r="D63" s="521" t="s">
        <v>513</v>
      </c>
      <c r="E63" s="164">
        <v>0</v>
      </c>
      <c r="F63" s="173">
        <v>2000</v>
      </c>
      <c r="G63" s="1264">
        <v>2000</v>
      </c>
      <c r="H63" s="703"/>
      <c r="I63" s="667"/>
      <c r="J63" s="183"/>
      <c r="K63" s="183"/>
      <c r="L63" s="183"/>
      <c r="M63" s="183"/>
      <c r="N63" s="184"/>
      <c r="P63" s="10"/>
    </row>
    <row r="64" spans="1:16" s="1246" customFormat="1" ht="18" customHeight="1" x14ac:dyDescent="0.3">
      <c r="A64" s="699">
        <v>57</v>
      </c>
      <c r="B64" s="1286"/>
      <c r="C64" s="1392"/>
      <c r="D64" s="1240" t="s">
        <v>334</v>
      </c>
      <c r="E64" s="1232"/>
      <c r="F64" s="1241"/>
      <c r="G64" s="1264"/>
      <c r="H64" s="1242"/>
      <c r="I64" s="1243">
        <f>SUM(J64:N64)</f>
        <v>2000</v>
      </c>
      <c r="J64" s="1244"/>
      <c r="K64" s="1244"/>
      <c r="L64" s="1244"/>
      <c r="M64" s="1244"/>
      <c r="N64" s="1245">
        <v>2000</v>
      </c>
      <c r="P64" s="1237"/>
    </row>
    <row r="65" spans="1:16" s="1246" customFormat="1" ht="18" customHeight="1" x14ac:dyDescent="0.3">
      <c r="A65" s="699">
        <v>58</v>
      </c>
      <c r="B65" s="1286"/>
      <c r="C65" s="1392"/>
      <c r="D65" s="522" t="s">
        <v>1307</v>
      </c>
      <c r="E65" s="1232"/>
      <c r="F65" s="1241"/>
      <c r="G65" s="1264"/>
      <c r="H65" s="1242"/>
      <c r="I65" s="665">
        <f>SUM(J65:N65)</f>
        <v>2000</v>
      </c>
      <c r="J65" s="1244"/>
      <c r="K65" s="1244"/>
      <c r="L65" s="1244"/>
      <c r="M65" s="1244"/>
      <c r="N65" s="184">
        <v>2000</v>
      </c>
      <c r="P65" s="1237"/>
    </row>
    <row r="66" spans="1:16" s="11" customFormat="1" ht="18" customHeight="1" x14ac:dyDescent="0.3">
      <c r="A66" s="699">
        <v>59</v>
      </c>
      <c r="B66" s="1285"/>
      <c r="C66" s="1393"/>
      <c r="D66" s="522" t="s">
        <v>733</v>
      </c>
      <c r="E66" s="164"/>
      <c r="F66" s="173"/>
      <c r="G66" s="1264"/>
      <c r="H66" s="703"/>
      <c r="I66" s="158">
        <f>SUM(J66:Q66)</f>
        <v>0</v>
      </c>
      <c r="J66" s="183"/>
      <c r="K66" s="183"/>
      <c r="L66" s="183"/>
      <c r="M66" s="183"/>
      <c r="N66" s="184"/>
      <c r="P66" s="10"/>
    </row>
    <row r="67" spans="1:16" s="11" customFormat="1" ht="18" customHeight="1" x14ac:dyDescent="0.3">
      <c r="A67" s="699">
        <v>60</v>
      </c>
      <c r="B67" s="1285"/>
      <c r="C67" s="1393"/>
      <c r="D67" s="522" t="s">
        <v>1391</v>
      </c>
      <c r="E67" s="164"/>
      <c r="F67" s="173"/>
      <c r="G67" s="1264"/>
      <c r="H67" s="703"/>
      <c r="I67" s="665">
        <f>SUM(J67:N67)</f>
        <v>2000</v>
      </c>
      <c r="J67" s="183"/>
      <c r="K67" s="183"/>
      <c r="L67" s="183"/>
      <c r="M67" s="183"/>
      <c r="N67" s="184">
        <f>SUM(N65:N66)</f>
        <v>2000</v>
      </c>
      <c r="P67" s="10"/>
    </row>
    <row r="68" spans="1:16" s="11" customFormat="1" ht="18" customHeight="1" x14ac:dyDescent="0.3">
      <c r="A68" s="699">
        <v>61</v>
      </c>
      <c r="B68" s="1285"/>
      <c r="C68" s="1393"/>
      <c r="D68" s="521" t="s">
        <v>55</v>
      </c>
      <c r="E68" s="173">
        <v>5000</v>
      </c>
      <c r="F68" s="173">
        <v>5000</v>
      </c>
      <c r="G68" s="1264">
        <v>5000</v>
      </c>
      <c r="H68" s="703"/>
      <c r="I68" s="668"/>
      <c r="J68" s="174"/>
      <c r="K68" s="174"/>
      <c r="L68" s="174"/>
      <c r="M68" s="174"/>
      <c r="N68" s="175"/>
    </row>
    <row r="69" spans="1:16" s="1246" customFormat="1" ht="18" customHeight="1" x14ac:dyDescent="0.3">
      <c r="A69" s="699">
        <v>62</v>
      </c>
      <c r="B69" s="1286"/>
      <c r="C69" s="1392"/>
      <c r="D69" s="1240" t="s">
        <v>334</v>
      </c>
      <c r="E69" s="1241"/>
      <c r="F69" s="1241"/>
      <c r="G69" s="1264"/>
      <c r="H69" s="1242"/>
      <c r="I69" s="1243">
        <f>SUM(J69:N69)</f>
        <v>10000</v>
      </c>
      <c r="J69" s="1244"/>
      <c r="K69" s="1244"/>
      <c r="L69" s="1244"/>
      <c r="M69" s="1244"/>
      <c r="N69" s="1245">
        <v>10000</v>
      </c>
    </row>
    <row r="70" spans="1:16" s="1246" customFormat="1" ht="18" customHeight="1" x14ac:dyDescent="0.3">
      <c r="A70" s="699">
        <v>63</v>
      </c>
      <c r="B70" s="1286"/>
      <c r="C70" s="1392"/>
      <c r="D70" s="522" t="s">
        <v>1307</v>
      </c>
      <c r="E70" s="1241"/>
      <c r="F70" s="1241"/>
      <c r="G70" s="1264"/>
      <c r="H70" s="1242"/>
      <c r="I70" s="665">
        <f>SUM(J70:N70)</f>
        <v>10000</v>
      </c>
      <c r="J70" s="1244"/>
      <c r="K70" s="1244"/>
      <c r="L70" s="1244"/>
      <c r="M70" s="1244"/>
      <c r="N70" s="184">
        <v>10000</v>
      </c>
    </row>
    <row r="71" spans="1:16" s="11" customFormat="1" ht="18" customHeight="1" x14ac:dyDescent="0.3">
      <c r="A71" s="699">
        <v>64</v>
      </c>
      <c r="B71" s="1285"/>
      <c r="C71" s="1393"/>
      <c r="D71" s="522" t="s">
        <v>733</v>
      </c>
      <c r="E71" s="173"/>
      <c r="F71" s="173"/>
      <c r="G71" s="1264"/>
      <c r="H71" s="703"/>
      <c r="I71" s="158">
        <f>SUM(J71:Q71)</f>
        <v>0</v>
      </c>
      <c r="J71" s="183"/>
      <c r="K71" s="183"/>
      <c r="L71" s="183"/>
      <c r="M71" s="183"/>
      <c r="N71" s="184"/>
    </row>
    <row r="72" spans="1:16" s="11" customFormat="1" ht="18" customHeight="1" x14ac:dyDescent="0.3">
      <c r="A72" s="699">
        <v>65</v>
      </c>
      <c r="B72" s="1285"/>
      <c r="C72" s="1393"/>
      <c r="D72" s="522" t="s">
        <v>1391</v>
      </c>
      <c r="E72" s="173"/>
      <c r="F72" s="173"/>
      <c r="G72" s="1264"/>
      <c r="H72" s="703"/>
      <c r="I72" s="665">
        <f>SUM(J72:N72)</f>
        <v>10000</v>
      </c>
      <c r="J72" s="183"/>
      <c r="K72" s="183"/>
      <c r="L72" s="183"/>
      <c r="M72" s="183"/>
      <c r="N72" s="184">
        <f>SUM(N70:N71)</f>
        <v>10000</v>
      </c>
    </row>
    <row r="73" spans="1:16" s="3" customFormat="1" ht="22.5" customHeight="1" x14ac:dyDescent="0.3">
      <c r="A73" s="699">
        <v>66</v>
      </c>
      <c r="B73" s="1282"/>
      <c r="C73" s="1387">
        <v>8</v>
      </c>
      <c r="D73" s="691" t="s">
        <v>297</v>
      </c>
      <c r="E73" s="164">
        <v>4123</v>
      </c>
      <c r="F73" s="164">
        <v>7000</v>
      </c>
      <c r="G73" s="1277">
        <v>7817</v>
      </c>
      <c r="H73" s="702" t="s">
        <v>25</v>
      </c>
      <c r="I73" s="665"/>
      <c r="J73" s="168"/>
      <c r="K73" s="168"/>
      <c r="L73" s="168"/>
      <c r="M73" s="168"/>
      <c r="N73" s="169"/>
      <c r="P73" s="10"/>
    </row>
    <row r="74" spans="1:16" s="1237" customFormat="1" ht="18" customHeight="1" x14ac:dyDescent="0.3">
      <c r="A74" s="699">
        <v>67</v>
      </c>
      <c r="B74" s="1283"/>
      <c r="C74" s="1388"/>
      <c r="D74" s="1231" t="s">
        <v>334</v>
      </c>
      <c r="E74" s="1232"/>
      <c r="F74" s="1232"/>
      <c r="G74" s="1277"/>
      <c r="H74" s="1233"/>
      <c r="I74" s="1234">
        <f>SUM(J74:N74)</f>
        <v>10000</v>
      </c>
      <c r="J74" s="1235"/>
      <c r="K74" s="1235"/>
      <c r="L74" s="1235">
        <v>10000</v>
      </c>
      <c r="M74" s="1235"/>
      <c r="N74" s="1236"/>
    </row>
    <row r="75" spans="1:16" s="1237" customFormat="1" ht="18" customHeight="1" x14ac:dyDescent="0.3">
      <c r="A75" s="699">
        <v>68</v>
      </c>
      <c r="B75" s="1283"/>
      <c r="C75" s="1388"/>
      <c r="D75" s="690" t="s">
        <v>1307</v>
      </c>
      <c r="E75" s="1232"/>
      <c r="F75" s="1232"/>
      <c r="G75" s="1277"/>
      <c r="H75" s="1233"/>
      <c r="I75" s="665">
        <f>SUM(J75:N75)</f>
        <v>22864</v>
      </c>
      <c r="J75" s="527">
        <v>128</v>
      </c>
      <c r="K75" s="527">
        <v>23</v>
      </c>
      <c r="L75" s="527">
        <v>22713</v>
      </c>
      <c r="M75" s="1235"/>
      <c r="N75" s="1236"/>
    </row>
    <row r="76" spans="1:16" s="10" customFormat="1" ht="18" customHeight="1" x14ac:dyDescent="0.3">
      <c r="A76" s="699">
        <v>69</v>
      </c>
      <c r="B76" s="1284"/>
      <c r="C76" s="1389"/>
      <c r="D76" s="521" t="s">
        <v>954</v>
      </c>
      <c r="E76" s="164"/>
      <c r="F76" s="164"/>
      <c r="G76" s="1277"/>
      <c r="H76" s="702"/>
      <c r="I76" s="158">
        <f>SUM(J76:Q76)</f>
        <v>0</v>
      </c>
      <c r="J76" s="168">
        <v>50</v>
      </c>
      <c r="K76" s="168">
        <v>50</v>
      </c>
      <c r="L76" s="183">
        <v>-100</v>
      </c>
      <c r="M76" s="168"/>
      <c r="N76" s="169"/>
    </row>
    <row r="77" spans="1:16" s="1699" customFormat="1" ht="18" customHeight="1" x14ac:dyDescent="0.3">
      <c r="A77" s="699">
        <v>70</v>
      </c>
      <c r="B77" s="1295"/>
      <c r="C77" s="1390"/>
      <c r="D77" s="691" t="s">
        <v>1391</v>
      </c>
      <c r="E77" s="1305"/>
      <c r="F77" s="1305"/>
      <c r="G77" s="1306"/>
      <c r="H77" s="702"/>
      <c r="I77" s="665">
        <f>SUM(J77:N77)</f>
        <v>22864</v>
      </c>
      <c r="J77" s="527">
        <f>SUM(J75:J76)</f>
        <v>178</v>
      </c>
      <c r="K77" s="527">
        <f>SUM(K75:K76)</f>
        <v>73</v>
      </c>
      <c r="L77" s="527">
        <f>SUM(L75:L76)</f>
        <v>22613</v>
      </c>
      <c r="M77" s="527"/>
      <c r="N77" s="520"/>
    </row>
    <row r="78" spans="1:16" s="3" customFormat="1" ht="22.5" customHeight="1" x14ac:dyDescent="0.3">
      <c r="A78" s="699">
        <v>71</v>
      </c>
      <c r="B78" s="1282"/>
      <c r="C78" s="1387">
        <v>9</v>
      </c>
      <c r="D78" s="691" t="s">
        <v>56</v>
      </c>
      <c r="E78" s="164">
        <v>5091</v>
      </c>
      <c r="F78" s="164">
        <v>4500</v>
      </c>
      <c r="G78" s="1277">
        <v>6008</v>
      </c>
      <c r="H78" s="702" t="s">
        <v>25</v>
      </c>
      <c r="I78" s="665"/>
      <c r="J78" s="168"/>
      <c r="K78" s="168"/>
      <c r="L78" s="168"/>
      <c r="M78" s="168"/>
      <c r="N78" s="169"/>
      <c r="P78" s="10"/>
    </row>
    <row r="79" spans="1:16" s="1237" customFormat="1" ht="18" customHeight="1" x14ac:dyDescent="0.3">
      <c r="A79" s="699">
        <v>72</v>
      </c>
      <c r="B79" s="1283"/>
      <c r="C79" s="1388"/>
      <c r="D79" s="1231" t="s">
        <v>334</v>
      </c>
      <c r="E79" s="1232"/>
      <c r="F79" s="1232"/>
      <c r="G79" s="1277"/>
      <c r="H79" s="1233"/>
      <c r="I79" s="1234">
        <f>SUM(J79:N79)</f>
        <v>4500</v>
      </c>
      <c r="J79" s="1235"/>
      <c r="K79" s="1235"/>
      <c r="L79" s="1235">
        <v>4500</v>
      </c>
      <c r="M79" s="1235"/>
      <c r="N79" s="1236"/>
    </row>
    <row r="80" spans="1:16" s="1237" customFormat="1" ht="18" customHeight="1" x14ac:dyDescent="0.3">
      <c r="A80" s="699">
        <v>73</v>
      </c>
      <c r="B80" s="1283"/>
      <c r="C80" s="1388"/>
      <c r="D80" s="690" t="s">
        <v>1307</v>
      </c>
      <c r="E80" s="1232"/>
      <c r="F80" s="1232"/>
      <c r="G80" s="1277"/>
      <c r="H80" s="1248"/>
      <c r="I80" s="665">
        <f>SUM(J80:N80)</f>
        <v>24457</v>
      </c>
      <c r="J80" s="527">
        <v>180</v>
      </c>
      <c r="K80" s="527">
        <v>156</v>
      </c>
      <c r="L80" s="527">
        <v>24121</v>
      </c>
      <c r="M80" s="1235"/>
      <c r="N80" s="1236"/>
    </row>
    <row r="81" spans="1:16" s="10" customFormat="1" ht="18" customHeight="1" x14ac:dyDescent="0.3">
      <c r="A81" s="699">
        <v>74</v>
      </c>
      <c r="B81" s="1284"/>
      <c r="C81" s="1389"/>
      <c r="D81" s="521" t="s">
        <v>954</v>
      </c>
      <c r="E81" s="164"/>
      <c r="F81" s="164"/>
      <c r="G81" s="1277"/>
      <c r="H81" s="704"/>
      <c r="I81" s="158">
        <f>SUM(J81:Q81)</f>
        <v>0</v>
      </c>
      <c r="J81" s="168">
        <v>350</v>
      </c>
      <c r="K81" s="168">
        <v>100</v>
      </c>
      <c r="L81" s="183">
        <v>-450</v>
      </c>
      <c r="M81" s="168"/>
      <c r="N81" s="169"/>
    </row>
    <row r="82" spans="1:16" s="10" customFormat="1" ht="18" customHeight="1" x14ac:dyDescent="0.3">
      <c r="A82" s="699">
        <v>75</v>
      </c>
      <c r="B82" s="1284"/>
      <c r="C82" s="1389"/>
      <c r="D82" s="521" t="s">
        <v>1458</v>
      </c>
      <c r="E82" s="164"/>
      <c r="F82" s="164"/>
      <c r="G82" s="1277"/>
      <c r="H82" s="704"/>
      <c r="I82" s="158">
        <f>SUM(J82:Q82)</f>
        <v>-12</v>
      </c>
      <c r="J82" s="168"/>
      <c r="K82" s="168"/>
      <c r="L82" s="183">
        <v>-12</v>
      </c>
      <c r="M82" s="168"/>
      <c r="N82" s="169"/>
    </row>
    <row r="83" spans="1:16" s="10" customFormat="1" ht="18" customHeight="1" x14ac:dyDescent="0.3">
      <c r="A83" s="699">
        <v>76</v>
      </c>
      <c r="B83" s="1284"/>
      <c r="C83" s="1389"/>
      <c r="D83" s="521" t="s">
        <v>1482</v>
      </c>
      <c r="E83" s="164"/>
      <c r="F83" s="164"/>
      <c r="G83" s="1277"/>
      <c r="H83" s="704"/>
      <c r="I83" s="158">
        <f>SUM(J83:Q83)</f>
        <v>-57</v>
      </c>
      <c r="J83" s="168"/>
      <c r="K83" s="168"/>
      <c r="L83" s="183">
        <v>-57</v>
      </c>
      <c r="M83" s="168"/>
      <c r="N83" s="169"/>
    </row>
    <row r="84" spans="1:16" s="1699" customFormat="1" ht="18" customHeight="1" x14ac:dyDescent="0.3">
      <c r="A84" s="699">
        <v>77</v>
      </c>
      <c r="B84" s="1295"/>
      <c r="C84" s="1390"/>
      <c r="D84" s="691" t="s">
        <v>1391</v>
      </c>
      <c r="E84" s="1305"/>
      <c r="F84" s="1305"/>
      <c r="G84" s="1306"/>
      <c r="H84" s="704"/>
      <c r="I84" s="665">
        <f>SUM(J84:N84)</f>
        <v>24388</v>
      </c>
      <c r="J84" s="527">
        <f>SUM(J80:J83)</f>
        <v>530</v>
      </c>
      <c r="K84" s="527">
        <f t="shared" ref="K84:L84" si="3">SUM(K80:K83)</f>
        <v>256</v>
      </c>
      <c r="L84" s="527">
        <f t="shared" si="3"/>
        <v>23602</v>
      </c>
      <c r="M84" s="527"/>
      <c r="N84" s="520"/>
    </row>
    <row r="85" spans="1:16" s="3" customFormat="1" ht="22.5" customHeight="1" x14ac:dyDescent="0.3">
      <c r="A85" s="699">
        <v>78</v>
      </c>
      <c r="B85" s="1282"/>
      <c r="C85" s="1387">
        <v>10</v>
      </c>
      <c r="D85" s="691" t="s">
        <v>57</v>
      </c>
      <c r="E85" s="164">
        <v>879</v>
      </c>
      <c r="F85" s="164">
        <v>1000</v>
      </c>
      <c r="G85" s="1277">
        <v>21</v>
      </c>
      <c r="H85" s="704" t="s">
        <v>25</v>
      </c>
      <c r="I85" s="665"/>
      <c r="J85" s="168"/>
      <c r="K85" s="168"/>
      <c r="L85" s="168"/>
      <c r="M85" s="168"/>
      <c r="N85" s="169"/>
      <c r="P85" s="10"/>
    </row>
    <row r="86" spans="1:16" s="1251" customFormat="1" ht="18" customHeight="1" x14ac:dyDescent="0.3">
      <c r="A86" s="699">
        <v>79</v>
      </c>
      <c r="B86" s="1287"/>
      <c r="C86" s="1388"/>
      <c r="D86" s="1231" t="s">
        <v>334</v>
      </c>
      <c r="E86" s="1247"/>
      <c r="F86" s="1247"/>
      <c r="G86" s="1276"/>
      <c r="H86" s="1248"/>
      <c r="I86" s="1234">
        <f>SUM(J86:N86)</f>
        <v>2000</v>
      </c>
      <c r="J86" s="1249"/>
      <c r="K86" s="1249"/>
      <c r="L86" s="1249">
        <v>1700</v>
      </c>
      <c r="M86" s="1249"/>
      <c r="N86" s="1250">
        <v>300</v>
      </c>
      <c r="P86" s="1237"/>
    </row>
    <row r="87" spans="1:16" s="1251" customFormat="1" ht="18" customHeight="1" x14ac:dyDescent="0.3">
      <c r="A87" s="699">
        <v>80</v>
      </c>
      <c r="B87" s="1287"/>
      <c r="C87" s="1388"/>
      <c r="D87" s="690" t="s">
        <v>1307</v>
      </c>
      <c r="E87" s="1247"/>
      <c r="F87" s="1247"/>
      <c r="G87" s="1276"/>
      <c r="H87" s="1248"/>
      <c r="I87" s="665">
        <f>SUM(J87:N87)</f>
        <v>1200</v>
      </c>
      <c r="J87" s="1249"/>
      <c r="K87" s="1249"/>
      <c r="L87" s="165">
        <f>1900-1000</f>
        <v>900</v>
      </c>
      <c r="M87" s="1249"/>
      <c r="N87" s="166">
        <v>300</v>
      </c>
      <c r="P87" s="1237"/>
    </row>
    <row r="88" spans="1:16" s="3" customFormat="1" ht="18" customHeight="1" x14ac:dyDescent="0.3">
      <c r="A88" s="699">
        <v>81</v>
      </c>
      <c r="B88" s="1288"/>
      <c r="C88" s="1389"/>
      <c r="D88" s="521" t="s">
        <v>733</v>
      </c>
      <c r="E88" s="198"/>
      <c r="F88" s="198"/>
      <c r="G88" s="1276"/>
      <c r="H88" s="704"/>
      <c r="I88" s="158">
        <f>SUM(J88:Q88)</f>
        <v>0</v>
      </c>
      <c r="J88" s="197"/>
      <c r="K88" s="197"/>
      <c r="L88" s="197"/>
      <c r="M88" s="197"/>
      <c r="N88" s="205"/>
      <c r="P88" s="10"/>
    </row>
    <row r="89" spans="1:16" s="110" customFormat="1" ht="18" customHeight="1" x14ac:dyDescent="0.35">
      <c r="A89" s="699">
        <v>82</v>
      </c>
      <c r="B89" s="1307"/>
      <c r="C89" s="1390"/>
      <c r="D89" s="691" t="s">
        <v>1391</v>
      </c>
      <c r="E89" s="1308"/>
      <c r="F89" s="1308"/>
      <c r="G89" s="1309"/>
      <c r="H89" s="704"/>
      <c r="I89" s="665">
        <f>SUM(J89:N89)</f>
        <v>1200</v>
      </c>
      <c r="J89" s="165"/>
      <c r="K89" s="165"/>
      <c r="L89" s="165">
        <f>SUM(L87:L88)</f>
        <v>900</v>
      </c>
      <c r="M89" s="165"/>
      <c r="N89" s="166">
        <f>SUM(N87:N88)</f>
        <v>300</v>
      </c>
      <c r="P89" s="1699"/>
    </row>
    <row r="90" spans="1:16" s="3" customFormat="1" ht="22.5" customHeight="1" x14ac:dyDescent="0.3">
      <c r="A90" s="699">
        <v>83</v>
      </c>
      <c r="B90" s="1282"/>
      <c r="C90" s="1387">
        <v>11</v>
      </c>
      <c r="D90" s="691" t="s">
        <v>58</v>
      </c>
      <c r="E90" s="164">
        <v>914</v>
      </c>
      <c r="F90" s="164">
        <v>3000</v>
      </c>
      <c r="G90" s="1277">
        <v>2657</v>
      </c>
      <c r="H90" s="702" t="s">
        <v>25</v>
      </c>
      <c r="I90" s="665"/>
      <c r="J90" s="168"/>
      <c r="K90" s="168"/>
      <c r="L90" s="168"/>
      <c r="M90" s="168"/>
      <c r="N90" s="169"/>
      <c r="P90" s="10"/>
    </row>
    <row r="91" spans="1:16" s="1237" customFormat="1" ht="18" customHeight="1" x14ac:dyDescent="0.3">
      <c r="A91" s="699">
        <v>84</v>
      </c>
      <c r="B91" s="1283"/>
      <c r="C91" s="1388"/>
      <c r="D91" s="1231" t="s">
        <v>334</v>
      </c>
      <c r="E91" s="1232"/>
      <c r="F91" s="1232"/>
      <c r="G91" s="1277"/>
      <c r="H91" s="1233"/>
      <c r="I91" s="1234">
        <f>SUM(J91:N91)</f>
        <v>4000</v>
      </c>
      <c r="J91" s="1235"/>
      <c r="K91" s="1235"/>
      <c r="L91" s="1235">
        <v>4000</v>
      </c>
      <c r="M91" s="1235"/>
      <c r="N91" s="1236"/>
    </row>
    <row r="92" spans="1:16" s="1237" customFormat="1" ht="18" customHeight="1" x14ac:dyDescent="0.3">
      <c r="A92" s="699">
        <v>85</v>
      </c>
      <c r="B92" s="1283"/>
      <c r="C92" s="1388"/>
      <c r="D92" s="690" t="s">
        <v>1307</v>
      </c>
      <c r="E92" s="1232"/>
      <c r="F92" s="1232"/>
      <c r="G92" s="1277"/>
      <c r="H92" s="1233"/>
      <c r="I92" s="665">
        <f>SUM(J92:N92)</f>
        <v>3061</v>
      </c>
      <c r="J92" s="527">
        <v>180</v>
      </c>
      <c r="K92" s="527">
        <v>93</v>
      </c>
      <c r="L92" s="527">
        <v>1403</v>
      </c>
      <c r="M92" s="1235"/>
      <c r="N92" s="520">
        <v>1385</v>
      </c>
    </row>
    <row r="93" spans="1:16" s="10" customFormat="1" ht="18" customHeight="1" x14ac:dyDescent="0.3">
      <c r="A93" s="699">
        <v>86</v>
      </c>
      <c r="B93" s="1284"/>
      <c r="C93" s="1389"/>
      <c r="D93" s="1810" t="s">
        <v>1440</v>
      </c>
      <c r="E93" s="1811"/>
      <c r="F93" s="1812"/>
      <c r="G93" s="1277"/>
      <c r="H93" s="702"/>
      <c r="I93" s="158">
        <f>SUM(J93:Q93)</f>
        <v>300</v>
      </c>
      <c r="J93" s="183"/>
      <c r="K93" s="183"/>
      <c r="L93" s="183">
        <v>300</v>
      </c>
      <c r="M93" s="168"/>
      <c r="N93" s="169"/>
    </row>
    <row r="94" spans="1:16" s="1699" customFormat="1" ht="18" customHeight="1" x14ac:dyDescent="0.3">
      <c r="A94" s="699">
        <v>87</v>
      </c>
      <c r="B94" s="1295"/>
      <c r="C94" s="1390"/>
      <c r="D94" s="691" t="s">
        <v>1391</v>
      </c>
      <c r="E94" s="1305"/>
      <c r="F94" s="1305"/>
      <c r="G94" s="1306"/>
      <c r="H94" s="702"/>
      <c r="I94" s="665">
        <f>SUM(J94:N94)</f>
        <v>3361</v>
      </c>
      <c r="J94" s="527">
        <f t="shared" ref="J94:K94" si="4">SUM(J92:J93)</f>
        <v>180</v>
      </c>
      <c r="K94" s="527">
        <f t="shared" si="4"/>
        <v>93</v>
      </c>
      <c r="L94" s="527">
        <f>SUM(L92:L93)</f>
        <v>1703</v>
      </c>
      <c r="M94" s="527"/>
      <c r="N94" s="520">
        <f>SUM(N92:N93)</f>
        <v>1385</v>
      </c>
    </row>
    <row r="95" spans="1:16" s="3" customFormat="1" ht="22.5" customHeight="1" x14ac:dyDescent="0.3">
      <c r="A95" s="699">
        <v>88</v>
      </c>
      <c r="B95" s="1282"/>
      <c r="C95" s="1387">
        <v>12</v>
      </c>
      <c r="D95" s="691" t="s">
        <v>59</v>
      </c>
      <c r="E95" s="164">
        <f>SUM(E100,E105,E110,E115,)</f>
        <v>4755</v>
      </c>
      <c r="F95" s="164">
        <f>SUM(F100,F105,F110,F115,)</f>
        <v>6500</v>
      </c>
      <c r="G95" s="1277">
        <v>5498</v>
      </c>
      <c r="H95" s="702" t="s">
        <v>25</v>
      </c>
      <c r="I95" s="665"/>
      <c r="J95" s="168"/>
      <c r="K95" s="168"/>
      <c r="L95" s="168"/>
      <c r="M95" s="168"/>
      <c r="N95" s="169"/>
      <c r="P95" s="10"/>
    </row>
    <row r="96" spans="1:16" s="1237" customFormat="1" ht="18" customHeight="1" x14ac:dyDescent="0.3">
      <c r="A96" s="699">
        <v>89</v>
      </c>
      <c r="B96" s="1283"/>
      <c r="C96" s="1388"/>
      <c r="D96" s="1231" t="s">
        <v>334</v>
      </c>
      <c r="E96" s="1232"/>
      <c r="F96" s="1232"/>
      <c r="G96" s="1277"/>
      <c r="H96" s="1233"/>
      <c r="I96" s="1234">
        <f>SUM(J96:N96)</f>
        <v>13000</v>
      </c>
      <c r="J96" s="1238">
        <f>SUM(J101,J106,J111,J116,)</f>
        <v>0</v>
      </c>
      <c r="K96" s="1238">
        <f>SUM(K101,K106,K111,K116,)</f>
        <v>0</v>
      </c>
      <c r="L96" s="1238">
        <f>SUM(L101,L106,L111,L116,)</f>
        <v>0</v>
      </c>
      <c r="M96" s="1238">
        <f>SUM(M101,M106,M111,M116,)</f>
        <v>0</v>
      </c>
      <c r="N96" s="1239">
        <f>SUM(N101,N106,N111,N116,+N121+N126)</f>
        <v>13000</v>
      </c>
    </row>
    <row r="97" spans="1:14" s="1237" customFormat="1" ht="18" customHeight="1" x14ac:dyDescent="0.3">
      <c r="A97" s="699">
        <v>90</v>
      </c>
      <c r="B97" s="1283"/>
      <c r="C97" s="1388"/>
      <c r="D97" s="690" t="s">
        <v>1307</v>
      </c>
      <c r="E97" s="1232"/>
      <c r="F97" s="1232"/>
      <c r="G97" s="1277"/>
      <c r="H97" s="1233"/>
      <c r="I97" s="665">
        <f>SUM(J97:N97)</f>
        <v>12460</v>
      </c>
      <c r="J97" s="665">
        <f>J102+J107+J112+J117+J122+J127+J131</f>
        <v>0</v>
      </c>
      <c r="K97" s="665">
        <f>K102+K107+K112+K117+K122+K127+K131</f>
        <v>0</v>
      </c>
      <c r="L97" s="665">
        <f>L102+L107+L112+L117+L122+L127+L131</f>
        <v>0</v>
      </c>
      <c r="M97" s="665">
        <f>M102+M107+M112+M117+M122+M127+M131</f>
        <v>0</v>
      </c>
      <c r="N97" s="1566">
        <f>N102+N107+N112+N117+N122+N127+N131</f>
        <v>12460</v>
      </c>
    </row>
    <row r="98" spans="1:14" s="10" customFormat="1" ht="18" customHeight="1" x14ac:dyDescent="0.3">
      <c r="A98" s="699">
        <v>91</v>
      </c>
      <c r="B98" s="1284"/>
      <c r="C98" s="1389"/>
      <c r="D98" s="521" t="s">
        <v>733</v>
      </c>
      <c r="E98" s="164"/>
      <c r="F98" s="164"/>
      <c r="G98" s="1277"/>
      <c r="H98" s="702"/>
      <c r="I98" s="158">
        <f>SUM(J98:Q98)</f>
        <v>0</v>
      </c>
      <c r="J98" s="183">
        <f>J103+J108+J113+J118+J123+J128</f>
        <v>0</v>
      </c>
      <c r="K98" s="183">
        <f>K103+K108+K113+K118+K123+K128</f>
        <v>0</v>
      </c>
      <c r="L98" s="183">
        <f>L103+L108+L113+L118+L123+L128</f>
        <v>0</v>
      </c>
      <c r="M98" s="183">
        <f>M103+M108+M113+M118+M123+M128</f>
        <v>0</v>
      </c>
      <c r="N98" s="184">
        <f>N103+N108+N113+N118+N123+N128</f>
        <v>0</v>
      </c>
    </row>
    <row r="99" spans="1:14" s="1699" customFormat="1" ht="18" customHeight="1" x14ac:dyDescent="0.3">
      <c r="A99" s="699">
        <v>92</v>
      </c>
      <c r="B99" s="1295"/>
      <c r="C99" s="1390"/>
      <c r="D99" s="691" t="s">
        <v>1391</v>
      </c>
      <c r="E99" s="1305"/>
      <c r="F99" s="1305"/>
      <c r="G99" s="1306"/>
      <c r="H99" s="702"/>
      <c r="I99" s="665">
        <f>SUM(J99:N99)</f>
        <v>12460</v>
      </c>
      <c r="J99" s="527">
        <f>SUM(J97:J98)</f>
        <v>0</v>
      </c>
      <c r="K99" s="527">
        <f t="shared" ref="K99:N99" si="5">SUM(K97:K98)</f>
        <v>0</v>
      </c>
      <c r="L99" s="527">
        <f t="shared" si="5"/>
        <v>0</v>
      </c>
      <c r="M99" s="527">
        <f t="shared" si="5"/>
        <v>0</v>
      </c>
      <c r="N99" s="520">
        <f t="shared" si="5"/>
        <v>12460</v>
      </c>
    </row>
    <row r="100" spans="1:14" s="11" customFormat="1" ht="18" customHeight="1" x14ac:dyDescent="0.3">
      <c r="A100" s="699">
        <v>93</v>
      </c>
      <c r="B100" s="1285"/>
      <c r="C100" s="1393"/>
      <c r="D100" s="177" t="s">
        <v>308</v>
      </c>
      <c r="E100" s="173"/>
      <c r="F100" s="173">
        <v>1500</v>
      </c>
      <c r="G100" s="1264"/>
      <c r="H100" s="703"/>
      <c r="I100" s="667"/>
      <c r="J100" s="183"/>
      <c r="K100" s="183"/>
      <c r="L100" s="183"/>
      <c r="M100" s="183"/>
      <c r="N100" s="184"/>
    </row>
    <row r="101" spans="1:14" s="1246" customFormat="1" ht="18" customHeight="1" x14ac:dyDescent="0.3">
      <c r="A101" s="699">
        <v>94</v>
      </c>
      <c r="B101" s="1286"/>
      <c r="C101" s="1392"/>
      <c r="D101" s="1252" t="s">
        <v>334</v>
      </c>
      <c r="E101" s="1241"/>
      <c r="F101" s="1241"/>
      <c r="G101" s="1264"/>
      <c r="H101" s="1242"/>
      <c r="I101" s="1243">
        <f>SUM(J101:N101)</f>
        <v>1500</v>
      </c>
      <c r="J101" s="1244"/>
      <c r="K101" s="1244"/>
      <c r="L101" s="1244"/>
      <c r="M101" s="1244"/>
      <c r="N101" s="1245">
        <v>1500</v>
      </c>
    </row>
    <row r="102" spans="1:14" s="1246" customFormat="1" ht="18" customHeight="1" x14ac:dyDescent="0.3">
      <c r="A102" s="699">
        <v>95</v>
      </c>
      <c r="B102" s="1286"/>
      <c r="C102" s="1392"/>
      <c r="D102" s="176" t="s">
        <v>1307</v>
      </c>
      <c r="E102" s="1241"/>
      <c r="F102" s="1241"/>
      <c r="G102" s="1264"/>
      <c r="H102" s="1242"/>
      <c r="I102" s="665">
        <f>SUM(J102:N102)</f>
        <v>0</v>
      </c>
      <c r="J102" s="1244"/>
      <c r="K102" s="1244"/>
      <c r="L102" s="1244"/>
      <c r="M102" s="1244"/>
      <c r="N102" s="184">
        <v>0</v>
      </c>
    </row>
    <row r="103" spans="1:14" s="11" customFormat="1" ht="18" customHeight="1" x14ac:dyDescent="0.3">
      <c r="A103" s="699">
        <v>96</v>
      </c>
      <c r="B103" s="1285"/>
      <c r="C103" s="1393"/>
      <c r="D103" s="176" t="s">
        <v>733</v>
      </c>
      <c r="E103" s="173"/>
      <c r="F103" s="173"/>
      <c r="G103" s="1264"/>
      <c r="H103" s="703"/>
      <c r="I103" s="158">
        <f>SUM(J103:Q103)</f>
        <v>0</v>
      </c>
      <c r="J103" s="183"/>
      <c r="K103" s="183"/>
      <c r="L103" s="183"/>
      <c r="M103" s="183"/>
      <c r="N103" s="184"/>
    </row>
    <row r="104" spans="1:14" s="11" customFormat="1" ht="18" customHeight="1" x14ac:dyDescent="0.3">
      <c r="A104" s="699">
        <v>97</v>
      </c>
      <c r="B104" s="1285"/>
      <c r="C104" s="1393"/>
      <c r="D104" s="176" t="s">
        <v>1391</v>
      </c>
      <c r="E104" s="173"/>
      <c r="F104" s="173"/>
      <c r="G104" s="1264"/>
      <c r="H104" s="703"/>
      <c r="I104" s="665">
        <f>SUM(J104:N104)</f>
        <v>0</v>
      </c>
      <c r="J104" s="183"/>
      <c r="K104" s="183"/>
      <c r="L104" s="183"/>
      <c r="M104" s="183"/>
      <c r="N104" s="184">
        <f>SUM(N102:N103)</f>
        <v>0</v>
      </c>
    </row>
    <row r="105" spans="1:14" s="11" customFormat="1" ht="18" customHeight="1" x14ac:dyDescent="0.3">
      <c r="A105" s="699">
        <v>98</v>
      </c>
      <c r="B105" s="1285"/>
      <c r="C105" s="1393"/>
      <c r="D105" s="177" t="s">
        <v>309</v>
      </c>
      <c r="E105" s="173">
        <v>2255</v>
      </c>
      <c r="F105" s="173">
        <v>2500</v>
      </c>
      <c r="G105" s="1264">
        <v>2998</v>
      </c>
      <c r="H105" s="703"/>
      <c r="I105" s="668"/>
      <c r="J105" s="174"/>
      <c r="K105" s="174"/>
      <c r="L105" s="174"/>
      <c r="M105" s="174"/>
      <c r="N105" s="175"/>
    </row>
    <row r="106" spans="1:14" s="1246" customFormat="1" ht="18" customHeight="1" x14ac:dyDescent="0.3">
      <c r="A106" s="699">
        <v>99</v>
      </c>
      <c r="B106" s="1286"/>
      <c r="C106" s="1392"/>
      <c r="D106" s="1252" t="s">
        <v>334</v>
      </c>
      <c r="E106" s="1241"/>
      <c r="F106" s="1241"/>
      <c r="G106" s="1264"/>
      <c r="H106" s="1242"/>
      <c r="I106" s="1243">
        <f>SUM(J106:N106)</f>
        <v>2000</v>
      </c>
      <c r="J106" s="1244"/>
      <c r="K106" s="1244"/>
      <c r="L106" s="1244"/>
      <c r="M106" s="1244"/>
      <c r="N106" s="1245">
        <v>2000</v>
      </c>
    </row>
    <row r="107" spans="1:14" s="1246" customFormat="1" ht="18" customHeight="1" x14ac:dyDescent="0.3">
      <c r="A107" s="699">
        <v>100</v>
      </c>
      <c r="B107" s="1286"/>
      <c r="C107" s="1392"/>
      <c r="D107" s="176" t="s">
        <v>1307</v>
      </c>
      <c r="E107" s="1241"/>
      <c r="F107" s="1241"/>
      <c r="G107" s="1264"/>
      <c r="H107" s="1242"/>
      <c r="I107" s="665">
        <f>SUM(J107:N107)</f>
        <v>2960</v>
      </c>
      <c r="J107" s="1244"/>
      <c r="K107" s="1244"/>
      <c r="L107" s="1244"/>
      <c r="M107" s="1244"/>
      <c r="N107" s="184">
        <v>2960</v>
      </c>
    </row>
    <row r="108" spans="1:14" s="11" customFormat="1" ht="18" customHeight="1" x14ac:dyDescent="0.3">
      <c r="A108" s="699">
        <v>101</v>
      </c>
      <c r="B108" s="1285"/>
      <c r="C108" s="1393"/>
      <c r="D108" s="176" t="s">
        <v>834</v>
      </c>
      <c r="E108" s="173"/>
      <c r="F108" s="173"/>
      <c r="G108" s="1264"/>
      <c r="H108" s="703"/>
      <c r="I108" s="158">
        <f>SUM(J108:Q108)</f>
        <v>0</v>
      </c>
      <c r="J108" s="183"/>
      <c r="K108" s="183"/>
      <c r="L108" s="183"/>
      <c r="M108" s="183"/>
      <c r="N108" s="184"/>
    </row>
    <row r="109" spans="1:14" s="11" customFormat="1" ht="18" customHeight="1" x14ac:dyDescent="0.3">
      <c r="A109" s="699">
        <v>102</v>
      </c>
      <c r="B109" s="1285"/>
      <c r="C109" s="1393"/>
      <c r="D109" s="176" t="s">
        <v>1391</v>
      </c>
      <c r="E109" s="173"/>
      <c r="F109" s="173"/>
      <c r="G109" s="1264"/>
      <c r="H109" s="703"/>
      <c r="I109" s="665">
        <f>SUM(J109:N109)</f>
        <v>2960</v>
      </c>
      <c r="J109" s="183"/>
      <c r="K109" s="183"/>
      <c r="L109" s="183"/>
      <c r="M109" s="183"/>
      <c r="N109" s="184">
        <f>SUM(N107:N108)</f>
        <v>2960</v>
      </c>
    </row>
    <row r="110" spans="1:14" s="11" customFormat="1" ht="18" customHeight="1" x14ac:dyDescent="0.3">
      <c r="A110" s="699">
        <v>103</v>
      </c>
      <c r="B110" s="1285"/>
      <c r="C110" s="1393"/>
      <c r="D110" s="177" t="s">
        <v>443</v>
      </c>
      <c r="E110" s="173">
        <v>2000</v>
      </c>
      <c r="F110" s="173">
        <v>2000</v>
      </c>
      <c r="G110" s="1264">
        <v>2000</v>
      </c>
      <c r="H110" s="703"/>
      <c r="I110" s="667"/>
      <c r="J110" s="183"/>
      <c r="K110" s="183"/>
      <c r="L110" s="183"/>
      <c r="M110" s="183"/>
      <c r="N110" s="184"/>
    </row>
    <row r="111" spans="1:14" s="1246" customFormat="1" ht="18" customHeight="1" x14ac:dyDescent="0.3">
      <c r="A111" s="699">
        <v>104</v>
      </c>
      <c r="B111" s="1286"/>
      <c r="C111" s="1392"/>
      <c r="D111" s="1252" t="s">
        <v>334</v>
      </c>
      <c r="E111" s="1241"/>
      <c r="F111" s="1241"/>
      <c r="G111" s="1264"/>
      <c r="H111" s="1242"/>
      <c r="I111" s="1243">
        <f>SUM(J111:N111)</f>
        <v>2000</v>
      </c>
      <c r="J111" s="1244"/>
      <c r="K111" s="1244"/>
      <c r="L111" s="1244"/>
      <c r="M111" s="1244"/>
      <c r="N111" s="1245">
        <v>2000</v>
      </c>
    </row>
    <row r="112" spans="1:14" s="1246" customFormat="1" ht="18" customHeight="1" x14ac:dyDescent="0.3">
      <c r="A112" s="699">
        <v>105</v>
      </c>
      <c r="B112" s="1286"/>
      <c r="C112" s="1392"/>
      <c r="D112" s="176" t="s">
        <v>1307</v>
      </c>
      <c r="E112" s="1241"/>
      <c r="F112" s="1241"/>
      <c r="G112" s="1264"/>
      <c r="H112" s="1242"/>
      <c r="I112" s="665">
        <f>SUM(J112:N112)</f>
        <v>2000</v>
      </c>
      <c r="J112" s="1244"/>
      <c r="K112" s="1244"/>
      <c r="L112" s="1244"/>
      <c r="M112" s="1244"/>
      <c r="N112" s="184">
        <v>2000</v>
      </c>
    </row>
    <row r="113" spans="1:14" s="11" customFormat="1" ht="18" customHeight="1" x14ac:dyDescent="0.3">
      <c r="A113" s="699">
        <v>106</v>
      </c>
      <c r="B113" s="1285"/>
      <c r="C113" s="1393"/>
      <c r="D113" s="176" t="s">
        <v>733</v>
      </c>
      <c r="E113" s="173"/>
      <c r="F113" s="173"/>
      <c r="G113" s="1264"/>
      <c r="H113" s="703"/>
      <c r="I113" s="158">
        <f>SUM(J113:Q113)</f>
        <v>0</v>
      </c>
      <c r="J113" s="183"/>
      <c r="K113" s="183"/>
      <c r="L113" s="183"/>
      <c r="M113" s="183"/>
      <c r="N113" s="184"/>
    </row>
    <row r="114" spans="1:14" s="11" customFormat="1" ht="18" customHeight="1" x14ac:dyDescent="0.3">
      <c r="A114" s="699">
        <v>107</v>
      </c>
      <c r="B114" s="1285"/>
      <c r="C114" s="1393"/>
      <c r="D114" s="176" t="s">
        <v>1391</v>
      </c>
      <c r="E114" s="173"/>
      <c r="F114" s="173"/>
      <c r="G114" s="1264"/>
      <c r="H114" s="703"/>
      <c r="I114" s="665">
        <f>SUM(J114:N114)</f>
        <v>2000</v>
      </c>
      <c r="J114" s="183"/>
      <c r="K114" s="183"/>
      <c r="L114" s="183"/>
      <c r="M114" s="183"/>
      <c r="N114" s="184">
        <f>SUM(N112:N113)</f>
        <v>2000</v>
      </c>
    </row>
    <row r="115" spans="1:14" s="11" customFormat="1" ht="18" customHeight="1" x14ac:dyDescent="0.3">
      <c r="A115" s="699">
        <v>108</v>
      </c>
      <c r="B115" s="1285"/>
      <c r="C115" s="1393"/>
      <c r="D115" s="177" t="s">
        <v>444</v>
      </c>
      <c r="E115" s="173">
        <v>500</v>
      </c>
      <c r="F115" s="173">
        <v>500</v>
      </c>
      <c r="G115" s="1264">
        <v>500</v>
      </c>
      <c r="H115" s="703"/>
      <c r="I115" s="667"/>
      <c r="J115" s="183"/>
      <c r="K115" s="183"/>
      <c r="L115" s="183"/>
      <c r="M115" s="183"/>
      <c r="N115" s="184"/>
    </row>
    <row r="116" spans="1:14" s="1246" customFormat="1" ht="18" customHeight="1" x14ac:dyDescent="0.3">
      <c r="A116" s="699">
        <v>109</v>
      </c>
      <c r="B116" s="1286"/>
      <c r="C116" s="1392"/>
      <c r="D116" s="1253" t="s">
        <v>334</v>
      </c>
      <c r="E116" s="1241"/>
      <c r="F116" s="1241"/>
      <c r="G116" s="1264"/>
      <c r="H116" s="1242"/>
      <c r="I116" s="1243">
        <f>SUM(J116:N116)</f>
        <v>500</v>
      </c>
      <c r="J116" s="1244"/>
      <c r="K116" s="1244"/>
      <c r="L116" s="1244"/>
      <c r="M116" s="1244"/>
      <c r="N116" s="1245">
        <v>500</v>
      </c>
    </row>
    <row r="117" spans="1:14" s="1246" customFormat="1" ht="18" customHeight="1" x14ac:dyDescent="0.3">
      <c r="A117" s="699">
        <v>110</v>
      </c>
      <c r="B117" s="1286"/>
      <c r="C117" s="1392"/>
      <c r="D117" s="176" t="s">
        <v>1307</v>
      </c>
      <c r="E117" s="1241"/>
      <c r="F117" s="1241"/>
      <c r="G117" s="1264"/>
      <c r="H117" s="1242"/>
      <c r="I117" s="665">
        <f>SUM(J117:N117)</f>
        <v>500</v>
      </c>
      <c r="J117" s="1244"/>
      <c r="K117" s="1244"/>
      <c r="L117" s="1244"/>
      <c r="M117" s="1244"/>
      <c r="N117" s="184">
        <v>500</v>
      </c>
    </row>
    <row r="118" spans="1:14" s="11" customFormat="1" ht="18" customHeight="1" x14ac:dyDescent="0.3">
      <c r="A118" s="699">
        <v>111</v>
      </c>
      <c r="B118" s="1285"/>
      <c r="C118" s="1393"/>
      <c r="D118" s="176" t="s">
        <v>733</v>
      </c>
      <c r="E118" s="173"/>
      <c r="F118" s="173"/>
      <c r="G118" s="1264"/>
      <c r="H118" s="703"/>
      <c r="I118" s="158">
        <f>SUM(J118:Q118)</f>
        <v>0</v>
      </c>
      <c r="J118" s="183"/>
      <c r="K118" s="183"/>
      <c r="L118" s="183"/>
      <c r="M118" s="183"/>
      <c r="N118" s="184"/>
    </row>
    <row r="119" spans="1:14" s="11" customFormat="1" ht="18" customHeight="1" x14ac:dyDescent="0.3">
      <c r="A119" s="699">
        <v>112</v>
      </c>
      <c r="B119" s="1285"/>
      <c r="C119" s="1393"/>
      <c r="D119" s="176" t="s">
        <v>1391</v>
      </c>
      <c r="E119" s="173"/>
      <c r="F119" s="173"/>
      <c r="G119" s="1264"/>
      <c r="H119" s="703"/>
      <c r="I119" s="665">
        <f>SUM(J119:N119)</f>
        <v>500</v>
      </c>
      <c r="J119" s="183"/>
      <c r="K119" s="183"/>
      <c r="L119" s="183"/>
      <c r="M119" s="183"/>
      <c r="N119" s="184">
        <f>SUM(N117:N118)</f>
        <v>500</v>
      </c>
    </row>
    <row r="120" spans="1:14" s="11" customFormat="1" ht="18" customHeight="1" x14ac:dyDescent="0.3">
      <c r="A120" s="699">
        <v>113</v>
      </c>
      <c r="B120" s="1285"/>
      <c r="C120" s="1393"/>
      <c r="D120" s="177" t="s">
        <v>591</v>
      </c>
      <c r="E120" s="173"/>
      <c r="F120" s="173"/>
      <c r="G120" s="1264"/>
      <c r="H120" s="703"/>
      <c r="I120" s="667"/>
      <c r="J120" s="183"/>
      <c r="K120" s="183"/>
      <c r="L120" s="183"/>
      <c r="M120" s="183"/>
      <c r="N120" s="184"/>
    </row>
    <row r="121" spans="1:14" s="1246" customFormat="1" ht="18" customHeight="1" x14ac:dyDescent="0.3">
      <c r="A121" s="699">
        <v>114</v>
      </c>
      <c r="B121" s="1286"/>
      <c r="C121" s="1392"/>
      <c r="D121" s="1253" t="s">
        <v>334</v>
      </c>
      <c r="E121" s="1241"/>
      <c r="F121" s="1241"/>
      <c r="G121" s="1264"/>
      <c r="H121" s="1242"/>
      <c r="I121" s="1243">
        <f>SUM(J121:N121)</f>
        <v>2000</v>
      </c>
      <c r="J121" s="1244"/>
      <c r="K121" s="1244"/>
      <c r="L121" s="1244"/>
      <c r="M121" s="1244"/>
      <c r="N121" s="1245">
        <v>2000</v>
      </c>
    </row>
    <row r="122" spans="1:14" s="1246" customFormat="1" ht="18" customHeight="1" x14ac:dyDescent="0.3">
      <c r="A122" s="699">
        <v>115</v>
      </c>
      <c r="B122" s="1286"/>
      <c r="C122" s="1392"/>
      <c r="D122" s="176" t="s">
        <v>1307</v>
      </c>
      <c r="E122" s="1241"/>
      <c r="F122" s="1241"/>
      <c r="G122" s="1264"/>
      <c r="H122" s="1242"/>
      <c r="I122" s="665">
        <f>SUM(J122:N122)</f>
        <v>0</v>
      </c>
      <c r="J122" s="1244"/>
      <c r="K122" s="1244"/>
      <c r="L122" s="1244"/>
      <c r="M122" s="1244"/>
      <c r="N122" s="184">
        <v>0</v>
      </c>
    </row>
    <row r="123" spans="1:14" s="11" customFormat="1" ht="18" customHeight="1" x14ac:dyDescent="0.3">
      <c r="A123" s="699">
        <v>116</v>
      </c>
      <c r="B123" s="1285"/>
      <c r="C123" s="1393"/>
      <c r="D123" s="176" t="s">
        <v>834</v>
      </c>
      <c r="E123" s="173"/>
      <c r="F123" s="173"/>
      <c r="G123" s="1264"/>
      <c r="H123" s="703"/>
      <c r="I123" s="158">
        <f>SUM(J123:Q123)</f>
        <v>0</v>
      </c>
      <c r="J123" s="183"/>
      <c r="K123" s="183"/>
      <c r="L123" s="183"/>
      <c r="M123" s="183"/>
      <c r="N123" s="184"/>
    </row>
    <row r="124" spans="1:14" s="11" customFormat="1" ht="18" customHeight="1" x14ac:dyDescent="0.3">
      <c r="A124" s="699">
        <v>117</v>
      </c>
      <c r="B124" s="1285"/>
      <c r="C124" s="1393"/>
      <c r="D124" s="176" t="s">
        <v>1391</v>
      </c>
      <c r="E124" s="173"/>
      <c r="F124" s="173"/>
      <c r="G124" s="1264"/>
      <c r="H124" s="703"/>
      <c r="I124" s="665">
        <f>SUM(J124:N124)</f>
        <v>0</v>
      </c>
      <c r="J124" s="183"/>
      <c r="K124" s="183"/>
      <c r="L124" s="183"/>
      <c r="M124" s="183"/>
      <c r="N124" s="184">
        <f>SUM(N122:N123)</f>
        <v>0</v>
      </c>
    </row>
    <row r="125" spans="1:14" s="11" customFormat="1" ht="18" customHeight="1" x14ac:dyDescent="0.3">
      <c r="A125" s="699">
        <v>118</v>
      </c>
      <c r="B125" s="1285"/>
      <c r="C125" s="1393"/>
      <c r="D125" s="177" t="s">
        <v>592</v>
      </c>
      <c r="E125" s="173"/>
      <c r="F125" s="173"/>
      <c r="G125" s="1264"/>
      <c r="H125" s="703"/>
      <c r="I125" s="667"/>
      <c r="J125" s="183"/>
      <c r="K125" s="183"/>
      <c r="L125" s="183"/>
      <c r="M125" s="183"/>
      <c r="N125" s="184"/>
    </row>
    <row r="126" spans="1:14" s="1246" customFormat="1" ht="18" customHeight="1" x14ac:dyDescent="0.3">
      <c r="A126" s="699">
        <v>119</v>
      </c>
      <c r="B126" s="1286"/>
      <c r="C126" s="1392"/>
      <c r="D126" s="1253" t="s">
        <v>334</v>
      </c>
      <c r="E126" s="1241"/>
      <c r="F126" s="1241"/>
      <c r="G126" s="1264"/>
      <c r="H126" s="1242"/>
      <c r="I126" s="1243">
        <f>SUM(J126:N126)</f>
        <v>5000</v>
      </c>
      <c r="J126" s="1244"/>
      <c r="K126" s="1244"/>
      <c r="L126" s="1244"/>
      <c r="M126" s="1244"/>
      <c r="N126" s="1245">
        <v>5000</v>
      </c>
    </row>
    <row r="127" spans="1:14" s="1246" customFormat="1" ht="18" customHeight="1" x14ac:dyDescent="0.3">
      <c r="A127" s="699">
        <v>120</v>
      </c>
      <c r="B127" s="1286"/>
      <c r="C127" s="1392"/>
      <c r="D127" s="176" t="s">
        <v>1307</v>
      </c>
      <c r="E127" s="1241"/>
      <c r="F127" s="1241"/>
      <c r="G127" s="1264"/>
      <c r="H127" s="1242"/>
      <c r="I127" s="665">
        <f>SUM(J127:N127)</f>
        <v>5000</v>
      </c>
      <c r="J127" s="1244"/>
      <c r="K127" s="1244"/>
      <c r="L127" s="1244"/>
      <c r="M127" s="1244"/>
      <c r="N127" s="184">
        <v>5000</v>
      </c>
    </row>
    <row r="128" spans="1:14" s="11" customFormat="1" ht="18" customHeight="1" x14ac:dyDescent="0.3">
      <c r="A128" s="699">
        <v>121</v>
      </c>
      <c r="B128" s="1285"/>
      <c r="C128" s="1393"/>
      <c r="D128" s="176" t="s">
        <v>834</v>
      </c>
      <c r="E128" s="173"/>
      <c r="F128" s="173"/>
      <c r="G128" s="1264"/>
      <c r="H128" s="703"/>
      <c r="I128" s="158">
        <f>SUM(J128:Q128)</f>
        <v>0</v>
      </c>
      <c r="J128" s="183"/>
      <c r="K128" s="183"/>
      <c r="L128" s="183"/>
      <c r="M128" s="183"/>
      <c r="N128" s="184"/>
    </row>
    <row r="129" spans="1:16" s="11" customFormat="1" ht="18" customHeight="1" x14ac:dyDescent="0.3">
      <c r="A129" s="699">
        <v>122</v>
      </c>
      <c r="B129" s="1285"/>
      <c r="C129" s="1393"/>
      <c r="D129" s="176" t="s">
        <v>1391</v>
      </c>
      <c r="E129" s="173"/>
      <c r="F129" s="173"/>
      <c r="G129" s="1264"/>
      <c r="H129" s="703"/>
      <c r="I129" s="665">
        <f>SUM(J129:N129)</f>
        <v>5000</v>
      </c>
      <c r="J129" s="183"/>
      <c r="K129" s="183"/>
      <c r="L129" s="183"/>
      <c r="M129" s="183"/>
      <c r="N129" s="184">
        <f>SUM(N127:N128)</f>
        <v>5000</v>
      </c>
    </row>
    <row r="130" spans="1:16" s="11" customFormat="1" ht="18" customHeight="1" x14ac:dyDescent="0.3">
      <c r="A130" s="699">
        <v>123</v>
      </c>
      <c r="B130" s="1285"/>
      <c r="C130" s="1393"/>
      <c r="D130" s="177" t="s">
        <v>926</v>
      </c>
      <c r="E130" s="173"/>
      <c r="F130" s="173"/>
      <c r="G130" s="1264"/>
      <c r="H130" s="703"/>
      <c r="I130" s="665"/>
      <c r="J130" s="183"/>
      <c r="K130" s="183"/>
      <c r="L130" s="183"/>
      <c r="M130" s="183"/>
      <c r="N130" s="184"/>
    </row>
    <row r="131" spans="1:16" s="11" customFormat="1" ht="18" customHeight="1" x14ac:dyDescent="0.3">
      <c r="A131" s="699">
        <v>124</v>
      </c>
      <c r="B131" s="1285"/>
      <c r="C131" s="1393"/>
      <c r="D131" s="176" t="s">
        <v>1307</v>
      </c>
      <c r="E131" s="173"/>
      <c r="F131" s="173"/>
      <c r="G131" s="1264"/>
      <c r="H131" s="703"/>
      <c r="I131" s="665">
        <f>SUM(J131:N131)</f>
        <v>2000</v>
      </c>
      <c r="J131" s="183"/>
      <c r="K131" s="183"/>
      <c r="L131" s="183"/>
      <c r="M131" s="183"/>
      <c r="N131" s="184">
        <v>2000</v>
      </c>
    </row>
    <row r="132" spans="1:16" s="11" customFormat="1" ht="18" customHeight="1" x14ac:dyDescent="0.3">
      <c r="A132" s="699">
        <v>125</v>
      </c>
      <c r="B132" s="1285"/>
      <c r="C132" s="1393"/>
      <c r="D132" s="176" t="s">
        <v>834</v>
      </c>
      <c r="E132" s="173"/>
      <c r="F132" s="173"/>
      <c r="G132" s="1264"/>
      <c r="H132" s="703"/>
      <c r="I132" s="158">
        <f>SUM(J132:Q132)</f>
        <v>0</v>
      </c>
      <c r="J132" s="183"/>
      <c r="K132" s="183"/>
      <c r="L132" s="183"/>
      <c r="M132" s="183"/>
      <c r="N132" s="184"/>
    </row>
    <row r="133" spans="1:16" s="11" customFormat="1" ht="18" customHeight="1" x14ac:dyDescent="0.3">
      <c r="A133" s="699">
        <v>126</v>
      </c>
      <c r="B133" s="1285"/>
      <c r="C133" s="1393"/>
      <c r="D133" s="176" t="s">
        <v>1391</v>
      </c>
      <c r="E133" s="173"/>
      <c r="F133" s="173"/>
      <c r="G133" s="1264"/>
      <c r="H133" s="703"/>
      <c r="I133" s="665">
        <f>SUM(J133:N133)</f>
        <v>2000</v>
      </c>
      <c r="J133" s="183"/>
      <c r="K133" s="183"/>
      <c r="L133" s="183"/>
      <c r="M133" s="183"/>
      <c r="N133" s="184">
        <f>SUM(N131:N132)</f>
        <v>2000</v>
      </c>
    </row>
    <row r="134" spans="1:16" s="11" customFormat="1" ht="18" customHeight="1" x14ac:dyDescent="0.3">
      <c r="A134" s="699">
        <v>127</v>
      </c>
      <c r="B134" s="1285"/>
      <c r="C134" s="1387">
        <v>13</v>
      </c>
      <c r="D134" s="691" t="s">
        <v>634</v>
      </c>
      <c r="E134" s="173">
        <v>1500</v>
      </c>
      <c r="F134" s="173"/>
      <c r="G134" s="1264">
        <v>500</v>
      </c>
      <c r="H134" s="702" t="s">
        <v>25</v>
      </c>
      <c r="I134" s="667"/>
      <c r="J134" s="183"/>
      <c r="K134" s="183"/>
      <c r="L134" s="183"/>
      <c r="M134" s="183"/>
      <c r="N134" s="184"/>
    </row>
    <row r="135" spans="1:16" s="1246" customFormat="1" ht="18" customHeight="1" x14ac:dyDescent="0.3">
      <c r="A135" s="699">
        <v>128</v>
      </c>
      <c r="B135" s="1286"/>
      <c r="C135" s="1392"/>
      <c r="D135" s="1231" t="s">
        <v>334</v>
      </c>
      <c r="E135" s="1241"/>
      <c r="F135" s="1241"/>
      <c r="G135" s="1264"/>
      <c r="H135" s="1242"/>
      <c r="I135" s="1234">
        <f>SUM(J135:N135)</f>
        <v>650</v>
      </c>
      <c r="J135" s="1244"/>
      <c r="K135" s="1244"/>
      <c r="L135" s="1244"/>
      <c r="M135" s="1244"/>
      <c r="N135" s="1245">
        <v>650</v>
      </c>
    </row>
    <row r="136" spans="1:16" s="1246" customFormat="1" ht="18" customHeight="1" x14ac:dyDescent="0.3">
      <c r="A136" s="699">
        <v>129</v>
      </c>
      <c r="B136" s="1286"/>
      <c r="C136" s="1392"/>
      <c r="D136" s="690" t="s">
        <v>1307</v>
      </c>
      <c r="E136" s="1241"/>
      <c r="F136" s="1241"/>
      <c r="G136" s="1264"/>
      <c r="H136" s="1242"/>
      <c r="I136" s="665">
        <f>SUM(J136:N136)</f>
        <v>650</v>
      </c>
      <c r="J136" s="1244"/>
      <c r="K136" s="1244"/>
      <c r="L136" s="1244"/>
      <c r="M136" s="1244"/>
      <c r="N136" s="184">
        <v>650</v>
      </c>
    </row>
    <row r="137" spans="1:16" s="11" customFormat="1" ht="18" customHeight="1" x14ac:dyDescent="0.3">
      <c r="A137" s="699">
        <v>130</v>
      </c>
      <c r="B137" s="1285"/>
      <c r="C137" s="1393"/>
      <c r="D137" s="1150" t="s">
        <v>733</v>
      </c>
      <c r="E137" s="173"/>
      <c r="F137" s="173"/>
      <c r="G137" s="1264"/>
      <c r="H137" s="703"/>
      <c r="I137" s="158">
        <f>SUM(J137:Q137)</f>
        <v>0</v>
      </c>
      <c r="J137" s="183"/>
      <c r="K137" s="183"/>
      <c r="L137" s="183"/>
      <c r="M137" s="183"/>
      <c r="N137" s="184"/>
    </row>
    <row r="138" spans="1:16" s="157" customFormat="1" ht="18" customHeight="1" x14ac:dyDescent="0.3">
      <c r="A138" s="699">
        <v>131</v>
      </c>
      <c r="B138" s="1294"/>
      <c r="C138" s="1394"/>
      <c r="D138" s="690" t="s">
        <v>1391</v>
      </c>
      <c r="E138" s="1310"/>
      <c r="F138" s="1310"/>
      <c r="G138" s="1311"/>
      <c r="H138" s="703"/>
      <c r="I138" s="665">
        <f>SUM(J138:N138)</f>
        <v>650</v>
      </c>
      <c r="J138" s="519"/>
      <c r="K138" s="519"/>
      <c r="L138" s="519"/>
      <c r="M138" s="519"/>
      <c r="N138" s="693">
        <f>SUM(N136:N137)</f>
        <v>650</v>
      </c>
    </row>
    <row r="139" spans="1:16" s="3" customFormat="1" ht="22.5" customHeight="1" x14ac:dyDescent="0.3">
      <c r="A139" s="699">
        <v>132</v>
      </c>
      <c r="B139" s="1282"/>
      <c r="C139" s="1387">
        <v>14</v>
      </c>
      <c r="D139" s="691" t="s">
        <v>60</v>
      </c>
      <c r="E139" s="164">
        <v>5000</v>
      </c>
      <c r="F139" s="164">
        <v>5000</v>
      </c>
      <c r="G139" s="1277">
        <v>5000</v>
      </c>
      <c r="H139" s="702" t="s">
        <v>25</v>
      </c>
      <c r="I139" s="666"/>
      <c r="J139" s="171"/>
      <c r="K139" s="171"/>
      <c r="L139" s="171"/>
      <c r="M139" s="171"/>
      <c r="N139" s="172"/>
      <c r="O139" s="10"/>
      <c r="P139" s="10"/>
    </row>
    <row r="140" spans="1:16" s="1237" customFormat="1" ht="18" customHeight="1" x14ac:dyDescent="0.3">
      <c r="A140" s="699">
        <v>133</v>
      </c>
      <c r="B140" s="1283"/>
      <c r="C140" s="1388"/>
      <c r="D140" s="1231" t="s">
        <v>334</v>
      </c>
      <c r="E140" s="1232"/>
      <c r="F140" s="1232"/>
      <c r="G140" s="1277"/>
      <c r="H140" s="1233"/>
      <c r="I140" s="1234">
        <f>SUM(J140:N140)</f>
        <v>5000</v>
      </c>
      <c r="J140" s="1235"/>
      <c r="K140" s="1235"/>
      <c r="L140" s="1235">
        <v>5000</v>
      </c>
      <c r="M140" s="1235"/>
      <c r="N140" s="1236"/>
    </row>
    <row r="141" spans="1:16" s="1237" customFormat="1" ht="18" customHeight="1" x14ac:dyDescent="0.3">
      <c r="A141" s="699">
        <v>134</v>
      </c>
      <c r="B141" s="1283"/>
      <c r="C141" s="1388"/>
      <c r="D141" s="690" t="s">
        <v>1307</v>
      </c>
      <c r="E141" s="1232"/>
      <c r="F141" s="1232"/>
      <c r="G141" s="1277"/>
      <c r="H141" s="1233"/>
      <c r="I141" s="665">
        <f>SUM(J141:N141)</f>
        <v>5000</v>
      </c>
      <c r="J141" s="1235"/>
      <c r="K141" s="1235"/>
      <c r="L141" s="527">
        <v>5000</v>
      </c>
      <c r="M141" s="1235"/>
      <c r="N141" s="1236"/>
    </row>
    <row r="142" spans="1:16" s="10" customFormat="1" ht="18" customHeight="1" x14ac:dyDescent="0.3">
      <c r="A142" s="699">
        <v>135</v>
      </c>
      <c r="B142" s="1284"/>
      <c r="C142" s="1389"/>
      <c r="D142" s="1150" t="s">
        <v>733</v>
      </c>
      <c r="E142" s="164"/>
      <c r="F142" s="164"/>
      <c r="G142" s="1277"/>
      <c r="H142" s="702"/>
      <c r="I142" s="158">
        <f>SUM(J142:Q142)</f>
        <v>0</v>
      </c>
      <c r="J142" s="168"/>
      <c r="K142" s="168"/>
      <c r="L142" s="168"/>
      <c r="M142" s="168"/>
      <c r="N142" s="169"/>
    </row>
    <row r="143" spans="1:16" s="1699" customFormat="1" ht="18" customHeight="1" x14ac:dyDescent="0.3">
      <c r="A143" s="699">
        <v>136</v>
      </c>
      <c r="B143" s="1295"/>
      <c r="C143" s="1390"/>
      <c r="D143" s="690" t="s">
        <v>1391</v>
      </c>
      <c r="E143" s="1305"/>
      <c r="F143" s="1305"/>
      <c r="G143" s="1306"/>
      <c r="H143" s="702"/>
      <c r="I143" s="665">
        <f>SUM(J143:N143)</f>
        <v>5000</v>
      </c>
      <c r="J143" s="527"/>
      <c r="K143" s="527"/>
      <c r="L143" s="527">
        <f>SUM(L141:L142)</f>
        <v>5000</v>
      </c>
      <c r="M143" s="527"/>
      <c r="N143" s="520"/>
    </row>
    <row r="144" spans="1:16" s="3" customFormat="1" ht="22.5" customHeight="1" x14ac:dyDescent="0.3">
      <c r="A144" s="699">
        <v>137</v>
      </c>
      <c r="B144" s="1282"/>
      <c r="C144" s="1387">
        <v>15</v>
      </c>
      <c r="D144" s="691" t="s">
        <v>593</v>
      </c>
      <c r="E144" s="164">
        <v>1000</v>
      </c>
      <c r="F144" s="164">
        <v>1000</v>
      </c>
      <c r="G144" s="1277">
        <v>1000</v>
      </c>
      <c r="H144" s="702" t="s">
        <v>25</v>
      </c>
      <c r="I144" s="666"/>
      <c r="J144" s="171"/>
      <c r="K144" s="171"/>
      <c r="L144" s="171"/>
      <c r="M144" s="171"/>
      <c r="N144" s="172"/>
      <c r="O144" s="10"/>
      <c r="P144" s="10"/>
    </row>
    <row r="145" spans="1:16" s="1237" customFormat="1" ht="18" customHeight="1" x14ac:dyDescent="0.3">
      <c r="A145" s="699">
        <v>138</v>
      </c>
      <c r="B145" s="1283"/>
      <c r="C145" s="1388"/>
      <c r="D145" s="1231" t="s">
        <v>334</v>
      </c>
      <c r="E145" s="1232"/>
      <c r="F145" s="1232"/>
      <c r="G145" s="1277"/>
      <c r="H145" s="1233"/>
      <c r="I145" s="1234">
        <f>SUM(J145:N145)</f>
        <v>1000</v>
      </c>
      <c r="J145" s="1235"/>
      <c r="K145" s="1235"/>
      <c r="L145" s="1235"/>
      <c r="M145" s="1235"/>
      <c r="N145" s="1236">
        <v>1000</v>
      </c>
    </row>
    <row r="146" spans="1:16" s="1237" customFormat="1" ht="18" customHeight="1" x14ac:dyDescent="0.3">
      <c r="A146" s="699">
        <v>139</v>
      </c>
      <c r="B146" s="1283"/>
      <c r="C146" s="1388"/>
      <c r="D146" s="690" t="s">
        <v>1307</v>
      </c>
      <c r="E146" s="1232"/>
      <c r="F146" s="1232"/>
      <c r="G146" s="1277"/>
      <c r="H146" s="1233"/>
      <c r="I146" s="665">
        <f>SUM(J146:N146)</f>
        <v>1000</v>
      </c>
      <c r="J146" s="1235"/>
      <c r="K146" s="1235"/>
      <c r="L146" s="1235"/>
      <c r="M146" s="1235"/>
      <c r="N146" s="520">
        <v>1000</v>
      </c>
    </row>
    <row r="147" spans="1:16" s="10" customFormat="1" ht="18" customHeight="1" x14ac:dyDescent="0.3">
      <c r="A147" s="699">
        <v>140</v>
      </c>
      <c r="B147" s="1284"/>
      <c r="C147" s="1389"/>
      <c r="D147" s="1150" t="s">
        <v>733</v>
      </c>
      <c r="E147" s="164"/>
      <c r="F147" s="164"/>
      <c r="G147" s="1277"/>
      <c r="H147" s="702"/>
      <c r="I147" s="158">
        <f>SUM(J147:Q147)</f>
        <v>0</v>
      </c>
      <c r="J147" s="168"/>
      <c r="K147" s="168"/>
      <c r="L147" s="168"/>
      <c r="M147" s="168"/>
      <c r="N147" s="169"/>
    </row>
    <row r="148" spans="1:16" s="1699" customFormat="1" ht="18" customHeight="1" x14ac:dyDescent="0.3">
      <c r="A148" s="699">
        <v>141</v>
      </c>
      <c r="B148" s="1295"/>
      <c r="C148" s="1390"/>
      <c r="D148" s="690" t="s">
        <v>1391</v>
      </c>
      <c r="E148" s="1305"/>
      <c r="F148" s="1305"/>
      <c r="G148" s="1306"/>
      <c r="H148" s="702"/>
      <c r="I148" s="665">
        <f>SUM(J148:N148)</f>
        <v>1000</v>
      </c>
      <c r="J148" s="527"/>
      <c r="K148" s="527"/>
      <c r="L148" s="527"/>
      <c r="M148" s="527"/>
      <c r="N148" s="520">
        <f>SUM(N146:N147)</f>
        <v>1000</v>
      </c>
    </row>
    <row r="149" spans="1:16" s="3" customFormat="1" ht="22.5" customHeight="1" x14ac:dyDescent="0.3">
      <c r="A149" s="699">
        <v>142</v>
      </c>
      <c r="B149" s="1282"/>
      <c r="C149" s="1387">
        <v>16</v>
      </c>
      <c r="D149" s="691" t="s">
        <v>273</v>
      </c>
      <c r="E149" s="164">
        <f>SUM(E154,E159,E164,E169,E174)</f>
        <v>57300</v>
      </c>
      <c r="F149" s="164">
        <f t="shared" ref="F149:G149" si="6">SUM(F154,F159,F164,F169,F174)</f>
        <v>92300</v>
      </c>
      <c r="G149" s="1277">
        <f t="shared" si="6"/>
        <v>92300</v>
      </c>
      <c r="H149" s="702" t="s">
        <v>25</v>
      </c>
      <c r="I149" s="666"/>
      <c r="J149" s="171"/>
      <c r="K149" s="171"/>
      <c r="L149" s="171"/>
      <c r="M149" s="171"/>
      <c r="N149" s="172"/>
      <c r="O149" s="10"/>
      <c r="P149" s="10"/>
    </row>
    <row r="150" spans="1:16" s="1237" customFormat="1" ht="18" customHeight="1" x14ac:dyDescent="0.3">
      <c r="A150" s="699">
        <v>143</v>
      </c>
      <c r="B150" s="1283"/>
      <c r="C150" s="1388"/>
      <c r="D150" s="1231" t="s">
        <v>334</v>
      </c>
      <c r="E150" s="1232"/>
      <c r="F150" s="1232"/>
      <c r="G150" s="1277"/>
      <c r="H150" s="1233"/>
      <c r="I150" s="1234">
        <f>SUM(J150:N150)</f>
        <v>97600</v>
      </c>
      <c r="J150" s="1254">
        <f>SUM(J155,J160,J165,J170,J175)</f>
        <v>0</v>
      </c>
      <c r="K150" s="1254">
        <f t="shared" ref="K150:M150" si="7">SUM(K155,K160,K165,K170,K175)</f>
        <v>0</v>
      </c>
      <c r="L150" s="1254">
        <f t="shared" si="7"/>
        <v>0</v>
      </c>
      <c r="M150" s="1254">
        <f t="shared" si="7"/>
        <v>0</v>
      </c>
      <c r="N150" s="1239">
        <f>SUM(N155,N160,N165,N170,N175)</f>
        <v>97600</v>
      </c>
    </row>
    <row r="151" spans="1:16" s="1237" customFormat="1" ht="18" customHeight="1" x14ac:dyDescent="0.3">
      <c r="A151" s="699">
        <v>144</v>
      </c>
      <c r="B151" s="1283"/>
      <c r="C151" s="1388"/>
      <c r="D151" s="690" t="s">
        <v>1307</v>
      </c>
      <c r="E151" s="1232"/>
      <c r="F151" s="1232"/>
      <c r="G151" s="1277"/>
      <c r="H151" s="1233"/>
      <c r="I151" s="665">
        <f>SUM(J151:N151)</f>
        <v>97600</v>
      </c>
      <c r="J151" s="665">
        <f>J156+J161+J166+J171+J176</f>
        <v>0</v>
      </c>
      <c r="K151" s="665">
        <f t="shared" ref="K151:N151" si="8">K156+K161+K166+K171+K176</f>
        <v>0</v>
      </c>
      <c r="L151" s="665">
        <f t="shared" si="8"/>
        <v>0</v>
      </c>
      <c r="M151" s="665">
        <f t="shared" si="8"/>
        <v>0</v>
      </c>
      <c r="N151" s="1566">
        <f t="shared" si="8"/>
        <v>97600</v>
      </c>
    </row>
    <row r="152" spans="1:16" s="10" customFormat="1" ht="18" customHeight="1" x14ac:dyDescent="0.3">
      <c r="A152" s="699">
        <v>145</v>
      </c>
      <c r="B152" s="1284"/>
      <c r="C152" s="1389"/>
      <c r="D152" s="1150" t="s">
        <v>733</v>
      </c>
      <c r="E152" s="164"/>
      <c r="F152" s="164"/>
      <c r="G152" s="1277"/>
      <c r="H152" s="702"/>
      <c r="I152" s="158">
        <f>SUM(J152:Q152)</f>
        <v>0</v>
      </c>
      <c r="J152" s="183">
        <f>J157+J162+J167+J172+J177</f>
        <v>0</v>
      </c>
      <c r="K152" s="183">
        <f t="shared" ref="K152:N152" si="9">K157+K162+K167+K172+K177</f>
        <v>0</v>
      </c>
      <c r="L152" s="183">
        <f t="shared" si="9"/>
        <v>0</v>
      </c>
      <c r="M152" s="183">
        <f t="shared" si="9"/>
        <v>0</v>
      </c>
      <c r="N152" s="184">
        <f t="shared" si="9"/>
        <v>0</v>
      </c>
    </row>
    <row r="153" spans="1:16" s="1699" customFormat="1" ht="18" customHeight="1" x14ac:dyDescent="0.3">
      <c r="A153" s="699">
        <v>146</v>
      </c>
      <c r="B153" s="1295"/>
      <c r="C153" s="1390"/>
      <c r="D153" s="690" t="s">
        <v>1391</v>
      </c>
      <c r="E153" s="1305"/>
      <c r="F153" s="1305"/>
      <c r="G153" s="1306"/>
      <c r="H153" s="702"/>
      <c r="I153" s="665">
        <f>SUM(J153:N153)</f>
        <v>97600</v>
      </c>
      <c r="J153" s="523">
        <f>SUM(J151:J152)</f>
        <v>0</v>
      </c>
      <c r="K153" s="523">
        <f t="shared" ref="K153:N153" si="10">SUM(K151:K152)</f>
        <v>0</v>
      </c>
      <c r="L153" s="523">
        <f t="shared" si="10"/>
        <v>0</v>
      </c>
      <c r="M153" s="523">
        <f t="shared" si="10"/>
        <v>0</v>
      </c>
      <c r="N153" s="694">
        <f t="shared" si="10"/>
        <v>97600</v>
      </c>
    </row>
    <row r="154" spans="1:16" s="11" customFormat="1" ht="18" customHeight="1" x14ac:dyDescent="0.3">
      <c r="A154" s="699">
        <v>147</v>
      </c>
      <c r="B154" s="1285"/>
      <c r="C154" s="1391"/>
      <c r="D154" s="524" t="s">
        <v>62</v>
      </c>
      <c r="E154" s="173">
        <v>43200</v>
      </c>
      <c r="F154" s="173">
        <v>78200</v>
      </c>
      <c r="G154" s="1264">
        <v>78200</v>
      </c>
      <c r="H154" s="703"/>
      <c r="I154" s="667"/>
      <c r="J154" s="183"/>
      <c r="K154" s="183"/>
      <c r="L154" s="183"/>
      <c r="M154" s="183"/>
      <c r="N154" s="184"/>
      <c r="P154" s="10"/>
    </row>
    <row r="155" spans="1:16" s="1246" customFormat="1" ht="18" customHeight="1" x14ac:dyDescent="0.3">
      <c r="A155" s="699">
        <v>148</v>
      </c>
      <c r="B155" s="1286"/>
      <c r="C155" s="1392"/>
      <c r="D155" s="1240" t="s">
        <v>334</v>
      </c>
      <c r="E155" s="1241"/>
      <c r="F155" s="1241"/>
      <c r="G155" s="1264"/>
      <c r="H155" s="1242"/>
      <c r="I155" s="1243">
        <f>SUM(J155:N155)</f>
        <v>83500</v>
      </c>
      <c r="J155" s="1244"/>
      <c r="K155" s="1244"/>
      <c r="L155" s="1244"/>
      <c r="M155" s="1244"/>
      <c r="N155" s="1245">
        <v>83500</v>
      </c>
      <c r="P155" s="1237"/>
    </row>
    <row r="156" spans="1:16" s="1246" customFormat="1" ht="18" customHeight="1" x14ac:dyDescent="0.3">
      <c r="A156" s="699">
        <v>149</v>
      </c>
      <c r="B156" s="1286"/>
      <c r="C156" s="1392"/>
      <c r="D156" s="176" t="s">
        <v>1307</v>
      </c>
      <c r="E156" s="1241"/>
      <c r="F156" s="1241"/>
      <c r="G156" s="1264"/>
      <c r="H156" s="1242"/>
      <c r="I156" s="665">
        <f>SUM(J156:N156)</f>
        <v>83500</v>
      </c>
      <c r="J156" s="1244"/>
      <c r="K156" s="1244"/>
      <c r="L156" s="1244"/>
      <c r="M156" s="1244"/>
      <c r="N156" s="184">
        <v>83500</v>
      </c>
      <c r="P156" s="1237"/>
    </row>
    <row r="157" spans="1:16" s="11" customFormat="1" ht="18" customHeight="1" x14ac:dyDescent="0.3">
      <c r="A157" s="699">
        <v>150</v>
      </c>
      <c r="B157" s="1285"/>
      <c r="C157" s="1393"/>
      <c r="D157" s="522" t="s">
        <v>733</v>
      </c>
      <c r="E157" s="173"/>
      <c r="F157" s="173"/>
      <c r="G157" s="1264"/>
      <c r="H157" s="703"/>
      <c r="I157" s="158">
        <f>SUM(J157:Q157)</f>
        <v>0</v>
      </c>
      <c r="J157" s="183"/>
      <c r="K157" s="183"/>
      <c r="L157" s="183"/>
      <c r="M157" s="183"/>
      <c r="N157" s="184"/>
      <c r="P157" s="10"/>
    </row>
    <row r="158" spans="1:16" s="11" customFormat="1" ht="18" customHeight="1" x14ac:dyDescent="0.3">
      <c r="A158" s="699">
        <v>151</v>
      </c>
      <c r="B158" s="1285"/>
      <c r="C158" s="1393"/>
      <c r="D158" s="522" t="s">
        <v>1391</v>
      </c>
      <c r="E158" s="173"/>
      <c r="F158" s="173"/>
      <c r="G158" s="1264"/>
      <c r="H158" s="703"/>
      <c r="I158" s="665">
        <f>SUM(J158:N158)</f>
        <v>83500</v>
      </c>
      <c r="J158" s="183"/>
      <c r="K158" s="183"/>
      <c r="L158" s="183"/>
      <c r="M158" s="183"/>
      <c r="N158" s="184">
        <f>SUM(N156:N157)</f>
        <v>83500</v>
      </c>
      <c r="P158" s="10"/>
    </row>
    <row r="159" spans="1:16" s="11" customFormat="1" ht="18" customHeight="1" x14ac:dyDescent="0.3">
      <c r="A159" s="699">
        <v>152</v>
      </c>
      <c r="B159" s="1285"/>
      <c r="C159" s="1391"/>
      <c r="D159" s="525" t="s">
        <v>63</v>
      </c>
      <c r="E159" s="173">
        <v>5600</v>
      </c>
      <c r="F159" s="173">
        <v>5600</v>
      </c>
      <c r="G159" s="1264">
        <v>5600</v>
      </c>
      <c r="H159" s="703"/>
      <c r="I159" s="668"/>
      <c r="J159" s="174"/>
      <c r="K159" s="174"/>
      <c r="L159" s="174"/>
      <c r="M159" s="174"/>
      <c r="N159" s="175"/>
      <c r="P159" s="10"/>
    </row>
    <row r="160" spans="1:16" s="1246" customFormat="1" ht="18" customHeight="1" x14ac:dyDescent="0.3">
      <c r="A160" s="699">
        <v>153</v>
      </c>
      <c r="B160" s="1286"/>
      <c r="C160" s="1392"/>
      <c r="D160" s="1240" t="s">
        <v>334</v>
      </c>
      <c r="E160" s="1241"/>
      <c r="F160" s="1241"/>
      <c r="G160" s="1264"/>
      <c r="H160" s="1242"/>
      <c r="I160" s="1243">
        <f>SUM(J160:N160)</f>
        <v>5600</v>
      </c>
      <c r="J160" s="1244"/>
      <c r="K160" s="1244"/>
      <c r="L160" s="1244"/>
      <c r="M160" s="1244"/>
      <c r="N160" s="1245">
        <v>5600</v>
      </c>
      <c r="P160" s="1237"/>
    </row>
    <row r="161" spans="1:16" s="1246" customFormat="1" ht="18" customHeight="1" x14ac:dyDescent="0.3">
      <c r="A161" s="699">
        <v>154</v>
      </c>
      <c r="B161" s="1286"/>
      <c r="C161" s="1392"/>
      <c r="D161" s="176" t="s">
        <v>1307</v>
      </c>
      <c r="E161" s="1241"/>
      <c r="F161" s="1241"/>
      <c r="G161" s="1264"/>
      <c r="H161" s="1242"/>
      <c r="I161" s="665">
        <f>SUM(J161:N161)</f>
        <v>5600</v>
      </c>
      <c r="J161" s="1244"/>
      <c r="K161" s="1244"/>
      <c r="L161" s="1244"/>
      <c r="M161" s="1244"/>
      <c r="N161" s="184">
        <v>5600</v>
      </c>
      <c r="P161" s="1237"/>
    </row>
    <row r="162" spans="1:16" s="11" customFormat="1" ht="18" customHeight="1" x14ac:dyDescent="0.3">
      <c r="A162" s="699">
        <v>155</v>
      </c>
      <c r="B162" s="1285"/>
      <c r="C162" s="1393"/>
      <c r="D162" s="522" t="s">
        <v>733</v>
      </c>
      <c r="E162" s="173"/>
      <c r="F162" s="173"/>
      <c r="G162" s="1264"/>
      <c r="H162" s="703"/>
      <c r="I162" s="158">
        <f>SUM(J162:Q162)</f>
        <v>0</v>
      </c>
      <c r="J162" s="183"/>
      <c r="K162" s="183"/>
      <c r="L162" s="183"/>
      <c r="M162" s="183"/>
      <c r="N162" s="184"/>
      <c r="P162" s="10"/>
    </row>
    <row r="163" spans="1:16" s="11" customFormat="1" ht="18" customHeight="1" x14ac:dyDescent="0.3">
      <c r="A163" s="699">
        <v>156</v>
      </c>
      <c r="B163" s="1285"/>
      <c r="C163" s="1393"/>
      <c r="D163" s="522" t="s">
        <v>1391</v>
      </c>
      <c r="E163" s="173"/>
      <c r="F163" s="173"/>
      <c r="G163" s="1264"/>
      <c r="H163" s="703"/>
      <c r="I163" s="665">
        <f>SUM(J163:N163)</f>
        <v>5600</v>
      </c>
      <c r="J163" s="183"/>
      <c r="K163" s="183"/>
      <c r="L163" s="183"/>
      <c r="M163" s="183"/>
      <c r="N163" s="184">
        <f>SUM(N161:N162)</f>
        <v>5600</v>
      </c>
      <c r="P163" s="10"/>
    </row>
    <row r="164" spans="1:16" s="11" customFormat="1" ht="18" customHeight="1" x14ac:dyDescent="0.3">
      <c r="A164" s="699">
        <v>157</v>
      </c>
      <c r="B164" s="1285"/>
      <c r="C164" s="1393"/>
      <c r="D164" s="525" t="s">
        <v>64</v>
      </c>
      <c r="E164" s="173">
        <v>4500</v>
      </c>
      <c r="F164" s="173">
        <v>4500</v>
      </c>
      <c r="G164" s="1264">
        <v>4500</v>
      </c>
      <c r="H164" s="703"/>
      <c r="I164" s="668"/>
      <c r="J164" s="174"/>
      <c r="K164" s="174"/>
      <c r="L164" s="174"/>
      <c r="M164" s="174"/>
      <c r="N164" s="175"/>
      <c r="P164" s="10"/>
    </row>
    <row r="165" spans="1:16" s="1246" customFormat="1" ht="18" customHeight="1" x14ac:dyDescent="0.3">
      <c r="A165" s="699">
        <v>158</v>
      </c>
      <c r="B165" s="1286"/>
      <c r="C165" s="1392"/>
      <c r="D165" s="1240" t="s">
        <v>334</v>
      </c>
      <c r="E165" s="1241"/>
      <c r="F165" s="1241"/>
      <c r="G165" s="1264"/>
      <c r="H165" s="1242"/>
      <c r="I165" s="1243">
        <f>SUM(J165:N165)</f>
        <v>4500</v>
      </c>
      <c r="J165" s="1244"/>
      <c r="K165" s="1244"/>
      <c r="L165" s="1244"/>
      <c r="M165" s="1244"/>
      <c r="N165" s="1245">
        <v>4500</v>
      </c>
      <c r="P165" s="1237"/>
    </row>
    <row r="166" spans="1:16" s="1246" customFormat="1" ht="18" customHeight="1" x14ac:dyDescent="0.3">
      <c r="A166" s="699">
        <v>159</v>
      </c>
      <c r="B166" s="1286"/>
      <c r="C166" s="1392"/>
      <c r="D166" s="176" t="s">
        <v>1307</v>
      </c>
      <c r="E166" s="1241"/>
      <c r="F166" s="1241"/>
      <c r="G166" s="1264"/>
      <c r="H166" s="1242"/>
      <c r="I166" s="665">
        <f>SUM(J166:N166)</f>
        <v>4500</v>
      </c>
      <c r="J166" s="1244"/>
      <c r="K166" s="1244"/>
      <c r="L166" s="1244"/>
      <c r="M166" s="1244"/>
      <c r="N166" s="184">
        <v>4500</v>
      </c>
      <c r="P166" s="1237"/>
    </row>
    <row r="167" spans="1:16" s="11" customFormat="1" ht="18" customHeight="1" x14ac:dyDescent="0.3">
      <c r="A167" s="699">
        <v>160</v>
      </c>
      <c r="B167" s="1285"/>
      <c r="C167" s="1393"/>
      <c r="D167" s="522" t="s">
        <v>733</v>
      </c>
      <c r="E167" s="173"/>
      <c r="F167" s="173"/>
      <c r="G167" s="1264"/>
      <c r="H167" s="703"/>
      <c r="I167" s="158">
        <f>SUM(J167:Q167)</f>
        <v>0</v>
      </c>
      <c r="J167" s="183"/>
      <c r="K167" s="183"/>
      <c r="L167" s="183"/>
      <c r="M167" s="183"/>
      <c r="N167" s="184"/>
      <c r="P167" s="10"/>
    </row>
    <row r="168" spans="1:16" s="11" customFormat="1" ht="18" customHeight="1" x14ac:dyDescent="0.3">
      <c r="A168" s="699">
        <v>161</v>
      </c>
      <c r="B168" s="1285"/>
      <c r="C168" s="1393"/>
      <c r="D168" s="522" t="s">
        <v>1391</v>
      </c>
      <c r="E168" s="173"/>
      <c r="F168" s="173"/>
      <c r="G168" s="1264"/>
      <c r="H168" s="703"/>
      <c r="I168" s="665">
        <f>SUM(J168:N168)</f>
        <v>4500</v>
      </c>
      <c r="J168" s="183"/>
      <c r="K168" s="183"/>
      <c r="L168" s="183"/>
      <c r="M168" s="183"/>
      <c r="N168" s="184">
        <f>SUM(N166:N167)</f>
        <v>4500</v>
      </c>
      <c r="P168" s="10"/>
    </row>
    <row r="169" spans="1:16" s="11" customFormat="1" ht="18" customHeight="1" x14ac:dyDescent="0.3">
      <c r="A169" s="699">
        <v>162</v>
      </c>
      <c r="B169" s="1285"/>
      <c r="C169" s="1393"/>
      <c r="D169" s="525" t="s">
        <v>65</v>
      </c>
      <c r="E169" s="173">
        <v>3000</v>
      </c>
      <c r="F169" s="173">
        <v>3000</v>
      </c>
      <c r="G169" s="1264">
        <v>3000</v>
      </c>
      <c r="H169" s="703"/>
      <c r="I169" s="668"/>
      <c r="J169" s="174"/>
      <c r="K169" s="174"/>
      <c r="L169" s="174"/>
      <c r="M169" s="174"/>
      <c r="N169" s="175"/>
      <c r="P169" s="10"/>
    </row>
    <row r="170" spans="1:16" s="1246" customFormat="1" ht="18" customHeight="1" x14ac:dyDescent="0.3">
      <c r="A170" s="699">
        <v>163</v>
      </c>
      <c r="B170" s="1286"/>
      <c r="C170" s="1392"/>
      <c r="D170" s="1240" t="s">
        <v>334</v>
      </c>
      <c r="E170" s="1241"/>
      <c r="F170" s="1241"/>
      <c r="G170" s="1264"/>
      <c r="H170" s="1242"/>
      <c r="I170" s="1243">
        <f>SUM(J170:N170)</f>
        <v>3000</v>
      </c>
      <c r="J170" s="1244"/>
      <c r="K170" s="1244"/>
      <c r="L170" s="1244"/>
      <c r="M170" s="1244"/>
      <c r="N170" s="1245">
        <v>3000</v>
      </c>
      <c r="P170" s="1237"/>
    </row>
    <row r="171" spans="1:16" s="1246" customFormat="1" ht="18" customHeight="1" x14ac:dyDescent="0.3">
      <c r="A171" s="699">
        <v>164</v>
      </c>
      <c r="B171" s="1286"/>
      <c r="C171" s="1392"/>
      <c r="D171" s="176" t="s">
        <v>1307</v>
      </c>
      <c r="E171" s="1241"/>
      <c r="F171" s="1241"/>
      <c r="G171" s="1264"/>
      <c r="H171" s="1242"/>
      <c r="I171" s="665">
        <f>SUM(J171:N171)</f>
        <v>3000</v>
      </c>
      <c r="J171" s="1244"/>
      <c r="K171" s="1244"/>
      <c r="L171" s="1244"/>
      <c r="M171" s="1244"/>
      <c r="N171" s="1245">
        <v>3000</v>
      </c>
      <c r="P171" s="1237"/>
    </row>
    <row r="172" spans="1:16" s="11" customFormat="1" ht="18" customHeight="1" x14ac:dyDescent="0.3">
      <c r="A172" s="699">
        <v>165</v>
      </c>
      <c r="B172" s="1285"/>
      <c r="C172" s="1393"/>
      <c r="D172" s="522" t="s">
        <v>733</v>
      </c>
      <c r="E172" s="173"/>
      <c r="F172" s="173"/>
      <c r="G172" s="1264"/>
      <c r="H172" s="703"/>
      <c r="I172" s="158">
        <f>SUM(J172:Q172)</f>
        <v>0</v>
      </c>
      <c r="J172" s="183"/>
      <c r="K172" s="183"/>
      <c r="L172" s="183"/>
      <c r="M172" s="183"/>
      <c r="N172" s="184"/>
      <c r="P172" s="10"/>
    </row>
    <row r="173" spans="1:16" s="11" customFormat="1" ht="18" customHeight="1" x14ac:dyDescent="0.3">
      <c r="A173" s="699">
        <v>166</v>
      </c>
      <c r="B173" s="1285"/>
      <c r="C173" s="1393"/>
      <c r="D173" s="522" t="s">
        <v>1391</v>
      </c>
      <c r="E173" s="173"/>
      <c r="F173" s="173"/>
      <c r="G173" s="1264"/>
      <c r="H173" s="703"/>
      <c r="I173" s="665">
        <f>SUM(J173:N173)</f>
        <v>3000</v>
      </c>
      <c r="J173" s="183"/>
      <c r="K173" s="183"/>
      <c r="L173" s="183"/>
      <c r="M173" s="183"/>
      <c r="N173" s="184">
        <f>SUM(N171:N172)</f>
        <v>3000</v>
      </c>
      <c r="P173" s="10"/>
    </row>
    <row r="174" spans="1:16" s="11" customFormat="1" ht="18" customHeight="1" x14ac:dyDescent="0.3">
      <c r="A174" s="699">
        <v>167</v>
      </c>
      <c r="B174" s="1285"/>
      <c r="C174" s="1393"/>
      <c r="D174" s="525" t="s">
        <v>361</v>
      </c>
      <c r="E174" s="173">
        <v>1000</v>
      </c>
      <c r="F174" s="173">
        <v>1000</v>
      </c>
      <c r="G174" s="1264">
        <v>1000</v>
      </c>
      <c r="H174" s="703"/>
      <c r="I174" s="668"/>
      <c r="J174" s="174"/>
      <c r="K174" s="174"/>
      <c r="L174" s="174"/>
      <c r="M174" s="174"/>
      <c r="N174" s="175"/>
      <c r="P174" s="10"/>
    </row>
    <row r="175" spans="1:16" s="1246" customFormat="1" ht="18" customHeight="1" x14ac:dyDescent="0.3">
      <c r="A175" s="699">
        <v>168</v>
      </c>
      <c r="B175" s="1286"/>
      <c r="C175" s="1392"/>
      <c r="D175" s="1240" t="s">
        <v>334</v>
      </c>
      <c r="E175" s="1241"/>
      <c r="F175" s="1241"/>
      <c r="G175" s="1264"/>
      <c r="H175" s="1242"/>
      <c r="I175" s="1243">
        <f>SUM(J175:N175)</f>
        <v>1000</v>
      </c>
      <c r="J175" s="1244"/>
      <c r="K175" s="1244"/>
      <c r="L175" s="1244"/>
      <c r="M175" s="1244"/>
      <c r="N175" s="1245">
        <v>1000</v>
      </c>
      <c r="P175" s="1237"/>
    </row>
    <row r="176" spans="1:16" s="1246" customFormat="1" ht="18" customHeight="1" x14ac:dyDescent="0.3">
      <c r="A176" s="699">
        <v>169</v>
      </c>
      <c r="B176" s="1286"/>
      <c r="C176" s="1392"/>
      <c r="D176" s="176" t="s">
        <v>1307</v>
      </c>
      <c r="E176" s="1241"/>
      <c r="F176" s="1241"/>
      <c r="G176" s="1264"/>
      <c r="H176" s="1242"/>
      <c r="I176" s="665">
        <f>SUM(J176:N176)</f>
        <v>1000</v>
      </c>
      <c r="J176" s="1244"/>
      <c r="K176" s="1244"/>
      <c r="L176" s="1244"/>
      <c r="M176" s="1244"/>
      <c r="N176" s="1245">
        <v>1000</v>
      </c>
      <c r="P176" s="1237"/>
    </row>
    <row r="177" spans="1:16" s="11" customFormat="1" ht="18" customHeight="1" x14ac:dyDescent="0.3">
      <c r="A177" s="699">
        <v>170</v>
      </c>
      <c r="B177" s="1285"/>
      <c r="C177" s="1393"/>
      <c r="D177" s="522" t="s">
        <v>733</v>
      </c>
      <c r="E177" s="173"/>
      <c r="F177" s="173"/>
      <c r="G177" s="1264"/>
      <c r="H177" s="703"/>
      <c r="I177" s="158">
        <f>SUM(J177:Q177)</f>
        <v>0</v>
      </c>
      <c r="J177" s="183"/>
      <c r="K177" s="183"/>
      <c r="L177" s="183"/>
      <c r="M177" s="183"/>
      <c r="N177" s="184"/>
      <c r="P177" s="10"/>
    </row>
    <row r="178" spans="1:16" s="11" customFormat="1" ht="18" customHeight="1" x14ac:dyDescent="0.3">
      <c r="A178" s="699">
        <v>171</v>
      </c>
      <c r="B178" s="1285"/>
      <c r="C178" s="1393"/>
      <c r="D178" s="522" t="s">
        <v>1391</v>
      </c>
      <c r="E178" s="173"/>
      <c r="F178" s="173"/>
      <c r="G178" s="1264"/>
      <c r="H178" s="703"/>
      <c r="I178" s="665">
        <f>SUM(J178:N178)</f>
        <v>1000</v>
      </c>
      <c r="J178" s="183"/>
      <c r="K178" s="183"/>
      <c r="L178" s="183"/>
      <c r="M178" s="183"/>
      <c r="N178" s="184">
        <f>SUM(N176:N177)</f>
        <v>1000</v>
      </c>
      <c r="P178" s="10"/>
    </row>
    <row r="179" spans="1:16" s="3" customFormat="1" ht="22.5" customHeight="1" x14ac:dyDescent="0.3">
      <c r="A179" s="699">
        <v>172</v>
      </c>
      <c r="B179" s="1282"/>
      <c r="C179" s="1387">
        <v>17</v>
      </c>
      <c r="D179" s="691" t="s">
        <v>66</v>
      </c>
      <c r="E179" s="164">
        <v>2500</v>
      </c>
      <c r="F179" s="164">
        <v>2500</v>
      </c>
      <c r="G179" s="1264">
        <v>2500</v>
      </c>
      <c r="H179" s="702" t="s">
        <v>25</v>
      </c>
      <c r="I179" s="665"/>
      <c r="J179" s="168"/>
      <c r="K179" s="168"/>
      <c r="L179" s="168"/>
      <c r="M179" s="168"/>
      <c r="N179" s="169"/>
      <c r="P179" s="10"/>
    </row>
    <row r="180" spans="1:16" s="1251" customFormat="1" ht="18" customHeight="1" x14ac:dyDescent="0.3">
      <c r="A180" s="699">
        <v>173</v>
      </c>
      <c r="B180" s="1287"/>
      <c r="C180" s="1388"/>
      <c r="D180" s="1231" t="s">
        <v>334</v>
      </c>
      <c r="E180" s="1247"/>
      <c r="F180" s="1247"/>
      <c r="G180" s="1276"/>
      <c r="H180" s="1248"/>
      <c r="I180" s="1234">
        <f>SUM(J180:N180)</f>
        <v>2500</v>
      </c>
      <c r="J180" s="1249"/>
      <c r="K180" s="1249"/>
      <c r="L180" s="1249"/>
      <c r="M180" s="1249"/>
      <c r="N180" s="1250">
        <v>2500</v>
      </c>
      <c r="P180" s="1237"/>
    </row>
    <row r="181" spans="1:16" s="1251" customFormat="1" ht="18" customHeight="1" x14ac:dyDescent="0.3">
      <c r="A181" s="699">
        <v>174</v>
      </c>
      <c r="B181" s="1287"/>
      <c r="C181" s="1388"/>
      <c r="D181" s="690" t="s">
        <v>1307</v>
      </c>
      <c r="E181" s="1247"/>
      <c r="F181" s="1247"/>
      <c r="G181" s="1276"/>
      <c r="H181" s="1248"/>
      <c r="I181" s="665">
        <f>SUM(J181:N181)</f>
        <v>2500</v>
      </c>
      <c r="J181" s="1249"/>
      <c r="K181" s="1249"/>
      <c r="L181" s="1249"/>
      <c r="M181" s="1249"/>
      <c r="N181" s="166">
        <v>2500</v>
      </c>
      <c r="P181" s="1237"/>
    </row>
    <row r="182" spans="1:16" s="3" customFormat="1" ht="18" customHeight="1" x14ac:dyDescent="0.3">
      <c r="A182" s="699">
        <v>175</v>
      </c>
      <c r="B182" s="1288"/>
      <c r="C182" s="1389"/>
      <c r="D182" s="1150" t="s">
        <v>733</v>
      </c>
      <c r="E182" s="198"/>
      <c r="F182" s="198"/>
      <c r="G182" s="1276"/>
      <c r="H182" s="704"/>
      <c r="I182" s="158">
        <f>SUM(J182:Q182)</f>
        <v>0</v>
      </c>
      <c r="J182" s="197"/>
      <c r="K182" s="197"/>
      <c r="L182" s="197"/>
      <c r="M182" s="197"/>
      <c r="N182" s="205"/>
      <c r="P182" s="10"/>
    </row>
    <row r="183" spans="1:16" s="110" customFormat="1" ht="18" customHeight="1" x14ac:dyDescent="0.35">
      <c r="A183" s="699">
        <v>176</v>
      </c>
      <c r="B183" s="1307"/>
      <c r="C183" s="1390"/>
      <c r="D183" s="690" t="s">
        <v>1391</v>
      </c>
      <c r="E183" s="1308"/>
      <c r="F183" s="1308"/>
      <c r="G183" s="1309"/>
      <c r="H183" s="704"/>
      <c r="I183" s="665">
        <f>SUM(J183:N183)</f>
        <v>2500</v>
      </c>
      <c r="J183" s="165"/>
      <c r="K183" s="165"/>
      <c r="L183" s="165"/>
      <c r="M183" s="165"/>
      <c r="N183" s="166">
        <f>SUM(N181:N182)</f>
        <v>2500</v>
      </c>
      <c r="P183" s="1699"/>
    </row>
    <row r="184" spans="1:16" s="3" customFormat="1" ht="22.5" customHeight="1" x14ac:dyDescent="0.3">
      <c r="A184" s="699">
        <v>177</v>
      </c>
      <c r="B184" s="1282"/>
      <c r="C184" s="1387">
        <v>18</v>
      </c>
      <c r="D184" s="691" t="s">
        <v>351</v>
      </c>
      <c r="E184" s="164">
        <v>2500</v>
      </c>
      <c r="F184" s="164">
        <v>2500</v>
      </c>
      <c r="G184" s="1277">
        <v>2500</v>
      </c>
      <c r="H184" s="702" t="s">
        <v>25</v>
      </c>
      <c r="I184" s="665"/>
      <c r="J184" s="168"/>
      <c r="K184" s="168"/>
      <c r="L184" s="168"/>
      <c r="M184" s="168"/>
      <c r="N184" s="169"/>
      <c r="P184" s="10"/>
    </row>
    <row r="185" spans="1:16" s="1251" customFormat="1" ht="18" customHeight="1" x14ac:dyDescent="0.3">
      <c r="A185" s="699">
        <v>178</v>
      </c>
      <c r="B185" s="1287"/>
      <c r="C185" s="1388"/>
      <c r="D185" s="1231" t="s">
        <v>334</v>
      </c>
      <c r="E185" s="1247"/>
      <c r="F185" s="1247"/>
      <c r="G185" s="1276"/>
      <c r="H185" s="1248"/>
      <c r="I185" s="1234">
        <f>SUM(J185:N185)</f>
        <v>2500</v>
      </c>
      <c r="J185" s="1249"/>
      <c r="K185" s="1249"/>
      <c r="L185" s="1249"/>
      <c r="M185" s="1249"/>
      <c r="N185" s="1250">
        <v>2500</v>
      </c>
      <c r="P185" s="1237"/>
    </row>
    <row r="186" spans="1:16" s="1251" customFormat="1" ht="18" customHeight="1" x14ac:dyDescent="0.3">
      <c r="A186" s="699">
        <v>179</v>
      </c>
      <c r="B186" s="1287"/>
      <c r="C186" s="1388"/>
      <c r="D186" s="690" t="s">
        <v>1307</v>
      </c>
      <c r="E186" s="1247"/>
      <c r="F186" s="1247"/>
      <c r="G186" s="1276"/>
      <c r="H186" s="1248"/>
      <c r="I186" s="665">
        <f>SUM(J186:N186)</f>
        <v>2500</v>
      </c>
      <c r="J186" s="1249"/>
      <c r="K186" s="1249"/>
      <c r="L186" s="1249"/>
      <c r="M186" s="1249"/>
      <c r="N186" s="166">
        <v>2500</v>
      </c>
      <c r="P186" s="1237"/>
    </row>
    <row r="187" spans="1:16" s="3" customFormat="1" ht="18" customHeight="1" x14ac:dyDescent="0.3">
      <c r="A187" s="699">
        <v>180</v>
      </c>
      <c r="B187" s="1288"/>
      <c r="C187" s="1389"/>
      <c r="D187" s="1150" t="s">
        <v>733</v>
      </c>
      <c r="E187" s="198"/>
      <c r="F187" s="198"/>
      <c r="G187" s="1276"/>
      <c r="H187" s="704"/>
      <c r="I187" s="158">
        <f>SUM(J187:Q187)</f>
        <v>0</v>
      </c>
      <c r="J187" s="197"/>
      <c r="K187" s="197"/>
      <c r="L187" s="197"/>
      <c r="M187" s="197"/>
      <c r="N187" s="205"/>
      <c r="P187" s="10"/>
    </row>
    <row r="188" spans="1:16" s="110" customFormat="1" ht="18" customHeight="1" x14ac:dyDescent="0.35">
      <c r="A188" s="699">
        <v>181</v>
      </c>
      <c r="B188" s="1307"/>
      <c r="C188" s="1390"/>
      <c r="D188" s="690" t="s">
        <v>1391</v>
      </c>
      <c r="E188" s="1308"/>
      <c r="F188" s="1308"/>
      <c r="G188" s="1309"/>
      <c r="H188" s="704"/>
      <c r="I188" s="665">
        <f>SUM(J188:N188)</f>
        <v>2500</v>
      </c>
      <c r="J188" s="165"/>
      <c r="K188" s="165"/>
      <c r="L188" s="165"/>
      <c r="M188" s="165"/>
      <c r="N188" s="166">
        <f>SUM(N186:N187)</f>
        <v>2500</v>
      </c>
      <c r="P188" s="1699"/>
    </row>
    <row r="189" spans="1:16" s="3" customFormat="1" ht="22.5" customHeight="1" x14ac:dyDescent="0.3">
      <c r="A189" s="699">
        <v>182</v>
      </c>
      <c r="B189" s="1282"/>
      <c r="C189" s="1387">
        <v>19</v>
      </c>
      <c r="D189" s="691" t="s">
        <v>67</v>
      </c>
      <c r="E189" s="164">
        <v>1500</v>
      </c>
      <c r="F189" s="164">
        <v>1500</v>
      </c>
      <c r="G189" s="1277">
        <v>1500</v>
      </c>
      <c r="H189" s="702" t="s">
        <v>25</v>
      </c>
      <c r="I189" s="665"/>
      <c r="J189" s="168"/>
      <c r="K189" s="168"/>
      <c r="L189" s="168"/>
      <c r="M189" s="168"/>
      <c r="N189" s="169"/>
      <c r="P189" s="10"/>
    </row>
    <row r="190" spans="1:16" s="1237" customFormat="1" ht="18" customHeight="1" x14ac:dyDescent="0.3">
      <c r="A190" s="699">
        <v>183</v>
      </c>
      <c r="B190" s="1283"/>
      <c r="C190" s="1388"/>
      <c r="D190" s="1231" t="s">
        <v>334</v>
      </c>
      <c r="E190" s="1232"/>
      <c r="F190" s="1232"/>
      <c r="G190" s="1277"/>
      <c r="H190" s="1233"/>
      <c r="I190" s="1234">
        <f>SUM(J190:N190)</f>
        <v>1500</v>
      </c>
      <c r="J190" s="1235"/>
      <c r="K190" s="1235"/>
      <c r="L190" s="1235"/>
      <c r="M190" s="1235"/>
      <c r="N190" s="1236">
        <v>1500</v>
      </c>
    </row>
    <row r="191" spans="1:16" s="1237" customFormat="1" ht="18" customHeight="1" x14ac:dyDescent="0.3">
      <c r="A191" s="699">
        <v>184</v>
      </c>
      <c r="B191" s="1283"/>
      <c r="C191" s="1388"/>
      <c r="D191" s="690" t="s">
        <v>1307</v>
      </c>
      <c r="E191" s="1232"/>
      <c r="F191" s="1232"/>
      <c r="G191" s="1277"/>
      <c r="H191" s="1233"/>
      <c r="I191" s="665">
        <f>SUM(J191:N191)</f>
        <v>1500</v>
      </c>
      <c r="J191" s="1235"/>
      <c r="K191" s="1235"/>
      <c r="L191" s="1235"/>
      <c r="M191" s="1235"/>
      <c r="N191" s="520">
        <v>1500</v>
      </c>
    </row>
    <row r="192" spans="1:16" s="10" customFormat="1" ht="18" customHeight="1" x14ac:dyDescent="0.3">
      <c r="A192" s="699">
        <v>185</v>
      </c>
      <c r="B192" s="1284"/>
      <c r="C192" s="1389"/>
      <c r="D192" s="1150" t="s">
        <v>733</v>
      </c>
      <c r="E192" s="164"/>
      <c r="F192" s="164"/>
      <c r="G192" s="1277"/>
      <c r="H192" s="702"/>
      <c r="I192" s="158">
        <f>SUM(J192:Q192)</f>
        <v>0</v>
      </c>
      <c r="J192" s="168"/>
      <c r="K192" s="168"/>
      <c r="L192" s="168"/>
      <c r="M192" s="168"/>
      <c r="N192" s="169"/>
    </row>
    <row r="193" spans="1:16" s="1699" customFormat="1" ht="18" customHeight="1" x14ac:dyDescent="0.3">
      <c r="A193" s="699">
        <v>186</v>
      </c>
      <c r="B193" s="1295"/>
      <c r="C193" s="1390"/>
      <c r="D193" s="690" t="s">
        <v>1391</v>
      </c>
      <c r="E193" s="1305"/>
      <c r="F193" s="1305"/>
      <c r="G193" s="1306"/>
      <c r="H193" s="702"/>
      <c r="I193" s="665">
        <f>SUM(J193:N193)</f>
        <v>1500</v>
      </c>
      <c r="J193" s="527"/>
      <c r="K193" s="527"/>
      <c r="L193" s="527"/>
      <c r="M193" s="527"/>
      <c r="N193" s="520">
        <f>SUM(N191:N192)</f>
        <v>1500</v>
      </c>
    </row>
    <row r="194" spans="1:16" s="3" customFormat="1" ht="22.5" customHeight="1" x14ac:dyDescent="0.3">
      <c r="A194" s="699">
        <v>187</v>
      </c>
      <c r="B194" s="1282"/>
      <c r="C194" s="1387">
        <v>20</v>
      </c>
      <c r="D194" s="691" t="s">
        <v>68</v>
      </c>
      <c r="E194" s="164">
        <v>1000</v>
      </c>
      <c r="F194" s="164">
        <v>1000</v>
      </c>
      <c r="G194" s="1277">
        <v>1000</v>
      </c>
      <c r="H194" s="702" t="s">
        <v>25</v>
      </c>
      <c r="I194" s="665"/>
      <c r="J194" s="168"/>
      <c r="K194" s="168"/>
      <c r="L194" s="168"/>
      <c r="M194" s="168"/>
      <c r="N194" s="169"/>
      <c r="P194" s="10"/>
    </row>
    <row r="195" spans="1:16" s="1237" customFormat="1" ht="18" customHeight="1" x14ac:dyDescent="0.3">
      <c r="A195" s="699">
        <v>188</v>
      </c>
      <c r="B195" s="1283"/>
      <c r="C195" s="1388"/>
      <c r="D195" s="1231" t="s">
        <v>334</v>
      </c>
      <c r="E195" s="1232"/>
      <c r="F195" s="1232"/>
      <c r="G195" s="1277"/>
      <c r="H195" s="1233"/>
      <c r="I195" s="1234">
        <f>SUM(J195:N195)</f>
        <v>1000</v>
      </c>
      <c r="J195" s="1235"/>
      <c r="K195" s="1235"/>
      <c r="L195" s="1235"/>
      <c r="M195" s="1235"/>
      <c r="N195" s="1236">
        <v>1000</v>
      </c>
    </row>
    <row r="196" spans="1:16" s="1237" customFormat="1" ht="18" customHeight="1" x14ac:dyDescent="0.3">
      <c r="A196" s="699">
        <v>189</v>
      </c>
      <c r="B196" s="1283"/>
      <c r="C196" s="1388"/>
      <c r="D196" s="690" t="s">
        <v>1307</v>
      </c>
      <c r="E196" s="1232"/>
      <c r="F196" s="1232"/>
      <c r="G196" s="1277"/>
      <c r="H196" s="1233"/>
      <c r="I196" s="665">
        <f>SUM(J196:N196)</f>
        <v>1000</v>
      </c>
      <c r="J196" s="1235"/>
      <c r="K196" s="1235"/>
      <c r="L196" s="1235"/>
      <c r="M196" s="1235"/>
      <c r="N196" s="520">
        <v>1000</v>
      </c>
    </row>
    <row r="197" spans="1:16" s="10" customFormat="1" ht="18" customHeight="1" x14ac:dyDescent="0.3">
      <c r="A197" s="699">
        <v>190</v>
      </c>
      <c r="B197" s="1284"/>
      <c r="C197" s="1389"/>
      <c r="D197" s="1150" t="s">
        <v>733</v>
      </c>
      <c r="E197" s="164"/>
      <c r="F197" s="164"/>
      <c r="G197" s="1277"/>
      <c r="H197" s="702"/>
      <c r="I197" s="158">
        <f>SUM(J197:Q197)</f>
        <v>0</v>
      </c>
      <c r="J197" s="168"/>
      <c r="K197" s="168"/>
      <c r="L197" s="168"/>
      <c r="M197" s="168"/>
      <c r="N197" s="169"/>
    </row>
    <row r="198" spans="1:16" s="1699" customFormat="1" ht="18" customHeight="1" x14ac:dyDescent="0.3">
      <c r="A198" s="699">
        <v>191</v>
      </c>
      <c r="B198" s="1295"/>
      <c r="C198" s="1390"/>
      <c r="D198" s="690" t="s">
        <v>1391</v>
      </c>
      <c r="E198" s="1305"/>
      <c r="F198" s="1305"/>
      <c r="G198" s="1306"/>
      <c r="H198" s="702"/>
      <c r="I198" s="665">
        <f>SUM(J198:N198)</f>
        <v>1000</v>
      </c>
      <c r="J198" s="527"/>
      <c r="K198" s="527"/>
      <c r="L198" s="527"/>
      <c r="M198" s="527"/>
      <c r="N198" s="520">
        <f>SUM(N196:N197)</f>
        <v>1000</v>
      </c>
    </row>
    <row r="199" spans="1:16" s="3" customFormat="1" ht="22.5" customHeight="1" x14ac:dyDescent="0.3">
      <c r="A199" s="699">
        <v>192</v>
      </c>
      <c r="B199" s="1282"/>
      <c r="C199" s="1387">
        <v>21</v>
      </c>
      <c r="D199" s="691" t="s">
        <v>298</v>
      </c>
      <c r="E199" s="164">
        <v>5000</v>
      </c>
      <c r="F199" s="164">
        <v>5000</v>
      </c>
      <c r="G199" s="1277">
        <v>5000</v>
      </c>
      <c r="H199" s="702" t="s">
        <v>25</v>
      </c>
      <c r="I199" s="665"/>
      <c r="J199" s="168"/>
      <c r="K199" s="168"/>
      <c r="L199" s="168"/>
      <c r="M199" s="168"/>
      <c r="N199" s="169"/>
      <c r="P199" s="10"/>
    </row>
    <row r="200" spans="1:16" s="1237" customFormat="1" ht="18" customHeight="1" x14ac:dyDescent="0.3">
      <c r="A200" s="699">
        <v>193</v>
      </c>
      <c r="B200" s="1283"/>
      <c r="C200" s="1388"/>
      <c r="D200" s="1231" t="s">
        <v>334</v>
      </c>
      <c r="E200" s="1232"/>
      <c r="F200" s="1232"/>
      <c r="G200" s="1277"/>
      <c r="H200" s="1233"/>
      <c r="I200" s="1234">
        <f t="shared" ref="I200:I215" si="11">SUM(J200:N200)</f>
        <v>5000</v>
      </c>
      <c r="J200" s="1235"/>
      <c r="K200" s="1235"/>
      <c r="L200" s="1235">
        <v>5000</v>
      </c>
      <c r="M200" s="1235"/>
      <c r="N200" s="1236"/>
    </row>
    <row r="201" spans="1:16" s="1237" customFormat="1" ht="18" customHeight="1" x14ac:dyDescent="0.3">
      <c r="A201" s="699">
        <v>194</v>
      </c>
      <c r="B201" s="1283"/>
      <c r="C201" s="1388"/>
      <c r="D201" s="690" t="s">
        <v>1307</v>
      </c>
      <c r="E201" s="1232"/>
      <c r="F201" s="1232"/>
      <c r="G201" s="1277"/>
      <c r="H201" s="1233"/>
      <c r="I201" s="665">
        <f>SUM(J201:N201)</f>
        <v>5000</v>
      </c>
      <c r="J201" s="1235"/>
      <c r="K201" s="1235"/>
      <c r="L201" s="527">
        <v>5000</v>
      </c>
      <c r="M201" s="1235"/>
      <c r="N201" s="1236"/>
    </row>
    <row r="202" spans="1:16" s="10" customFormat="1" ht="18" customHeight="1" x14ac:dyDescent="0.3">
      <c r="A202" s="699">
        <v>195</v>
      </c>
      <c r="B202" s="1284"/>
      <c r="C202" s="1389"/>
      <c r="D202" s="1150" t="s">
        <v>733</v>
      </c>
      <c r="E202" s="164"/>
      <c r="F202" s="164"/>
      <c r="G202" s="1277"/>
      <c r="H202" s="702"/>
      <c r="I202" s="158">
        <f>SUM(J202:Q202)</f>
        <v>0</v>
      </c>
      <c r="J202" s="168"/>
      <c r="K202" s="168"/>
      <c r="L202" s="168"/>
      <c r="M202" s="168"/>
      <c r="N202" s="169"/>
    </row>
    <row r="203" spans="1:16" s="1699" customFormat="1" ht="18" customHeight="1" x14ac:dyDescent="0.3">
      <c r="A203" s="699">
        <v>196</v>
      </c>
      <c r="B203" s="1295"/>
      <c r="C203" s="1390"/>
      <c r="D203" s="690" t="s">
        <v>1391</v>
      </c>
      <c r="E203" s="1305"/>
      <c r="F203" s="1305"/>
      <c r="G203" s="1306"/>
      <c r="H203" s="702"/>
      <c r="I203" s="665">
        <f>SUM(J203:N203)</f>
        <v>5000</v>
      </c>
      <c r="J203" s="527"/>
      <c r="K203" s="527"/>
      <c r="L203" s="527">
        <f>SUM(L201:L202)</f>
        <v>5000</v>
      </c>
      <c r="M203" s="527"/>
      <c r="N203" s="520"/>
    </row>
    <row r="204" spans="1:16" s="3" customFormat="1" ht="22.5" customHeight="1" x14ac:dyDescent="0.3">
      <c r="A204" s="699">
        <v>197</v>
      </c>
      <c r="B204" s="1282"/>
      <c r="C204" s="1387">
        <v>22</v>
      </c>
      <c r="D204" s="691" t="s">
        <v>299</v>
      </c>
      <c r="E204" s="164">
        <v>49019</v>
      </c>
      <c r="F204" s="164">
        <v>80000</v>
      </c>
      <c r="G204" s="1277">
        <v>24532</v>
      </c>
      <c r="H204" s="702" t="s">
        <v>25</v>
      </c>
      <c r="I204" s="665"/>
      <c r="J204" s="168"/>
      <c r="K204" s="168"/>
      <c r="L204" s="168"/>
      <c r="M204" s="168"/>
      <c r="N204" s="169"/>
      <c r="P204" s="10"/>
    </row>
    <row r="205" spans="1:16" s="1237" customFormat="1" ht="18" customHeight="1" x14ac:dyDescent="0.3">
      <c r="A205" s="699">
        <v>198</v>
      </c>
      <c r="B205" s="1283"/>
      <c r="C205" s="1388"/>
      <c r="D205" s="1231" t="s">
        <v>334</v>
      </c>
      <c r="E205" s="1232"/>
      <c r="F205" s="1232"/>
      <c r="G205" s="1277"/>
      <c r="H205" s="1233"/>
      <c r="I205" s="1234">
        <f t="shared" si="11"/>
        <v>54508</v>
      </c>
      <c r="J205" s="1235"/>
      <c r="K205" s="1235"/>
      <c r="L205" s="1235">
        <v>54508</v>
      </c>
      <c r="M205" s="1235"/>
      <c r="N205" s="1236"/>
    </row>
    <row r="206" spans="1:16" s="1237" customFormat="1" ht="18" customHeight="1" x14ac:dyDescent="0.3">
      <c r="A206" s="699">
        <v>199</v>
      </c>
      <c r="B206" s="1283"/>
      <c r="C206" s="1388"/>
      <c r="D206" s="690" t="s">
        <v>1307</v>
      </c>
      <c r="E206" s="1232"/>
      <c r="F206" s="1232"/>
      <c r="G206" s="1277"/>
      <c r="H206" s="1233"/>
      <c r="I206" s="665">
        <f>SUM(J206:N206)</f>
        <v>399122</v>
      </c>
      <c r="J206" s="527">
        <v>150</v>
      </c>
      <c r="K206" s="527">
        <v>45</v>
      </c>
      <c r="L206" s="527">
        <v>398927</v>
      </c>
      <c r="M206" s="1235"/>
      <c r="N206" s="1236"/>
    </row>
    <row r="207" spans="1:16" s="10" customFormat="1" ht="18" customHeight="1" x14ac:dyDescent="0.3">
      <c r="A207" s="699">
        <v>200</v>
      </c>
      <c r="B207" s="1284"/>
      <c r="C207" s="1389"/>
      <c r="D207" s="1150" t="s">
        <v>834</v>
      </c>
      <c r="E207" s="164"/>
      <c r="F207" s="164"/>
      <c r="G207" s="1277"/>
      <c r="H207" s="702"/>
      <c r="I207" s="158">
        <f>SUM(J207:Q207)</f>
        <v>0</v>
      </c>
      <c r="J207" s="183"/>
      <c r="K207" s="183"/>
      <c r="L207" s="183"/>
      <c r="M207" s="168"/>
      <c r="N207" s="169"/>
    </row>
    <row r="208" spans="1:16" s="1699" customFormat="1" ht="18" customHeight="1" x14ac:dyDescent="0.3">
      <c r="A208" s="699">
        <v>201</v>
      </c>
      <c r="B208" s="1295"/>
      <c r="C208" s="1390"/>
      <c r="D208" s="690" t="s">
        <v>1391</v>
      </c>
      <c r="E208" s="1305"/>
      <c r="F208" s="1305"/>
      <c r="G208" s="1306"/>
      <c r="H208" s="702"/>
      <c r="I208" s="665">
        <f>SUM(J208:N208)</f>
        <v>399122</v>
      </c>
      <c r="J208" s="527">
        <f>SUM(J206:J207)</f>
        <v>150</v>
      </c>
      <c r="K208" s="527">
        <f>SUM(K206:K207)</f>
        <v>45</v>
      </c>
      <c r="L208" s="527">
        <f>SUM(L206:L207)</f>
        <v>398927</v>
      </c>
      <c r="M208" s="527"/>
      <c r="N208" s="520"/>
    </row>
    <row r="209" spans="1:16" s="10" customFormat="1" ht="22.5" customHeight="1" x14ac:dyDescent="0.3">
      <c r="A209" s="699">
        <v>202</v>
      </c>
      <c r="B209" s="1284"/>
      <c r="C209" s="1387">
        <v>23</v>
      </c>
      <c r="D209" s="690" t="s">
        <v>523</v>
      </c>
      <c r="E209" s="164">
        <v>1400</v>
      </c>
      <c r="F209" s="164">
        <v>4000</v>
      </c>
      <c r="G209" s="1277">
        <v>2500</v>
      </c>
      <c r="H209" s="702" t="s">
        <v>25</v>
      </c>
      <c r="I209" s="665"/>
      <c r="J209" s="168"/>
      <c r="K209" s="168"/>
      <c r="L209" s="168"/>
      <c r="M209" s="168"/>
      <c r="N209" s="169"/>
    </row>
    <row r="210" spans="1:16" s="1237" customFormat="1" ht="18" customHeight="1" x14ac:dyDescent="0.3">
      <c r="A210" s="699">
        <v>203</v>
      </c>
      <c r="B210" s="1283"/>
      <c r="C210" s="1388"/>
      <c r="D210" s="1231" t="s">
        <v>334</v>
      </c>
      <c r="E210" s="1232"/>
      <c r="F210" s="1232"/>
      <c r="G210" s="1277"/>
      <c r="H210" s="1233"/>
      <c r="I210" s="1234">
        <f t="shared" si="11"/>
        <v>5000</v>
      </c>
      <c r="J210" s="1235"/>
      <c r="K210" s="1235"/>
      <c r="L210" s="1235"/>
      <c r="M210" s="1235"/>
      <c r="N210" s="1236">
        <v>5000</v>
      </c>
    </row>
    <row r="211" spans="1:16" s="1237" customFormat="1" ht="18" customHeight="1" x14ac:dyDescent="0.3">
      <c r="A211" s="699">
        <v>204</v>
      </c>
      <c r="B211" s="1290"/>
      <c r="C211" s="1388"/>
      <c r="D211" s="690" t="s">
        <v>1307</v>
      </c>
      <c r="E211" s="1247"/>
      <c r="F211" s="1247"/>
      <c r="G211" s="1276"/>
      <c r="H211" s="1233"/>
      <c r="I211" s="665">
        <f>SUM(J211:N211)</f>
        <v>3580</v>
      </c>
      <c r="J211" s="1249"/>
      <c r="K211" s="1249"/>
      <c r="L211" s="165">
        <v>230</v>
      </c>
      <c r="M211" s="165"/>
      <c r="N211" s="166">
        <v>3350</v>
      </c>
    </row>
    <row r="212" spans="1:16" s="10" customFormat="1" ht="18" customHeight="1" x14ac:dyDescent="0.3">
      <c r="A212" s="699">
        <v>205</v>
      </c>
      <c r="B212" s="1289"/>
      <c r="C212" s="1389"/>
      <c r="D212" s="1150" t="s">
        <v>733</v>
      </c>
      <c r="E212" s="198"/>
      <c r="F212" s="198"/>
      <c r="G212" s="1276"/>
      <c r="H212" s="702"/>
      <c r="I212" s="158">
        <f>SUM(J212:Q212)</f>
        <v>0</v>
      </c>
      <c r="J212" s="717"/>
      <c r="K212" s="717"/>
      <c r="L212" s="717"/>
      <c r="M212" s="717"/>
      <c r="N212" s="184"/>
    </row>
    <row r="213" spans="1:16" s="1699" customFormat="1" ht="18" customHeight="1" x14ac:dyDescent="0.3">
      <c r="A213" s="699">
        <v>206</v>
      </c>
      <c r="B213" s="1303"/>
      <c r="C213" s="1390"/>
      <c r="D213" s="690" t="s">
        <v>1391</v>
      </c>
      <c r="E213" s="1308"/>
      <c r="F213" s="1308"/>
      <c r="G213" s="1309"/>
      <c r="H213" s="702"/>
      <c r="I213" s="665">
        <f>SUM(J213:N213)</f>
        <v>3580</v>
      </c>
      <c r="J213" s="165"/>
      <c r="K213" s="165"/>
      <c r="L213" s="165">
        <f>SUM(L211:L212)</f>
        <v>230</v>
      </c>
      <c r="M213" s="165"/>
      <c r="N213" s="166">
        <f>SUM(N211:N212)</f>
        <v>3350</v>
      </c>
    </row>
    <row r="214" spans="1:16" s="10" customFormat="1" ht="22.5" customHeight="1" x14ac:dyDescent="0.3">
      <c r="A214" s="699">
        <v>207</v>
      </c>
      <c r="B214" s="1289"/>
      <c r="C214" s="1387">
        <v>24</v>
      </c>
      <c r="D214" s="690" t="s">
        <v>594</v>
      </c>
      <c r="E214" s="198"/>
      <c r="F214" s="198"/>
      <c r="G214" s="1276"/>
      <c r="H214" s="702" t="s">
        <v>25</v>
      </c>
      <c r="I214" s="665"/>
      <c r="J214" s="197"/>
      <c r="K214" s="197"/>
      <c r="L214" s="197"/>
      <c r="M214" s="197"/>
      <c r="N214" s="205"/>
    </row>
    <row r="215" spans="1:16" s="1237" customFormat="1" ht="18" customHeight="1" x14ac:dyDescent="0.3">
      <c r="A215" s="699">
        <v>208</v>
      </c>
      <c r="B215" s="1290"/>
      <c r="C215" s="1388"/>
      <c r="D215" s="1231" t="s">
        <v>334</v>
      </c>
      <c r="E215" s="1247"/>
      <c r="F215" s="1247"/>
      <c r="G215" s="1276"/>
      <c r="H215" s="1233"/>
      <c r="I215" s="1234">
        <f t="shared" si="11"/>
        <v>20000</v>
      </c>
      <c r="J215" s="1249"/>
      <c r="K215" s="1249"/>
      <c r="L215" s="1249"/>
      <c r="M215" s="1249"/>
      <c r="N215" s="1250">
        <v>20000</v>
      </c>
    </row>
    <row r="216" spans="1:16" s="1237" customFormat="1" ht="18" customHeight="1" x14ac:dyDescent="0.3">
      <c r="A216" s="699">
        <v>209</v>
      </c>
      <c r="B216" s="1290"/>
      <c r="C216" s="1388"/>
      <c r="D216" s="690" t="s">
        <v>1307</v>
      </c>
      <c r="E216" s="1247"/>
      <c r="F216" s="1247"/>
      <c r="G216" s="1276"/>
      <c r="H216" s="1233"/>
      <c r="I216" s="665">
        <f>SUM(J216:N216)</f>
        <v>16160</v>
      </c>
      <c r="J216" s="1249"/>
      <c r="K216" s="1249"/>
      <c r="L216" s="1249"/>
      <c r="M216" s="1249"/>
      <c r="N216" s="166">
        <v>16160</v>
      </c>
    </row>
    <row r="217" spans="1:16" s="10" customFormat="1" ht="18" customHeight="1" x14ac:dyDescent="0.3">
      <c r="A217" s="699">
        <v>210</v>
      </c>
      <c r="B217" s="1289"/>
      <c r="C217" s="1389"/>
      <c r="D217" s="1150" t="s">
        <v>834</v>
      </c>
      <c r="E217" s="198"/>
      <c r="F217" s="198"/>
      <c r="G217" s="1276"/>
      <c r="H217" s="702"/>
      <c r="I217" s="158">
        <f>SUM(J217:Q217)</f>
        <v>0</v>
      </c>
      <c r="J217" s="197"/>
      <c r="K217" s="197"/>
      <c r="L217" s="197"/>
      <c r="M217" s="197"/>
      <c r="N217" s="205"/>
    </row>
    <row r="218" spans="1:16" s="1699" customFormat="1" ht="18" customHeight="1" x14ac:dyDescent="0.3">
      <c r="A218" s="699">
        <v>211</v>
      </c>
      <c r="B218" s="1303"/>
      <c r="C218" s="1390"/>
      <c r="D218" s="690" t="s">
        <v>1391</v>
      </c>
      <c r="E218" s="1308"/>
      <c r="F218" s="1308"/>
      <c r="G218" s="1309"/>
      <c r="H218" s="702"/>
      <c r="I218" s="665">
        <f>SUM(J218:N218)</f>
        <v>16160</v>
      </c>
      <c r="J218" s="165"/>
      <c r="K218" s="165"/>
      <c r="L218" s="165"/>
      <c r="M218" s="165"/>
      <c r="N218" s="166">
        <f>SUM(N216:N217)</f>
        <v>16160</v>
      </c>
    </row>
    <row r="219" spans="1:16" s="182" customFormat="1" ht="22.5" customHeight="1" x14ac:dyDescent="0.3">
      <c r="A219" s="699">
        <v>212</v>
      </c>
      <c r="B219" s="1291"/>
      <c r="C219" s="1387">
        <v>25</v>
      </c>
      <c r="D219" s="691" t="s">
        <v>290</v>
      </c>
      <c r="E219" s="198">
        <v>38000</v>
      </c>
      <c r="F219" s="198">
        <v>45000</v>
      </c>
      <c r="G219" s="1276">
        <v>45000</v>
      </c>
      <c r="H219" s="702" t="s">
        <v>25</v>
      </c>
      <c r="I219" s="665"/>
      <c r="J219" s="165"/>
      <c r="K219" s="165"/>
      <c r="L219" s="165"/>
      <c r="M219" s="165"/>
      <c r="N219" s="166"/>
      <c r="O219" s="157"/>
      <c r="P219" s="10"/>
    </row>
    <row r="220" spans="1:16" s="1258" customFormat="1" ht="18" customHeight="1" x14ac:dyDescent="0.3">
      <c r="A220" s="699">
        <v>213</v>
      </c>
      <c r="B220" s="1292"/>
      <c r="C220" s="1388"/>
      <c r="D220" s="1231" t="s">
        <v>334</v>
      </c>
      <c r="E220" s="1247"/>
      <c r="F220" s="1255"/>
      <c r="G220" s="1275"/>
      <c r="H220" s="1233"/>
      <c r="I220" s="1234">
        <f>SUM(J220:N220)</f>
        <v>45000</v>
      </c>
      <c r="J220" s="1249"/>
      <c r="K220" s="1256"/>
      <c r="L220" s="1256"/>
      <c r="M220" s="1256"/>
      <c r="N220" s="1250">
        <v>45000</v>
      </c>
      <c r="O220" s="1257"/>
      <c r="P220" s="1237"/>
    </row>
    <row r="221" spans="1:16" s="1258" customFormat="1" ht="18" customHeight="1" x14ac:dyDescent="0.3">
      <c r="A221" s="699">
        <v>214</v>
      </c>
      <c r="B221" s="1292"/>
      <c r="C221" s="1388"/>
      <c r="D221" s="690" t="s">
        <v>1307</v>
      </c>
      <c r="E221" s="1247"/>
      <c r="F221" s="1255"/>
      <c r="G221" s="1275"/>
      <c r="H221" s="1233"/>
      <c r="I221" s="665">
        <f>SUM(J221:N221)</f>
        <v>45000</v>
      </c>
      <c r="J221" s="1249"/>
      <c r="K221" s="1256"/>
      <c r="L221" s="1256"/>
      <c r="M221" s="1256"/>
      <c r="N221" s="166">
        <v>45000</v>
      </c>
      <c r="O221" s="1257"/>
      <c r="P221" s="1237"/>
    </row>
    <row r="222" spans="1:16" s="182" customFormat="1" ht="18" customHeight="1" x14ac:dyDescent="0.3">
      <c r="A222" s="699">
        <v>215</v>
      </c>
      <c r="B222" s="1291"/>
      <c r="C222" s="1389"/>
      <c r="D222" s="1150" t="s">
        <v>733</v>
      </c>
      <c r="E222" s="198"/>
      <c r="F222" s="170"/>
      <c r="G222" s="1275"/>
      <c r="H222" s="702"/>
      <c r="I222" s="158">
        <f>SUM(J222:Q222)</f>
        <v>0</v>
      </c>
      <c r="J222" s="197"/>
      <c r="K222" s="165"/>
      <c r="L222" s="165"/>
      <c r="M222" s="165"/>
      <c r="N222" s="205"/>
      <c r="O222" s="157"/>
      <c r="P222" s="10"/>
    </row>
    <row r="223" spans="1:16" s="182" customFormat="1" ht="18" customHeight="1" x14ac:dyDescent="0.3">
      <c r="A223" s="699">
        <v>216</v>
      </c>
      <c r="B223" s="1291"/>
      <c r="C223" s="1389"/>
      <c r="D223" s="167" t="s">
        <v>1391</v>
      </c>
      <c r="E223" s="198"/>
      <c r="F223" s="170"/>
      <c r="G223" s="1275"/>
      <c r="H223" s="702"/>
      <c r="I223" s="665">
        <f>SUM(J223:N223)</f>
        <v>45000</v>
      </c>
      <c r="J223" s="197"/>
      <c r="K223" s="165"/>
      <c r="L223" s="165"/>
      <c r="M223" s="165"/>
      <c r="N223" s="166">
        <f>SUM(N221:N222)</f>
        <v>45000</v>
      </c>
      <c r="O223" s="157"/>
      <c r="P223" s="10"/>
    </row>
    <row r="224" spans="1:16" s="3" customFormat="1" ht="22.5" customHeight="1" x14ac:dyDescent="0.3">
      <c r="A224" s="699">
        <v>217</v>
      </c>
      <c r="B224" s="1282"/>
      <c r="C224" s="1387">
        <v>26</v>
      </c>
      <c r="D224" s="691" t="s">
        <v>70</v>
      </c>
      <c r="E224" s="164">
        <v>252670</v>
      </c>
      <c r="F224" s="164">
        <v>307500</v>
      </c>
      <c r="G224" s="1277">
        <v>316697</v>
      </c>
      <c r="H224" s="702" t="s">
        <v>25</v>
      </c>
      <c r="I224" s="665"/>
      <c r="J224" s="168"/>
      <c r="K224" s="168"/>
      <c r="L224" s="168"/>
      <c r="M224" s="168"/>
      <c r="N224" s="169"/>
      <c r="P224" s="10"/>
    </row>
    <row r="225" spans="1:16" s="1237" customFormat="1" ht="18" customHeight="1" x14ac:dyDescent="0.3">
      <c r="A225" s="699">
        <v>218</v>
      </c>
      <c r="B225" s="1283"/>
      <c r="C225" s="1388"/>
      <c r="D225" s="1231" t="s">
        <v>334</v>
      </c>
      <c r="E225" s="1232"/>
      <c r="F225" s="1232"/>
      <c r="G225" s="1277"/>
      <c r="H225" s="1233"/>
      <c r="I225" s="1234">
        <f>SUM(J225:N225)</f>
        <v>375300</v>
      </c>
      <c r="J225" s="1235"/>
      <c r="K225" s="1235"/>
      <c r="L225" s="1235">
        <v>140000</v>
      </c>
      <c r="M225" s="1235"/>
      <c r="N225" s="1236">
        <f>375300-140000</f>
        <v>235300</v>
      </c>
    </row>
    <row r="226" spans="1:16" s="1237" customFormat="1" ht="18" customHeight="1" x14ac:dyDescent="0.3">
      <c r="A226" s="699">
        <v>219</v>
      </c>
      <c r="B226" s="1283"/>
      <c r="C226" s="1388"/>
      <c r="D226" s="690" t="s">
        <v>1307</v>
      </c>
      <c r="E226" s="1232"/>
      <c r="F226" s="1232"/>
      <c r="G226" s="1277"/>
      <c r="H226" s="1233"/>
      <c r="I226" s="665">
        <f>SUM(J226:N226)</f>
        <v>379873</v>
      </c>
      <c r="J226" s="1235"/>
      <c r="K226" s="1235"/>
      <c r="L226" s="527">
        <v>150500</v>
      </c>
      <c r="M226" s="527"/>
      <c r="N226" s="520">
        <v>229373</v>
      </c>
    </row>
    <row r="227" spans="1:16" s="10" customFormat="1" ht="18" customHeight="1" x14ac:dyDescent="0.3">
      <c r="A227" s="699">
        <v>220</v>
      </c>
      <c r="B227" s="1284"/>
      <c r="C227" s="1389"/>
      <c r="D227" s="1150" t="s">
        <v>834</v>
      </c>
      <c r="E227" s="164"/>
      <c r="F227" s="164"/>
      <c r="G227" s="1277"/>
      <c r="H227" s="702"/>
      <c r="I227" s="158">
        <f>SUM(J227:Q227)</f>
        <v>0</v>
      </c>
      <c r="J227" s="168"/>
      <c r="K227" s="168"/>
      <c r="L227" s="183"/>
      <c r="M227" s="168"/>
      <c r="N227" s="169"/>
    </row>
    <row r="228" spans="1:16" s="1699" customFormat="1" ht="18" customHeight="1" x14ac:dyDescent="0.3">
      <c r="A228" s="699">
        <v>221</v>
      </c>
      <c r="B228" s="1295"/>
      <c r="C228" s="1390"/>
      <c r="D228" s="690" t="s">
        <v>1391</v>
      </c>
      <c r="E228" s="1305"/>
      <c r="F228" s="1305"/>
      <c r="G228" s="1306"/>
      <c r="H228" s="702"/>
      <c r="I228" s="665">
        <f>SUM(J228:N228)</f>
        <v>379873</v>
      </c>
      <c r="J228" s="527"/>
      <c r="K228" s="527"/>
      <c r="L228" s="527">
        <f>SUM(L226:L227)</f>
        <v>150500</v>
      </c>
      <c r="M228" s="527"/>
      <c r="N228" s="520">
        <f>SUM(N226:N227)</f>
        <v>229373</v>
      </c>
    </row>
    <row r="229" spans="1:16" s="3" customFormat="1" ht="22.5" customHeight="1" x14ac:dyDescent="0.3">
      <c r="A229" s="699">
        <v>222</v>
      </c>
      <c r="B229" s="1282"/>
      <c r="C229" s="1387">
        <v>27</v>
      </c>
      <c r="D229" s="691" t="s">
        <v>71</v>
      </c>
      <c r="E229" s="164">
        <v>7000</v>
      </c>
      <c r="F229" s="164">
        <v>2600</v>
      </c>
      <c r="G229" s="1277">
        <v>2000</v>
      </c>
      <c r="H229" s="702" t="s">
        <v>24</v>
      </c>
      <c r="I229" s="665"/>
      <c r="J229" s="168"/>
      <c r="K229" s="168"/>
      <c r="L229" s="168"/>
      <c r="M229" s="168"/>
      <c r="N229" s="169"/>
      <c r="P229" s="10"/>
    </row>
    <row r="230" spans="1:16" s="1237" customFormat="1" ht="18" customHeight="1" x14ac:dyDescent="0.3">
      <c r="A230" s="699">
        <v>223</v>
      </c>
      <c r="B230" s="1283"/>
      <c r="C230" s="1388"/>
      <c r="D230" s="1231" t="s">
        <v>334</v>
      </c>
      <c r="E230" s="1232"/>
      <c r="F230" s="1232"/>
      <c r="G230" s="1277"/>
      <c r="H230" s="1233"/>
      <c r="I230" s="1234">
        <f>SUM(J230:N230)</f>
        <v>2600</v>
      </c>
      <c r="J230" s="1235"/>
      <c r="K230" s="1235"/>
      <c r="L230" s="1235">
        <v>2600</v>
      </c>
      <c r="M230" s="1235"/>
      <c r="N230" s="1236"/>
    </row>
    <row r="231" spans="1:16" s="1237" customFormat="1" ht="18" customHeight="1" x14ac:dyDescent="0.3">
      <c r="A231" s="699">
        <v>224</v>
      </c>
      <c r="B231" s="1283"/>
      <c r="C231" s="1388"/>
      <c r="D231" s="690" t="s">
        <v>1307</v>
      </c>
      <c r="E231" s="1232"/>
      <c r="F231" s="1232"/>
      <c r="G231" s="1277"/>
      <c r="H231" s="1233"/>
      <c r="I231" s="665">
        <f>SUM(J231:N231)</f>
        <v>3800</v>
      </c>
      <c r="J231" s="1235"/>
      <c r="K231" s="1235"/>
      <c r="L231" s="527">
        <v>3800</v>
      </c>
      <c r="M231" s="1235"/>
      <c r="N231" s="1236"/>
    </row>
    <row r="232" spans="1:16" s="10" customFormat="1" ht="18" customHeight="1" x14ac:dyDescent="0.3">
      <c r="A232" s="699">
        <v>225</v>
      </c>
      <c r="B232" s="1284"/>
      <c r="C232" s="1389"/>
      <c r="D232" s="1150" t="s">
        <v>834</v>
      </c>
      <c r="E232" s="164"/>
      <c r="F232" s="164"/>
      <c r="G232" s="1277"/>
      <c r="H232" s="702"/>
      <c r="I232" s="158">
        <f>SUM(J232:Q232)</f>
        <v>0</v>
      </c>
      <c r="J232" s="168"/>
      <c r="K232" s="168"/>
      <c r="L232" s="183"/>
      <c r="M232" s="168"/>
      <c r="N232" s="169"/>
    </row>
    <row r="233" spans="1:16" s="1699" customFormat="1" ht="18" customHeight="1" x14ac:dyDescent="0.3">
      <c r="A233" s="699">
        <v>226</v>
      </c>
      <c r="B233" s="1295"/>
      <c r="C233" s="1390"/>
      <c r="D233" s="690" t="s">
        <v>1391</v>
      </c>
      <c r="E233" s="1305"/>
      <c r="F233" s="1305"/>
      <c r="G233" s="1306"/>
      <c r="H233" s="702"/>
      <c r="I233" s="665">
        <f>SUM(J233:N233)</f>
        <v>3800</v>
      </c>
      <c r="J233" s="527"/>
      <c r="K233" s="527"/>
      <c r="L233" s="527">
        <f>SUM(L231:L232)</f>
        <v>3800</v>
      </c>
      <c r="M233" s="527"/>
      <c r="N233" s="520"/>
    </row>
    <row r="234" spans="1:16" s="3" customFormat="1" ht="22.5" customHeight="1" x14ac:dyDescent="0.3">
      <c r="A234" s="699">
        <v>227</v>
      </c>
      <c r="B234" s="1282"/>
      <c r="C234" s="1387">
        <v>28</v>
      </c>
      <c r="D234" s="691" t="s">
        <v>72</v>
      </c>
      <c r="E234" s="164">
        <v>4322</v>
      </c>
      <c r="F234" s="164">
        <v>9000</v>
      </c>
      <c r="G234" s="1277">
        <v>9486</v>
      </c>
      <c r="H234" s="702" t="s">
        <v>24</v>
      </c>
      <c r="I234" s="665"/>
      <c r="J234" s="168"/>
      <c r="K234" s="168"/>
      <c r="L234" s="168"/>
      <c r="M234" s="168"/>
      <c r="N234" s="169"/>
      <c r="P234" s="10"/>
    </row>
    <row r="235" spans="1:16" s="1237" customFormat="1" ht="18" customHeight="1" x14ac:dyDescent="0.3">
      <c r="A235" s="699">
        <v>228</v>
      </c>
      <c r="B235" s="1283"/>
      <c r="C235" s="1388"/>
      <c r="D235" s="1231" t="s">
        <v>334</v>
      </c>
      <c r="E235" s="1232"/>
      <c r="F235" s="1232"/>
      <c r="G235" s="1277"/>
      <c r="H235" s="1233"/>
      <c r="I235" s="1234">
        <f>SUM(J235:N235)</f>
        <v>9000</v>
      </c>
      <c r="J235" s="1235"/>
      <c r="K235" s="1235"/>
      <c r="L235" s="1235">
        <v>9000</v>
      </c>
      <c r="M235" s="1235"/>
      <c r="N235" s="1236"/>
    </row>
    <row r="236" spans="1:16" s="1237" customFormat="1" ht="18" customHeight="1" x14ac:dyDescent="0.3">
      <c r="A236" s="699">
        <v>229</v>
      </c>
      <c r="B236" s="1283"/>
      <c r="C236" s="1388"/>
      <c r="D236" s="690" t="s">
        <v>1307</v>
      </c>
      <c r="E236" s="1232"/>
      <c r="F236" s="1232"/>
      <c r="G236" s="1277"/>
      <c r="H236" s="1233"/>
      <c r="I236" s="665">
        <f>SUM(J236:N236)</f>
        <v>9263</v>
      </c>
      <c r="J236" s="1235"/>
      <c r="K236" s="1235"/>
      <c r="L236" s="527">
        <v>9263</v>
      </c>
      <c r="M236" s="1235"/>
      <c r="N236" s="1236"/>
    </row>
    <row r="237" spans="1:16" s="10" customFormat="1" ht="18" customHeight="1" x14ac:dyDescent="0.3">
      <c r="A237" s="699">
        <v>230</v>
      </c>
      <c r="B237" s="1284"/>
      <c r="C237" s="1389"/>
      <c r="D237" s="1150" t="s">
        <v>834</v>
      </c>
      <c r="E237" s="164"/>
      <c r="F237" s="164"/>
      <c r="G237" s="1277"/>
      <c r="H237" s="702"/>
      <c r="I237" s="158">
        <f>SUM(J237:Q237)</f>
        <v>0</v>
      </c>
      <c r="J237" s="183">
        <v>40</v>
      </c>
      <c r="K237" s="183">
        <v>19</v>
      </c>
      <c r="L237" s="183">
        <v>-59</v>
      </c>
      <c r="M237" s="168"/>
      <c r="N237" s="169"/>
    </row>
    <row r="238" spans="1:16" s="1699" customFormat="1" ht="18" customHeight="1" x14ac:dyDescent="0.3">
      <c r="A238" s="699">
        <v>231</v>
      </c>
      <c r="B238" s="1295"/>
      <c r="C238" s="1390"/>
      <c r="D238" s="690" t="s">
        <v>1391</v>
      </c>
      <c r="E238" s="1305"/>
      <c r="F238" s="1305"/>
      <c r="G238" s="1306"/>
      <c r="H238" s="702"/>
      <c r="I238" s="665">
        <f>SUM(J238:N238)</f>
        <v>9263</v>
      </c>
      <c r="J238" s="527">
        <f>SUM(J237)</f>
        <v>40</v>
      </c>
      <c r="K238" s="527">
        <f>SUM(K237)</f>
        <v>19</v>
      </c>
      <c r="L238" s="527">
        <f>SUM(L236:L237)</f>
        <v>9204</v>
      </c>
      <c r="M238" s="527"/>
      <c r="N238" s="520"/>
    </row>
    <row r="239" spans="1:16" s="10" customFormat="1" ht="22.5" customHeight="1" x14ac:dyDescent="0.3">
      <c r="A239" s="699">
        <v>232</v>
      </c>
      <c r="B239" s="1284"/>
      <c r="C239" s="1387">
        <v>29</v>
      </c>
      <c r="D239" s="690" t="s">
        <v>416</v>
      </c>
      <c r="E239" s="164">
        <v>26779</v>
      </c>
      <c r="F239" s="164">
        <v>52000</v>
      </c>
      <c r="G239" s="1277">
        <v>41004</v>
      </c>
      <c r="H239" s="702" t="s">
        <v>24</v>
      </c>
      <c r="I239" s="665"/>
      <c r="J239" s="168"/>
      <c r="K239" s="168"/>
      <c r="L239" s="168"/>
      <c r="M239" s="168"/>
      <c r="N239" s="169"/>
    </row>
    <row r="240" spans="1:16" s="1237" customFormat="1" ht="18" customHeight="1" x14ac:dyDescent="0.3">
      <c r="A240" s="699">
        <v>233</v>
      </c>
      <c r="B240" s="1283"/>
      <c r="C240" s="1388"/>
      <c r="D240" s="1231" t="s">
        <v>334</v>
      </c>
      <c r="E240" s="1232"/>
      <c r="F240" s="1232"/>
      <c r="G240" s="1277"/>
      <c r="H240" s="1233"/>
      <c r="I240" s="1234">
        <f>SUM(J240:N240)</f>
        <v>52450</v>
      </c>
      <c r="J240" s="1235"/>
      <c r="K240" s="1235"/>
      <c r="L240" s="1235">
        <v>52450</v>
      </c>
      <c r="M240" s="1235"/>
      <c r="N240" s="1236"/>
    </row>
    <row r="241" spans="1:16" s="1237" customFormat="1" ht="18" customHeight="1" x14ac:dyDescent="0.3">
      <c r="A241" s="699">
        <v>234</v>
      </c>
      <c r="B241" s="1283"/>
      <c r="C241" s="1388"/>
      <c r="D241" s="690" t="s">
        <v>1307</v>
      </c>
      <c r="E241" s="1232"/>
      <c r="F241" s="1232"/>
      <c r="G241" s="1277"/>
      <c r="H241" s="1233"/>
      <c r="I241" s="665">
        <f>SUM(J241:N241)</f>
        <v>75602</v>
      </c>
      <c r="J241" s="1235"/>
      <c r="K241" s="1235"/>
      <c r="L241" s="527">
        <v>75602</v>
      </c>
      <c r="M241" s="1235"/>
      <c r="N241" s="1236"/>
    </row>
    <row r="242" spans="1:16" s="10" customFormat="1" ht="18" customHeight="1" x14ac:dyDescent="0.3">
      <c r="A242" s="699">
        <v>235</v>
      </c>
      <c r="B242" s="1284"/>
      <c r="C242" s="1389"/>
      <c r="D242" s="1150" t="s">
        <v>834</v>
      </c>
      <c r="E242" s="164"/>
      <c r="F242" s="164"/>
      <c r="G242" s="1277"/>
      <c r="H242" s="702"/>
      <c r="I242" s="158">
        <f>SUM(J242:Q242)</f>
        <v>0</v>
      </c>
      <c r="J242" s="168"/>
      <c r="K242" s="168"/>
      <c r="L242" s="183"/>
      <c r="M242" s="168"/>
      <c r="N242" s="169"/>
    </row>
    <row r="243" spans="1:16" s="1699" customFormat="1" ht="18" customHeight="1" x14ac:dyDescent="0.3">
      <c r="A243" s="699">
        <v>236</v>
      </c>
      <c r="B243" s="1295"/>
      <c r="C243" s="1390"/>
      <c r="D243" s="690" t="s">
        <v>1391</v>
      </c>
      <c r="E243" s="1305"/>
      <c r="F243" s="1305"/>
      <c r="G243" s="1306"/>
      <c r="H243" s="702"/>
      <c r="I243" s="665">
        <f>SUM(J243:N243)</f>
        <v>75602</v>
      </c>
      <c r="J243" s="527"/>
      <c r="K243" s="527"/>
      <c r="L243" s="527">
        <f>SUM(L241:L242)</f>
        <v>75602</v>
      </c>
      <c r="M243" s="527"/>
      <c r="N243" s="520"/>
    </row>
    <row r="244" spans="1:16" s="3" customFormat="1" ht="22.5" customHeight="1" x14ac:dyDescent="0.3">
      <c r="A244" s="699">
        <v>237</v>
      </c>
      <c r="B244" s="1282"/>
      <c r="C244" s="1387">
        <v>30</v>
      </c>
      <c r="D244" s="691" t="s">
        <v>73</v>
      </c>
      <c r="E244" s="164">
        <v>1777</v>
      </c>
      <c r="F244" s="164">
        <v>5000</v>
      </c>
      <c r="G244" s="1277">
        <v>4781</v>
      </c>
      <c r="H244" s="702" t="s">
        <v>24</v>
      </c>
      <c r="I244" s="668"/>
      <c r="J244" s="174"/>
      <c r="K244" s="174"/>
      <c r="L244" s="174"/>
      <c r="M244" s="174"/>
      <c r="N244" s="175"/>
      <c r="O244" s="10"/>
      <c r="P244" s="10"/>
    </row>
    <row r="245" spans="1:16" s="1237" customFormat="1" ht="18" customHeight="1" x14ac:dyDescent="0.3">
      <c r="A245" s="699">
        <v>238</v>
      </c>
      <c r="B245" s="1283"/>
      <c r="C245" s="1388"/>
      <c r="D245" s="1231" t="s">
        <v>334</v>
      </c>
      <c r="E245" s="1232"/>
      <c r="F245" s="1232"/>
      <c r="G245" s="1277"/>
      <c r="H245" s="1233"/>
      <c r="I245" s="1234">
        <f>SUM(J245:N245)</f>
        <v>2500</v>
      </c>
      <c r="J245" s="1235"/>
      <c r="K245" s="1235"/>
      <c r="L245" s="1235">
        <v>2500</v>
      </c>
      <c r="M245" s="1235"/>
      <c r="N245" s="1236"/>
    </row>
    <row r="246" spans="1:16" s="1237" customFormat="1" ht="18" customHeight="1" x14ac:dyDescent="0.3">
      <c r="A246" s="699">
        <v>239</v>
      </c>
      <c r="B246" s="1283"/>
      <c r="C246" s="1388"/>
      <c r="D246" s="690" t="s">
        <v>1307</v>
      </c>
      <c r="E246" s="1232"/>
      <c r="F246" s="1232"/>
      <c r="G246" s="1277"/>
      <c r="H246" s="1233"/>
      <c r="I246" s="665">
        <f>SUM(J246:N246)</f>
        <v>3466</v>
      </c>
      <c r="J246" s="1235"/>
      <c r="K246" s="527">
        <v>17</v>
      </c>
      <c r="L246" s="527">
        <v>3449</v>
      </c>
      <c r="M246" s="1235"/>
      <c r="N246" s="1236"/>
    </row>
    <row r="247" spans="1:16" s="10" customFormat="1" ht="18" customHeight="1" x14ac:dyDescent="0.3">
      <c r="A247" s="699">
        <v>240</v>
      </c>
      <c r="B247" s="1284"/>
      <c r="C247" s="1389"/>
      <c r="D247" s="1150" t="s">
        <v>834</v>
      </c>
      <c r="E247" s="164"/>
      <c r="F247" s="164"/>
      <c r="G247" s="1277"/>
      <c r="H247" s="702"/>
      <c r="I247" s="158">
        <f>SUM(J247:Q247)</f>
        <v>0</v>
      </c>
      <c r="J247" s="168"/>
      <c r="K247" s="168"/>
      <c r="L247" s="168"/>
      <c r="M247" s="168"/>
      <c r="N247" s="169"/>
    </row>
    <row r="248" spans="1:16" s="1699" customFormat="1" ht="18" customHeight="1" x14ac:dyDescent="0.3">
      <c r="A248" s="699">
        <v>241</v>
      </c>
      <c r="B248" s="1295"/>
      <c r="C248" s="1390"/>
      <c r="D248" s="690" t="s">
        <v>1391</v>
      </c>
      <c r="E248" s="1305"/>
      <c r="F248" s="1305"/>
      <c r="G248" s="1306"/>
      <c r="H248" s="702"/>
      <c r="I248" s="665">
        <f>SUM(J248:N248)</f>
        <v>3466</v>
      </c>
      <c r="J248" s="527"/>
      <c r="K248" s="527">
        <f>SUM(K246:K247)</f>
        <v>17</v>
      </c>
      <c r="L248" s="527">
        <f>SUM(L246:L247)</f>
        <v>3449</v>
      </c>
      <c r="M248" s="527"/>
      <c r="N248" s="520"/>
    </row>
    <row r="249" spans="1:16" s="110" customFormat="1" ht="22.5" customHeight="1" x14ac:dyDescent="0.35">
      <c r="A249" s="699">
        <v>242</v>
      </c>
      <c r="B249" s="1293"/>
      <c r="C249" s="1387">
        <v>31</v>
      </c>
      <c r="D249" s="691" t="s">
        <v>12</v>
      </c>
      <c r="E249" s="164">
        <v>34258</v>
      </c>
      <c r="F249" s="164">
        <v>38100</v>
      </c>
      <c r="G249" s="1277">
        <v>37560</v>
      </c>
      <c r="H249" s="702" t="s">
        <v>25</v>
      </c>
      <c r="I249" s="668"/>
      <c r="J249" s="526"/>
      <c r="K249" s="526"/>
      <c r="L249" s="526"/>
      <c r="M249" s="526"/>
      <c r="N249" s="692"/>
      <c r="O249" s="1699"/>
      <c r="P249" s="1699"/>
    </row>
    <row r="250" spans="1:16" s="1237" customFormat="1" ht="18" customHeight="1" x14ac:dyDescent="0.3">
      <c r="A250" s="699">
        <v>243</v>
      </c>
      <c r="B250" s="1283"/>
      <c r="C250" s="1388"/>
      <c r="D250" s="1231" t="s">
        <v>334</v>
      </c>
      <c r="E250" s="1232"/>
      <c r="F250" s="1232"/>
      <c r="G250" s="1277"/>
      <c r="H250" s="1233"/>
      <c r="I250" s="1234">
        <f>SUM(J250:N250)</f>
        <v>38100</v>
      </c>
      <c r="J250" s="1235"/>
      <c r="K250" s="1235"/>
      <c r="L250" s="1235">
        <v>38100</v>
      </c>
      <c r="M250" s="1235"/>
      <c r="N250" s="1236"/>
    </row>
    <row r="251" spans="1:16" s="1237" customFormat="1" ht="18" customHeight="1" x14ac:dyDescent="0.3">
      <c r="A251" s="699">
        <v>244</v>
      </c>
      <c r="B251" s="1283"/>
      <c r="C251" s="1388"/>
      <c r="D251" s="690" t="s">
        <v>1307</v>
      </c>
      <c r="E251" s="1232"/>
      <c r="F251" s="1232"/>
      <c r="G251" s="1277"/>
      <c r="H251" s="1233"/>
      <c r="I251" s="665">
        <f>SUM(J251:N251)</f>
        <v>38100</v>
      </c>
      <c r="J251" s="1235"/>
      <c r="K251" s="1235"/>
      <c r="L251" s="527">
        <v>38100</v>
      </c>
      <c r="M251" s="1235"/>
      <c r="N251" s="1236"/>
    </row>
    <row r="252" spans="1:16" s="10" customFormat="1" ht="18" customHeight="1" x14ac:dyDescent="0.3">
      <c r="A252" s="699">
        <v>245</v>
      </c>
      <c r="B252" s="1284"/>
      <c r="C252" s="1389"/>
      <c r="D252" s="1150" t="s">
        <v>834</v>
      </c>
      <c r="E252" s="164"/>
      <c r="F252" s="164"/>
      <c r="G252" s="1277"/>
      <c r="H252" s="702"/>
      <c r="I252" s="158">
        <f>SUM(J252:Q252)</f>
        <v>0</v>
      </c>
      <c r="J252" s="168"/>
      <c r="K252" s="168"/>
      <c r="L252" s="168"/>
      <c r="M252" s="168"/>
      <c r="N252" s="169"/>
    </row>
    <row r="253" spans="1:16" s="1699" customFormat="1" ht="18" customHeight="1" x14ac:dyDescent="0.3">
      <c r="A253" s="699">
        <v>246</v>
      </c>
      <c r="B253" s="1295"/>
      <c r="C253" s="1390"/>
      <c r="D253" s="690" t="s">
        <v>1391</v>
      </c>
      <c r="E253" s="1305"/>
      <c r="F253" s="1305"/>
      <c r="G253" s="1306"/>
      <c r="H253" s="702"/>
      <c r="I253" s="665">
        <f>SUM(J253:N253)</f>
        <v>38100</v>
      </c>
      <c r="J253" s="527"/>
      <c r="K253" s="527"/>
      <c r="L253" s="527">
        <f>SUM(L251:L252)</f>
        <v>38100</v>
      </c>
      <c r="M253" s="527"/>
      <c r="N253" s="520"/>
    </row>
    <row r="254" spans="1:16" s="110" customFormat="1" ht="22.5" customHeight="1" x14ac:dyDescent="0.35">
      <c r="A254" s="699">
        <v>247</v>
      </c>
      <c r="B254" s="1293"/>
      <c r="C254" s="1387">
        <v>32</v>
      </c>
      <c r="D254" s="691" t="s">
        <v>74</v>
      </c>
      <c r="E254" s="164">
        <v>3562</v>
      </c>
      <c r="F254" s="164">
        <v>4000</v>
      </c>
      <c r="G254" s="1277">
        <v>4582</v>
      </c>
      <c r="H254" s="702" t="s">
        <v>25</v>
      </c>
      <c r="I254" s="668"/>
      <c r="J254" s="526"/>
      <c r="K254" s="526"/>
      <c r="L254" s="526"/>
      <c r="M254" s="526"/>
      <c r="N254" s="692"/>
      <c r="O254" s="1699"/>
      <c r="P254" s="1699"/>
    </row>
    <row r="255" spans="1:16" s="1237" customFormat="1" ht="18" customHeight="1" x14ac:dyDescent="0.3">
      <c r="A255" s="699">
        <v>248</v>
      </c>
      <c r="B255" s="1283"/>
      <c r="C255" s="1388"/>
      <c r="D255" s="1231" t="s">
        <v>334</v>
      </c>
      <c r="E255" s="1232"/>
      <c r="F255" s="1232"/>
      <c r="G255" s="1277"/>
      <c r="H255" s="1233"/>
      <c r="I255" s="1234">
        <f>SUM(J255:N255)</f>
        <v>4000</v>
      </c>
      <c r="J255" s="1235"/>
      <c r="K255" s="1235"/>
      <c r="L255" s="1235">
        <v>4000</v>
      </c>
      <c r="M255" s="1235"/>
      <c r="N255" s="1236"/>
    </row>
    <row r="256" spans="1:16" s="1237" customFormat="1" ht="18" customHeight="1" x14ac:dyDescent="0.3">
      <c r="A256" s="699">
        <v>249</v>
      </c>
      <c r="B256" s="1283"/>
      <c r="C256" s="1388"/>
      <c r="D256" s="690" t="s">
        <v>1307</v>
      </c>
      <c r="E256" s="1232"/>
      <c r="F256" s="1232"/>
      <c r="G256" s="1277"/>
      <c r="H256" s="1233"/>
      <c r="I256" s="665">
        <f>SUM(J256:N256)</f>
        <v>4367</v>
      </c>
      <c r="J256" s="527">
        <v>63</v>
      </c>
      <c r="K256" s="527">
        <v>30</v>
      </c>
      <c r="L256" s="527">
        <v>4274</v>
      </c>
      <c r="M256" s="1235"/>
      <c r="N256" s="1236"/>
    </row>
    <row r="257" spans="1:16" s="10" customFormat="1" ht="18" customHeight="1" x14ac:dyDescent="0.3">
      <c r="A257" s="699">
        <v>250</v>
      </c>
      <c r="B257" s="1284"/>
      <c r="C257" s="1389"/>
      <c r="D257" s="1150" t="s">
        <v>834</v>
      </c>
      <c r="E257" s="164"/>
      <c r="F257" s="164"/>
      <c r="G257" s="1277"/>
      <c r="H257" s="702"/>
      <c r="I257" s="158">
        <f>SUM(J257:Q257)</f>
        <v>0</v>
      </c>
      <c r="J257" s="183">
        <v>-11</v>
      </c>
      <c r="K257" s="183">
        <v>-4</v>
      </c>
      <c r="L257" s="183">
        <v>15</v>
      </c>
      <c r="M257" s="168"/>
      <c r="N257" s="169"/>
    </row>
    <row r="258" spans="1:16" s="1699" customFormat="1" ht="18" customHeight="1" x14ac:dyDescent="0.3">
      <c r="A258" s="699">
        <v>251</v>
      </c>
      <c r="B258" s="1295"/>
      <c r="C258" s="1390"/>
      <c r="D258" s="690" t="s">
        <v>1391</v>
      </c>
      <c r="E258" s="1305"/>
      <c r="F258" s="1305"/>
      <c r="G258" s="1306"/>
      <c r="H258" s="702"/>
      <c r="I258" s="665">
        <f>SUM(J258:N258)</f>
        <v>4367</v>
      </c>
      <c r="J258" s="527">
        <f>SUM(J256:J257)</f>
        <v>52</v>
      </c>
      <c r="K258" s="527">
        <f>SUM(K256:K257)</f>
        <v>26</v>
      </c>
      <c r="L258" s="527">
        <f>SUM(L256:L257)</f>
        <v>4289</v>
      </c>
      <c r="M258" s="527"/>
      <c r="N258" s="520"/>
    </row>
    <row r="259" spans="1:16" s="110" customFormat="1" ht="22.5" customHeight="1" x14ac:dyDescent="0.35">
      <c r="A259" s="699">
        <v>252</v>
      </c>
      <c r="B259" s="1293"/>
      <c r="C259" s="1387">
        <v>33</v>
      </c>
      <c r="D259" s="691" t="s">
        <v>75</v>
      </c>
      <c r="E259" s="164">
        <f>SUM(E264,E269,E274,E279)</f>
        <v>6819</v>
      </c>
      <c r="F259" s="164">
        <f t="shared" ref="F259" si="12">SUM(F264,F269,F274,F279)</f>
        <v>10100</v>
      </c>
      <c r="G259" s="1277">
        <v>6198</v>
      </c>
      <c r="H259" s="702" t="s">
        <v>25</v>
      </c>
      <c r="I259" s="668"/>
      <c r="J259" s="526"/>
      <c r="K259" s="526"/>
      <c r="L259" s="526"/>
      <c r="M259" s="526"/>
      <c r="N259" s="692"/>
      <c r="O259" s="1699"/>
      <c r="P259" s="1699"/>
    </row>
    <row r="260" spans="1:16" s="1237" customFormat="1" ht="18" customHeight="1" x14ac:dyDescent="0.3">
      <c r="A260" s="699">
        <v>253</v>
      </c>
      <c r="B260" s="1283"/>
      <c r="C260" s="1388"/>
      <c r="D260" s="1231" t="s">
        <v>334</v>
      </c>
      <c r="E260" s="1232"/>
      <c r="F260" s="1232"/>
      <c r="G260" s="1277"/>
      <c r="H260" s="1233"/>
      <c r="I260" s="1234">
        <f>SUM(J260:N260)</f>
        <v>11100</v>
      </c>
      <c r="J260" s="1254">
        <f>SUM(J265,J270,J275,J280)</f>
        <v>0</v>
      </c>
      <c r="K260" s="1254">
        <f t="shared" ref="K260:N260" si="13">SUM(K265,K270,K275,K280)</f>
        <v>0</v>
      </c>
      <c r="L260" s="1254">
        <f t="shared" si="13"/>
        <v>500</v>
      </c>
      <c r="M260" s="1254">
        <f t="shared" si="13"/>
        <v>0</v>
      </c>
      <c r="N260" s="1239">
        <f t="shared" si="13"/>
        <v>10600</v>
      </c>
    </row>
    <row r="261" spans="1:16" s="1237" customFormat="1" ht="18" customHeight="1" x14ac:dyDescent="0.3">
      <c r="A261" s="699">
        <v>254</v>
      </c>
      <c r="B261" s="1283"/>
      <c r="C261" s="1388"/>
      <c r="D261" s="690" t="s">
        <v>1307</v>
      </c>
      <c r="E261" s="1232"/>
      <c r="F261" s="1232"/>
      <c r="G261" s="1277"/>
      <c r="H261" s="1233"/>
      <c r="I261" s="665">
        <f>SUM(J261:N261)</f>
        <v>6303</v>
      </c>
      <c r="J261" s="523">
        <f>J266+J271+J276+J281</f>
        <v>0</v>
      </c>
      <c r="K261" s="523">
        <f t="shared" ref="K261:N261" si="14">K266+K271+K276+K281</f>
        <v>0</v>
      </c>
      <c r="L261" s="523">
        <f t="shared" si="14"/>
        <v>500</v>
      </c>
      <c r="M261" s="523">
        <f t="shared" si="14"/>
        <v>0</v>
      </c>
      <c r="N261" s="694">
        <f t="shared" si="14"/>
        <v>5803</v>
      </c>
    </row>
    <row r="262" spans="1:16" s="10" customFormat="1" ht="18" customHeight="1" x14ac:dyDescent="0.3">
      <c r="A262" s="699">
        <v>255</v>
      </c>
      <c r="B262" s="1284"/>
      <c r="C262" s="1389"/>
      <c r="D262" s="1150" t="s">
        <v>733</v>
      </c>
      <c r="E262" s="164"/>
      <c r="F262" s="164"/>
      <c r="G262" s="1277"/>
      <c r="H262" s="702"/>
      <c r="I262" s="158">
        <f>SUM(J262:Q262)</f>
        <v>0</v>
      </c>
      <c r="J262" s="174">
        <f>J267+J272+J277+J282</f>
        <v>0</v>
      </c>
      <c r="K262" s="174">
        <f t="shared" ref="K262:N262" si="15">K267+K272+K277+K282</f>
        <v>0</v>
      </c>
      <c r="L262" s="174">
        <f t="shared" si="15"/>
        <v>0</v>
      </c>
      <c r="M262" s="174">
        <f t="shared" si="15"/>
        <v>0</v>
      </c>
      <c r="N262" s="175">
        <f t="shared" si="15"/>
        <v>0</v>
      </c>
    </row>
    <row r="263" spans="1:16" s="1699" customFormat="1" ht="18" customHeight="1" x14ac:dyDescent="0.3">
      <c r="A263" s="699">
        <v>256</v>
      </c>
      <c r="B263" s="1295"/>
      <c r="C263" s="1390"/>
      <c r="D263" s="690" t="s">
        <v>1391</v>
      </c>
      <c r="E263" s="1305"/>
      <c r="F263" s="1305"/>
      <c r="G263" s="1306"/>
      <c r="H263" s="702"/>
      <c r="I263" s="665">
        <f>SUM(J263:N263)</f>
        <v>6303</v>
      </c>
      <c r="J263" s="527">
        <f>SUM(J261:J262)</f>
        <v>0</v>
      </c>
      <c r="K263" s="527">
        <f t="shared" ref="K263:N263" si="16">SUM(K261:K262)</f>
        <v>0</v>
      </c>
      <c r="L263" s="527">
        <f t="shared" si="16"/>
        <v>500</v>
      </c>
      <c r="M263" s="527">
        <f t="shared" si="16"/>
        <v>0</v>
      </c>
      <c r="N263" s="520">
        <f t="shared" si="16"/>
        <v>5803</v>
      </c>
    </row>
    <row r="264" spans="1:16" s="710" customFormat="1" ht="18" customHeight="1" x14ac:dyDescent="0.3">
      <c r="A264" s="699">
        <v>257</v>
      </c>
      <c r="B264" s="1285"/>
      <c r="C264" s="1393"/>
      <c r="D264" s="521" t="s">
        <v>76</v>
      </c>
      <c r="E264" s="164"/>
      <c r="F264" s="173">
        <v>4000</v>
      </c>
      <c r="G264" s="1264"/>
      <c r="H264" s="703"/>
      <c r="I264" s="667"/>
      <c r="J264" s="174"/>
      <c r="K264" s="174"/>
      <c r="L264" s="174"/>
      <c r="M264" s="174"/>
      <c r="N264" s="184"/>
      <c r="P264" s="711"/>
    </row>
    <row r="265" spans="1:16" s="1259" customFormat="1" ht="18" customHeight="1" x14ac:dyDescent="0.3">
      <c r="A265" s="699">
        <v>258</v>
      </c>
      <c r="B265" s="1286"/>
      <c r="C265" s="1392"/>
      <c r="D265" s="1240" t="s">
        <v>334</v>
      </c>
      <c r="E265" s="1232"/>
      <c r="F265" s="1241"/>
      <c r="G265" s="1264"/>
      <c r="H265" s="1242"/>
      <c r="I265" s="1243">
        <f>SUM(J265:N265)</f>
        <v>5000</v>
      </c>
      <c r="J265" s="1244"/>
      <c r="K265" s="1244"/>
      <c r="L265" s="1244"/>
      <c r="M265" s="1244"/>
      <c r="N265" s="1245">
        <v>5000</v>
      </c>
      <c r="P265" s="1260"/>
    </row>
    <row r="266" spans="1:16" s="1259" customFormat="1" ht="18" customHeight="1" x14ac:dyDescent="0.3">
      <c r="A266" s="699">
        <v>259</v>
      </c>
      <c r="B266" s="1286"/>
      <c r="C266" s="1392"/>
      <c r="D266" s="522" t="s">
        <v>1307</v>
      </c>
      <c r="E266" s="1232"/>
      <c r="F266" s="1241"/>
      <c r="G266" s="1264"/>
      <c r="H266" s="1242"/>
      <c r="I266" s="665">
        <f>SUM(J266:N266)</f>
        <v>0</v>
      </c>
      <c r="J266" s="1244"/>
      <c r="K266" s="1244"/>
      <c r="L266" s="1244"/>
      <c r="M266" s="1244"/>
      <c r="N266" s="184">
        <v>0</v>
      </c>
      <c r="P266" s="1260"/>
    </row>
    <row r="267" spans="1:16" s="710" customFormat="1" ht="18" customHeight="1" x14ac:dyDescent="0.3">
      <c r="A267" s="699">
        <v>260</v>
      </c>
      <c r="B267" s="1285"/>
      <c r="C267" s="1393"/>
      <c r="D267" s="522" t="s">
        <v>834</v>
      </c>
      <c r="E267" s="164"/>
      <c r="F267" s="173"/>
      <c r="G267" s="1264"/>
      <c r="H267" s="703"/>
      <c r="I267" s="158">
        <f>SUM(J267:Q267)</f>
        <v>0</v>
      </c>
      <c r="J267" s="183"/>
      <c r="K267" s="183"/>
      <c r="L267" s="183"/>
      <c r="M267" s="183"/>
      <c r="N267" s="184"/>
      <c r="P267" s="711"/>
    </row>
    <row r="268" spans="1:16" s="710" customFormat="1" ht="18" customHeight="1" x14ac:dyDescent="0.3">
      <c r="A268" s="699">
        <v>261</v>
      </c>
      <c r="B268" s="1285"/>
      <c r="C268" s="1393"/>
      <c r="D268" s="522" t="s">
        <v>1391</v>
      </c>
      <c r="E268" s="164"/>
      <c r="F268" s="173"/>
      <c r="G268" s="1264"/>
      <c r="H268" s="703"/>
      <c r="I268" s="665">
        <f>SUM(J268:N268)</f>
        <v>0</v>
      </c>
      <c r="J268" s="183"/>
      <c r="K268" s="183"/>
      <c r="L268" s="183"/>
      <c r="M268" s="183"/>
      <c r="N268" s="693">
        <f>SUM(N266:N267)</f>
        <v>0</v>
      </c>
      <c r="P268" s="711"/>
    </row>
    <row r="269" spans="1:16" s="710" customFormat="1" ht="18" customHeight="1" x14ac:dyDescent="0.3">
      <c r="A269" s="699">
        <v>262</v>
      </c>
      <c r="B269" s="1285"/>
      <c r="C269" s="1393"/>
      <c r="D269" s="521" t="s">
        <v>77</v>
      </c>
      <c r="E269" s="173">
        <v>5719</v>
      </c>
      <c r="F269" s="173">
        <v>5000</v>
      </c>
      <c r="G269" s="1264">
        <v>5098</v>
      </c>
      <c r="H269" s="703"/>
      <c r="I269" s="668"/>
      <c r="J269" s="174"/>
      <c r="K269" s="174"/>
      <c r="L269" s="174"/>
      <c r="M269" s="174"/>
      <c r="N269" s="175"/>
      <c r="P269" s="711"/>
    </row>
    <row r="270" spans="1:16" s="1259" customFormat="1" ht="18" customHeight="1" x14ac:dyDescent="0.3">
      <c r="A270" s="699">
        <v>263</v>
      </c>
      <c r="B270" s="1286"/>
      <c r="C270" s="1392"/>
      <c r="D270" s="1240" t="s">
        <v>334</v>
      </c>
      <c r="E270" s="1241"/>
      <c r="F270" s="1241"/>
      <c r="G270" s="1264"/>
      <c r="H270" s="1242"/>
      <c r="I270" s="1243">
        <f>SUM(J270:N270)</f>
        <v>5000</v>
      </c>
      <c r="J270" s="1244"/>
      <c r="K270" s="1244"/>
      <c r="L270" s="1244"/>
      <c r="M270" s="1244"/>
      <c r="N270" s="1245">
        <v>5000</v>
      </c>
      <c r="P270" s="1260"/>
    </row>
    <row r="271" spans="1:16" s="1259" customFormat="1" ht="18" customHeight="1" x14ac:dyDescent="0.3">
      <c r="A271" s="699">
        <v>264</v>
      </c>
      <c r="B271" s="1286"/>
      <c r="C271" s="1392"/>
      <c r="D271" s="522" t="s">
        <v>1307</v>
      </c>
      <c r="E271" s="1241"/>
      <c r="F271" s="1241"/>
      <c r="G271" s="1264"/>
      <c r="H271" s="1242"/>
      <c r="I271" s="665">
        <f>SUM(J271:N271)</f>
        <v>5203</v>
      </c>
      <c r="J271" s="1244"/>
      <c r="K271" s="1244"/>
      <c r="L271" s="1244"/>
      <c r="M271" s="1244"/>
      <c r="N271" s="184">
        <v>5203</v>
      </c>
      <c r="P271" s="1260"/>
    </row>
    <row r="272" spans="1:16" s="710" customFormat="1" ht="18" customHeight="1" x14ac:dyDescent="0.3">
      <c r="A272" s="699">
        <v>265</v>
      </c>
      <c r="B272" s="1285"/>
      <c r="C272" s="1393"/>
      <c r="D272" s="522" t="s">
        <v>834</v>
      </c>
      <c r="E272" s="173"/>
      <c r="F272" s="173"/>
      <c r="G272" s="1264"/>
      <c r="H272" s="703"/>
      <c r="I272" s="158">
        <f>SUM(J272:Q272)</f>
        <v>0</v>
      </c>
      <c r="J272" s="183"/>
      <c r="K272" s="183"/>
      <c r="L272" s="183"/>
      <c r="M272" s="183"/>
      <c r="N272" s="184"/>
      <c r="P272" s="711"/>
    </row>
    <row r="273" spans="1:16" s="710" customFormat="1" ht="18" customHeight="1" x14ac:dyDescent="0.3">
      <c r="A273" s="699">
        <v>266</v>
      </c>
      <c r="B273" s="1285"/>
      <c r="C273" s="1393"/>
      <c r="D273" s="522" t="s">
        <v>1391</v>
      </c>
      <c r="E273" s="173"/>
      <c r="F273" s="173"/>
      <c r="G273" s="1264"/>
      <c r="H273" s="703"/>
      <c r="I273" s="665">
        <f>SUM(J273:N273)</f>
        <v>5203</v>
      </c>
      <c r="J273" s="183"/>
      <c r="K273" s="183"/>
      <c r="L273" s="183"/>
      <c r="M273" s="183"/>
      <c r="N273" s="693">
        <f>SUM(N271:N272)</f>
        <v>5203</v>
      </c>
      <c r="P273" s="711"/>
    </row>
    <row r="274" spans="1:16" s="710" customFormat="1" ht="18" customHeight="1" x14ac:dyDescent="0.3">
      <c r="A274" s="699">
        <v>267</v>
      </c>
      <c r="B274" s="1285"/>
      <c r="C274" s="1393"/>
      <c r="D274" s="521" t="s">
        <v>417</v>
      </c>
      <c r="E274" s="173">
        <v>500</v>
      </c>
      <c r="F274" s="173">
        <v>500</v>
      </c>
      <c r="G274" s="1264">
        <v>500</v>
      </c>
      <c r="H274" s="703"/>
      <c r="I274" s="668"/>
      <c r="J274" s="174"/>
      <c r="K274" s="174"/>
      <c r="L274" s="174"/>
      <c r="M274" s="174"/>
      <c r="N274" s="175"/>
      <c r="P274" s="711"/>
    </row>
    <row r="275" spans="1:16" s="1259" customFormat="1" ht="18" customHeight="1" x14ac:dyDescent="0.3">
      <c r="A275" s="699">
        <v>268</v>
      </c>
      <c r="B275" s="1286"/>
      <c r="C275" s="1392"/>
      <c r="D275" s="1240" t="s">
        <v>334</v>
      </c>
      <c r="E275" s="1241"/>
      <c r="F275" s="1241"/>
      <c r="G275" s="1264"/>
      <c r="H275" s="1242"/>
      <c r="I275" s="1243">
        <f>SUM(J275:N275)</f>
        <v>500</v>
      </c>
      <c r="J275" s="1244"/>
      <c r="K275" s="1244"/>
      <c r="L275" s="1244">
        <v>500</v>
      </c>
      <c r="M275" s="1244"/>
      <c r="N275" s="1245"/>
      <c r="P275" s="1260"/>
    </row>
    <row r="276" spans="1:16" s="1259" customFormat="1" ht="18" customHeight="1" x14ac:dyDescent="0.3">
      <c r="A276" s="699">
        <v>269</v>
      </c>
      <c r="B276" s="1286"/>
      <c r="C276" s="1392"/>
      <c r="D276" s="522" t="s">
        <v>1307</v>
      </c>
      <c r="E276" s="1241"/>
      <c r="F276" s="1241"/>
      <c r="G276" s="1264"/>
      <c r="H276" s="1242"/>
      <c r="I276" s="665">
        <f>SUM(J276:N276)</f>
        <v>500</v>
      </c>
      <c r="J276" s="1244"/>
      <c r="K276" s="1244"/>
      <c r="L276" s="183">
        <v>500</v>
      </c>
      <c r="M276" s="1244"/>
      <c r="N276" s="1245"/>
      <c r="P276" s="1260"/>
    </row>
    <row r="277" spans="1:16" s="710" customFormat="1" ht="18" customHeight="1" x14ac:dyDescent="0.3">
      <c r="A277" s="699">
        <v>270</v>
      </c>
      <c r="B277" s="1285"/>
      <c r="C277" s="1393"/>
      <c r="D277" s="522" t="s">
        <v>733</v>
      </c>
      <c r="E277" s="173"/>
      <c r="F277" s="173"/>
      <c r="G277" s="1264"/>
      <c r="H277" s="703"/>
      <c r="I277" s="158">
        <f>SUM(J277:Q277)</f>
        <v>0</v>
      </c>
      <c r="J277" s="183"/>
      <c r="K277" s="183"/>
      <c r="L277" s="183"/>
      <c r="M277" s="183"/>
      <c r="N277" s="184"/>
      <c r="P277" s="711"/>
    </row>
    <row r="278" spans="1:16" s="710" customFormat="1" ht="18" customHeight="1" x14ac:dyDescent="0.3">
      <c r="A278" s="699">
        <v>271</v>
      </c>
      <c r="B278" s="1285"/>
      <c r="C278" s="1393"/>
      <c r="D278" s="522" t="s">
        <v>1391</v>
      </c>
      <c r="E278" s="173"/>
      <c r="F278" s="173"/>
      <c r="G278" s="1264"/>
      <c r="H278" s="703"/>
      <c r="I278" s="665">
        <f>SUM(J278:N278)</f>
        <v>500</v>
      </c>
      <c r="J278" s="183"/>
      <c r="K278" s="183"/>
      <c r="L278" s="183">
        <f>SUM(L276:L277)</f>
        <v>500</v>
      </c>
      <c r="M278" s="183"/>
      <c r="N278" s="184"/>
      <c r="P278" s="711"/>
    </row>
    <row r="279" spans="1:16" s="710" customFormat="1" ht="18" customHeight="1" x14ac:dyDescent="0.3">
      <c r="A279" s="699">
        <v>272</v>
      </c>
      <c r="B279" s="1285"/>
      <c r="C279" s="1393"/>
      <c r="D279" s="521" t="s">
        <v>78</v>
      </c>
      <c r="E279" s="173">
        <v>600</v>
      </c>
      <c r="F279" s="173">
        <v>600</v>
      </c>
      <c r="G279" s="1264">
        <v>600</v>
      </c>
      <c r="H279" s="703"/>
      <c r="I279" s="668"/>
      <c r="J279" s="174"/>
      <c r="K279" s="174"/>
      <c r="L279" s="174"/>
      <c r="M279" s="174"/>
      <c r="N279" s="175"/>
      <c r="P279" s="711"/>
    </row>
    <row r="280" spans="1:16" s="1259" customFormat="1" ht="18" customHeight="1" x14ac:dyDescent="0.3">
      <c r="A280" s="699">
        <v>273</v>
      </c>
      <c r="B280" s="1286"/>
      <c r="C280" s="1392"/>
      <c r="D280" s="1240" t="s">
        <v>334</v>
      </c>
      <c r="E280" s="1232"/>
      <c r="F280" s="1241"/>
      <c r="G280" s="1264"/>
      <c r="H280" s="1242"/>
      <c r="I280" s="1243">
        <f>SUM(J280:N280)</f>
        <v>600</v>
      </c>
      <c r="J280" s="1244"/>
      <c r="K280" s="1244"/>
      <c r="L280" s="1244"/>
      <c r="M280" s="1244"/>
      <c r="N280" s="1245">
        <v>600</v>
      </c>
      <c r="P280" s="1260"/>
    </row>
    <row r="281" spans="1:16" s="1259" customFormat="1" ht="18" customHeight="1" x14ac:dyDescent="0.3">
      <c r="A281" s="699">
        <v>274</v>
      </c>
      <c r="B281" s="1286"/>
      <c r="C281" s="1392"/>
      <c r="D281" s="522" t="s">
        <v>1307</v>
      </c>
      <c r="E281" s="1232"/>
      <c r="F281" s="1241"/>
      <c r="G281" s="1264"/>
      <c r="H281" s="1242"/>
      <c r="I281" s="665">
        <f>SUM(J281:N281)</f>
        <v>600</v>
      </c>
      <c r="J281" s="1244"/>
      <c r="K281" s="1244"/>
      <c r="L281" s="1244"/>
      <c r="M281" s="1244"/>
      <c r="N281" s="184">
        <v>600</v>
      </c>
      <c r="P281" s="1260"/>
    </row>
    <row r="282" spans="1:16" s="710" customFormat="1" ht="18" customHeight="1" x14ac:dyDescent="0.3">
      <c r="A282" s="699">
        <v>275</v>
      </c>
      <c r="B282" s="1285"/>
      <c r="C282" s="1393"/>
      <c r="D282" s="522" t="s">
        <v>733</v>
      </c>
      <c r="E282" s="164"/>
      <c r="F282" s="173"/>
      <c r="G282" s="1264"/>
      <c r="H282" s="703"/>
      <c r="I282" s="158">
        <f>SUM(J282:Q282)</f>
        <v>0</v>
      </c>
      <c r="J282" s="183"/>
      <c r="K282" s="183"/>
      <c r="L282" s="183"/>
      <c r="M282" s="183"/>
      <c r="N282" s="184"/>
      <c r="P282" s="711"/>
    </row>
    <row r="283" spans="1:16" s="710" customFormat="1" ht="18" customHeight="1" x14ac:dyDescent="0.3">
      <c r="A283" s="699">
        <v>276</v>
      </c>
      <c r="B283" s="1285"/>
      <c r="C283" s="1393"/>
      <c r="D283" s="522" t="s">
        <v>1391</v>
      </c>
      <c r="E283" s="164"/>
      <c r="F283" s="173"/>
      <c r="G283" s="1264"/>
      <c r="H283" s="703"/>
      <c r="I283" s="665">
        <f>SUM(J283:N283)</f>
        <v>600</v>
      </c>
      <c r="J283" s="183"/>
      <c r="K283" s="183"/>
      <c r="L283" s="183"/>
      <c r="M283" s="183"/>
      <c r="N283" s="184">
        <f>SUM(N281:N282)</f>
        <v>600</v>
      </c>
      <c r="P283" s="711"/>
    </row>
    <row r="284" spans="1:16" s="110" customFormat="1" ht="22.5" customHeight="1" x14ac:dyDescent="0.35">
      <c r="A284" s="699">
        <v>277</v>
      </c>
      <c r="B284" s="1293"/>
      <c r="C284" s="1387">
        <v>34</v>
      </c>
      <c r="D284" s="691" t="s">
        <v>418</v>
      </c>
      <c r="E284" s="164">
        <f>SUM(E289,E294,E299,E304)</f>
        <v>17000</v>
      </c>
      <c r="F284" s="164">
        <f t="shared" ref="F284:G284" si="17">SUM(F289,F294,F299,F304)</f>
        <v>23600</v>
      </c>
      <c r="G284" s="1277">
        <f t="shared" si="17"/>
        <v>15620</v>
      </c>
      <c r="H284" s="702" t="s">
        <v>25</v>
      </c>
      <c r="I284" s="668"/>
      <c r="J284" s="526"/>
      <c r="K284" s="526"/>
      <c r="L284" s="526"/>
      <c r="M284" s="526"/>
      <c r="N284" s="692"/>
      <c r="O284" s="1699"/>
      <c r="P284" s="1699"/>
    </row>
    <row r="285" spans="1:16" s="1237" customFormat="1" ht="18" customHeight="1" x14ac:dyDescent="0.3">
      <c r="A285" s="699">
        <v>278</v>
      </c>
      <c r="B285" s="1283"/>
      <c r="C285" s="1388"/>
      <c r="D285" s="1231" t="s">
        <v>334</v>
      </c>
      <c r="E285" s="1232"/>
      <c r="F285" s="1232"/>
      <c r="G285" s="1277"/>
      <c r="H285" s="1233"/>
      <c r="I285" s="1234">
        <f>SUM(J285:N285)</f>
        <v>23600</v>
      </c>
      <c r="J285" s="1254">
        <f>SUM(J290,J295,J300,J305)</f>
        <v>0</v>
      </c>
      <c r="K285" s="1254">
        <f t="shared" ref="K285:N285" si="18">SUM(K290,K295,K300,K305)</f>
        <v>0</v>
      </c>
      <c r="L285" s="1254">
        <f t="shared" si="18"/>
        <v>8000</v>
      </c>
      <c r="M285" s="1254">
        <f t="shared" si="18"/>
        <v>0</v>
      </c>
      <c r="N285" s="1239">
        <f t="shared" si="18"/>
        <v>15600</v>
      </c>
    </row>
    <row r="286" spans="1:16" s="1237" customFormat="1" ht="18" customHeight="1" x14ac:dyDescent="0.3">
      <c r="A286" s="699">
        <v>279</v>
      </c>
      <c r="B286" s="1283"/>
      <c r="C286" s="1388"/>
      <c r="D286" s="690" t="s">
        <v>1307</v>
      </c>
      <c r="E286" s="1232"/>
      <c r="F286" s="1232"/>
      <c r="G286" s="1277"/>
      <c r="H286" s="1233"/>
      <c r="I286" s="665">
        <f>SUM(J286:N286)</f>
        <v>14700</v>
      </c>
      <c r="J286" s="523">
        <f>J291+J296+J301+J306</f>
        <v>0</v>
      </c>
      <c r="K286" s="523">
        <f t="shared" ref="K286:N286" si="19">K291+K296+K301+K306</f>
        <v>0</v>
      </c>
      <c r="L286" s="523">
        <f t="shared" si="19"/>
        <v>8000</v>
      </c>
      <c r="M286" s="523">
        <f t="shared" si="19"/>
        <v>0</v>
      </c>
      <c r="N286" s="694">
        <f t="shared" si="19"/>
        <v>6700</v>
      </c>
    </row>
    <row r="287" spans="1:16" s="10" customFormat="1" ht="18" customHeight="1" x14ac:dyDescent="0.3">
      <c r="A287" s="699">
        <v>280</v>
      </c>
      <c r="B287" s="1284"/>
      <c r="C287" s="1389"/>
      <c r="D287" s="1150" t="s">
        <v>733</v>
      </c>
      <c r="E287" s="164"/>
      <c r="F287" s="164"/>
      <c r="G287" s="1277"/>
      <c r="H287" s="702"/>
      <c r="I287" s="158">
        <f>SUM(J287:Q287)</f>
        <v>57</v>
      </c>
      <c r="J287" s="174">
        <f>J292+J297+J302++J307</f>
        <v>665</v>
      </c>
      <c r="K287" s="174">
        <f t="shared" ref="K287:N287" si="20">K292+K297+K302++K307</f>
        <v>279</v>
      </c>
      <c r="L287" s="174">
        <f t="shared" si="20"/>
        <v>-887</v>
      </c>
      <c r="M287" s="174">
        <f t="shared" si="20"/>
        <v>0</v>
      </c>
      <c r="N287" s="175">
        <f t="shared" si="20"/>
        <v>0</v>
      </c>
    </row>
    <row r="288" spans="1:16" s="1699" customFormat="1" ht="18" customHeight="1" x14ac:dyDescent="0.3">
      <c r="A288" s="699">
        <v>281</v>
      </c>
      <c r="B288" s="1295"/>
      <c r="C288" s="1390"/>
      <c r="D288" s="690" t="s">
        <v>1391</v>
      </c>
      <c r="E288" s="1305"/>
      <c r="F288" s="1305"/>
      <c r="G288" s="1306"/>
      <c r="H288" s="702"/>
      <c r="I288" s="665">
        <f>SUM(J288:N288)</f>
        <v>14757</v>
      </c>
      <c r="J288" s="523">
        <f>SUM(J286:J287)</f>
        <v>665</v>
      </c>
      <c r="K288" s="523">
        <f t="shared" ref="K288:N288" si="21">SUM(K286:K287)</f>
        <v>279</v>
      </c>
      <c r="L288" s="523">
        <f t="shared" si="21"/>
        <v>7113</v>
      </c>
      <c r="M288" s="523">
        <f t="shared" si="21"/>
        <v>0</v>
      </c>
      <c r="N288" s="694">
        <f t="shared" si="21"/>
        <v>6700</v>
      </c>
    </row>
    <row r="289" spans="1:16" s="710" customFormat="1" ht="18" customHeight="1" x14ac:dyDescent="0.3">
      <c r="A289" s="699">
        <v>282</v>
      </c>
      <c r="B289" s="1285"/>
      <c r="C289" s="1393"/>
      <c r="D289" s="521" t="s">
        <v>302</v>
      </c>
      <c r="E289" s="173">
        <v>4000</v>
      </c>
      <c r="F289" s="173">
        <v>4000</v>
      </c>
      <c r="G289" s="1264">
        <v>4000</v>
      </c>
      <c r="H289" s="703"/>
      <c r="I289" s="667"/>
      <c r="J289" s="183"/>
      <c r="K289" s="183"/>
      <c r="L289" s="183"/>
      <c r="M289" s="183"/>
      <c r="N289" s="184"/>
      <c r="P289" s="711"/>
    </row>
    <row r="290" spans="1:16" s="1259" customFormat="1" ht="18" customHeight="1" x14ac:dyDescent="0.3">
      <c r="A290" s="699">
        <v>283</v>
      </c>
      <c r="B290" s="1286"/>
      <c r="C290" s="1392"/>
      <c r="D290" s="1240" t="s">
        <v>334</v>
      </c>
      <c r="E290" s="1241"/>
      <c r="F290" s="1241"/>
      <c r="G290" s="1264"/>
      <c r="H290" s="1242"/>
      <c r="I290" s="1243">
        <f>SUM(J290:N290)</f>
        <v>4000</v>
      </c>
      <c r="J290" s="1244"/>
      <c r="K290" s="1244"/>
      <c r="L290" s="1244">
        <v>4000</v>
      </c>
      <c r="M290" s="1244"/>
      <c r="N290" s="1245"/>
      <c r="P290" s="1260"/>
    </row>
    <row r="291" spans="1:16" s="1259" customFormat="1" ht="18" customHeight="1" x14ac:dyDescent="0.3">
      <c r="A291" s="699">
        <v>284</v>
      </c>
      <c r="B291" s="1286"/>
      <c r="C291" s="1392"/>
      <c r="D291" s="522" t="s">
        <v>1307</v>
      </c>
      <c r="E291" s="1241"/>
      <c r="F291" s="1241"/>
      <c r="G291" s="1264"/>
      <c r="H291" s="1242"/>
      <c r="I291" s="665">
        <f>SUM(J291:N291)</f>
        <v>4000</v>
      </c>
      <c r="J291" s="1244"/>
      <c r="K291" s="1244"/>
      <c r="L291" s="183">
        <v>4000</v>
      </c>
      <c r="M291" s="1244"/>
      <c r="N291" s="1245"/>
      <c r="P291" s="1260"/>
    </row>
    <row r="292" spans="1:16" s="710" customFormat="1" ht="18" customHeight="1" x14ac:dyDescent="0.3">
      <c r="A292" s="699">
        <v>285</v>
      </c>
      <c r="B292" s="1285"/>
      <c r="C292" s="1393"/>
      <c r="D292" s="522" t="s">
        <v>733</v>
      </c>
      <c r="E292" s="173"/>
      <c r="F292" s="173"/>
      <c r="G292" s="1264"/>
      <c r="H292" s="703"/>
      <c r="I292" s="158">
        <f>SUM(J292:Q292)</f>
        <v>0</v>
      </c>
      <c r="J292" s="183"/>
      <c r="K292" s="183"/>
      <c r="L292" s="183"/>
      <c r="M292" s="183"/>
      <c r="N292" s="184"/>
      <c r="P292" s="711"/>
    </row>
    <row r="293" spans="1:16" s="710" customFormat="1" ht="18" customHeight="1" x14ac:dyDescent="0.3">
      <c r="A293" s="699">
        <v>286</v>
      </c>
      <c r="B293" s="1285"/>
      <c r="C293" s="1393"/>
      <c r="D293" s="522" t="s">
        <v>1391</v>
      </c>
      <c r="E293" s="173"/>
      <c r="F293" s="173"/>
      <c r="G293" s="1264"/>
      <c r="H293" s="703"/>
      <c r="I293" s="665">
        <f>SUM(J293:N293)</f>
        <v>4000</v>
      </c>
      <c r="J293" s="183"/>
      <c r="K293" s="183"/>
      <c r="L293" s="183">
        <f>SUM(L291:L292)</f>
        <v>4000</v>
      </c>
      <c r="M293" s="183"/>
      <c r="N293" s="184"/>
      <c r="P293" s="711"/>
    </row>
    <row r="294" spans="1:16" s="710" customFormat="1" ht="18" customHeight="1" x14ac:dyDescent="0.3">
      <c r="A294" s="699">
        <v>287</v>
      </c>
      <c r="B294" s="1285"/>
      <c r="C294" s="1393"/>
      <c r="D294" s="521" t="s">
        <v>368</v>
      </c>
      <c r="E294" s="173">
        <v>8000</v>
      </c>
      <c r="F294" s="173">
        <v>14000</v>
      </c>
      <c r="G294" s="1264">
        <v>7500</v>
      </c>
      <c r="H294" s="703"/>
      <c r="I294" s="667"/>
      <c r="J294" s="174"/>
      <c r="K294" s="174"/>
      <c r="L294" s="174"/>
      <c r="M294" s="174"/>
      <c r="N294" s="175"/>
      <c r="P294" s="711"/>
    </row>
    <row r="295" spans="1:16" s="1259" customFormat="1" ht="18" customHeight="1" x14ac:dyDescent="0.3">
      <c r="A295" s="699">
        <v>288</v>
      </c>
      <c r="B295" s="1286"/>
      <c r="C295" s="1392"/>
      <c r="D295" s="1240" t="s">
        <v>334</v>
      </c>
      <c r="E295" s="1241"/>
      <c r="F295" s="1241"/>
      <c r="G295" s="1264"/>
      <c r="H295" s="1242"/>
      <c r="I295" s="1243">
        <f>SUM(J295:N295)</f>
        <v>14000</v>
      </c>
      <c r="J295" s="1244"/>
      <c r="K295" s="1244"/>
      <c r="L295" s="1244"/>
      <c r="M295" s="1244"/>
      <c r="N295" s="1245">
        <v>14000</v>
      </c>
      <c r="P295" s="1260"/>
    </row>
    <row r="296" spans="1:16" s="1259" customFormat="1" ht="18" customHeight="1" x14ac:dyDescent="0.3">
      <c r="A296" s="699">
        <v>289</v>
      </c>
      <c r="B296" s="1286"/>
      <c r="C296" s="1392"/>
      <c r="D296" s="522" t="s">
        <v>1307</v>
      </c>
      <c r="E296" s="1241"/>
      <c r="F296" s="1241"/>
      <c r="G296" s="1264"/>
      <c r="H296" s="1242"/>
      <c r="I296" s="665">
        <f>SUM(J296:N296)</f>
        <v>5100</v>
      </c>
      <c r="J296" s="1244"/>
      <c r="K296" s="1244"/>
      <c r="L296" s="1244"/>
      <c r="M296" s="1244"/>
      <c r="N296" s="184">
        <v>5100</v>
      </c>
      <c r="P296" s="1260"/>
    </row>
    <row r="297" spans="1:16" s="710" customFormat="1" ht="18" customHeight="1" x14ac:dyDescent="0.3">
      <c r="A297" s="699">
        <v>290</v>
      </c>
      <c r="B297" s="1285"/>
      <c r="C297" s="1393"/>
      <c r="D297" s="522" t="s">
        <v>834</v>
      </c>
      <c r="E297" s="173"/>
      <c r="F297" s="173"/>
      <c r="G297" s="1264"/>
      <c r="H297" s="703"/>
      <c r="I297" s="158">
        <f>SUM(J297:Q297)</f>
        <v>0</v>
      </c>
      <c r="J297" s="183"/>
      <c r="K297" s="183"/>
      <c r="L297" s="183"/>
      <c r="M297" s="183"/>
      <c r="N297" s="184"/>
      <c r="P297" s="711"/>
    </row>
    <row r="298" spans="1:16" s="710" customFormat="1" ht="18" customHeight="1" x14ac:dyDescent="0.3">
      <c r="A298" s="699">
        <v>291</v>
      </c>
      <c r="B298" s="1285"/>
      <c r="C298" s="1393"/>
      <c r="D298" s="522" t="s">
        <v>1391</v>
      </c>
      <c r="E298" s="173"/>
      <c r="F298" s="173"/>
      <c r="G298" s="1264"/>
      <c r="H298" s="703"/>
      <c r="I298" s="665">
        <f>SUM(J298:N298)</f>
        <v>5100</v>
      </c>
      <c r="J298" s="183"/>
      <c r="K298" s="183"/>
      <c r="L298" s="183"/>
      <c r="M298" s="183"/>
      <c r="N298" s="184">
        <f>SUM(N296:N297)</f>
        <v>5100</v>
      </c>
      <c r="P298" s="711"/>
    </row>
    <row r="299" spans="1:16" s="710" customFormat="1" ht="18" customHeight="1" x14ac:dyDescent="0.3">
      <c r="A299" s="699">
        <v>292</v>
      </c>
      <c r="B299" s="1285"/>
      <c r="C299" s="1393"/>
      <c r="D299" s="521" t="s">
        <v>304</v>
      </c>
      <c r="E299" s="173">
        <v>4000</v>
      </c>
      <c r="F299" s="173">
        <v>4000</v>
      </c>
      <c r="G299" s="1264">
        <v>2520</v>
      </c>
      <c r="H299" s="703"/>
      <c r="I299" s="667"/>
      <c r="J299" s="174"/>
      <c r="K299" s="174"/>
      <c r="L299" s="174"/>
      <c r="M299" s="174"/>
      <c r="N299" s="175"/>
      <c r="P299" s="711"/>
    </row>
    <row r="300" spans="1:16" s="1259" customFormat="1" ht="18" customHeight="1" x14ac:dyDescent="0.3">
      <c r="A300" s="699">
        <v>293</v>
      </c>
      <c r="B300" s="1286"/>
      <c r="C300" s="1392"/>
      <c r="D300" s="1240" t="s">
        <v>334</v>
      </c>
      <c r="E300" s="1241"/>
      <c r="F300" s="1241"/>
      <c r="G300" s="1264"/>
      <c r="H300" s="1242"/>
      <c r="I300" s="1243">
        <f>SUM(J300:N300)</f>
        <v>4000</v>
      </c>
      <c r="J300" s="1244"/>
      <c r="K300" s="1244"/>
      <c r="L300" s="1244">
        <v>4000</v>
      </c>
      <c r="M300" s="1244"/>
      <c r="N300" s="1245"/>
      <c r="P300" s="1260"/>
    </row>
    <row r="301" spans="1:16" s="1259" customFormat="1" ht="18" customHeight="1" x14ac:dyDescent="0.3">
      <c r="A301" s="699">
        <v>294</v>
      </c>
      <c r="B301" s="1286"/>
      <c r="C301" s="1392"/>
      <c r="D301" s="522" t="s">
        <v>1307</v>
      </c>
      <c r="E301" s="1241"/>
      <c r="F301" s="1241"/>
      <c r="G301" s="1264"/>
      <c r="H301" s="1242"/>
      <c r="I301" s="665">
        <f>SUM(J301:N301)</f>
        <v>4000</v>
      </c>
      <c r="J301" s="1244"/>
      <c r="K301" s="1244"/>
      <c r="L301" s="183">
        <v>4000</v>
      </c>
      <c r="M301" s="1244"/>
      <c r="N301" s="1245"/>
      <c r="P301" s="1260"/>
    </row>
    <row r="302" spans="1:16" s="710" customFormat="1" ht="18" customHeight="1" x14ac:dyDescent="0.3">
      <c r="A302" s="699">
        <v>295</v>
      </c>
      <c r="B302" s="1285"/>
      <c r="C302" s="1393"/>
      <c r="D302" s="522" t="s">
        <v>954</v>
      </c>
      <c r="E302" s="173"/>
      <c r="F302" s="173"/>
      <c r="G302" s="1264"/>
      <c r="H302" s="703"/>
      <c r="I302" s="158">
        <f>SUM(J302:Q302)</f>
        <v>57</v>
      </c>
      <c r="J302" s="183">
        <v>665</v>
      </c>
      <c r="K302" s="183">
        <v>279</v>
      </c>
      <c r="L302" s="183">
        <f>-665-279+57</f>
        <v>-887</v>
      </c>
      <c r="M302" s="183"/>
      <c r="N302" s="184"/>
      <c r="P302" s="711"/>
    </row>
    <row r="303" spans="1:16" s="710" customFormat="1" ht="18" customHeight="1" x14ac:dyDescent="0.3">
      <c r="A303" s="699">
        <v>296</v>
      </c>
      <c r="B303" s="1285"/>
      <c r="C303" s="1393"/>
      <c r="D303" s="522" t="s">
        <v>1391</v>
      </c>
      <c r="E303" s="173"/>
      <c r="F303" s="173"/>
      <c r="G303" s="1264"/>
      <c r="H303" s="703"/>
      <c r="I303" s="665">
        <f>SUM(J303:N303)</f>
        <v>4057</v>
      </c>
      <c r="J303" s="183">
        <f>SUM(J302)</f>
        <v>665</v>
      </c>
      <c r="K303" s="183">
        <f>SUM(K302)</f>
        <v>279</v>
      </c>
      <c r="L303" s="183">
        <f>SUM(L301:L302)</f>
        <v>3113</v>
      </c>
      <c r="M303" s="183"/>
      <c r="N303" s="184"/>
      <c r="P303" s="711"/>
    </row>
    <row r="304" spans="1:16" s="710" customFormat="1" ht="18" customHeight="1" x14ac:dyDescent="0.3">
      <c r="A304" s="699">
        <v>297</v>
      </c>
      <c r="B304" s="1285"/>
      <c r="C304" s="1393"/>
      <c r="D304" s="521" t="s">
        <v>303</v>
      </c>
      <c r="E304" s="173">
        <v>1000</v>
      </c>
      <c r="F304" s="173">
        <v>1600</v>
      </c>
      <c r="G304" s="1264">
        <v>1600</v>
      </c>
      <c r="H304" s="703"/>
      <c r="I304" s="667"/>
      <c r="J304" s="174"/>
      <c r="K304" s="174"/>
      <c r="L304" s="174"/>
      <c r="M304" s="174"/>
      <c r="N304" s="175"/>
      <c r="P304" s="711"/>
    </row>
    <row r="305" spans="1:16" s="1259" customFormat="1" ht="18" customHeight="1" x14ac:dyDescent="0.3">
      <c r="A305" s="699">
        <v>298</v>
      </c>
      <c r="B305" s="1286"/>
      <c r="C305" s="1392"/>
      <c r="D305" s="1240" t="s">
        <v>334</v>
      </c>
      <c r="E305" s="1232"/>
      <c r="F305" s="1241"/>
      <c r="G305" s="1264"/>
      <c r="H305" s="1242"/>
      <c r="I305" s="1243">
        <f>SUM(J305:N305)</f>
        <v>1600</v>
      </c>
      <c r="J305" s="1244"/>
      <c r="K305" s="1244"/>
      <c r="L305" s="1244"/>
      <c r="M305" s="1244"/>
      <c r="N305" s="1245">
        <v>1600</v>
      </c>
      <c r="P305" s="1260"/>
    </row>
    <row r="306" spans="1:16" s="1259" customFormat="1" ht="18" customHeight="1" x14ac:dyDescent="0.3">
      <c r="A306" s="699">
        <v>299</v>
      </c>
      <c r="B306" s="1286"/>
      <c r="C306" s="1392"/>
      <c r="D306" s="522" t="s">
        <v>1307</v>
      </c>
      <c r="E306" s="1232"/>
      <c r="F306" s="1241"/>
      <c r="G306" s="1264"/>
      <c r="H306" s="1242"/>
      <c r="I306" s="665">
        <f>SUM(J306:N306)</f>
        <v>1600</v>
      </c>
      <c r="J306" s="1244"/>
      <c r="K306" s="1244"/>
      <c r="L306" s="1244"/>
      <c r="M306" s="1244"/>
      <c r="N306" s="184">
        <v>1600</v>
      </c>
      <c r="P306" s="1260"/>
    </row>
    <row r="307" spans="1:16" s="710" customFormat="1" ht="18" customHeight="1" x14ac:dyDescent="0.3">
      <c r="A307" s="699">
        <v>300</v>
      </c>
      <c r="B307" s="1285"/>
      <c r="C307" s="1393"/>
      <c r="D307" s="522" t="s">
        <v>733</v>
      </c>
      <c r="E307" s="164"/>
      <c r="F307" s="173"/>
      <c r="G307" s="1264"/>
      <c r="H307" s="703"/>
      <c r="I307" s="158">
        <f>SUM(J307:Q307)</f>
        <v>0</v>
      </c>
      <c r="J307" s="183"/>
      <c r="K307" s="183"/>
      <c r="L307" s="183"/>
      <c r="M307" s="183"/>
      <c r="N307" s="184"/>
      <c r="P307" s="711"/>
    </row>
    <row r="308" spans="1:16" s="710" customFormat="1" ht="18" customHeight="1" x14ac:dyDescent="0.3">
      <c r="A308" s="699">
        <v>301</v>
      </c>
      <c r="B308" s="1285"/>
      <c r="C308" s="1393"/>
      <c r="D308" s="522" t="s">
        <v>1391</v>
      </c>
      <c r="E308" s="164"/>
      <c r="F308" s="173"/>
      <c r="G308" s="1264"/>
      <c r="H308" s="703"/>
      <c r="I308" s="665">
        <f>SUM(J308:N308)</f>
        <v>1600</v>
      </c>
      <c r="J308" s="183"/>
      <c r="K308" s="183"/>
      <c r="L308" s="183"/>
      <c r="M308" s="183"/>
      <c r="N308" s="184">
        <f>SUM(N306:N307)</f>
        <v>1600</v>
      </c>
      <c r="P308" s="711"/>
    </row>
    <row r="309" spans="1:16" s="157" customFormat="1" ht="22.5" customHeight="1" x14ac:dyDescent="0.3">
      <c r="A309" s="699">
        <v>302</v>
      </c>
      <c r="B309" s="1294"/>
      <c r="C309" s="1387">
        <v>35</v>
      </c>
      <c r="D309" s="691" t="s">
        <v>468</v>
      </c>
      <c r="E309" s="164"/>
      <c r="F309" s="173">
        <v>5000</v>
      </c>
      <c r="G309" s="1264">
        <v>4400</v>
      </c>
      <c r="H309" s="702" t="s">
        <v>25</v>
      </c>
      <c r="I309" s="667"/>
      <c r="J309" s="519"/>
      <c r="K309" s="519"/>
      <c r="L309" s="519"/>
      <c r="M309" s="519"/>
      <c r="N309" s="693"/>
      <c r="P309" s="1699"/>
    </row>
    <row r="310" spans="1:16" s="1246" customFormat="1" ht="18" customHeight="1" x14ac:dyDescent="0.3">
      <c r="A310" s="699">
        <v>303</v>
      </c>
      <c r="B310" s="1286"/>
      <c r="C310" s="1392"/>
      <c r="D310" s="1231" t="s">
        <v>334</v>
      </c>
      <c r="E310" s="1232"/>
      <c r="F310" s="1241"/>
      <c r="G310" s="1264"/>
      <c r="H310" s="1242"/>
      <c r="I310" s="1234">
        <f>SUM(J310:N310)</f>
        <v>5000</v>
      </c>
      <c r="J310" s="1244"/>
      <c r="K310" s="1244"/>
      <c r="L310" s="1244"/>
      <c r="M310" s="1244"/>
      <c r="N310" s="1236">
        <v>5000</v>
      </c>
      <c r="P310" s="1237"/>
    </row>
    <row r="311" spans="1:16" s="1246" customFormat="1" ht="18" customHeight="1" x14ac:dyDescent="0.3">
      <c r="A311" s="699">
        <v>304</v>
      </c>
      <c r="B311" s="1286"/>
      <c r="C311" s="1392"/>
      <c r="D311" s="690" t="s">
        <v>1307</v>
      </c>
      <c r="E311" s="1232"/>
      <c r="F311" s="1241"/>
      <c r="G311" s="1264"/>
      <c r="H311" s="1242"/>
      <c r="I311" s="665">
        <f>SUM(J311:N311)</f>
        <v>5400</v>
      </c>
      <c r="J311" s="1244"/>
      <c r="K311" s="1244"/>
      <c r="L311" s="1244"/>
      <c r="M311" s="1244"/>
      <c r="N311" s="520">
        <v>5400</v>
      </c>
      <c r="P311" s="1237"/>
    </row>
    <row r="312" spans="1:16" s="11" customFormat="1" ht="18" customHeight="1" x14ac:dyDescent="0.3">
      <c r="A312" s="699">
        <v>305</v>
      </c>
      <c r="B312" s="1285"/>
      <c r="C312" s="1393"/>
      <c r="D312" s="1150" t="s">
        <v>834</v>
      </c>
      <c r="E312" s="164"/>
      <c r="F312" s="173"/>
      <c r="G312" s="1264"/>
      <c r="H312" s="703"/>
      <c r="I312" s="158">
        <f>SUM(J312:Q312)</f>
        <v>0</v>
      </c>
      <c r="J312" s="183"/>
      <c r="K312" s="183"/>
      <c r="L312" s="183"/>
      <c r="M312" s="183"/>
      <c r="N312" s="184"/>
      <c r="P312" s="10"/>
    </row>
    <row r="313" spans="1:16" s="157" customFormat="1" ht="18" customHeight="1" x14ac:dyDescent="0.3">
      <c r="A313" s="699">
        <v>306</v>
      </c>
      <c r="B313" s="1294"/>
      <c r="C313" s="1394"/>
      <c r="D313" s="690" t="s">
        <v>1391</v>
      </c>
      <c r="E313" s="1305"/>
      <c r="F313" s="1310"/>
      <c r="G313" s="1311"/>
      <c r="H313" s="703"/>
      <c r="I313" s="665">
        <f>SUM(J313:N313)</f>
        <v>5400</v>
      </c>
      <c r="J313" s="519"/>
      <c r="K313" s="519"/>
      <c r="L313" s="519"/>
      <c r="M313" s="519"/>
      <c r="N313" s="520">
        <f>SUM(N311:N312)</f>
        <v>5400</v>
      </c>
      <c r="P313" s="1699"/>
    </row>
    <row r="314" spans="1:16" s="110" customFormat="1" ht="22.5" customHeight="1" x14ac:dyDescent="0.35">
      <c r="A314" s="699">
        <v>307</v>
      </c>
      <c r="B314" s="1293"/>
      <c r="C314" s="1387">
        <v>36</v>
      </c>
      <c r="D314" s="691" t="s">
        <v>419</v>
      </c>
      <c r="E314" s="164">
        <v>2483</v>
      </c>
      <c r="F314" s="164">
        <v>3500</v>
      </c>
      <c r="G314" s="1277">
        <v>1323</v>
      </c>
      <c r="H314" s="702" t="s">
        <v>24</v>
      </c>
      <c r="I314" s="667"/>
      <c r="J314" s="526"/>
      <c r="K314" s="526"/>
      <c r="L314" s="526"/>
      <c r="M314" s="526"/>
      <c r="N314" s="692"/>
      <c r="O314" s="1699"/>
      <c r="P314" s="1699"/>
    </row>
    <row r="315" spans="1:16" s="1237" customFormat="1" ht="18" customHeight="1" x14ac:dyDescent="0.3">
      <c r="A315" s="699">
        <v>308</v>
      </c>
      <c r="B315" s="1283"/>
      <c r="C315" s="1388"/>
      <c r="D315" s="1231" t="s">
        <v>334</v>
      </c>
      <c r="E315" s="1232"/>
      <c r="F315" s="1232"/>
      <c r="G315" s="1277"/>
      <c r="H315" s="1233"/>
      <c r="I315" s="1234">
        <f>SUM(J315:N315)</f>
        <v>2000</v>
      </c>
      <c r="J315" s="1235"/>
      <c r="K315" s="1235"/>
      <c r="L315" s="1235"/>
      <c r="M315" s="1235">
        <v>2000</v>
      </c>
      <c r="N315" s="1236"/>
    </row>
    <row r="316" spans="1:16" s="1237" customFormat="1" ht="18" customHeight="1" x14ac:dyDescent="0.3">
      <c r="A316" s="699">
        <v>309</v>
      </c>
      <c r="B316" s="1283"/>
      <c r="C316" s="1388"/>
      <c r="D316" s="690" t="s">
        <v>1307</v>
      </c>
      <c r="E316" s="1232"/>
      <c r="F316" s="1232"/>
      <c r="G316" s="1277"/>
      <c r="H316" s="1233"/>
      <c r="I316" s="665">
        <f>SUM(J316:N316)</f>
        <v>2000</v>
      </c>
      <c r="J316" s="1235"/>
      <c r="K316" s="1235"/>
      <c r="L316" s="1235"/>
      <c r="M316" s="527">
        <v>2000</v>
      </c>
      <c r="N316" s="1236"/>
    </row>
    <row r="317" spans="1:16" s="10" customFormat="1" ht="18" customHeight="1" x14ac:dyDescent="0.3">
      <c r="A317" s="699">
        <v>310</v>
      </c>
      <c r="B317" s="1284"/>
      <c r="C317" s="1389"/>
      <c r="D317" s="1150" t="s">
        <v>733</v>
      </c>
      <c r="E317" s="164"/>
      <c r="F317" s="164"/>
      <c r="G317" s="1277"/>
      <c r="H317" s="702"/>
      <c r="I317" s="158">
        <f>SUM(J317:Q317)</f>
        <v>0</v>
      </c>
      <c r="J317" s="168"/>
      <c r="K317" s="168"/>
      <c r="L317" s="168"/>
      <c r="M317" s="168"/>
      <c r="N317" s="169"/>
    </row>
    <row r="318" spans="1:16" s="1699" customFormat="1" ht="18" customHeight="1" x14ac:dyDescent="0.3">
      <c r="A318" s="699">
        <v>311</v>
      </c>
      <c r="B318" s="1295"/>
      <c r="C318" s="1390"/>
      <c r="D318" s="690" t="s">
        <v>1391</v>
      </c>
      <c r="E318" s="1305"/>
      <c r="F318" s="1305"/>
      <c r="G318" s="1306"/>
      <c r="H318" s="702"/>
      <c r="I318" s="665">
        <f>SUM(J318:N318)</f>
        <v>2000</v>
      </c>
      <c r="J318" s="527"/>
      <c r="K318" s="527"/>
      <c r="L318" s="527"/>
      <c r="M318" s="527">
        <f>SUM(M316:M317)</f>
        <v>2000</v>
      </c>
      <c r="N318" s="520"/>
    </row>
    <row r="319" spans="1:16" s="110" customFormat="1" ht="22.5" customHeight="1" x14ac:dyDescent="0.35">
      <c r="A319" s="699">
        <v>312</v>
      </c>
      <c r="B319" s="1293"/>
      <c r="C319" s="1387">
        <v>37</v>
      </c>
      <c r="D319" s="691" t="s">
        <v>305</v>
      </c>
      <c r="E319" s="164"/>
      <c r="F319" s="164">
        <v>100</v>
      </c>
      <c r="G319" s="1277"/>
      <c r="H319" s="702" t="s">
        <v>24</v>
      </c>
      <c r="I319" s="665"/>
      <c r="J319" s="527"/>
      <c r="K319" s="527"/>
      <c r="L319" s="527"/>
      <c r="M319" s="527"/>
      <c r="N319" s="520"/>
      <c r="P319" s="1699"/>
    </row>
    <row r="320" spans="1:16" s="1237" customFormat="1" ht="18" customHeight="1" x14ac:dyDescent="0.3">
      <c r="A320" s="699">
        <v>313</v>
      </c>
      <c r="B320" s="1283"/>
      <c r="C320" s="1388"/>
      <c r="D320" s="1231" t="s">
        <v>334</v>
      </c>
      <c r="E320" s="1232"/>
      <c r="F320" s="1232"/>
      <c r="G320" s="1277"/>
      <c r="H320" s="1233"/>
      <c r="I320" s="1234">
        <f>SUM(J320:N320)</f>
        <v>100</v>
      </c>
      <c r="J320" s="1235"/>
      <c r="K320" s="1235"/>
      <c r="L320" s="1235"/>
      <c r="M320" s="1235">
        <v>100</v>
      </c>
      <c r="N320" s="1236"/>
    </row>
    <row r="321" spans="1:16" s="1237" customFormat="1" ht="18" customHeight="1" x14ac:dyDescent="0.3">
      <c r="A321" s="699">
        <v>314</v>
      </c>
      <c r="B321" s="1283"/>
      <c r="C321" s="1388"/>
      <c r="D321" s="690" t="s">
        <v>1307</v>
      </c>
      <c r="E321" s="1232"/>
      <c r="F321" s="1232"/>
      <c r="G321" s="1277"/>
      <c r="H321" s="1248"/>
      <c r="I321" s="665">
        <f>SUM(J321:N321)</f>
        <v>100</v>
      </c>
      <c r="J321" s="1235"/>
      <c r="K321" s="1235"/>
      <c r="L321" s="1235"/>
      <c r="M321" s="527">
        <v>100</v>
      </c>
      <c r="N321" s="1236"/>
    </row>
    <row r="322" spans="1:16" s="10" customFormat="1" ht="18" customHeight="1" x14ac:dyDescent="0.3">
      <c r="A322" s="699">
        <v>315</v>
      </c>
      <c r="B322" s="1284"/>
      <c r="C322" s="1389"/>
      <c r="D322" s="1150" t="s">
        <v>733</v>
      </c>
      <c r="E322" s="164"/>
      <c r="F322" s="164"/>
      <c r="G322" s="1277"/>
      <c r="H322" s="704"/>
      <c r="I322" s="158">
        <f>SUM(J322:Q322)</f>
        <v>0</v>
      </c>
      <c r="J322" s="168"/>
      <c r="K322" s="168"/>
      <c r="L322" s="168"/>
      <c r="M322" s="168"/>
      <c r="N322" s="169"/>
    </row>
    <row r="323" spans="1:16" s="1699" customFormat="1" ht="18" customHeight="1" x14ac:dyDescent="0.3">
      <c r="A323" s="699">
        <v>316</v>
      </c>
      <c r="B323" s="1295"/>
      <c r="C323" s="1390"/>
      <c r="D323" s="690" t="s">
        <v>1391</v>
      </c>
      <c r="E323" s="1305"/>
      <c r="F323" s="1305"/>
      <c r="G323" s="1306"/>
      <c r="H323" s="704"/>
      <c r="I323" s="665">
        <f>SUM(J323:N323)</f>
        <v>100</v>
      </c>
      <c r="J323" s="527"/>
      <c r="K323" s="527"/>
      <c r="L323" s="527"/>
      <c r="M323" s="527">
        <f>SUM(M321:M322)</f>
        <v>100</v>
      </c>
      <c r="N323" s="520"/>
    </row>
    <row r="324" spans="1:16" s="1699" customFormat="1" ht="22.5" customHeight="1" x14ac:dyDescent="0.3">
      <c r="A324" s="699">
        <v>317</v>
      </c>
      <c r="B324" s="1295"/>
      <c r="C324" s="1387">
        <v>38</v>
      </c>
      <c r="D324" s="690" t="s">
        <v>420</v>
      </c>
      <c r="E324" s="164">
        <v>49</v>
      </c>
      <c r="F324" s="164">
        <v>100</v>
      </c>
      <c r="G324" s="1277"/>
      <c r="H324" s="704" t="s">
        <v>24</v>
      </c>
      <c r="I324" s="665"/>
      <c r="J324" s="527"/>
      <c r="K324" s="527"/>
      <c r="L324" s="527"/>
      <c r="M324" s="527"/>
      <c r="N324" s="520"/>
    </row>
    <row r="325" spans="1:16" s="1237" customFormat="1" ht="18" customHeight="1" x14ac:dyDescent="0.3">
      <c r="A325" s="699">
        <v>318</v>
      </c>
      <c r="B325" s="1283"/>
      <c r="C325" s="1388"/>
      <c r="D325" s="1231" t="s">
        <v>334</v>
      </c>
      <c r="E325" s="1232"/>
      <c r="F325" s="1232"/>
      <c r="G325" s="1277"/>
      <c r="H325" s="1248"/>
      <c r="I325" s="1234">
        <f>SUM(J325:N325)</f>
        <v>100</v>
      </c>
      <c r="J325" s="1235"/>
      <c r="K325" s="1235"/>
      <c r="L325" s="1235">
        <v>100</v>
      </c>
      <c r="M325" s="1235"/>
      <c r="N325" s="1236"/>
    </row>
    <row r="326" spans="1:16" s="1237" customFormat="1" ht="18" customHeight="1" x14ac:dyDescent="0.3">
      <c r="A326" s="699">
        <v>319</v>
      </c>
      <c r="B326" s="1283"/>
      <c r="C326" s="1388"/>
      <c r="D326" s="690" t="s">
        <v>1307</v>
      </c>
      <c r="E326" s="1232"/>
      <c r="F326" s="1232"/>
      <c r="G326" s="1277"/>
      <c r="H326" s="1248"/>
      <c r="I326" s="665">
        <f>SUM(J326:N326)</f>
        <v>100</v>
      </c>
      <c r="J326" s="1235"/>
      <c r="K326" s="1235"/>
      <c r="L326" s="527">
        <v>100</v>
      </c>
      <c r="M326" s="1235"/>
      <c r="N326" s="1236"/>
    </row>
    <row r="327" spans="1:16" s="10" customFormat="1" ht="18" customHeight="1" x14ac:dyDescent="0.3">
      <c r="A327" s="699">
        <v>320</v>
      </c>
      <c r="B327" s="1284"/>
      <c r="C327" s="1389"/>
      <c r="D327" s="1150" t="s">
        <v>733</v>
      </c>
      <c r="E327" s="164"/>
      <c r="F327" s="164"/>
      <c r="G327" s="1277"/>
      <c r="H327" s="704"/>
      <c r="I327" s="158">
        <f>SUM(J327:Q327)</f>
        <v>0</v>
      </c>
      <c r="J327" s="168"/>
      <c r="K327" s="168"/>
      <c r="L327" s="168"/>
      <c r="M327" s="168"/>
      <c r="N327" s="169"/>
    </row>
    <row r="328" spans="1:16" s="1699" customFormat="1" ht="18" customHeight="1" x14ac:dyDescent="0.3">
      <c r="A328" s="699">
        <v>321</v>
      </c>
      <c r="B328" s="1295"/>
      <c r="C328" s="1390"/>
      <c r="D328" s="690" t="s">
        <v>1391</v>
      </c>
      <c r="E328" s="1305"/>
      <c r="F328" s="1305"/>
      <c r="G328" s="1306"/>
      <c r="H328" s="704"/>
      <c r="I328" s="665">
        <f>SUM(J328:N328)</f>
        <v>100</v>
      </c>
      <c r="J328" s="527"/>
      <c r="K328" s="527"/>
      <c r="L328" s="527">
        <f>SUM(L326:L327)</f>
        <v>100</v>
      </c>
      <c r="M328" s="527"/>
      <c r="N328" s="520"/>
    </row>
    <row r="329" spans="1:16" s="110" customFormat="1" ht="22.5" customHeight="1" x14ac:dyDescent="0.35">
      <c r="A329" s="699">
        <v>322</v>
      </c>
      <c r="B329" s="1293"/>
      <c r="C329" s="1387">
        <v>39</v>
      </c>
      <c r="D329" s="691" t="s">
        <v>306</v>
      </c>
      <c r="E329" s="164">
        <f>SUM(E334,E344,E349,E354,E359,E364,E369,E374)</f>
        <v>13955</v>
      </c>
      <c r="F329" s="164">
        <f>SUM(F334,F344,F349,F354,F359,F364,F369,F374)</f>
        <v>26650</v>
      </c>
      <c r="G329" s="1277">
        <v>10952</v>
      </c>
      <c r="H329" s="702"/>
      <c r="I329" s="666"/>
      <c r="J329" s="523"/>
      <c r="K329" s="523"/>
      <c r="L329" s="523"/>
      <c r="M329" s="523"/>
      <c r="N329" s="694"/>
      <c r="O329" s="1699"/>
      <c r="P329" s="1699"/>
    </row>
    <row r="330" spans="1:16" s="1237" customFormat="1" ht="18" customHeight="1" x14ac:dyDescent="0.3">
      <c r="A330" s="699">
        <v>323</v>
      </c>
      <c r="B330" s="1283"/>
      <c r="C330" s="1388"/>
      <c r="D330" s="1231" t="s">
        <v>334</v>
      </c>
      <c r="E330" s="1232"/>
      <c r="F330" s="1232"/>
      <c r="G330" s="1277"/>
      <c r="H330" s="1233"/>
      <c r="I330" s="1234">
        <f>SUM(J330:N330)</f>
        <v>27650</v>
      </c>
      <c r="J330" s="1238">
        <f>SUM(J335,J345,J350,J355,J360,J365,J370,J375)</f>
        <v>0</v>
      </c>
      <c r="K330" s="1238">
        <f t="shared" ref="K330:N330" si="22">SUM(K335,K345,K350,K355,K360,K365,K370,K375)</f>
        <v>0</v>
      </c>
      <c r="L330" s="1238">
        <f t="shared" si="22"/>
        <v>0</v>
      </c>
      <c r="M330" s="1238">
        <f>SUM(M335,M345,M350,M355,M360,M365,M370,M375)+M340</f>
        <v>27650</v>
      </c>
      <c r="N330" s="1239">
        <f t="shared" si="22"/>
        <v>0</v>
      </c>
    </row>
    <row r="331" spans="1:16" s="1237" customFormat="1" ht="18" customHeight="1" x14ac:dyDescent="0.3">
      <c r="A331" s="699">
        <v>324</v>
      </c>
      <c r="B331" s="1283"/>
      <c r="C331" s="1388"/>
      <c r="D331" s="690" t="s">
        <v>1307</v>
      </c>
      <c r="E331" s="1232"/>
      <c r="F331" s="1232"/>
      <c r="G331" s="1277"/>
      <c r="H331" s="1233"/>
      <c r="I331" s="665">
        <f>SUM(J331:N331)</f>
        <v>27650</v>
      </c>
      <c r="J331" s="527">
        <f>J336+J341+J346+J351+J356+J361+J366+J371+J376</f>
        <v>0</v>
      </c>
      <c r="K331" s="527">
        <f t="shared" ref="K331:N331" si="23">K336+K341+K346+K351+K356+K361+K366+K371+K376</f>
        <v>0</v>
      </c>
      <c r="L331" s="527">
        <f t="shared" si="23"/>
        <v>0</v>
      </c>
      <c r="M331" s="527">
        <f t="shared" si="23"/>
        <v>27650</v>
      </c>
      <c r="N331" s="520">
        <f t="shared" si="23"/>
        <v>0</v>
      </c>
    </row>
    <row r="332" spans="1:16" s="10" customFormat="1" ht="18" customHeight="1" x14ac:dyDescent="0.3">
      <c r="A332" s="699">
        <v>325</v>
      </c>
      <c r="B332" s="1284"/>
      <c r="C332" s="1389"/>
      <c r="D332" s="1150" t="s">
        <v>733</v>
      </c>
      <c r="E332" s="164"/>
      <c r="F332" s="164"/>
      <c r="G332" s="1277"/>
      <c r="H332" s="702"/>
      <c r="I332" s="158">
        <f>SUM(J332:Q332)</f>
        <v>0</v>
      </c>
      <c r="J332" s="183">
        <f>J337+J342+J347+J352+J357+J362+J367+J372+J377</f>
        <v>0</v>
      </c>
      <c r="K332" s="183">
        <f t="shared" ref="K332:N332" si="24">K337+K342+K347+K352+K357+K362+K367+K372+K377</f>
        <v>0</v>
      </c>
      <c r="L332" s="183">
        <f t="shared" si="24"/>
        <v>0</v>
      </c>
      <c r="M332" s="183">
        <f t="shared" si="24"/>
        <v>0</v>
      </c>
      <c r="N332" s="184">
        <f t="shared" si="24"/>
        <v>0</v>
      </c>
    </row>
    <row r="333" spans="1:16" s="1699" customFormat="1" ht="18" customHeight="1" x14ac:dyDescent="0.3">
      <c r="A333" s="699">
        <v>326</v>
      </c>
      <c r="B333" s="1295"/>
      <c r="C333" s="1390"/>
      <c r="D333" s="690" t="s">
        <v>1391</v>
      </c>
      <c r="E333" s="1305"/>
      <c r="F333" s="1305"/>
      <c r="G333" s="1306"/>
      <c r="H333" s="702"/>
      <c r="I333" s="665">
        <f>SUM(J333:N333)</f>
        <v>27650</v>
      </c>
      <c r="J333" s="527">
        <f>SUM(J331:J332)</f>
        <v>0</v>
      </c>
      <c r="K333" s="527">
        <f t="shared" ref="K333:N333" si="25">SUM(K331:K332)</f>
        <v>0</v>
      </c>
      <c r="L333" s="527">
        <f t="shared" si="25"/>
        <v>0</v>
      </c>
      <c r="M333" s="527">
        <f t="shared" si="25"/>
        <v>27650</v>
      </c>
      <c r="N333" s="520">
        <f t="shared" si="25"/>
        <v>0</v>
      </c>
    </row>
    <row r="334" spans="1:16" s="710" customFormat="1" ht="18" customHeight="1" x14ac:dyDescent="0.3">
      <c r="A334" s="699">
        <v>327</v>
      </c>
      <c r="B334" s="1285"/>
      <c r="C334" s="1393"/>
      <c r="D334" s="521" t="s">
        <v>311</v>
      </c>
      <c r="E334" s="173">
        <v>3130</v>
      </c>
      <c r="F334" s="173">
        <v>7000</v>
      </c>
      <c r="G334" s="1264">
        <v>2100</v>
      </c>
      <c r="H334" s="703" t="s">
        <v>24</v>
      </c>
      <c r="I334" s="667"/>
      <c r="J334" s="183"/>
      <c r="K334" s="183"/>
      <c r="L334" s="183"/>
      <c r="M334" s="183"/>
      <c r="N334" s="184"/>
      <c r="P334" s="711"/>
    </row>
    <row r="335" spans="1:16" s="1259" customFormat="1" ht="18" customHeight="1" x14ac:dyDescent="0.3">
      <c r="A335" s="699">
        <v>328</v>
      </c>
      <c r="B335" s="1286"/>
      <c r="C335" s="1392"/>
      <c r="D335" s="1240" t="s">
        <v>334</v>
      </c>
      <c r="E335" s="1241"/>
      <c r="F335" s="1241"/>
      <c r="G335" s="1264"/>
      <c r="H335" s="1242"/>
      <c r="I335" s="1243">
        <f>SUM(J335:N335)</f>
        <v>2500</v>
      </c>
      <c r="J335" s="1244"/>
      <c r="K335" s="1244"/>
      <c r="L335" s="1244"/>
      <c r="M335" s="1244">
        <v>2500</v>
      </c>
      <c r="N335" s="1245"/>
      <c r="P335" s="1260"/>
    </row>
    <row r="336" spans="1:16" s="1259" customFormat="1" ht="18" customHeight="1" x14ac:dyDescent="0.3">
      <c r="A336" s="699">
        <v>329</v>
      </c>
      <c r="B336" s="1286"/>
      <c r="C336" s="1392"/>
      <c r="D336" s="522" t="s">
        <v>1307</v>
      </c>
      <c r="E336" s="1241"/>
      <c r="F336" s="1241"/>
      <c r="G336" s="1264"/>
      <c r="H336" s="1242"/>
      <c r="I336" s="665">
        <f>SUM(J336:N336)</f>
        <v>2500</v>
      </c>
      <c r="J336" s="1244"/>
      <c r="K336" s="1244"/>
      <c r="L336" s="1244"/>
      <c r="M336" s="183">
        <v>2500</v>
      </c>
      <c r="N336" s="1245"/>
      <c r="P336" s="1260"/>
    </row>
    <row r="337" spans="1:16" s="710" customFormat="1" ht="18" customHeight="1" x14ac:dyDescent="0.3">
      <c r="A337" s="699">
        <v>330</v>
      </c>
      <c r="B337" s="1285"/>
      <c r="C337" s="1393"/>
      <c r="D337" s="522" t="s">
        <v>733</v>
      </c>
      <c r="E337" s="173"/>
      <c r="F337" s="173"/>
      <c r="G337" s="1264"/>
      <c r="H337" s="703"/>
      <c r="I337" s="158">
        <f>SUM(J337:Q337)</f>
        <v>0</v>
      </c>
      <c r="J337" s="183"/>
      <c r="K337" s="183"/>
      <c r="L337" s="183"/>
      <c r="M337" s="183"/>
      <c r="N337" s="184"/>
      <c r="P337" s="711"/>
    </row>
    <row r="338" spans="1:16" s="710" customFormat="1" ht="18" customHeight="1" x14ac:dyDescent="0.3">
      <c r="A338" s="699">
        <v>331</v>
      </c>
      <c r="B338" s="1285"/>
      <c r="C338" s="1393"/>
      <c r="D338" s="522" t="s">
        <v>1391</v>
      </c>
      <c r="E338" s="173"/>
      <c r="F338" s="173"/>
      <c r="G338" s="1264"/>
      <c r="H338" s="703"/>
      <c r="I338" s="665">
        <f>SUM(J338:N338)</f>
        <v>2500</v>
      </c>
      <c r="J338" s="183"/>
      <c r="K338" s="183"/>
      <c r="L338" s="183"/>
      <c r="M338" s="183">
        <f>SUM(M336:M337)</f>
        <v>2500</v>
      </c>
      <c r="N338" s="184"/>
      <c r="P338" s="711"/>
    </row>
    <row r="339" spans="1:16" s="710" customFormat="1" ht="18" customHeight="1" x14ac:dyDescent="0.3">
      <c r="A339" s="699">
        <v>332</v>
      </c>
      <c r="B339" s="1285"/>
      <c r="C339" s="1393"/>
      <c r="D339" s="524" t="s">
        <v>732</v>
      </c>
      <c r="E339" s="173"/>
      <c r="F339" s="173"/>
      <c r="G339" s="1264"/>
      <c r="H339" s="703" t="s">
        <v>25</v>
      </c>
      <c r="I339" s="667"/>
      <c r="J339" s="183"/>
      <c r="K339" s="183"/>
      <c r="L339" s="183"/>
      <c r="M339" s="183"/>
      <c r="N339" s="184"/>
      <c r="P339" s="711"/>
    </row>
    <row r="340" spans="1:16" s="1259" customFormat="1" ht="18" customHeight="1" x14ac:dyDescent="0.3">
      <c r="A340" s="699">
        <v>333</v>
      </c>
      <c r="B340" s="1286"/>
      <c r="C340" s="1392"/>
      <c r="D340" s="1240" t="s">
        <v>334</v>
      </c>
      <c r="E340" s="1241"/>
      <c r="F340" s="1241"/>
      <c r="G340" s="1264"/>
      <c r="H340" s="1242"/>
      <c r="I340" s="1243">
        <f>SUM(J340:N340)</f>
        <v>12500</v>
      </c>
      <c r="J340" s="1244"/>
      <c r="K340" s="1244"/>
      <c r="L340" s="1244"/>
      <c r="M340" s="1244">
        <v>12500</v>
      </c>
      <c r="N340" s="1245"/>
      <c r="P340" s="1260"/>
    </row>
    <row r="341" spans="1:16" s="1259" customFormat="1" ht="18" customHeight="1" x14ac:dyDescent="0.3">
      <c r="A341" s="699">
        <v>334</v>
      </c>
      <c r="B341" s="1286"/>
      <c r="C341" s="1392"/>
      <c r="D341" s="522" t="s">
        <v>1307</v>
      </c>
      <c r="E341" s="1241"/>
      <c r="F341" s="1241"/>
      <c r="G341" s="1264"/>
      <c r="H341" s="1242"/>
      <c r="I341" s="665">
        <f>SUM(J341:N341)</f>
        <v>12500</v>
      </c>
      <c r="J341" s="1244"/>
      <c r="K341" s="1244"/>
      <c r="L341" s="1244"/>
      <c r="M341" s="183">
        <v>12500</v>
      </c>
      <c r="N341" s="1245"/>
      <c r="P341" s="1260"/>
    </row>
    <row r="342" spans="1:16" s="710" customFormat="1" ht="18" customHeight="1" x14ac:dyDescent="0.3">
      <c r="A342" s="699">
        <v>335</v>
      </c>
      <c r="B342" s="1285"/>
      <c r="C342" s="1393"/>
      <c r="D342" s="522" t="s">
        <v>733</v>
      </c>
      <c r="E342" s="173"/>
      <c r="F342" s="173"/>
      <c r="G342" s="1264"/>
      <c r="H342" s="703"/>
      <c r="I342" s="158">
        <f>SUM(J342:Q342)</f>
        <v>0</v>
      </c>
      <c r="J342" s="183"/>
      <c r="K342" s="183"/>
      <c r="L342" s="183"/>
      <c r="M342" s="183"/>
      <c r="N342" s="184"/>
      <c r="P342" s="711"/>
    </row>
    <row r="343" spans="1:16" s="710" customFormat="1" ht="18" customHeight="1" x14ac:dyDescent="0.3">
      <c r="A343" s="699">
        <v>336</v>
      </c>
      <c r="B343" s="1285"/>
      <c r="C343" s="1393"/>
      <c r="D343" s="522" t="s">
        <v>1391</v>
      </c>
      <c r="E343" s="173"/>
      <c r="F343" s="173"/>
      <c r="G343" s="1264"/>
      <c r="H343" s="703"/>
      <c r="I343" s="665">
        <f>SUM(J343:N343)</f>
        <v>12500</v>
      </c>
      <c r="J343" s="183"/>
      <c r="K343" s="183"/>
      <c r="L343" s="183"/>
      <c r="M343" s="183">
        <f>SUM(M341:M342)</f>
        <v>12500</v>
      </c>
      <c r="N343" s="184"/>
      <c r="P343" s="711"/>
    </row>
    <row r="344" spans="1:16" s="710" customFormat="1" ht="18" customHeight="1" x14ac:dyDescent="0.3">
      <c r="A344" s="699">
        <v>337</v>
      </c>
      <c r="B344" s="1285"/>
      <c r="C344" s="1393"/>
      <c r="D344" s="524" t="s">
        <v>421</v>
      </c>
      <c r="E344" s="173">
        <v>7909</v>
      </c>
      <c r="F344" s="173">
        <v>13000</v>
      </c>
      <c r="G344" s="1264">
        <v>6360</v>
      </c>
      <c r="H344" s="703" t="s">
        <v>25</v>
      </c>
      <c r="I344" s="668"/>
      <c r="J344" s="174"/>
      <c r="K344" s="174"/>
      <c r="L344" s="174"/>
      <c r="M344" s="174"/>
      <c r="N344" s="175"/>
      <c r="P344" s="711"/>
    </row>
    <row r="345" spans="1:16" s="1259" customFormat="1" ht="18" customHeight="1" x14ac:dyDescent="0.3">
      <c r="A345" s="699">
        <v>338</v>
      </c>
      <c r="B345" s="1286"/>
      <c r="C345" s="1392"/>
      <c r="D345" s="1240" t="s">
        <v>334</v>
      </c>
      <c r="E345" s="1241"/>
      <c r="F345" s="1241"/>
      <c r="G345" s="1264"/>
      <c r="H345" s="1242"/>
      <c r="I345" s="1243">
        <f>SUM(J345:N345)</f>
        <v>8000</v>
      </c>
      <c r="J345" s="1244"/>
      <c r="K345" s="1244"/>
      <c r="L345" s="1244"/>
      <c r="M345" s="1244">
        <v>8000</v>
      </c>
      <c r="N345" s="1245"/>
      <c r="P345" s="1260"/>
    </row>
    <row r="346" spans="1:16" s="1259" customFormat="1" ht="18" customHeight="1" x14ac:dyDescent="0.3">
      <c r="A346" s="699">
        <v>339</v>
      </c>
      <c r="B346" s="1286"/>
      <c r="C346" s="1392"/>
      <c r="D346" s="522" t="s">
        <v>1307</v>
      </c>
      <c r="E346" s="1241"/>
      <c r="F346" s="1241"/>
      <c r="G346" s="1264"/>
      <c r="H346" s="1242"/>
      <c r="I346" s="665">
        <f>SUM(J346:N346)</f>
        <v>8000</v>
      </c>
      <c r="J346" s="1244"/>
      <c r="K346" s="1244"/>
      <c r="L346" s="1244"/>
      <c r="M346" s="183">
        <v>8000</v>
      </c>
      <c r="N346" s="1245"/>
      <c r="P346" s="1260"/>
    </row>
    <row r="347" spans="1:16" s="710" customFormat="1" ht="18" customHeight="1" x14ac:dyDescent="0.3">
      <c r="A347" s="699">
        <v>340</v>
      </c>
      <c r="B347" s="1285"/>
      <c r="C347" s="1393"/>
      <c r="D347" s="522" t="s">
        <v>733</v>
      </c>
      <c r="E347" s="173"/>
      <c r="F347" s="173"/>
      <c r="G347" s="1264"/>
      <c r="H347" s="703"/>
      <c r="I347" s="158">
        <f>SUM(J347:Q347)</f>
        <v>0</v>
      </c>
      <c r="J347" s="183"/>
      <c r="K347" s="183"/>
      <c r="L347" s="183"/>
      <c r="M347" s="183"/>
      <c r="N347" s="184"/>
      <c r="P347" s="711"/>
    </row>
    <row r="348" spans="1:16" s="710" customFormat="1" ht="18" customHeight="1" x14ac:dyDescent="0.3">
      <c r="A348" s="699">
        <v>341</v>
      </c>
      <c r="B348" s="1285"/>
      <c r="C348" s="1393"/>
      <c r="D348" s="522" t="s">
        <v>1391</v>
      </c>
      <c r="E348" s="173"/>
      <c r="F348" s="173"/>
      <c r="G348" s="1264"/>
      <c r="H348" s="703"/>
      <c r="I348" s="665">
        <f>SUM(J348:N348)</f>
        <v>8000</v>
      </c>
      <c r="J348" s="183"/>
      <c r="K348" s="183"/>
      <c r="L348" s="183"/>
      <c r="M348" s="183">
        <f>SUM(M346:M347)</f>
        <v>8000</v>
      </c>
      <c r="N348" s="184"/>
      <c r="P348" s="711"/>
    </row>
    <row r="349" spans="1:16" s="710" customFormat="1" ht="18" customHeight="1" x14ac:dyDescent="0.3">
      <c r="A349" s="699">
        <v>342</v>
      </c>
      <c r="B349" s="1285"/>
      <c r="C349" s="1393"/>
      <c r="D349" s="524" t="s">
        <v>422</v>
      </c>
      <c r="E349" s="173"/>
      <c r="F349" s="173">
        <v>100</v>
      </c>
      <c r="G349" s="1264"/>
      <c r="H349" s="703" t="s">
        <v>25</v>
      </c>
      <c r="I349" s="668"/>
      <c r="J349" s="174"/>
      <c r="K349" s="174"/>
      <c r="L349" s="174"/>
      <c r="M349" s="174"/>
      <c r="N349" s="175"/>
      <c r="P349" s="711"/>
    </row>
    <row r="350" spans="1:16" s="1259" customFormat="1" ht="18" customHeight="1" x14ac:dyDescent="0.3">
      <c r="A350" s="699">
        <v>343</v>
      </c>
      <c r="B350" s="1286"/>
      <c r="C350" s="1392"/>
      <c r="D350" s="1240" t="s">
        <v>334</v>
      </c>
      <c r="E350" s="1241"/>
      <c r="F350" s="1241"/>
      <c r="G350" s="1264"/>
      <c r="H350" s="1242"/>
      <c r="I350" s="1243">
        <f>SUM(J350:N350)</f>
        <v>100</v>
      </c>
      <c r="J350" s="1244"/>
      <c r="K350" s="1244"/>
      <c r="L350" s="1244"/>
      <c r="M350" s="1244">
        <v>100</v>
      </c>
      <c r="N350" s="1245"/>
      <c r="P350" s="1260"/>
    </row>
    <row r="351" spans="1:16" s="1259" customFormat="1" ht="18" customHeight="1" x14ac:dyDescent="0.3">
      <c r="A351" s="699">
        <v>344</v>
      </c>
      <c r="B351" s="1286"/>
      <c r="C351" s="1392"/>
      <c r="D351" s="522" t="s">
        <v>1307</v>
      </c>
      <c r="E351" s="1241"/>
      <c r="F351" s="1241"/>
      <c r="G351" s="1264"/>
      <c r="H351" s="1242"/>
      <c r="I351" s="665">
        <f>SUM(J351:N351)</f>
        <v>100</v>
      </c>
      <c r="J351" s="1244"/>
      <c r="K351" s="1244"/>
      <c r="L351" s="1244"/>
      <c r="M351" s="183">
        <v>100</v>
      </c>
      <c r="N351" s="1245"/>
      <c r="P351" s="1260"/>
    </row>
    <row r="352" spans="1:16" s="710" customFormat="1" ht="18" customHeight="1" x14ac:dyDescent="0.3">
      <c r="A352" s="699">
        <v>345</v>
      </c>
      <c r="B352" s="1285"/>
      <c r="C352" s="1393"/>
      <c r="D352" s="522" t="s">
        <v>733</v>
      </c>
      <c r="E352" s="173"/>
      <c r="F352" s="173"/>
      <c r="G352" s="1264"/>
      <c r="H352" s="703"/>
      <c r="I352" s="920">
        <f>SUM(J352:N352)</f>
        <v>0</v>
      </c>
      <c r="J352" s="183"/>
      <c r="K352" s="183"/>
      <c r="L352" s="183"/>
      <c r="M352" s="183"/>
      <c r="N352" s="184"/>
      <c r="P352" s="711"/>
    </row>
    <row r="353" spans="1:16" s="710" customFormat="1" ht="18" customHeight="1" x14ac:dyDescent="0.3">
      <c r="A353" s="699">
        <v>346</v>
      </c>
      <c r="B353" s="1285"/>
      <c r="C353" s="1393"/>
      <c r="D353" s="522" t="s">
        <v>1391</v>
      </c>
      <c r="E353" s="173"/>
      <c r="F353" s="173"/>
      <c r="G353" s="1264"/>
      <c r="H353" s="703"/>
      <c r="I353" s="665">
        <f>SUM(J353:N353)</f>
        <v>100</v>
      </c>
      <c r="J353" s="183"/>
      <c r="K353" s="183"/>
      <c r="L353" s="183"/>
      <c r="M353" s="183">
        <f>SUM(M351:M352)</f>
        <v>100</v>
      </c>
      <c r="N353" s="184"/>
      <c r="P353" s="711"/>
    </row>
    <row r="354" spans="1:16" s="710" customFormat="1" ht="18" customHeight="1" x14ac:dyDescent="0.3">
      <c r="A354" s="699">
        <v>347</v>
      </c>
      <c r="B354" s="1285"/>
      <c r="C354" s="1393"/>
      <c r="D354" s="524" t="s">
        <v>423</v>
      </c>
      <c r="E354" s="173">
        <v>1120</v>
      </c>
      <c r="F354" s="173">
        <v>2500</v>
      </c>
      <c r="G354" s="1264">
        <v>1215</v>
      </c>
      <c r="H354" s="703" t="s">
        <v>25</v>
      </c>
      <c r="I354" s="668"/>
      <c r="J354" s="174"/>
      <c r="K354" s="174"/>
      <c r="L354" s="174"/>
      <c r="M354" s="174"/>
      <c r="N354" s="175"/>
      <c r="P354" s="711"/>
    </row>
    <row r="355" spans="1:16" s="1259" customFormat="1" ht="18" customHeight="1" x14ac:dyDescent="0.3">
      <c r="A355" s="699">
        <v>348</v>
      </c>
      <c r="B355" s="1286"/>
      <c r="C355" s="1392"/>
      <c r="D355" s="1240" t="s">
        <v>334</v>
      </c>
      <c r="E355" s="1241"/>
      <c r="F355" s="1241"/>
      <c r="G355" s="1264"/>
      <c r="H355" s="1242"/>
      <c r="I355" s="1243">
        <f>SUM(J355:N355)</f>
        <v>2000</v>
      </c>
      <c r="J355" s="1244"/>
      <c r="K355" s="1244"/>
      <c r="L355" s="1244"/>
      <c r="M355" s="1244">
        <v>2000</v>
      </c>
      <c r="N355" s="1245"/>
      <c r="P355" s="1260"/>
    </row>
    <row r="356" spans="1:16" s="1259" customFormat="1" ht="18" customHeight="1" x14ac:dyDescent="0.3">
      <c r="A356" s="699">
        <v>349</v>
      </c>
      <c r="B356" s="1286"/>
      <c r="C356" s="1392"/>
      <c r="D356" s="522" t="s">
        <v>1307</v>
      </c>
      <c r="E356" s="1241"/>
      <c r="F356" s="1241"/>
      <c r="G356" s="1264"/>
      <c r="H356" s="1242"/>
      <c r="I356" s="665">
        <f>SUM(J356:N356)</f>
        <v>2000</v>
      </c>
      <c r="J356" s="1244"/>
      <c r="K356" s="1244"/>
      <c r="L356" s="1244"/>
      <c r="M356" s="183">
        <v>2000</v>
      </c>
      <c r="N356" s="1245"/>
      <c r="P356" s="1260"/>
    </row>
    <row r="357" spans="1:16" s="710" customFormat="1" ht="18" customHeight="1" x14ac:dyDescent="0.3">
      <c r="A357" s="699">
        <v>350</v>
      </c>
      <c r="B357" s="1285"/>
      <c r="C357" s="1393"/>
      <c r="D357" s="522" t="s">
        <v>733</v>
      </c>
      <c r="E357" s="173"/>
      <c r="F357" s="173"/>
      <c r="G357" s="1264"/>
      <c r="H357" s="703"/>
      <c r="I357" s="158">
        <f>SUM(J357:Q357)</f>
        <v>0</v>
      </c>
      <c r="J357" s="183"/>
      <c r="K357" s="183"/>
      <c r="L357" s="183"/>
      <c r="M357" s="183"/>
      <c r="N357" s="184"/>
      <c r="P357" s="711"/>
    </row>
    <row r="358" spans="1:16" s="710" customFormat="1" ht="18" customHeight="1" x14ac:dyDescent="0.3">
      <c r="A358" s="699">
        <v>351</v>
      </c>
      <c r="B358" s="1285"/>
      <c r="C358" s="1393"/>
      <c r="D358" s="522" t="s">
        <v>1391</v>
      </c>
      <c r="E358" s="173"/>
      <c r="F358" s="173"/>
      <c r="G358" s="1264"/>
      <c r="H358" s="703"/>
      <c r="I358" s="665">
        <f>SUM(J358:N358)</f>
        <v>2000</v>
      </c>
      <c r="J358" s="183"/>
      <c r="K358" s="183"/>
      <c r="L358" s="183"/>
      <c r="M358" s="183">
        <f>SUM(M356:M357)</f>
        <v>2000</v>
      </c>
      <c r="N358" s="184"/>
      <c r="P358" s="711"/>
    </row>
    <row r="359" spans="1:16" s="710" customFormat="1" ht="18" customHeight="1" x14ac:dyDescent="0.3">
      <c r="A359" s="699">
        <v>352</v>
      </c>
      <c r="B359" s="1285"/>
      <c r="C359" s="1393"/>
      <c r="D359" s="524" t="s">
        <v>424</v>
      </c>
      <c r="E359" s="173">
        <v>17</v>
      </c>
      <c r="F359" s="173">
        <v>50</v>
      </c>
      <c r="G359" s="1264"/>
      <c r="H359" s="703" t="s">
        <v>25</v>
      </c>
      <c r="I359" s="668"/>
      <c r="J359" s="174"/>
      <c r="K359" s="174"/>
      <c r="L359" s="174"/>
      <c r="M359" s="174"/>
      <c r="N359" s="175"/>
      <c r="P359" s="711"/>
    </row>
    <row r="360" spans="1:16" s="1259" customFormat="1" ht="18" customHeight="1" x14ac:dyDescent="0.3">
      <c r="A360" s="699">
        <v>353</v>
      </c>
      <c r="B360" s="1286"/>
      <c r="C360" s="1392"/>
      <c r="D360" s="1240" t="s">
        <v>334</v>
      </c>
      <c r="E360" s="1241"/>
      <c r="F360" s="1241"/>
      <c r="G360" s="1264"/>
      <c r="H360" s="1242"/>
      <c r="I360" s="1243">
        <f>SUM(J360:N360)</f>
        <v>50</v>
      </c>
      <c r="J360" s="1244"/>
      <c r="K360" s="1244"/>
      <c r="L360" s="1244"/>
      <c r="M360" s="1244">
        <v>50</v>
      </c>
      <c r="N360" s="1245"/>
      <c r="P360" s="1260"/>
    </row>
    <row r="361" spans="1:16" s="1259" customFormat="1" ht="18" customHeight="1" x14ac:dyDescent="0.3">
      <c r="A361" s="699">
        <v>354</v>
      </c>
      <c r="B361" s="1286"/>
      <c r="C361" s="1392"/>
      <c r="D361" s="522" t="s">
        <v>1307</v>
      </c>
      <c r="E361" s="1241"/>
      <c r="F361" s="1241"/>
      <c r="G361" s="1264"/>
      <c r="H361" s="1242"/>
      <c r="I361" s="665">
        <f>SUM(J361:N361)</f>
        <v>50</v>
      </c>
      <c r="J361" s="1244"/>
      <c r="K361" s="1244"/>
      <c r="L361" s="1244"/>
      <c r="M361" s="183">
        <v>50</v>
      </c>
      <c r="N361" s="1245"/>
      <c r="P361" s="1260"/>
    </row>
    <row r="362" spans="1:16" s="710" customFormat="1" ht="18" customHeight="1" x14ac:dyDescent="0.3">
      <c r="A362" s="699">
        <v>355</v>
      </c>
      <c r="B362" s="1285"/>
      <c r="C362" s="1393"/>
      <c r="D362" s="522" t="s">
        <v>733</v>
      </c>
      <c r="E362" s="173"/>
      <c r="F362" s="173"/>
      <c r="G362" s="1264"/>
      <c r="H362" s="703"/>
      <c r="I362" s="158">
        <f>SUM(J362:Q362)</f>
        <v>0</v>
      </c>
      <c r="J362" s="183"/>
      <c r="K362" s="183"/>
      <c r="L362" s="183"/>
      <c r="M362" s="183"/>
      <c r="N362" s="184"/>
      <c r="P362" s="711"/>
    </row>
    <row r="363" spans="1:16" s="710" customFormat="1" ht="18" customHeight="1" x14ac:dyDescent="0.3">
      <c r="A363" s="699">
        <v>356</v>
      </c>
      <c r="B363" s="1285"/>
      <c r="C363" s="1393"/>
      <c r="D363" s="522" t="s">
        <v>1391</v>
      </c>
      <c r="E363" s="173"/>
      <c r="F363" s="173"/>
      <c r="G363" s="1264"/>
      <c r="H363" s="703"/>
      <c r="I363" s="665">
        <f>SUM(J363:N363)</f>
        <v>50</v>
      </c>
      <c r="J363" s="183"/>
      <c r="K363" s="183"/>
      <c r="L363" s="183"/>
      <c r="M363" s="183">
        <f>SUM(M361:M362)</f>
        <v>50</v>
      </c>
      <c r="N363" s="184"/>
      <c r="P363" s="711"/>
    </row>
    <row r="364" spans="1:16" s="710" customFormat="1" ht="18" customHeight="1" x14ac:dyDescent="0.3">
      <c r="A364" s="699">
        <v>357</v>
      </c>
      <c r="B364" s="1285"/>
      <c r="C364" s="1393"/>
      <c r="D364" s="524" t="s">
        <v>425</v>
      </c>
      <c r="E364" s="173">
        <v>1290</v>
      </c>
      <c r="F364" s="173">
        <v>3000</v>
      </c>
      <c r="G364" s="1264">
        <v>1080</v>
      </c>
      <c r="H364" s="703" t="s">
        <v>25</v>
      </c>
      <c r="I364" s="668"/>
      <c r="J364" s="174"/>
      <c r="K364" s="174"/>
      <c r="L364" s="174"/>
      <c r="M364" s="174"/>
      <c r="N364" s="175"/>
      <c r="P364" s="711"/>
    </row>
    <row r="365" spans="1:16" s="1259" customFormat="1" ht="18" customHeight="1" x14ac:dyDescent="0.3">
      <c r="A365" s="699">
        <v>358</v>
      </c>
      <c r="B365" s="1286"/>
      <c r="C365" s="1392"/>
      <c r="D365" s="1240" t="s">
        <v>334</v>
      </c>
      <c r="E365" s="1241"/>
      <c r="F365" s="1241"/>
      <c r="G365" s="1264"/>
      <c r="H365" s="1242"/>
      <c r="I365" s="1243">
        <f>SUM(J365:N365)</f>
        <v>1500</v>
      </c>
      <c r="J365" s="1244"/>
      <c r="K365" s="1244"/>
      <c r="L365" s="1244"/>
      <c r="M365" s="1244">
        <v>1500</v>
      </c>
      <c r="N365" s="1245"/>
      <c r="P365" s="1260"/>
    </row>
    <row r="366" spans="1:16" s="1259" customFormat="1" ht="18" customHeight="1" x14ac:dyDescent="0.3">
      <c r="A366" s="699">
        <v>359</v>
      </c>
      <c r="B366" s="1286"/>
      <c r="C366" s="1392"/>
      <c r="D366" s="522" t="s">
        <v>1307</v>
      </c>
      <c r="E366" s="1241"/>
      <c r="F366" s="1241"/>
      <c r="G366" s="1264"/>
      <c r="H366" s="1242"/>
      <c r="I366" s="665">
        <f>SUM(J366:N366)</f>
        <v>1500</v>
      </c>
      <c r="J366" s="1244"/>
      <c r="K366" s="1244"/>
      <c r="L366" s="1244"/>
      <c r="M366" s="183">
        <v>1500</v>
      </c>
      <c r="N366" s="1245"/>
      <c r="P366" s="1260"/>
    </row>
    <row r="367" spans="1:16" s="710" customFormat="1" ht="18" customHeight="1" x14ac:dyDescent="0.3">
      <c r="A367" s="699">
        <v>360</v>
      </c>
      <c r="B367" s="1285"/>
      <c r="C367" s="1393"/>
      <c r="D367" s="522" t="s">
        <v>733</v>
      </c>
      <c r="E367" s="173"/>
      <c r="F367" s="173"/>
      <c r="G367" s="1264"/>
      <c r="H367" s="703"/>
      <c r="I367" s="158">
        <f>SUM(J367:Q367)</f>
        <v>0</v>
      </c>
      <c r="J367" s="183"/>
      <c r="K367" s="183"/>
      <c r="L367" s="183"/>
      <c r="M367" s="183"/>
      <c r="N367" s="184"/>
      <c r="P367" s="711"/>
    </row>
    <row r="368" spans="1:16" s="710" customFormat="1" ht="18" customHeight="1" x14ac:dyDescent="0.3">
      <c r="A368" s="699">
        <v>361</v>
      </c>
      <c r="B368" s="1285"/>
      <c r="C368" s="1393"/>
      <c r="D368" s="522" t="s">
        <v>1391</v>
      </c>
      <c r="E368" s="173"/>
      <c r="F368" s="173"/>
      <c r="G368" s="1264"/>
      <c r="H368" s="703"/>
      <c r="I368" s="665">
        <f>SUM(J368:N368)</f>
        <v>1500</v>
      </c>
      <c r="J368" s="183"/>
      <c r="K368" s="183"/>
      <c r="L368" s="183"/>
      <c r="M368" s="183">
        <f>SUM(M366:M367)</f>
        <v>1500</v>
      </c>
      <c r="N368" s="184"/>
      <c r="P368" s="711"/>
    </row>
    <row r="369" spans="1:16" s="710" customFormat="1" ht="18" customHeight="1" x14ac:dyDescent="0.3">
      <c r="A369" s="699">
        <v>362</v>
      </c>
      <c r="B369" s="1285"/>
      <c r="C369" s="1393"/>
      <c r="D369" s="524" t="s">
        <v>426</v>
      </c>
      <c r="E369" s="173">
        <v>90</v>
      </c>
      <c r="F369" s="173">
        <v>400</v>
      </c>
      <c r="G369" s="1264"/>
      <c r="H369" s="703" t="s">
        <v>25</v>
      </c>
      <c r="I369" s="668"/>
      <c r="J369" s="174"/>
      <c r="K369" s="174"/>
      <c r="L369" s="174"/>
      <c r="M369" s="174"/>
      <c r="N369" s="175"/>
      <c r="P369" s="711"/>
    </row>
    <row r="370" spans="1:16" s="1259" customFormat="1" ht="18" customHeight="1" x14ac:dyDescent="0.3">
      <c r="A370" s="699">
        <v>363</v>
      </c>
      <c r="B370" s="1286"/>
      <c r="C370" s="1392"/>
      <c r="D370" s="1240" t="s">
        <v>334</v>
      </c>
      <c r="E370" s="1232"/>
      <c r="F370" s="1241"/>
      <c r="G370" s="1264"/>
      <c r="H370" s="1242"/>
      <c r="I370" s="1243">
        <f>SUM(J370:N370)</f>
        <v>400</v>
      </c>
      <c r="J370" s="1244"/>
      <c r="K370" s="1244"/>
      <c r="L370" s="1244"/>
      <c r="M370" s="1244">
        <v>400</v>
      </c>
      <c r="N370" s="1245"/>
      <c r="P370" s="1260"/>
    </row>
    <row r="371" spans="1:16" s="1259" customFormat="1" ht="18" customHeight="1" x14ac:dyDescent="0.3">
      <c r="A371" s="699">
        <v>364</v>
      </c>
      <c r="B371" s="1286"/>
      <c r="C371" s="1392"/>
      <c r="D371" s="522" t="s">
        <v>1307</v>
      </c>
      <c r="E371" s="1232"/>
      <c r="F371" s="1241"/>
      <c r="G371" s="1264"/>
      <c r="H371" s="1242"/>
      <c r="I371" s="665">
        <f>SUM(J371:N371)</f>
        <v>400</v>
      </c>
      <c r="J371" s="1244"/>
      <c r="K371" s="1244"/>
      <c r="L371" s="1244"/>
      <c r="M371" s="183">
        <v>400</v>
      </c>
      <c r="N371" s="1245"/>
      <c r="P371" s="1260"/>
    </row>
    <row r="372" spans="1:16" s="710" customFormat="1" ht="18" customHeight="1" x14ac:dyDescent="0.3">
      <c r="A372" s="699">
        <v>365</v>
      </c>
      <c r="B372" s="1285"/>
      <c r="C372" s="1393"/>
      <c r="D372" s="522" t="s">
        <v>733</v>
      </c>
      <c r="E372" s="164"/>
      <c r="F372" s="173"/>
      <c r="G372" s="1264"/>
      <c r="H372" s="703"/>
      <c r="I372" s="158">
        <f>SUM(J372:Q372)</f>
        <v>0</v>
      </c>
      <c r="J372" s="183"/>
      <c r="K372" s="183"/>
      <c r="L372" s="183"/>
      <c r="M372" s="183"/>
      <c r="N372" s="184"/>
      <c r="P372" s="711"/>
    </row>
    <row r="373" spans="1:16" s="710" customFormat="1" ht="18" customHeight="1" x14ac:dyDescent="0.3">
      <c r="A373" s="699">
        <v>366</v>
      </c>
      <c r="B373" s="1285"/>
      <c r="C373" s="1393"/>
      <c r="D373" s="522" t="s">
        <v>1391</v>
      </c>
      <c r="E373" s="164"/>
      <c r="F373" s="173"/>
      <c r="G373" s="1264"/>
      <c r="H373" s="703"/>
      <c r="I373" s="665">
        <f>SUM(J373:N373)</f>
        <v>400</v>
      </c>
      <c r="J373" s="183"/>
      <c r="K373" s="183"/>
      <c r="L373" s="183"/>
      <c r="M373" s="183">
        <f>SUM(M371:M372)</f>
        <v>400</v>
      </c>
      <c r="N373" s="184"/>
      <c r="P373" s="711"/>
    </row>
    <row r="374" spans="1:16" s="710" customFormat="1" ht="18" customHeight="1" x14ac:dyDescent="0.3">
      <c r="A374" s="699">
        <v>367</v>
      </c>
      <c r="B374" s="1285"/>
      <c r="C374" s="1393"/>
      <c r="D374" s="524" t="s">
        <v>427</v>
      </c>
      <c r="E374" s="164">
        <v>399</v>
      </c>
      <c r="F374" s="173">
        <v>600</v>
      </c>
      <c r="G374" s="1264">
        <v>197</v>
      </c>
      <c r="H374" s="703" t="s">
        <v>25</v>
      </c>
      <c r="I374" s="667"/>
      <c r="J374" s="183"/>
      <c r="K374" s="183"/>
      <c r="L374" s="183"/>
      <c r="M374" s="183"/>
      <c r="N374" s="184"/>
      <c r="P374" s="711"/>
    </row>
    <row r="375" spans="1:16" s="1259" customFormat="1" ht="18" customHeight="1" x14ac:dyDescent="0.3">
      <c r="A375" s="699">
        <v>368</v>
      </c>
      <c r="B375" s="1286"/>
      <c r="C375" s="1392"/>
      <c r="D375" s="1240" t="s">
        <v>334</v>
      </c>
      <c r="E375" s="1232"/>
      <c r="F375" s="1241"/>
      <c r="G375" s="1264"/>
      <c r="H375" s="1242"/>
      <c r="I375" s="1243">
        <f>SUM(J375:N375)</f>
        <v>600</v>
      </c>
      <c r="J375" s="1244"/>
      <c r="K375" s="1244"/>
      <c r="L375" s="1244"/>
      <c r="M375" s="1244">
        <v>600</v>
      </c>
      <c r="N375" s="1245"/>
      <c r="P375" s="1260"/>
    </row>
    <row r="376" spans="1:16" s="1259" customFormat="1" ht="18" customHeight="1" x14ac:dyDescent="0.3">
      <c r="A376" s="699">
        <v>369</v>
      </c>
      <c r="B376" s="1286"/>
      <c r="C376" s="1392"/>
      <c r="D376" s="522" t="s">
        <v>1307</v>
      </c>
      <c r="E376" s="1232"/>
      <c r="F376" s="1241"/>
      <c r="G376" s="1264"/>
      <c r="H376" s="1242"/>
      <c r="I376" s="665">
        <f>SUM(J376:N376)</f>
        <v>600</v>
      </c>
      <c r="J376" s="1244"/>
      <c r="K376" s="1244"/>
      <c r="L376" s="1244"/>
      <c r="M376" s="183">
        <v>600</v>
      </c>
      <c r="N376" s="1245"/>
      <c r="P376" s="1260"/>
    </row>
    <row r="377" spans="1:16" s="710" customFormat="1" ht="18" customHeight="1" x14ac:dyDescent="0.3">
      <c r="A377" s="699">
        <v>370</v>
      </c>
      <c r="B377" s="1285"/>
      <c r="C377" s="1393"/>
      <c r="D377" s="522" t="s">
        <v>733</v>
      </c>
      <c r="E377" s="164"/>
      <c r="F377" s="173"/>
      <c r="G377" s="1264"/>
      <c r="H377" s="703"/>
      <c r="I377" s="158">
        <f>SUM(J377:Q377)</f>
        <v>0</v>
      </c>
      <c r="J377" s="183"/>
      <c r="K377" s="183"/>
      <c r="L377" s="183"/>
      <c r="M377" s="183"/>
      <c r="N377" s="184"/>
      <c r="P377" s="711"/>
    </row>
    <row r="378" spans="1:16" s="710" customFormat="1" ht="18" customHeight="1" x14ac:dyDescent="0.3">
      <c r="A378" s="699">
        <v>371</v>
      </c>
      <c r="B378" s="1285"/>
      <c r="C378" s="1393"/>
      <c r="D378" s="522" t="s">
        <v>1391</v>
      </c>
      <c r="E378" s="164"/>
      <c r="F378" s="173"/>
      <c r="G378" s="1264"/>
      <c r="H378" s="703"/>
      <c r="I378" s="665">
        <f>SUM(J378:N378)</f>
        <v>600</v>
      </c>
      <c r="J378" s="183"/>
      <c r="K378" s="183"/>
      <c r="L378" s="183"/>
      <c r="M378" s="183">
        <f>SUM(M376:M377)</f>
        <v>600</v>
      </c>
      <c r="N378" s="184"/>
      <c r="P378" s="711"/>
    </row>
    <row r="379" spans="1:16" s="3" customFormat="1" ht="22.5" customHeight="1" x14ac:dyDescent="0.3">
      <c r="A379" s="699">
        <v>372</v>
      </c>
      <c r="B379" s="1282"/>
      <c r="C379" s="1387">
        <v>40</v>
      </c>
      <c r="D379" s="691" t="s">
        <v>79</v>
      </c>
      <c r="E379" s="164">
        <v>4137</v>
      </c>
      <c r="F379" s="164">
        <v>5500</v>
      </c>
      <c r="G379" s="1277">
        <v>4045</v>
      </c>
      <c r="H379" s="702" t="s">
        <v>24</v>
      </c>
      <c r="I379" s="665"/>
      <c r="J379" s="168"/>
      <c r="K379" s="168"/>
      <c r="L379" s="168"/>
      <c r="M379" s="168"/>
      <c r="N379" s="169"/>
      <c r="P379" s="10"/>
    </row>
    <row r="380" spans="1:16" s="1237" customFormat="1" ht="18" customHeight="1" x14ac:dyDescent="0.3">
      <c r="A380" s="699">
        <v>373</v>
      </c>
      <c r="B380" s="1283"/>
      <c r="C380" s="1388"/>
      <c r="D380" s="1231" t="s">
        <v>334</v>
      </c>
      <c r="E380" s="1232"/>
      <c r="F380" s="1232"/>
      <c r="G380" s="1277"/>
      <c r="H380" s="1233"/>
      <c r="I380" s="1234">
        <f>SUM(J380:N380)</f>
        <v>4500</v>
      </c>
      <c r="J380" s="1235"/>
      <c r="K380" s="1235"/>
      <c r="L380" s="1235"/>
      <c r="M380" s="1235">
        <v>4500</v>
      </c>
      <c r="N380" s="1236"/>
    </row>
    <row r="381" spans="1:16" s="1237" customFormat="1" ht="18" customHeight="1" x14ac:dyDescent="0.3">
      <c r="A381" s="699">
        <v>374</v>
      </c>
      <c r="B381" s="1283"/>
      <c r="C381" s="1388"/>
      <c r="D381" s="690" t="s">
        <v>1307</v>
      </c>
      <c r="E381" s="1232"/>
      <c r="F381" s="1232"/>
      <c r="G381" s="1277"/>
      <c r="H381" s="1233"/>
      <c r="I381" s="665">
        <f>SUM(J381:N381)</f>
        <v>4678</v>
      </c>
      <c r="J381" s="1235"/>
      <c r="K381" s="1235"/>
      <c r="L381" s="1235"/>
      <c r="M381" s="527">
        <v>4678</v>
      </c>
      <c r="N381" s="1236"/>
    </row>
    <row r="382" spans="1:16" s="10" customFormat="1" ht="18" customHeight="1" x14ac:dyDescent="0.3">
      <c r="A382" s="699">
        <v>375</v>
      </c>
      <c r="B382" s="1284"/>
      <c r="C382" s="1389"/>
      <c r="D382" s="1150" t="s">
        <v>834</v>
      </c>
      <c r="E382" s="164"/>
      <c r="F382" s="164"/>
      <c r="G382" s="1277"/>
      <c r="H382" s="702"/>
      <c r="I382" s="158">
        <f>SUM(J382:Q382)</f>
        <v>0</v>
      </c>
      <c r="J382" s="168"/>
      <c r="K382" s="168"/>
      <c r="L382" s="168"/>
      <c r="M382" s="183"/>
      <c r="N382" s="169"/>
    </row>
    <row r="383" spans="1:16" s="1699" customFormat="1" ht="18" customHeight="1" x14ac:dyDescent="0.3">
      <c r="A383" s="699">
        <v>376</v>
      </c>
      <c r="B383" s="1295"/>
      <c r="C383" s="1390"/>
      <c r="D383" s="690" t="s">
        <v>1391</v>
      </c>
      <c r="E383" s="1305"/>
      <c r="F383" s="1305"/>
      <c r="G383" s="1306"/>
      <c r="H383" s="702"/>
      <c r="I383" s="665">
        <f>SUM(J383:N383)</f>
        <v>4678</v>
      </c>
      <c r="J383" s="527"/>
      <c r="K383" s="527"/>
      <c r="L383" s="527"/>
      <c r="M383" s="527">
        <f>SUM(M381:M382)</f>
        <v>4678</v>
      </c>
      <c r="N383" s="520"/>
    </row>
    <row r="384" spans="1:16" s="110" customFormat="1" ht="22.5" customHeight="1" x14ac:dyDescent="0.35">
      <c r="A384" s="699">
        <v>377</v>
      </c>
      <c r="B384" s="1293"/>
      <c r="C384" s="1387">
        <v>41</v>
      </c>
      <c r="D384" s="691" t="s">
        <v>80</v>
      </c>
      <c r="E384" s="164">
        <v>12438</v>
      </c>
      <c r="F384" s="164">
        <v>15500</v>
      </c>
      <c r="G384" s="1277">
        <v>8951</v>
      </c>
      <c r="H384" s="702" t="s">
        <v>25</v>
      </c>
      <c r="I384" s="665"/>
      <c r="J384" s="527"/>
      <c r="K384" s="527"/>
      <c r="L384" s="527"/>
      <c r="M384" s="527"/>
      <c r="N384" s="520"/>
      <c r="P384" s="1699"/>
    </row>
    <row r="385" spans="1:16" s="1237" customFormat="1" ht="18" customHeight="1" x14ac:dyDescent="0.3">
      <c r="A385" s="699">
        <v>378</v>
      </c>
      <c r="B385" s="1283"/>
      <c r="C385" s="1388"/>
      <c r="D385" s="1231" t="s">
        <v>334</v>
      </c>
      <c r="E385" s="1232"/>
      <c r="F385" s="1232"/>
      <c r="G385" s="1277"/>
      <c r="H385" s="1233"/>
      <c r="I385" s="1234">
        <f>SUM(J385:N385)</f>
        <v>11447</v>
      </c>
      <c r="J385" s="1235">
        <v>10300</v>
      </c>
      <c r="K385" s="1235">
        <v>1000</v>
      </c>
      <c r="L385" s="1235">
        <v>147</v>
      </c>
      <c r="M385" s="1235"/>
      <c r="N385" s="1236"/>
    </row>
    <row r="386" spans="1:16" s="1237" customFormat="1" ht="18" customHeight="1" x14ac:dyDescent="0.3">
      <c r="A386" s="699">
        <v>379</v>
      </c>
      <c r="B386" s="1283"/>
      <c r="C386" s="1388"/>
      <c r="D386" s="690" t="s">
        <v>1307</v>
      </c>
      <c r="E386" s="1232"/>
      <c r="F386" s="1232"/>
      <c r="G386" s="1277"/>
      <c r="H386" s="1233"/>
      <c r="I386" s="665">
        <f>SUM(J386:N386)</f>
        <v>12318</v>
      </c>
      <c r="J386" s="527">
        <v>10714</v>
      </c>
      <c r="K386" s="527">
        <v>1112</v>
      </c>
      <c r="L386" s="527">
        <v>147</v>
      </c>
      <c r="M386" s="1235"/>
      <c r="N386" s="520">
        <v>345</v>
      </c>
    </row>
    <row r="387" spans="1:16" s="10" customFormat="1" ht="18" customHeight="1" x14ac:dyDescent="0.3">
      <c r="A387" s="699">
        <v>380</v>
      </c>
      <c r="B387" s="1284"/>
      <c r="C387" s="1389"/>
      <c r="D387" s="1150" t="s">
        <v>834</v>
      </c>
      <c r="E387" s="164"/>
      <c r="F387" s="164"/>
      <c r="G387" s="1277"/>
      <c r="H387" s="702"/>
      <c r="I387" s="158">
        <f>SUM(J387:Q387)</f>
        <v>0</v>
      </c>
      <c r="J387" s="168"/>
      <c r="K387" s="168"/>
      <c r="L387" s="168"/>
      <c r="M387" s="168"/>
      <c r="N387" s="184"/>
    </row>
    <row r="388" spans="1:16" s="1699" customFormat="1" ht="18" customHeight="1" x14ac:dyDescent="0.3">
      <c r="A388" s="699">
        <v>381</v>
      </c>
      <c r="B388" s="1295"/>
      <c r="C388" s="1390"/>
      <c r="D388" s="690" t="s">
        <v>1391</v>
      </c>
      <c r="E388" s="1305"/>
      <c r="F388" s="1305"/>
      <c r="G388" s="1306"/>
      <c r="H388" s="702"/>
      <c r="I388" s="665">
        <f>SUM(J388:N388)</f>
        <v>12318</v>
      </c>
      <c r="J388" s="527">
        <f>SUM(J386:J387)</f>
        <v>10714</v>
      </c>
      <c r="K388" s="527">
        <f t="shared" ref="K388:L388" si="26">SUM(K386:K387)</f>
        <v>1112</v>
      </c>
      <c r="L388" s="527">
        <f t="shared" si="26"/>
        <v>147</v>
      </c>
      <c r="M388" s="527"/>
      <c r="N388" s="520">
        <f>SUM(N386:N387)</f>
        <v>345</v>
      </c>
    </row>
    <row r="389" spans="1:16" s="110" customFormat="1" ht="22.5" customHeight="1" x14ac:dyDescent="0.35">
      <c r="A389" s="699">
        <v>382</v>
      </c>
      <c r="B389" s="1293"/>
      <c r="C389" s="1387">
        <v>42</v>
      </c>
      <c r="D389" s="691" t="s">
        <v>288</v>
      </c>
      <c r="E389" s="164">
        <v>1504</v>
      </c>
      <c r="F389" s="164">
        <v>2000</v>
      </c>
      <c r="G389" s="1277">
        <v>1129</v>
      </c>
      <c r="H389" s="702" t="s">
        <v>25</v>
      </c>
      <c r="I389" s="665"/>
      <c r="J389" s="527"/>
      <c r="K389" s="527"/>
      <c r="L389" s="527"/>
      <c r="M389" s="527"/>
      <c r="N389" s="520"/>
      <c r="P389" s="1699"/>
    </row>
    <row r="390" spans="1:16" s="1237" customFormat="1" ht="18" customHeight="1" x14ac:dyDescent="0.3">
      <c r="A390" s="699">
        <v>383</v>
      </c>
      <c r="B390" s="1283"/>
      <c r="C390" s="1388"/>
      <c r="D390" s="1231" t="s">
        <v>334</v>
      </c>
      <c r="E390" s="1232"/>
      <c r="F390" s="1232"/>
      <c r="G390" s="1277"/>
      <c r="H390" s="1233"/>
      <c r="I390" s="1234">
        <f>SUM(J390:N390)</f>
        <v>1560</v>
      </c>
      <c r="J390" s="1235">
        <v>1305</v>
      </c>
      <c r="K390" s="1235">
        <v>255</v>
      </c>
      <c r="L390" s="1235"/>
      <c r="M390" s="1235"/>
      <c r="N390" s="1236"/>
    </row>
    <row r="391" spans="1:16" s="1237" customFormat="1" ht="18" customHeight="1" x14ac:dyDescent="0.3">
      <c r="A391" s="699">
        <v>384</v>
      </c>
      <c r="B391" s="1283"/>
      <c r="C391" s="1388"/>
      <c r="D391" s="690" t="s">
        <v>1307</v>
      </c>
      <c r="E391" s="1232"/>
      <c r="F391" s="1232"/>
      <c r="G391" s="1277"/>
      <c r="H391" s="1233"/>
      <c r="I391" s="665">
        <f>SUM(J391:N391)</f>
        <v>2031</v>
      </c>
      <c r="J391" s="527">
        <v>1634</v>
      </c>
      <c r="K391" s="527">
        <v>397</v>
      </c>
      <c r="L391" s="1235"/>
      <c r="M391" s="1235"/>
      <c r="N391" s="1236"/>
    </row>
    <row r="392" spans="1:16" s="10" customFormat="1" ht="18" customHeight="1" x14ac:dyDescent="0.3">
      <c r="A392" s="699">
        <v>385</v>
      </c>
      <c r="B392" s="1284"/>
      <c r="C392" s="1389"/>
      <c r="D392" s="1150" t="s">
        <v>834</v>
      </c>
      <c r="E392" s="164"/>
      <c r="F392" s="164"/>
      <c r="G392" s="1277"/>
      <c r="H392" s="702"/>
      <c r="I392" s="158">
        <f>SUM(J392:Q392)</f>
        <v>0</v>
      </c>
      <c r="J392" s="183"/>
      <c r="K392" s="183"/>
      <c r="L392" s="168"/>
      <c r="M392" s="168"/>
      <c r="N392" s="169"/>
    </row>
    <row r="393" spans="1:16" s="1699" customFormat="1" ht="18" customHeight="1" x14ac:dyDescent="0.3">
      <c r="A393" s="699">
        <v>386</v>
      </c>
      <c r="B393" s="1295"/>
      <c r="C393" s="1390"/>
      <c r="D393" s="690" t="s">
        <v>1391</v>
      </c>
      <c r="E393" s="1305"/>
      <c r="F393" s="1305"/>
      <c r="G393" s="1306"/>
      <c r="H393" s="702"/>
      <c r="I393" s="665">
        <f>SUM(J393:N393)</f>
        <v>2031</v>
      </c>
      <c r="J393" s="527">
        <f>SUM(J391:J392)</f>
        <v>1634</v>
      </c>
      <c r="K393" s="527">
        <f>SUM(K391:K392)</f>
        <v>397</v>
      </c>
      <c r="L393" s="527"/>
      <c r="M393" s="527"/>
      <c r="N393" s="520"/>
    </row>
    <row r="394" spans="1:16" s="110" customFormat="1" ht="22.5" customHeight="1" x14ac:dyDescent="0.35">
      <c r="A394" s="699">
        <v>387</v>
      </c>
      <c r="B394" s="1293"/>
      <c r="C394" s="1387">
        <v>43</v>
      </c>
      <c r="D394" s="691" t="s">
        <v>81</v>
      </c>
      <c r="E394" s="164">
        <v>10</v>
      </c>
      <c r="F394" s="164">
        <v>100</v>
      </c>
      <c r="G394" s="1277">
        <v>2</v>
      </c>
      <c r="H394" s="702" t="s">
        <v>25</v>
      </c>
      <c r="I394" s="665"/>
      <c r="J394" s="527"/>
      <c r="K394" s="527"/>
      <c r="L394" s="527"/>
      <c r="M394" s="527"/>
      <c r="N394" s="520"/>
      <c r="P394" s="1699"/>
    </row>
    <row r="395" spans="1:16" s="1237" customFormat="1" ht="18" customHeight="1" x14ac:dyDescent="0.3">
      <c r="A395" s="699">
        <v>388</v>
      </c>
      <c r="B395" s="1283"/>
      <c r="C395" s="1388"/>
      <c r="D395" s="1231" t="s">
        <v>334</v>
      </c>
      <c r="E395" s="1232"/>
      <c r="F395" s="1232"/>
      <c r="G395" s="1277"/>
      <c r="H395" s="1233"/>
      <c r="I395" s="1234">
        <f>SUM(J395:N395)</f>
        <v>100</v>
      </c>
      <c r="J395" s="1235"/>
      <c r="K395" s="1235"/>
      <c r="L395" s="1235"/>
      <c r="M395" s="1235">
        <v>100</v>
      </c>
      <c r="N395" s="1236"/>
    </row>
    <row r="396" spans="1:16" s="1237" customFormat="1" ht="18" customHeight="1" x14ac:dyDescent="0.3">
      <c r="A396" s="699">
        <v>389</v>
      </c>
      <c r="B396" s="1283"/>
      <c r="C396" s="1388"/>
      <c r="D396" s="690" t="s">
        <v>1307</v>
      </c>
      <c r="E396" s="1232"/>
      <c r="F396" s="1232"/>
      <c r="G396" s="1277"/>
      <c r="H396" s="1233"/>
      <c r="I396" s="665">
        <f>SUM(J396:N396)</f>
        <v>100</v>
      </c>
      <c r="J396" s="1235"/>
      <c r="K396" s="1235"/>
      <c r="L396" s="1235"/>
      <c r="M396" s="527">
        <v>100</v>
      </c>
      <c r="N396" s="1236"/>
    </row>
    <row r="397" spans="1:16" s="10" customFormat="1" ht="18" customHeight="1" x14ac:dyDescent="0.3">
      <c r="A397" s="699">
        <v>390</v>
      </c>
      <c r="B397" s="1284"/>
      <c r="C397" s="1389"/>
      <c r="D397" s="1150" t="s">
        <v>733</v>
      </c>
      <c r="E397" s="164"/>
      <c r="F397" s="164"/>
      <c r="G397" s="1277"/>
      <c r="H397" s="702"/>
      <c r="I397" s="158">
        <f>SUM(J397:Q397)</f>
        <v>0</v>
      </c>
      <c r="J397" s="168"/>
      <c r="K397" s="168"/>
      <c r="L397" s="168"/>
      <c r="M397" s="168"/>
      <c r="N397" s="169"/>
    </row>
    <row r="398" spans="1:16" s="1699" customFormat="1" ht="18" customHeight="1" x14ac:dyDescent="0.3">
      <c r="A398" s="699">
        <v>391</v>
      </c>
      <c r="B398" s="1295"/>
      <c r="C398" s="1390"/>
      <c r="D398" s="690" t="s">
        <v>1391</v>
      </c>
      <c r="E398" s="1305"/>
      <c r="F398" s="1305"/>
      <c r="G398" s="1306"/>
      <c r="H398" s="702"/>
      <c r="I398" s="665">
        <f>SUM(J398:N398)</f>
        <v>100</v>
      </c>
      <c r="J398" s="527"/>
      <c r="K398" s="527"/>
      <c r="L398" s="527"/>
      <c r="M398" s="527">
        <f>SUM(M396:M397)</f>
        <v>100</v>
      </c>
      <c r="N398" s="520"/>
    </row>
    <row r="399" spans="1:16" s="110" customFormat="1" ht="22.5" customHeight="1" x14ac:dyDescent="0.35">
      <c r="A399" s="699">
        <v>392</v>
      </c>
      <c r="B399" s="1293"/>
      <c r="C399" s="1387">
        <v>44</v>
      </c>
      <c r="D399" s="691" t="s">
        <v>82</v>
      </c>
      <c r="E399" s="164">
        <v>9943</v>
      </c>
      <c r="F399" s="164">
        <v>12000</v>
      </c>
      <c r="G399" s="1277">
        <v>8674</v>
      </c>
      <c r="H399" s="702" t="s">
        <v>25</v>
      </c>
      <c r="I399" s="665"/>
      <c r="J399" s="527"/>
      <c r="K399" s="527"/>
      <c r="L399" s="527"/>
      <c r="M399" s="527"/>
      <c r="N399" s="520"/>
      <c r="P399" s="1699"/>
    </row>
    <row r="400" spans="1:16" s="110" customFormat="1" ht="22.5" customHeight="1" x14ac:dyDescent="0.35">
      <c r="A400" s="699">
        <v>393</v>
      </c>
      <c r="B400" s="1293"/>
      <c r="C400" s="1387"/>
      <c r="D400" s="690" t="s">
        <v>1307</v>
      </c>
      <c r="E400" s="164"/>
      <c r="F400" s="164"/>
      <c r="G400" s="1277"/>
      <c r="H400" s="702"/>
      <c r="I400" s="665">
        <f>SUM(J400:N400)</f>
        <v>650</v>
      </c>
      <c r="J400" s="527"/>
      <c r="K400" s="527"/>
      <c r="L400" s="527"/>
      <c r="M400" s="527">
        <v>650</v>
      </c>
      <c r="N400" s="520"/>
      <c r="P400" s="1699"/>
    </row>
    <row r="401" spans="1:16" s="10" customFormat="1" ht="18" customHeight="1" x14ac:dyDescent="0.3">
      <c r="A401" s="699">
        <v>394</v>
      </c>
      <c r="B401" s="1284"/>
      <c r="C401" s="1389"/>
      <c r="D401" s="1150" t="s">
        <v>834</v>
      </c>
      <c r="E401" s="164"/>
      <c r="F401" s="164"/>
      <c r="G401" s="1277"/>
      <c r="H401" s="702"/>
      <c r="I401" s="158">
        <f>SUM(J401:Q401)</f>
        <v>0</v>
      </c>
      <c r="J401" s="168"/>
      <c r="K401" s="168"/>
      <c r="L401" s="168"/>
      <c r="M401" s="183"/>
      <c r="N401" s="169"/>
    </row>
    <row r="402" spans="1:16" s="1699" customFormat="1" ht="18" customHeight="1" x14ac:dyDescent="0.3">
      <c r="A402" s="699">
        <v>395</v>
      </c>
      <c r="B402" s="1295"/>
      <c r="C402" s="1390"/>
      <c r="D402" s="690" t="s">
        <v>1391</v>
      </c>
      <c r="E402" s="1305"/>
      <c r="F402" s="1305"/>
      <c r="G402" s="1306"/>
      <c r="H402" s="702"/>
      <c r="I402" s="665">
        <f>SUM(J402:N402)</f>
        <v>650</v>
      </c>
      <c r="J402" s="527"/>
      <c r="K402" s="527"/>
      <c r="L402" s="527"/>
      <c r="M402" s="527">
        <f>SUM(M400:M401)</f>
        <v>650</v>
      </c>
      <c r="N402" s="520"/>
    </row>
    <row r="403" spans="1:16" s="110" customFormat="1" ht="22.5" customHeight="1" x14ac:dyDescent="0.35">
      <c r="A403" s="699">
        <v>396</v>
      </c>
      <c r="B403" s="1293"/>
      <c r="C403" s="1387">
        <v>45</v>
      </c>
      <c r="D403" s="691" t="s">
        <v>313</v>
      </c>
      <c r="E403" s="164">
        <v>6000</v>
      </c>
      <c r="F403" s="164">
        <v>6000</v>
      </c>
      <c r="G403" s="1277">
        <v>6000</v>
      </c>
      <c r="H403" s="702" t="s">
        <v>24</v>
      </c>
      <c r="I403" s="665"/>
      <c r="J403" s="527"/>
      <c r="K403" s="527"/>
      <c r="L403" s="527"/>
      <c r="M403" s="527"/>
      <c r="N403" s="520"/>
      <c r="P403" s="1699"/>
    </row>
    <row r="404" spans="1:16" s="1237" customFormat="1" ht="18" customHeight="1" x14ac:dyDescent="0.3">
      <c r="A404" s="699">
        <v>397</v>
      </c>
      <c r="B404" s="1283"/>
      <c r="C404" s="1388"/>
      <c r="D404" s="1231" t="s">
        <v>334</v>
      </c>
      <c r="E404" s="1232"/>
      <c r="F404" s="1232"/>
      <c r="G404" s="1277"/>
      <c r="H404" s="1233"/>
      <c r="I404" s="1234">
        <f>SUM(J404:N404)</f>
        <v>6000</v>
      </c>
      <c r="J404" s="1235"/>
      <c r="K404" s="1235"/>
      <c r="L404" s="1235">
        <v>6000</v>
      </c>
      <c r="M404" s="1235"/>
      <c r="N404" s="1236"/>
    </row>
    <row r="405" spans="1:16" s="1237" customFormat="1" ht="18" customHeight="1" x14ac:dyDescent="0.3">
      <c r="A405" s="699">
        <v>398</v>
      </c>
      <c r="B405" s="1283"/>
      <c r="C405" s="1388"/>
      <c r="D405" s="690" t="s">
        <v>1307</v>
      </c>
      <c r="E405" s="1232"/>
      <c r="F405" s="1232"/>
      <c r="G405" s="1277"/>
      <c r="H405" s="1233"/>
      <c r="I405" s="665">
        <f>SUM(J405:N405)</f>
        <v>6000</v>
      </c>
      <c r="J405" s="1235"/>
      <c r="K405" s="1235"/>
      <c r="L405" s="527">
        <v>6000</v>
      </c>
      <c r="M405" s="1235"/>
      <c r="N405" s="1236"/>
    </row>
    <row r="406" spans="1:16" s="10" customFormat="1" ht="18" customHeight="1" x14ac:dyDescent="0.3">
      <c r="A406" s="699">
        <v>399</v>
      </c>
      <c r="B406" s="1284"/>
      <c r="C406" s="1389"/>
      <c r="D406" s="1150" t="s">
        <v>733</v>
      </c>
      <c r="E406" s="164"/>
      <c r="F406" s="164"/>
      <c r="G406" s="1277"/>
      <c r="H406" s="702"/>
      <c r="I406" s="158">
        <f>SUM(J406:Q406)</f>
        <v>0</v>
      </c>
      <c r="J406" s="168"/>
      <c r="K406" s="168"/>
      <c r="L406" s="168"/>
      <c r="M406" s="168"/>
      <c r="N406" s="169"/>
    </row>
    <row r="407" spans="1:16" s="1699" customFormat="1" ht="18" customHeight="1" x14ac:dyDescent="0.3">
      <c r="A407" s="699">
        <v>400</v>
      </c>
      <c r="B407" s="1295"/>
      <c r="C407" s="1390"/>
      <c r="D407" s="690" t="s">
        <v>1391</v>
      </c>
      <c r="E407" s="1305"/>
      <c r="F407" s="1305"/>
      <c r="G407" s="1306"/>
      <c r="H407" s="702"/>
      <c r="I407" s="665">
        <f>SUM(J407:N407)</f>
        <v>6000</v>
      </c>
      <c r="J407" s="527"/>
      <c r="K407" s="527"/>
      <c r="L407" s="527">
        <f>SUM(L405:L406)</f>
        <v>6000</v>
      </c>
      <c r="M407" s="527"/>
      <c r="N407" s="520"/>
    </row>
    <row r="408" spans="1:16" s="110" customFormat="1" ht="22.5" customHeight="1" x14ac:dyDescent="0.35">
      <c r="A408" s="699">
        <v>401</v>
      </c>
      <c r="B408" s="1293"/>
      <c r="C408" s="1387">
        <v>46</v>
      </c>
      <c r="D408" s="691" t="s">
        <v>331</v>
      </c>
      <c r="E408" s="164">
        <v>12000</v>
      </c>
      <c r="F408" s="164">
        <v>12000</v>
      </c>
      <c r="G408" s="1277">
        <v>12000</v>
      </c>
      <c r="H408" s="702" t="s">
        <v>24</v>
      </c>
      <c r="I408" s="665"/>
      <c r="J408" s="527"/>
      <c r="K408" s="527"/>
      <c r="L408" s="527"/>
      <c r="M408" s="527"/>
      <c r="N408" s="520"/>
      <c r="P408" s="1699"/>
    </row>
    <row r="409" spans="1:16" s="1237" customFormat="1" ht="18" customHeight="1" x14ac:dyDescent="0.3">
      <c r="A409" s="699">
        <v>402</v>
      </c>
      <c r="B409" s="1283"/>
      <c r="C409" s="1388"/>
      <c r="D409" s="1231" t="s">
        <v>334</v>
      </c>
      <c r="E409" s="1232"/>
      <c r="F409" s="1232"/>
      <c r="G409" s="1277"/>
      <c r="H409" s="1233"/>
      <c r="I409" s="1234">
        <f>SUM(J409:N409)</f>
        <v>12000</v>
      </c>
      <c r="J409" s="1235"/>
      <c r="K409" s="1235"/>
      <c r="L409" s="1235"/>
      <c r="M409" s="1235"/>
      <c r="N409" s="1236">
        <v>12000</v>
      </c>
    </row>
    <row r="410" spans="1:16" s="1237" customFormat="1" ht="18" customHeight="1" x14ac:dyDescent="0.3">
      <c r="A410" s="699">
        <v>403</v>
      </c>
      <c r="B410" s="1283"/>
      <c r="C410" s="1388"/>
      <c r="D410" s="690" t="s">
        <v>1307</v>
      </c>
      <c r="E410" s="1232"/>
      <c r="F410" s="1232"/>
      <c r="G410" s="1277"/>
      <c r="H410" s="1233"/>
      <c r="I410" s="665">
        <f>SUM(J410:N410)</f>
        <v>12000</v>
      </c>
      <c r="J410" s="1235"/>
      <c r="K410" s="1235"/>
      <c r="L410" s="1235"/>
      <c r="M410" s="1235"/>
      <c r="N410" s="520">
        <v>12000</v>
      </c>
    </row>
    <row r="411" spans="1:16" s="10" customFormat="1" ht="18" customHeight="1" x14ac:dyDescent="0.3">
      <c r="A411" s="699">
        <v>404</v>
      </c>
      <c r="B411" s="1284"/>
      <c r="C411" s="1389"/>
      <c r="D411" s="1150" t="s">
        <v>733</v>
      </c>
      <c r="E411" s="164"/>
      <c r="F411" s="164"/>
      <c r="G411" s="1277"/>
      <c r="H411" s="702"/>
      <c r="I411" s="158">
        <f>SUM(J411:Q411)</f>
        <v>0</v>
      </c>
      <c r="J411" s="168"/>
      <c r="K411" s="168"/>
      <c r="L411" s="168"/>
      <c r="M411" s="168"/>
      <c r="N411" s="169"/>
    </row>
    <row r="412" spans="1:16" s="1699" customFormat="1" ht="18" customHeight="1" x14ac:dyDescent="0.3">
      <c r="A412" s="699">
        <v>405</v>
      </c>
      <c r="B412" s="1295"/>
      <c r="C412" s="1390"/>
      <c r="D412" s="690" t="s">
        <v>1391</v>
      </c>
      <c r="E412" s="1305"/>
      <c r="F412" s="1305"/>
      <c r="G412" s="1306"/>
      <c r="H412" s="702"/>
      <c r="I412" s="665">
        <f>SUM(J412:N412)</f>
        <v>12000</v>
      </c>
      <c r="J412" s="527"/>
      <c r="K412" s="527"/>
      <c r="L412" s="527"/>
      <c r="M412" s="527"/>
      <c r="N412" s="520">
        <f>SUM(N410:N411)</f>
        <v>12000</v>
      </c>
    </row>
    <row r="413" spans="1:16" s="110" customFormat="1" ht="22.5" customHeight="1" x14ac:dyDescent="0.35">
      <c r="A413" s="699">
        <v>406</v>
      </c>
      <c r="B413" s="1293"/>
      <c r="C413" s="1387">
        <v>47</v>
      </c>
      <c r="D413" s="691" t="s">
        <v>83</v>
      </c>
      <c r="E413" s="164">
        <v>60000</v>
      </c>
      <c r="F413" s="164">
        <v>60000</v>
      </c>
      <c r="G413" s="1277">
        <v>60000</v>
      </c>
      <c r="H413" s="702" t="s">
        <v>24</v>
      </c>
      <c r="I413" s="665"/>
      <c r="J413" s="527"/>
      <c r="K413" s="527"/>
      <c r="L413" s="527"/>
      <c r="M413" s="527"/>
      <c r="N413" s="520"/>
      <c r="P413" s="1699"/>
    </row>
    <row r="414" spans="1:16" s="1237" customFormat="1" ht="18" customHeight="1" x14ac:dyDescent="0.3">
      <c r="A414" s="699">
        <v>407</v>
      </c>
      <c r="B414" s="1283"/>
      <c r="C414" s="1388"/>
      <c r="D414" s="1231" t="s">
        <v>334</v>
      </c>
      <c r="E414" s="1232"/>
      <c r="F414" s="1232"/>
      <c r="G414" s="1277"/>
      <c r="H414" s="1233"/>
      <c r="I414" s="1234">
        <f>SUM(J414:N414)</f>
        <v>60000</v>
      </c>
      <c r="J414" s="1235"/>
      <c r="K414" s="1235"/>
      <c r="L414" s="1235"/>
      <c r="M414" s="1235"/>
      <c r="N414" s="1236">
        <v>60000</v>
      </c>
    </row>
    <row r="415" spans="1:16" s="1237" customFormat="1" ht="18" customHeight="1" x14ac:dyDescent="0.3">
      <c r="A415" s="699">
        <v>408</v>
      </c>
      <c r="B415" s="1283"/>
      <c r="C415" s="1388"/>
      <c r="D415" s="690" t="s">
        <v>1307</v>
      </c>
      <c r="E415" s="1232"/>
      <c r="F415" s="1232"/>
      <c r="G415" s="1277"/>
      <c r="H415" s="1233"/>
      <c r="I415" s="665">
        <f>SUM(J415:N415)</f>
        <v>60000</v>
      </c>
      <c r="J415" s="1235"/>
      <c r="K415" s="1235"/>
      <c r="L415" s="1235"/>
      <c r="M415" s="1235"/>
      <c r="N415" s="520">
        <v>60000</v>
      </c>
    </row>
    <row r="416" spans="1:16" s="10" customFormat="1" ht="18" customHeight="1" x14ac:dyDescent="0.3">
      <c r="A416" s="699">
        <v>409</v>
      </c>
      <c r="B416" s="1284"/>
      <c r="C416" s="1389"/>
      <c r="D416" s="1150" t="s">
        <v>733</v>
      </c>
      <c r="E416" s="164"/>
      <c r="F416" s="164"/>
      <c r="G416" s="1277"/>
      <c r="H416" s="702"/>
      <c r="I416" s="158">
        <f>SUM(J416:Q416)</f>
        <v>0</v>
      </c>
      <c r="J416" s="168"/>
      <c r="K416" s="168"/>
      <c r="L416" s="168"/>
      <c r="M416" s="168"/>
      <c r="N416" s="169"/>
    </row>
    <row r="417" spans="1:16" s="1699" customFormat="1" ht="18" customHeight="1" x14ac:dyDescent="0.3">
      <c r="A417" s="699">
        <v>410</v>
      </c>
      <c r="B417" s="1295"/>
      <c r="C417" s="1390"/>
      <c r="D417" s="690" t="s">
        <v>1391</v>
      </c>
      <c r="E417" s="1305"/>
      <c r="F417" s="1305"/>
      <c r="G417" s="1306"/>
      <c r="H417" s="702"/>
      <c r="I417" s="665">
        <f>SUM(J417:N417)</f>
        <v>60000</v>
      </c>
      <c r="J417" s="527"/>
      <c r="K417" s="527"/>
      <c r="L417" s="527"/>
      <c r="M417" s="527"/>
      <c r="N417" s="520">
        <f>SUM(N415:N416)</f>
        <v>60000</v>
      </c>
    </row>
    <row r="418" spans="1:16" s="110" customFormat="1" ht="22.5" customHeight="1" x14ac:dyDescent="0.35">
      <c r="A418" s="699">
        <v>411</v>
      </c>
      <c r="B418" s="1293"/>
      <c r="C418" s="1387">
        <v>48</v>
      </c>
      <c r="D418" s="691" t="s">
        <v>525</v>
      </c>
      <c r="E418" s="164">
        <v>375475</v>
      </c>
      <c r="F418" s="164">
        <v>356958</v>
      </c>
      <c r="G418" s="1277">
        <v>411191</v>
      </c>
      <c r="H418" s="702" t="s">
        <v>24</v>
      </c>
      <c r="I418" s="665"/>
      <c r="J418" s="527"/>
      <c r="K418" s="527"/>
      <c r="L418" s="527"/>
      <c r="M418" s="527"/>
      <c r="N418" s="520"/>
      <c r="P418" s="1699"/>
    </row>
    <row r="419" spans="1:16" s="1237" customFormat="1" ht="18" customHeight="1" x14ac:dyDescent="0.3">
      <c r="A419" s="699">
        <v>412</v>
      </c>
      <c r="B419" s="1283"/>
      <c r="C419" s="1388"/>
      <c r="D419" s="1231" t="s">
        <v>334</v>
      </c>
      <c r="E419" s="1232"/>
      <c r="F419" s="1232"/>
      <c r="G419" s="1277"/>
      <c r="H419" s="1233"/>
      <c r="I419" s="1234">
        <f>SUM(J419:N419)</f>
        <v>401644</v>
      </c>
      <c r="J419" s="1235"/>
      <c r="K419" s="1235"/>
      <c r="L419" s="1235"/>
      <c r="M419" s="1235"/>
      <c r="N419" s="1236">
        <v>401644</v>
      </c>
    </row>
    <row r="420" spans="1:16" s="1237" customFormat="1" ht="18" customHeight="1" x14ac:dyDescent="0.3">
      <c r="A420" s="699">
        <v>413</v>
      </c>
      <c r="B420" s="1283"/>
      <c r="C420" s="1388"/>
      <c r="D420" s="690" t="s">
        <v>1307</v>
      </c>
      <c r="E420" s="1232"/>
      <c r="F420" s="1232"/>
      <c r="G420" s="1277"/>
      <c r="H420" s="1233"/>
      <c r="I420" s="665">
        <f>SUM(J420:N420)</f>
        <v>449134</v>
      </c>
      <c r="J420" s="1235"/>
      <c r="K420" s="1235"/>
      <c r="L420" s="1235"/>
      <c r="M420" s="1235"/>
      <c r="N420" s="520">
        <v>449134</v>
      </c>
    </row>
    <row r="421" spans="1:16" s="10" customFormat="1" ht="18" customHeight="1" x14ac:dyDescent="0.3">
      <c r="A421" s="699">
        <v>414</v>
      </c>
      <c r="B421" s="1284"/>
      <c r="C421" s="1389"/>
      <c r="D421" s="1150" t="s">
        <v>1396</v>
      </c>
      <c r="E421" s="164"/>
      <c r="F421" s="164"/>
      <c r="G421" s="1277"/>
      <c r="H421" s="702"/>
      <c r="I421" s="158">
        <f>SUM(J421:Q421)</f>
        <v>4064</v>
      </c>
      <c r="J421" s="168"/>
      <c r="K421" s="168"/>
      <c r="L421" s="168"/>
      <c r="M421" s="168"/>
      <c r="N421" s="184">
        <v>4064</v>
      </c>
    </row>
    <row r="422" spans="1:16" s="10" customFormat="1" ht="18" customHeight="1" x14ac:dyDescent="0.3">
      <c r="A422" s="699">
        <v>415</v>
      </c>
      <c r="B422" s="1284"/>
      <c r="C422" s="1389"/>
      <c r="D422" s="1150" t="s">
        <v>1379</v>
      </c>
      <c r="E422" s="164"/>
      <c r="F422" s="164"/>
      <c r="G422" s="1277"/>
      <c r="H422" s="702"/>
      <c r="I422" s="158">
        <f t="shared" ref="I422:I425" si="27">SUM(J422:Q422)</f>
        <v>253</v>
      </c>
      <c r="J422" s="168"/>
      <c r="K422" s="168"/>
      <c r="L422" s="168"/>
      <c r="M422" s="168"/>
      <c r="N422" s="184">
        <v>253</v>
      </c>
    </row>
    <row r="423" spans="1:16" s="10" customFormat="1" ht="18" customHeight="1" x14ac:dyDescent="0.3">
      <c r="A423" s="699">
        <v>416</v>
      </c>
      <c r="B423" s="1284"/>
      <c r="C423" s="1389"/>
      <c r="D423" s="1150" t="s">
        <v>1378</v>
      </c>
      <c r="E423" s="164"/>
      <c r="F423" s="164"/>
      <c r="G423" s="1277"/>
      <c r="H423" s="702"/>
      <c r="I423" s="158">
        <f t="shared" si="27"/>
        <v>121</v>
      </c>
      <c r="J423" s="168"/>
      <c r="K423" s="168"/>
      <c r="L423" s="168"/>
      <c r="M423" s="168"/>
      <c r="N423" s="184">
        <v>121</v>
      </c>
    </row>
    <row r="424" spans="1:16" s="10" customFormat="1" ht="18" customHeight="1" x14ac:dyDescent="0.3">
      <c r="A424" s="699">
        <v>417</v>
      </c>
      <c r="B424" s="1284"/>
      <c r="C424" s="1389"/>
      <c r="D424" s="1167" t="s">
        <v>1397</v>
      </c>
      <c r="E424" s="164"/>
      <c r="F424" s="164"/>
      <c r="G424" s="1277"/>
      <c r="H424" s="702"/>
      <c r="I424" s="158">
        <f t="shared" si="27"/>
        <v>69942</v>
      </c>
      <c r="J424" s="168"/>
      <c r="K424" s="168"/>
      <c r="L424" s="168"/>
      <c r="M424" s="168"/>
      <c r="N424" s="184">
        <v>69942</v>
      </c>
    </row>
    <row r="425" spans="1:16" s="10" customFormat="1" ht="18" customHeight="1" x14ac:dyDescent="0.3">
      <c r="A425" s="699">
        <v>418</v>
      </c>
      <c r="B425" s="1284"/>
      <c r="C425" s="1389"/>
      <c r="D425" s="1150" t="s">
        <v>1399</v>
      </c>
      <c r="E425" s="164"/>
      <c r="F425" s="164"/>
      <c r="G425" s="1277"/>
      <c r="H425" s="702"/>
      <c r="I425" s="158">
        <f t="shared" si="27"/>
        <v>-69942</v>
      </c>
      <c r="J425" s="168"/>
      <c r="K425" s="168"/>
      <c r="L425" s="168"/>
      <c r="M425" s="168"/>
      <c r="N425" s="184">
        <v>-69942</v>
      </c>
    </row>
    <row r="426" spans="1:16" s="1699" customFormat="1" ht="18" customHeight="1" x14ac:dyDescent="0.3">
      <c r="A426" s="699">
        <v>419</v>
      </c>
      <c r="B426" s="1295"/>
      <c r="C426" s="1390"/>
      <c r="D426" s="690" t="s">
        <v>1391</v>
      </c>
      <c r="E426" s="1305"/>
      <c r="F426" s="1305"/>
      <c r="G426" s="1306"/>
      <c r="H426" s="702"/>
      <c r="I426" s="665">
        <f>SUM(J426:N426)</f>
        <v>453572</v>
      </c>
      <c r="J426" s="527"/>
      <c r="K426" s="527"/>
      <c r="L426" s="527"/>
      <c r="M426" s="527"/>
      <c r="N426" s="520">
        <f>SUM(N420:N425)</f>
        <v>453572</v>
      </c>
    </row>
    <row r="427" spans="1:16" s="110" customFormat="1" ht="22.5" customHeight="1" x14ac:dyDescent="0.35">
      <c r="A427" s="699">
        <v>420</v>
      </c>
      <c r="B427" s="1293"/>
      <c r="C427" s="1387">
        <v>49</v>
      </c>
      <c r="D427" s="691" t="s">
        <v>362</v>
      </c>
      <c r="E427" s="164">
        <v>47940</v>
      </c>
      <c r="F427" s="164">
        <v>47940</v>
      </c>
      <c r="G427" s="1277">
        <v>47940</v>
      </c>
      <c r="H427" s="702" t="s">
        <v>24</v>
      </c>
      <c r="I427" s="665"/>
      <c r="J427" s="527"/>
      <c r="K427" s="527"/>
      <c r="L427" s="527"/>
      <c r="M427" s="527"/>
      <c r="N427" s="520"/>
      <c r="P427" s="1699"/>
    </row>
    <row r="428" spans="1:16" s="1237" customFormat="1" ht="18" customHeight="1" x14ac:dyDescent="0.3">
      <c r="A428" s="699">
        <v>421</v>
      </c>
      <c r="B428" s="1283"/>
      <c r="C428" s="1388"/>
      <c r="D428" s="1231" t="s">
        <v>334</v>
      </c>
      <c r="E428" s="1232"/>
      <c r="F428" s="1232"/>
      <c r="G428" s="1277"/>
      <c r="H428" s="1233"/>
      <c r="I428" s="1234">
        <f>SUM(J428:N428)</f>
        <v>68578</v>
      </c>
      <c r="J428" s="1235"/>
      <c r="K428" s="1235"/>
      <c r="L428" s="1235">
        <v>68578</v>
      </c>
      <c r="M428" s="1235"/>
      <c r="N428" s="1236"/>
    </row>
    <row r="429" spans="1:16" s="1237" customFormat="1" ht="18" customHeight="1" x14ac:dyDescent="0.3">
      <c r="A429" s="699">
        <v>422</v>
      </c>
      <c r="B429" s="1283"/>
      <c r="C429" s="1388"/>
      <c r="D429" s="690" t="s">
        <v>1307</v>
      </c>
      <c r="E429" s="1232"/>
      <c r="F429" s="1232"/>
      <c r="G429" s="1277"/>
      <c r="H429" s="1233"/>
      <c r="I429" s="665">
        <f>SUM(J429:N429)</f>
        <v>70279</v>
      </c>
      <c r="J429" s="1235"/>
      <c r="K429" s="1235"/>
      <c r="L429" s="527">
        <v>70279</v>
      </c>
      <c r="M429" s="1235"/>
      <c r="N429" s="1236"/>
    </row>
    <row r="430" spans="1:16" s="10" customFormat="1" ht="18" customHeight="1" x14ac:dyDescent="0.3">
      <c r="A430" s="699">
        <v>423</v>
      </c>
      <c r="B430" s="1284"/>
      <c r="C430" s="1389"/>
      <c r="D430" s="1150" t="s">
        <v>834</v>
      </c>
      <c r="E430" s="164"/>
      <c r="F430" s="164"/>
      <c r="G430" s="1277"/>
      <c r="H430" s="702"/>
      <c r="I430" s="158">
        <f>SUM(J430:Q430)</f>
        <v>0</v>
      </c>
      <c r="J430" s="168"/>
      <c r="K430" s="168"/>
      <c r="L430" s="168"/>
      <c r="M430" s="168"/>
      <c r="N430" s="169"/>
    </row>
    <row r="431" spans="1:16" s="1699" customFormat="1" ht="18" customHeight="1" x14ac:dyDescent="0.3">
      <c r="A431" s="699">
        <v>424</v>
      </c>
      <c r="B431" s="1295"/>
      <c r="C431" s="1390"/>
      <c r="D431" s="690" t="s">
        <v>1391</v>
      </c>
      <c r="E431" s="1305"/>
      <c r="F431" s="1305"/>
      <c r="G431" s="1306"/>
      <c r="H431" s="702"/>
      <c r="I431" s="665">
        <f>SUM(J431:N431)</f>
        <v>70279</v>
      </c>
      <c r="J431" s="527"/>
      <c r="K431" s="527"/>
      <c r="L431" s="527">
        <f>SUM(L429:L430)</f>
        <v>70279</v>
      </c>
      <c r="M431" s="527"/>
      <c r="N431" s="520"/>
    </row>
    <row r="432" spans="1:16" s="10" customFormat="1" ht="22.5" customHeight="1" x14ac:dyDescent="0.3">
      <c r="A432" s="699">
        <v>425</v>
      </c>
      <c r="B432" s="1284"/>
      <c r="C432" s="1387">
        <v>50</v>
      </c>
      <c r="D432" s="690" t="s">
        <v>464</v>
      </c>
      <c r="E432" s="164"/>
      <c r="F432" s="164">
        <v>3840</v>
      </c>
      <c r="G432" s="1277">
        <v>937</v>
      </c>
      <c r="H432" s="702" t="s">
        <v>25</v>
      </c>
      <c r="I432" s="665"/>
      <c r="J432" s="168"/>
      <c r="K432" s="168"/>
      <c r="L432" s="168"/>
      <c r="M432" s="168"/>
      <c r="N432" s="169"/>
    </row>
    <row r="433" spans="1:16" s="1237" customFormat="1" ht="18" customHeight="1" x14ac:dyDescent="0.3">
      <c r="A433" s="699">
        <v>426</v>
      </c>
      <c r="B433" s="1283"/>
      <c r="C433" s="1388"/>
      <c r="D433" s="1231" t="s">
        <v>334</v>
      </c>
      <c r="E433" s="1232"/>
      <c r="F433" s="1232"/>
      <c r="G433" s="1277"/>
      <c r="H433" s="1233"/>
      <c r="I433" s="1234">
        <f>SUM(J433:N433)</f>
        <v>3840</v>
      </c>
      <c r="J433" s="1235"/>
      <c r="K433" s="1235"/>
      <c r="L433" s="1235">
        <v>3840</v>
      </c>
      <c r="M433" s="1235"/>
      <c r="N433" s="1236"/>
    </row>
    <row r="434" spans="1:16" s="1237" customFormat="1" ht="18" customHeight="1" x14ac:dyDescent="0.3">
      <c r="A434" s="699">
        <v>427</v>
      </c>
      <c r="B434" s="1283"/>
      <c r="C434" s="1388"/>
      <c r="D434" s="690" t="s">
        <v>1307</v>
      </c>
      <c r="E434" s="1232"/>
      <c r="F434" s="1232"/>
      <c r="G434" s="1277"/>
      <c r="H434" s="1233"/>
      <c r="I434" s="665">
        <f>SUM(J434:N434)</f>
        <v>6743</v>
      </c>
      <c r="J434" s="1235"/>
      <c r="K434" s="1235"/>
      <c r="L434" s="527">
        <v>6743</v>
      </c>
      <c r="M434" s="1235"/>
      <c r="N434" s="1236"/>
    </row>
    <row r="435" spans="1:16" s="10" customFormat="1" ht="18" customHeight="1" x14ac:dyDescent="0.3">
      <c r="A435" s="699">
        <v>428</v>
      </c>
      <c r="B435" s="1284"/>
      <c r="C435" s="1389"/>
      <c r="D435" s="1150" t="s">
        <v>834</v>
      </c>
      <c r="E435" s="164"/>
      <c r="F435" s="164"/>
      <c r="G435" s="1277"/>
      <c r="H435" s="702"/>
      <c r="I435" s="158">
        <f>SUM(J435:Q435)</f>
        <v>0</v>
      </c>
      <c r="J435" s="168"/>
      <c r="K435" s="168"/>
      <c r="L435" s="168"/>
      <c r="M435" s="168"/>
      <c r="N435" s="169"/>
    </row>
    <row r="436" spans="1:16" s="1699" customFormat="1" ht="18" customHeight="1" x14ac:dyDescent="0.3">
      <c r="A436" s="699">
        <v>429</v>
      </c>
      <c r="B436" s="1295"/>
      <c r="C436" s="1390"/>
      <c r="D436" s="690" t="s">
        <v>1391</v>
      </c>
      <c r="E436" s="1305"/>
      <c r="F436" s="1305"/>
      <c r="G436" s="1306"/>
      <c r="H436" s="702"/>
      <c r="I436" s="665">
        <f>SUM(J436:N436)</f>
        <v>6743</v>
      </c>
      <c r="J436" s="527"/>
      <c r="K436" s="527"/>
      <c r="L436" s="527">
        <f>SUM(L434:L435)</f>
        <v>6743</v>
      </c>
      <c r="M436" s="527"/>
      <c r="N436" s="520"/>
    </row>
    <row r="437" spans="1:16" s="10" customFormat="1" ht="22.5" customHeight="1" x14ac:dyDescent="0.3">
      <c r="A437" s="699">
        <v>430</v>
      </c>
      <c r="B437" s="1284"/>
      <c r="C437" s="1387">
        <v>51</v>
      </c>
      <c r="D437" s="690" t="s">
        <v>465</v>
      </c>
      <c r="E437" s="164"/>
      <c r="F437" s="164">
        <v>4000</v>
      </c>
      <c r="G437" s="1277">
        <v>2448</v>
      </c>
      <c r="H437" s="702" t="s">
        <v>25</v>
      </c>
      <c r="I437" s="665"/>
      <c r="J437" s="168"/>
      <c r="K437" s="168"/>
      <c r="L437" s="168"/>
      <c r="M437" s="168"/>
      <c r="N437" s="169"/>
    </row>
    <row r="438" spans="1:16" s="1237" customFormat="1" ht="18" customHeight="1" x14ac:dyDescent="0.3">
      <c r="A438" s="699">
        <v>431</v>
      </c>
      <c r="B438" s="1283"/>
      <c r="C438" s="1388"/>
      <c r="D438" s="1231" t="s">
        <v>334</v>
      </c>
      <c r="E438" s="1232"/>
      <c r="F438" s="1232"/>
      <c r="G438" s="1277"/>
      <c r="H438" s="1233"/>
      <c r="I438" s="1234">
        <f>SUM(J438:N438)</f>
        <v>4000</v>
      </c>
      <c r="J438" s="1235"/>
      <c r="K438" s="1235"/>
      <c r="L438" s="1235"/>
      <c r="M438" s="1235"/>
      <c r="N438" s="1236">
        <v>4000</v>
      </c>
    </row>
    <row r="439" spans="1:16" s="1237" customFormat="1" ht="18" customHeight="1" x14ac:dyDescent="0.3">
      <c r="A439" s="699">
        <v>432</v>
      </c>
      <c r="B439" s="1283"/>
      <c r="C439" s="1388"/>
      <c r="D439" s="690" t="s">
        <v>1307</v>
      </c>
      <c r="E439" s="1232"/>
      <c r="F439" s="1232"/>
      <c r="G439" s="1277"/>
      <c r="H439" s="1233"/>
      <c r="I439" s="665">
        <f>SUM(J439:N439)</f>
        <v>4000</v>
      </c>
      <c r="J439" s="1235"/>
      <c r="K439" s="1235"/>
      <c r="L439" s="1235"/>
      <c r="M439" s="1235"/>
      <c r="N439" s="520">
        <v>4000</v>
      </c>
    </row>
    <row r="440" spans="1:16" s="10" customFormat="1" ht="18" customHeight="1" x14ac:dyDescent="0.3">
      <c r="A440" s="699">
        <v>433</v>
      </c>
      <c r="B440" s="1284"/>
      <c r="C440" s="1389"/>
      <c r="D440" s="1150" t="s">
        <v>733</v>
      </c>
      <c r="E440" s="164"/>
      <c r="F440" s="164"/>
      <c r="G440" s="1277"/>
      <c r="H440" s="702"/>
      <c r="I440" s="158">
        <f>SUM(J440:Q440)</f>
        <v>0</v>
      </c>
      <c r="J440" s="168"/>
      <c r="K440" s="168"/>
      <c r="L440" s="168"/>
      <c r="M440" s="168"/>
      <c r="N440" s="169"/>
    </row>
    <row r="441" spans="1:16" s="1699" customFormat="1" ht="18" customHeight="1" x14ac:dyDescent="0.3">
      <c r="A441" s="699">
        <v>434</v>
      </c>
      <c r="B441" s="1295"/>
      <c r="C441" s="1390"/>
      <c r="D441" s="690" t="s">
        <v>1391</v>
      </c>
      <c r="E441" s="1305"/>
      <c r="F441" s="1305"/>
      <c r="G441" s="1306"/>
      <c r="H441" s="702"/>
      <c r="I441" s="665">
        <f>SUM(J441:N441)</f>
        <v>4000</v>
      </c>
      <c r="J441" s="527"/>
      <c r="K441" s="527"/>
      <c r="L441" s="527"/>
      <c r="M441" s="527"/>
      <c r="N441" s="520">
        <f>SUM(N439:N440)</f>
        <v>4000</v>
      </c>
    </row>
    <row r="442" spans="1:16" s="3" customFormat="1" ht="22.5" customHeight="1" x14ac:dyDescent="0.3">
      <c r="A442" s="699">
        <v>435</v>
      </c>
      <c r="B442" s="1282"/>
      <c r="C442" s="1387">
        <v>52</v>
      </c>
      <c r="D442" s="691" t="s">
        <v>85</v>
      </c>
      <c r="E442" s="164">
        <v>1700</v>
      </c>
      <c r="F442" s="164">
        <v>1700</v>
      </c>
      <c r="G442" s="1277">
        <v>1700</v>
      </c>
      <c r="H442" s="702" t="s">
        <v>25</v>
      </c>
      <c r="I442" s="665"/>
      <c r="J442" s="168"/>
      <c r="K442" s="168"/>
      <c r="L442" s="168"/>
      <c r="M442" s="168"/>
      <c r="N442" s="169"/>
      <c r="P442" s="10"/>
    </row>
    <row r="443" spans="1:16" s="1237" customFormat="1" ht="18" customHeight="1" x14ac:dyDescent="0.3">
      <c r="A443" s="699">
        <v>436</v>
      </c>
      <c r="B443" s="1283"/>
      <c r="C443" s="1388"/>
      <c r="D443" s="1231" t="s">
        <v>334</v>
      </c>
      <c r="E443" s="1232"/>
      <c r="F443" s="1232"/>
      <c r="G443" s="1277"/>
      <c r="H443" s="1233"/>
      <c r="I443" s="1234">
        <f>SUM(J443:N443)</f>
        <v>1700</v>
      </c>
      <c r="J443" s="1235"/>
      <c r="K443" s="1235"/>
      <c r="L443" s="1235">
        <v>1700</v>
      </c>
      <c r="M443" s="1235"/>
      <c r="N443" s="1236"/>
    </row>
    <row r="444" spans="1:16" s="1237" customFormat="1" ht="18" customHeight="1" x14ac:dyDescent="0.3">
      <c r="A444" s="699">
        <v>437</v>
      </c>
      <c r="B444" s="1283"/>
      <c r="C444" s="1388"/>
      <c r="D444" s="690" t="s">
        <v>1307</v>
      </c>
      <c r="E444" s="1232"/>
      <c r="F444" s="1232"/>
      <c r="G444" s="1277"/>
      <c r="H444" s="1233"/>
      <c r="I444" s="665">
        <f>SUM(J444:N444)</f>
        <v>1700</v>
      </c>
      <c r="J444" s="1235"/>
      <c r="K444" s="1235"/>
      <c r="L444" s="527">
        <v>1700</v>
      </c>
      <c r="M444" s="1235"/>
      <c r="N444" s="1236"/>
    </row>
    <row r="445" spans="1:16" s="10" customFormat="1" ht="18" customHeight="1" x14ac:dyDescent="0.3">
      <c r="A445" s="699">
        <v>438</v>
      </c>
      <c r="B445" s="1284"/>
      <c r="C445" s="1389"/>
      <c r="D445" s="1150" t="s">
        <v>733</v>
      </c>
      <c r="E445" s="164"/>
      <c r="F445" s="164"/>
      <c r="G445" s="1277"/>
      <c r="H445" s="702"/>
      <c r="I445" s="158">
        <f>SUM(J445:Q445)</f>
        <v>0</v>
      </c>
      <c r="J445" s="168"/>
      <c r="K445" s="168"/>
      <c r="L445" s="168"/>
      <c r="M445" s="168"/>
      <c r="N445" s="169"/>
    </row>
    <row r="446" spans="1:16" s="1699" customFormat="1" ht="18" customHeight="1" x14ac:dyDescent="0.3">
      <c r="A446" s="699">
        <v>439</v>
      </c>
      <c r="B446" s="1295"/>
      <c r="C446" s="1390"/>
      <c r="D446" s="690" t="s">
        <v>1391</v>
      </c>
      <c r="E446" s="1305"/>
      <c r="F446" s="1305"/>
      <c r="G446" s="1306"/>
      <c r="H446" s="702"/>
      <c r="I446" s="665">
        <f>SUM(J446:N446)</f>
        <v>1700</v>
      </c>
      <c r="J446" s="527"/>
      <c r="K446" s="527"/>
      <c r="L446" s="527">
        <f>SUM(L444:L445)</f>
        <v>1700</v>
      </c>
      <c r="M446" s="527"/>
      <c r="N446" s="520"/>
    </row>
    <row r="447" spans="1:16" s="3" customFormat="1" ht="22.5" customHeight="1" x14ac:dyDescent="0.3">
      <c r="A447" s="699">
        <v>440</v>
      </c>
      <c r="B447" s="1282"/>
      <c r="C447" s="1387">
        <v>53</v>
      </c>
      <c r="D447" s="691" t="s">
        <v>428</v>
      </c>
      <c r="E447" s="164"/>
      <c r="F447" s="164">
        <v>1000</v>
      </c>
      <c r="G447" s="1277"/>
      <c r="H447" s="702" t="s">
        <v>25</v>
      </c>
      <c r="I447" s="665"/>
      <c r="J447" s="168"/>
      <c r="K447" s="168"/>
      <c r="L447" s="168"/>
      <c r="M447" s="168"/>
      <c r="N447" s="169"/>
      <c r="P447" s="10"/>
    </row>
    <row r="448" spans="1:16" s="1237" customFormat="1" ht="18" customHeight="1" x14ac:dyDescent="0.3">
      <c r="A448" s="699">
        <v>441</v>
      </c>
      <c r="B448" s="1283"/>
      <c r="C448" s="1388"/>
      <c r="D448" s="1231" t="s">
        <v>334</v>
      </c>
      <c r="E448" s="1232"/>
      <c r="F448" s="1232"/>
      <c r="G448" s="1277"/>
      <c r="H448" s="1233"/>
      <c r="I448" s="1234">
        <f>SUM(J448:N448)</f>
        <v>1000</v>
      </c>
      <c r="J448" s="1235"/>
      <c r="K448" s="1235"/>
      <c r="L448" s="1235">
        <v>1000</v>
      </c>
      <c r="M448" s="1235"/>
      <c r="N448" s="1236"/>
    </row>
    <row r="449" spans="1:16" s="1237" customFormat="1" ht="18" customHeight="1" x14ac:dyDescent="0.3">
      <c r="A449" s="699">
        <v>442</v>
      </c>
      <c r="B449" s="1283"/>
      <c r="C449" s="1388"/>
      <c r="D449" s="690" t="s">
        <v>1307</v>
      </c>
      <c r="E449" s="1232"/>
      <c r="F449" s="1232"/>
      <c r="G449" s="1277"/>
      <c r="H449" s="1233"/>
      <c r="I449" s="665">
        <f>SUM(J449:N449)</f>
        <v>2519</v>
      </c>
      <c r="J449" s="1235"/>
      <c r="K449" s="1235"/>
      <c r="L449" s="527">
        <v>2519</v>
      </c>
      <c r="M449" s="1235"/>
      <c r="N449" s="1236"/>
    </row>
    <row r="450" spans="1:16" s="10" customFormat="1" ht="18" customHeight="1" x14ac:dyDescent="0.3">
      <c r="A450" s="699">
        <v>443</v>
      </c>
      <c r="B450" s="1284"/>
      <c r="C450" s="1389"/>
      <c r="D450" s="1150" t="s">
        <v>834</v>
      </c>
      <c r="E450" s="164"/>
      <c r="F450" s="164"/>
      <c r="G450" s="1277"/>
      <c r="H450" s="702"/>
      <c r="I450" s="158">
        <f>SUM(J450:Q450)</f>
        <v>0</v>
      </c>
      <c r="J450" s="168"/>
      <c r="K450" s="168"/>
      <c r="L450" s="183"/>
      <c r="M450" s="168"/>
      <c r="N450" s="169"/>
    </row>
    <row r="451" spans="1:16" s="1699" customFormat="1" ht="18" customHeight="1" x14ac:dyDescent="0.3">
      <c r="A451" s="699">
        <v>444</v>
      </c>
      <c r="B451" s="1295"/>
      <c r="C451" s="1390"/>
      <c r="D451" s="690" t="s">
        <v>1391</v>
      </c>
      <c r="E451" s="1305"/>
      <c r="F451" s="1305"/>
      <c r="G451" s="1306"/>
      <c r="H451" s="702"/>
      <c r="I451" s="665">
        <f>SUM(J451:N451)</f>
        <v>2519</v>
      </c>
      <c r="J451" s="527"/>
      <c r="K451" s="527"/>
      <c r="L451" s="527">
        <f>SUM(L449:L450)</f>
        <v>2519</v>
      </c>
      <c r="M451" s="527"/>
      <c r="N451" s="520"/>
    </row>
    <row r="452" spans="1:16" s="3" customFormat="1" ht="22.5" customHeight="1" x14ac:dyDescent="0.3">
      <c r="A452" s="699">
        <v>445</v>
      </c>
      <c r="B452" s="1282"/>
      <c r="C452" s="1387">
        <v>54</v>
      </c>
      <c r="D452" s="691" t="s">
        <v>86</v>
      </c>
      <c r="E452" s="164">
        <v>1000</v>
      </c>
      <c r="F452" s="164">
        <v>1000</v>
      </c>
      <c r="G452" s="1277">
        <v>1000</v>
      </c>
      <c r="H452" s="702" t="s">
        <v>25</v>
      </c>
      <c r="I452" s="665"/>
      <c r="J452" s="168"/>
      <c r="K452" s="168"/>
      <c r="L452" s="168"/>
      <c r="M452" s="168"/>
      <c r="N452" s="169"/>
      <c r="P452" s="10"/>
    </row>
    <row r="453" spans="1:16" s="1237" customFormat="1" ht="18" customHeight="1" x14ac:dyDescent="0.3">
      <c r="A453" s="699">
        <v>446</v>
      </c>
      <c r="B453" s="1283"/>
      <c r="C453" s="1388"/>
      <c r="D453" s="1231" t="s">
        <v>334</v>
      </c>
      <c r="E453" s="1232"/>
      <c r="F453" s="1232"/>
      <c r="G453" s="1277"/>
      <c r="H453" s="1233"/>
      <c r="I453" s="1234">
        <f>SUM(J453:N453)</f>
        <v>1000</v>
      </c>
      <c r="J453" s="1235"/>
      <c r="K453" s="1235"/>
      <c r="L453" s="1235">
        <f>1500-500</f>
        <v>1000</v>
      </c>
      <c r="M453" s="1235"/>
      <c r="N453" s="1236"/>
    </row>
    <row r="454" spans="1:16" s="1237" customFormat="1" ht="18" customHeight="1" x14ac:dyDescent="0.3">
      <c r="A454" s="699">
        <v>447</v>
      </c>
      <c r="B454" s="1283"/>
      <c r="C454" s="1388"/>
      <c r="D454" s="690" t="s">
        <v>1307</v>
      </c>
      <c r="E454" s="1232"/>
      <c r="F454" s="1232"/>
      <c r="G454" s="1277"/>
      <c r="H454" s="1233"/>
      <c r="I454" s="665">
        <f>SUM(J454:N454)</f>
        <v>1000</v>
      </c>
      <c r="J454" s="1235"/>
      <c r="K454" s="1235"/>
      <c r="L454" s="1238">
        <v>1000</v>
      </c>
      <c r="M454" s="1235"/>
      <c r="N454" s="1236"/>
    </row>
    <row r="455" spans="1:16" s="10" customFormat="1" ht="18" customHeight="1" x14ac:dyDescent="0.3">
      <c r="A455" s="699">
        <v>448</v>
      </c>
      <c r="B455" s="1284"/>
      <c r="C455" s="1389"/>
      <c r="D455" s="1150" t="s">
        <v>733</v>
      </c>
      <c r="E455" s="164"/>
      <c r="F455" s="164"/>
      <c r="G455" s="1277"/>
      <c r="H455" s="702"/>
      <c r="I455" s="158">
        <f>SUM(J455:Q455)</f>
        <v>0</v>
      </c>
      <c r="J455" s="168"/>
      <c r="K455" s="168"/>
      <c r="L455" s="168"/>
      <c r="M455" s="168"/>
      <c r="N455" s="169"/>
    </row>
    <row r="456" spans="1:16" s="1699" customFormat="1" ht="18" customHeight="1" x14ac:dyDescent="0.3">
      <c r="A456" s="699">
        <v>449</v>
      </c>
      <c r="B456" s="1295"/>
      <c r="C456" s="1390"/>
      <c r="D456" s="690" t="s">
        <v>1391</v>
      </c>
      <c r="E456" s="1305"/>
      <c r="F456" s="1305"/>
      <c r="G456" s="1306"/>
      <c r="H456" s="702"/>
      <c r="I456" s="665">
        <f>SUM(J456:N456)</f>
        <v>1000</v>
      </c>
      <c r="J456" s="527"/>
      <c r="K456" s="527"/>
      <c r="L456" s="527">
        <f>SUM(L454:L455)</f>
        <v>1000</v>
      </c>
      <c r="M456" s="527"/>
      <c r="N456" s="520"/>
    </row>
    <row r="457" spans="1:16" s="10" customFormat="1" ht="22.5" customHeight="1" x14ac:dyDescent="0.3">
      <c r="A457" s="699">
        <v>450</v>
      </c>
      <c r="B457" s="1284"/>
      <c r="C457" s="1387">
        <v>55</v>
      </c>
      <c r="D457" s="691" t="s">
        <v>595</v>
      </c>
      <c r="E457" s="164"/>
      <c r="F457" s="164"/>
      <c r="G457" s="1277"/>
      <c r="H457" s="702" t="s">
        <v>24</v>
      </c>
      <c r="I457" s="665"/>
      <c r="J457" s="168"/>
      <c r="K457" s="168"/>
      <c r="L457" s="168"/>
      <c r="M457" s="168"/>
      <c r="N457" s="169"/>
    </row>
    <row r="458" spans="1:16" s="1237" customFormat="1" ht="18" customHeight="1" x14ac:dyDescent="0.3">
      <c r="A458" s="699">
        <v>451</v>
      </c>
      <c r="B458" s="1283"/>
      <c r="C458" s="1388"/>
      <c r="D458" s="1231" t="s">
        <v>334</v>
      </c>
      <c r="E458" s="1232"/>
      <c r="F458" s="1232"/>
      <c r="G458" s="1277"/>
      <c r="H458" s="1233"/>
      <c r="I458" s="1234">
        <f>SUM(J458:N458)</f>
        <v>2112</v>
      </c>
      <c r="J458" s="1235"/>
      <c r="K458" s="1235"/>
      <c r="L458" s="1235">
        <v>2112</v>
      </c>
      <c r="M458" s="1235"/>
      <c r="N458" s="1236"/>
    </row>
    <row r="459" spans="1:16" s="1237" customFormat="1" ht="18" customHeight="1" x14ac:dyDescent="0.3">
      <c r="A459" s="699">
        <v>452</v>
      </c>
      <c r="B459" s="1283"/>
      <c r="C459" s="1388"/>
      <c r="D459" s="690" t="s">
        <v>1307</v>
      </c>
      <c r="E459" s="1232"/>
      <c r="F459" s="1232"/>
      <c r="G459" s="1277"/>
      <c r="H459" s="1233"/>
      <c r="I459" s="665">
        <f>SUM(J459:N459)</f>
        <v>2112</v>
      </c>
      <c r="J459" s="1235"/>
      <c r="K459" s="1235"/>
      <c r="L459" s="527">
        <v>2112</v>
      </c>
      <c r="M459" s="1235"/>
      <c r="N459" s="1236"/>
    </row>
    <row r="460" spans="1:16" s="10" customFormat="1" ht="18" customHeight="1" x14ac:dyDescent="0.3">
      <c r="A460" s="699">
        <v>453</v>
      </c>
      <c r="B460" s="1284"/>
      <c r="C460" s="1389"/>
      <c r="D460" s="1150" t="s">
        <v>733</v>
      </c>
      <c r="E460" s="164"/>
      <c r="F460" s="164"/>
      <c r="G460" s="1277"/>
      <c r="H460" s="702"/>
      <c r="I460" s="158">
        <f>SUM(J460:Q460)</f>
        <v>0</v>
      </c>
      <c r="J460" s="168"/>
      <c r="K460" s="168"/>
      <c r="L460" s="168"/>
      <c r="M460" s="168"/>
      <c r="N460" s="169"/>
    </row>
    <row r="461" spans="1:16" s="1699" customFormat="1" ht="18" customHeight="1" x14ac:dyDescent="0.3">
      <c r="A461" s="699">
        <v>454</v>
      </c>
      <c r="B461" s="1295"/>
      <c r="C461" s="1390"/>
      <c r="D461" s="690" t="s">
        <v>1391</v>
      </c>
      <c r="E461" s="1305"/>
      <c r="F461" s="1305"/>
      <c r="G461" s="1306"/>
      <c r="H461" s="702"/>
      <c r="I461" s="665">
        <f>SUM(J461:N461)</f>
        <v>2112</v>
      </c>
      <c r="J461" s="527"/>
      <c r="K461" s="527"/>
      <c r="L461" s="527">
        <f>SUM(L459:L460)</f>
        <v>2112</v>
      </c>
      <c r="M461" s="527"/>
      <c r="N461" s="520"/>
    </row>
    <row r="462" spans="1:16" s="3" customFormat="1" ht="22.5" customHeight="1" x14ac:dyDescent="0.3">
      <c r="A462" s="699">
        <v>455</v>
      </c>
      <c r="B462" s="1282"/>
      <c r="C462" s="1387">
        <v>56</v>
      </c>
      <c r="D462" s="691" t="s">
        <v>87</v>
      </c>
      <c r="E462" s="164">
        <v>5000</v>
      </c>
      <c r="F462" s="164">
        <v>5500</v>
      </c>
      <c r="G462" s="1277">
        <v>4958</v>
      </c>
      <c r="H462" s="702" t="s">
        <v>24</v>
      </c>
      <c r="I462" s="665"/>
      <c r="J462" s="168"/>
      <c r="K462" s="168"/>
      <c r="L462" s="168"/>
      <c r="M462" s="168"/>
      <c r="N462" s="169"/>
      <c r="P462" s="10"/>
    </row>
    <row r="463" spans="1:16" s="1237" customFormat="1" ht="18" customHeight="1" x14ac:dyDescent="0.3">
      <c r="A463" s="699">
        <v>456</v>
      </c>
      <c r="B463" s="1283"/>
      <c r="C463" s="1388"/>
      <c r="D463" s="1231" t="s">
        <v>334</v>
      </c>
      <c r="E463" s="1232"/>
      <c r="F463" s="1232"/>
      <c r="G463" s="1277"/>
      <c r="H463" s="1233"/>
      <c r="I463" s="1234">
        <f>SUM(J463:N463)</f>
        <v>5500</v>
      </c>
      <c r="J463" s="1235"/>
      <c r="K463" s="1235"/>
      <c r="L463" s="1235">
        <v>5500</v>
      </c>
      <c r="M463" s="1235"/>
      <c r="N463" s="1236"/>
    </row>
    <row r="464" spans="1:16" s="1237" customFormat="1" ht="18" customHeight="1" x14ac:dyDescent="0.3">
      <c r="A464" s="699">
        <v>457</v>
      </c>
      <c r="B464" s="1283"/>
      <c r="C464" s="1388"/>
      <c r="D464" s="690" t="s">
        <v>1307</v>
      </c>
      <c r="E464" s="1232"/>
      <c r="F464" s="1232"/>
      <c r="G464" s="1277"/>
      <c r="H464" s="1233"/>
      <c r="I464" s="665">
        <f>SUM(J464:N464)</f>
        <v>6042</v>
      </c>
      <c r="J464" s="1235"/>
      <c r="K464" s="1235"/>
      <c r="L464" s="527">
        <v>6042</v>
      </c>
      <c r="M464" s="1235"/>
      <c r="N464" s="1236"/>
    </row>
    <row r="465" spans="1:16" s="10" customFormat="1" ht="18" customHeight="1" x14ac:dyDescent="0.3">
      <c r="A465" s="699">
        <v>458</v>
      </c>
      <c r="B465" s="1284"/>
      <c r="C465" s="1389"/>
      <c r="D465" s="1150" t="s">
        <v>834</v>
      </c>
      <c r="E465" s="164"/>
      <c r="F465" s="164"/>
      <c r="G465" s="1277"/>
      <c r="H465" s="702"/>
      <c r="I465" s="158">
        <f>SUM(J465:Q465)</f>
        <v>0</v>
      </c>
      <c r="J465" s="168"/>
      <c r="K465" s="168"/>
      <c r="L465" s="183"/>
      <c r="M465" s="168"/>
      <c r="N465" s="169"/>
    </row>
    <row r="466" spans="1:16" s="1699" customFormat="1" ht="18" customHeight="1" x14ac:dyDescent="0.3">
      <c r="A466" s="699">
        <v>459</v>
      </c>
      <c r="B466" s="1295"/>
      <c r="C466" s="1390"/>
      <c r="D466" s="690" t="s">
        <v>1391</v>
      </c>
      <c r="E466" s="1305"/>
      <c r="F466" s="1305"/>
      <c r="G466" s="1306"/>
      <c r="H466" s="702"/>
      <c r="I466" s="665">
        <f>SUM(J466:N466)</f>
        <v>6042</v>
      </c>
      <c r="J466" s="527"/>
      <c r="K466" s="527"/>
      <c r="L466" s="527">
        <f>SUM(L464:L465)</f>
        <v>6042</v>
      </c>
      <c r="M466" s="527"/>
      <c r="N466" s="520"/>
    </row>
    <row r="467" spans="1:16" s="3" customFormat="1" ht="22.5" customHeight="1" x14ac:dyDescent="0.3">
      <c r="A467" s="699">
        <v>460</v>
      </c>
      <c r="B467" s="1282"/>
      <c r="C467" s="1387">
        <v>57</v>
      </c>
      <c r="D467" s="691" t="s">
        <v>88</v>
      </c>
      <c r="E467" s="164">
        <v>3300</v>
      </c>
      <c r="F467" s="164">
        <v>4800</v>
      </c>
      <c r="G467" s="1277">
        <v>4500</v>
      </c>
      <c r="H467" s="702" t="s">
        <v>24</v>
      </c>
      <c r="I467" s="665"/>
      <c r="J467" s="168"/>
      <c r="K467" s="168"/>
      <c r="L467" s="168"/>
      <c r="M467" s="168"/>
      <c r="N467" s="169"/>
      <c r="P467" s="10"/>
    </row>
    <row r="468" spans="1:16" s="1237" customFormat="1" ht="18" customHeight="1" x14ac:dyDescent="0.3">
      <c r="A468" s="699">
        <v>461</v>
      </c>
      <c r="B468" s="1283"/>
      <c r="C468" s="1388"/>
      <c r="D468" s="1231" t="s">
        <v>334</v>
      </c>
      <c r="E468" s="1232"/>
      <c r="F468" s="1232"/>
      <c r="G468" s="1277"/>
      <c r="H468" s="1233"/>
      <c r="I468" s="1234">
        <f>SUM(J468:N468)</f>
        <v>4800</v>
      </c>
      <c r="J468" s="1235"/>
      <c r="K468" s="1235"/>
      <c r="L468" s="1235">
        <v>4800</v>
      </c>
      <c r="M468" s="1235"/>
      <c r="N468" s="1236"/>
    </row>
    <row r="469" spans="1:16" s="1237" customFormat="1" ht="18" customHeight="1" x14ac:dyDescent="0.3">
      <c r="A469" s="699">
        <v>462</v>
      </c>
      <c r="B469" s="1283"/>
      <c r="C469" s="1388"/>
      <c r="D469" s="690" t="s">
        <v>1307</v>
      </c>
      <c r="E469" s="1232"/>
      <c r="F469" s="1232"/>
      <c r="G469" s="1277"/>
      <c r="H469" s="1233"/>
      <c r="I469" s="665">
        <f>SUM(J469:N469)</f>
        <v>5400</v>
      </c>
      <c r="J469" s="1235"/>
      <c r="K469" s="1235"/>
      <c r="L469" s="527">
        <v>5400</v>
      </c>
      <c r="M469" s="1235"/>
      <c r="N469" s="1236"/>
    </row>
    <row r="470" spans="1:16" s="10" customFormat="1" ht="18" customHeight="1" x14ac:dyDescent="0.3">
      <c r="A470" s="699">
        <v>463</v>
      </c>
      <c r="B470" s="1284"/>
      <c r="C470" s="1389"/>
      <c r="D470" s="1150" t="s">
        <v>834</v>
      </c>
      <c r="E470" s="164"/>
      <c r="F470" s="164"/>
      <c r="G470" s="1277"/>
      <c r="H470" s="702"/>
      <c r="I470" s="158">
        <f>SUM(J470:Q470)</f>
        <v>0</v>
      </c>
      <c r="J470" s="168"/>
      <c r="K470" s="168"/>
      <c r="L470" s="183"/>
      <c r="M470" s="168"/>
      <c r="N470" s="169"/>
    </row>
    <row r="471" spans="1:16" s="1699" customFormat="1" ht="18" customHeight="1" x14ac:dyDescent="0.3">
      <c r="A471" s="699">
        <v>464</v>
      </c>
      <c r="B471" s="1295"/>
      <c r="C471" s="1390"/>
      <c r="D471" s="690" t="s">
        <v>1391</v>
      </c>
      <c r="E471" s="1305"/>
      <c r="F471" s="1305"/>
      <c r="G471" s="1306"/>
      <c r="H471" s="702"/>
      <c r="I471" s="665">
        <f>SUM(J471:N471)</f>
        <v>5400</v>
      </c>
      <c r="J471" s="527"/>
      <c r="K471" s="527"/>
      <c r="L471" s="527">
        <f>SUM(L469:L470)</f>
        <v>5400</v>
      </c>
      <c r="M471" s="527"/>
      <c r="N471" s="520"/>
    </row>
    <row r="472" spans="1:16" s="3" customFormat="1" ht="22.5" customHeight="1" x14ac:dyDescent="0.3">
      <c r="A472" s="699">
        <v>465</v>
      </c>
      <c r="B472" s="1282"/>
      <c r="C472" s="1387">
        <v>58</v>
      </c>
      <c r="D472" s="691" t="s">
        <v>89</v>
      </c>
      <c r="E472" s="164">
        <v>1131</v>
      </c>
      <c r="F472" s="164">
        <v>2525</v>
      </c>
      <c r="G472" s="1277">
        <v>1391</v>
      </c>
      <c r="H472" s="702" t="s">
        <v>25</v>
      </c>
      <c r="I472" s="665"/>
      <c r="J472" s="168"/>
      <c r="K472" s="168"/>
      <c r="L472" s="168"/>
      <c r="M472" s="168"/>
      <c r="N472" s="169"/>
      <c r="P472" s="10"/>
    </row>
    <row r="473" spans="1:16" s="1237" customFormat="1" ht="18" customHeight="1" x14ac:dyDescent="0.3">
      <c r="A473" s="699">
        <v>466</v>
      </c>
      <c r="B473" s="1283"/>
      <c r="C473" s="1388"/>
      <c r="D473" s="1231" t="s">
        <v>334</v>
      </c>
      <c r="E473" s="1232"/>
      <c r="F473" s="1232"/>
      <c r="G473" s="1277"/>
      <c r="H473" s="1233"/>
      <c r="I473" s="1234">
        <f>SUM(J473:N473)</f>
        <v>2845</v>
      </c>
      <c r="J473" s="1235"/>
      <c r="K473" s="1235"/>
      <c r="L473" s="1235">
        <v>2845</v>
      </c>
      <c r="M473" s="1235"/>
      <c r="N473" s="1236"/>
    </row>
    <row r="474" spans="1:16" s="1237" customFormat="1" ht="18" customHeight="1" x14ac:dyDescent="0.3">
      <c r="A474" s="699">
        <v>467</v>
      </c>
      <c r="B474" s="1283"/>
      <c r="C474" s="1388"/>
      <c r="D474" s="690" t="s">
        <v>1307</v>
      </c>
      <c r="E474" s="1232"/>
      <c r="F474" s="1232"/>
      <c r="G474" s="1277"/>
      <c r="H474" s="1233"/>
      <c r="I474" s="665">
        <f>SUM(J474:N474)</f>
        <v>8642</v>
      </c>
      <c r="J474" s="1235"/>
      <c r="K474" s="1235"/>
      <c r="L474" s="527">
        <v>8642</v>
      </c>
      <c r="M474" s="1235"/>
      <c r="N474" s="1236"/>
    </row>
    <row r="475" spans="1:16" s="10" customFormat="1" ht="18" customHeight="1" x14ac:dyDescent="0.3">
      <c r="A475" s="699">
        <v>468</v>
      </c>
      <c r="B475" s="1284"/>
      <c r="C475" s="1389"/>
      <c r="D475" s="1150" t="s">
        <v>834</v>
      </c>
      <c r="E475" s="164"/>
      <c r="F475" s="164"/>
      <c r="G475" s="1277"/>
      <c r="H475" s="702"/>
      <c r="I475" s="158">
        <f>SUM(J475:Q475)</f>
        <v>0</v>
      </c>
      <c r="J475" s="168"/>
      <c r="K475" s="168"/>
      <c r="L475" s="183"/>
      <c r="M475" s="168"/>
      <c r="N475" s="169"/>
    </row>
    <row r="476" spans="1:16" s="1699" customFormat="1" ht="18" customHeight="1" x14ac:dyDescent="0.3">
      <c r="A476" s="699">
        <v>469</v>
      </c>
      <c r="B476" s="1295"/>
      <c r="C476" s="1390"/>
      <c r="D476" s="690" t="s">
        <v>1391</v>
      </c>
      <c r="E476" s="1305"/>
      <c r="F476" s="1305"/>
      <c r="G476" s="1306"/>
      <c r="H476" s="702"/>
      <c r="I476" s="665">
        <f>SUM(J476:N476)</f>
        <v>8642</v>
      </c>
      <c r="J476" s="527"/>
      <c r="K476" s="527"/>
      <c r="L476" s="527">
        <f>SUM(L474:L475)</f>
        <v>8642</v>
      </c>
      <c r="M476" s="527"/>
      <c r="N476" s="520"/>
    </row>
    <row r="477" spans="1:16" s="3" customFormat="1" ht="22.5" customHeight="1" x14ac:dyDescent="0.3">
      <c r="A477" s="699">
        <v>470</v>
      </c>
      <c r="B477" s="1282"/>
      <c r="C477" s="1387">
        <v>59</v>
      </c>
      <c r="D477" s="691" t="s">
        <v>90</v>
      </c>
      <c r="E477" s="164">
        <v>187389</v>
      </c>
      <c r="F477" s="164">
        <v>199934</v>
      </c>
      <c r="G477" s="1277">
        <v>189681</v>
      </c>
      <c r="H477" s="702" t="s">
        <v>24</v>
      </c>
      <c r="I477" s="665"/>
      <c r="J477" s="168"/>
      <c r="K477" s="168"/>
      <c r="L477" s="168"/>
      <c r="M477" s="168"/>
      <c r="N477" s="169"/>
      <c r="P477" s="10"/>
    </row>
    <row r="478" spans="1:16" s="1237" customFormat="1" ht="18" customHeight="1" x14ac:dyDescent="0.3">
      <c r="A478" s="699">
        <v>471</v>
      </c>
      <c r="B478" s="1283"/>
      <c r="C478" s="1388"/>
      <c r="D478" s="1231" t="s">
        <v>334</v>
      </c>
      <c r="E478" s="1232"/>
      <c r="F478" s="1232"/>
      <c r="G478" s="1277"/>
      <c r="H478" s="1233"/>
      <c r="I478" s="1234">
        <f>SUM(J478:N478)</f>
        <v>218519</v>
      </c>
      <c r="J478" s="1235">
        <v>127820</v>
      </c>
      <c r="K478" s="1235">
        <v>24795</v>
      </c>
      <c r="L478" s="1235">
        <v>65904</v>
      </c>
      <c r="M478" s="1235"/>
      <c r="N478" s="1236"/>
    </row>
    <row r="479" spans="1:16" s="1237" customFormat="1" ht="18" customHeight="1" x14ac:dyDescent="0.3">
      <c r="A479" s="699">
        <v>472</v>
      </c>
      <c r="B479" s="1283"/>
      <c r="C479" s="1388"/>
      <c r="D479" s="690" t="s">
        <v>1307</v>
      </c>
      <c r="E479" s="1232"/>
      <c r="F479" s="1232"/>
      <c r="G479" s="1277"/>
      <c r="H479" s="1233"/>
      <c r="I479" s="665">
        <f>SUM(J479:N479)</f>
        <v>250366</v>
      </c>
      <c r="J479" s="527">
        <v>136982</v>
      </c>
      <c r="K479" s="527">
        <v>29008</v>
      </c>
      <c r="L479" s="527">
        <v>84376</v>
      </c>
      <c r="M479" s="1235"/>
      <c r="N479" s="1236"/>
    </row>
    <row r="480" spans="1:16" s="10" customFormat="1" ht="18" customHeight="1" x14ac:dyDescent="0.3">
      <c r="A480" s="699">
        <v>473</v>
      </c>
      <c r="B480" s="1284"/>
      <c r="C480" s="1389"/>
      <c r="D480" s="1150" t="s">
        <v>834</v>
      </c>
      <c r="E480" s="164"/>
      <c r="F480" s="164"/>
      <c r="G480" s="1277"/>
      <c r="H480" s="702"/>
      <c r="I480" s="158">
        <f>SUM(J480:Q480)</f>
        <v>0</v>
      </c>
      <c r="J480" s="168"/>
      <c r="K480" s="168"/>
      <c r="L480" s="168"/>
      <c r="M480" s="168"/>
      <c r="N480" s="169"/>
    </row>
    <row r="481" spans="1:16" s="1699" customFormat="1" ht="18" customHeight="1" x14ac:dyDescent="0.3">
      <c r="A481" s="699">
        <v>474</v>
      </c>
      <c r="B481" s="1295"/>
      <c r="C481" s="1390"/>
      <c r="D481" s="690" t="s">
        <v>1391</v>
      </c>
      <c r="E481" s="1305"/>
      <c r="F481" s="1305"/>
      <c r="G481" s="1306"/>
      <c r="H481" s="702"/>
      <c r="I481" s="665">
        <f>SUM(J481:N481)</f>
        <v>250366</v>
      </c>
      <c r="J481" s="527">
        <f>SUM(J479:J480)</f>
        <v>136982</v>
      </c>
      <c r="K481" s="527">
        <f>SUM(K479:K480)</f>
        <v>29008</v>
      </c>
      <c r="L481" s="527">
        <f>SUM(L479:L480)</f>
        <v>84376</v>
      </c>
      <c r="M481" s="527"/>
      <c r="N481" s="520"/>
    </row>
    <row r="482" spans="1:16" s="10" customFormat="1" ht="22.5" customHeight="1" x14ac:dyDescent="0.3">
      <c r="A482" s="699">
        <v>475</v>
      </c>
      <c r="B482" s="1284"/>
      <c r="C482" s="1387">
        <v>60</v>
      </c>
      <c r="D482" s="690" t="s">
        <v>429</v>
      </c>
      <c r="E482" s="164">
        <v>180</v>
      </c>
      <c r="F482" s="164">
        <v>180</v>
      </c>
      <c r="G482" s="1277">
        <v>180</v>
      </c>
      <c r="H482" s="702" t="s">
        <v>24</v>
      </c>
      <c r="I482" s="665"/>
      <c r="J482" s="168"/>
      <c r="K482" s="168"/>
      <c r="L482" s="168"/>
      <c r="M482" s="168"/>
      <c r="N482" s="169"/>
    </row>
    <row r="483" spans="1:16" s="1237" customFormat="1" ht="18" customHeight="1" x14ac:dyDescent="0.3">
      <c r="A483" s="699">
        <v>476</v>
      </c>
      <c r="B483" s="1283"/>
      <c r="C483" s="1388"/>
      <c r="D483" s="1231" t="s">
        <v>334</v>
      </c>
      <c r="E483" s="1232"/>
      <c r="F483" s="1232"/>
      <c r="G483" s="1277"/>
      <c r="H483" s="1233"/>
      <c r="I483" s="1234">
        <f>SUM(J483:N483)</f>
        <v>180</v>
      </c>
      <c r="J483" s="1235"/>
      <c r="K483" s="1235"/>
      <c r="L483" s="1235">
        <v>180</v>
      </c>
      <c r="M483" s="1235"/>
      <c r="N483" s="1236"/>
    </row>
    <row r="484" spans="1:16" s="1237" customFormat="1" ht="18" customHeight="1" x14ac:dyDescent="0.3">
      <c r="A484" s="699">
        <v>477</v>
      </c>
      <c r="B484" s="1283"/>
      <c r="C484" s="1388"/>
      <c r="D484" s="690" t="s">
        <v>1307</v>
      </c>
      <c r="E484" s="1232"/>
      <c r="F484" s="1232"/>
      <c r="G484" s="1277"/>
      <c r="H484" s="1233"/>
      <c r="I484" s="665">
        <f>SUM(J484:N484)</f>
        <v>180</v>
      </c>
      <c r="J484" s="1235"/>
      <c r="K484" s="1235"/>
      <c r="L484" s="527">
        <v>180</v>
      </c>
      <c r="M484" s="1235"/>
      <c r="N484" s="1236"/>
    </row>
    <row r="485" spans="1:16" s="10" customFormat="1" ht="18" customHeight="1" x14ac:dyDescent="0.3">
      <c r="A485" s="699">
        <v>478</v>
      </c>
      <c r="B485" s="1284"/>
      <c r="C485" s="1389"/>
      <c r="D485" s="1150" t="s">
        <v>733</v>
      </c>
      <c r="E485" s="164"/>
      <c r="F485" s="164"/>
      <c r="G485" s="1277"/>
      <c r="H485" s="702"/>
      <c r="I485" s="158">
        <f>SUM(J485:Q485)</f>
        <v>0</v>
      </c>
      <c r="J485" s="168"/>
      <c r="K485" s="168"/>
      <c r="L485" s="168"/>
      <c r="M485" s="168"/>
      <c r="N485" s="169"/>
    </row>
    <row r="486" spans="1:16" s="1699" customFormat="1" ht="18" customHeight="1" x14ac:dyDescent="0.3">
      <c r="A486" s="699">
        <v>479</v>
      </c>
      <c r="B486" s="1295"/>
      <c r="C486" s="1390"/>
      <c r="D486" s="690" t="s">
        <v>1391</v>
      </c>
      <c r="E486" s="1305"/>
      <c r="F486" s="1305"/>
      <c r="G486" s="1306"/>
      <c r="H486" s="702"/>
      <c r="I486" s="665">
        <f>SUM(J486:N486)</f>
        <v>180</v>
      </c>
      <c r="J486" s="527"/>
      <c r="K486" s="527"/>
      <c r="L486" s="527">
        <f>SUM(L484:L485)</f>
        <v>180</v>
      </c>
      <c r="M486" s="527"/>
      <c r="N486" s="520"/>
    </row>
    <row r="487" spans="1:16" s="3" customFormat="1" ht="22.5" customHeight="1" x14ac:dyDescent="0.3">
      <c r="A487" s="699">
        <v>480</v>
      </c>
      <c r="B487" s="1282"/>
      <c r="C487" s="1387">
        <v>61</v>
      </c>
      <c r="D487" s="691" t="s">
        <v>91</v>
      </c>
      <c r="E487" s="164">
        <v>5111</v>
      </c>
      <c r="F487" s="164"/>
      <c r="G487" s="1277">
        <v>7276</v>
      </c>
      <c r="H487" s="702" t="s">
        <v>24</v>
      </c>
      <c r="I487" s="665"/>
      <c r="J487" s="168"/>
      <c r="K487" s="168"/>
      <c r="L487" s="168"/>
      <c r="M487" s="168"/>
      <c r="N487" s="169"/>
      <c r="P487" s="10"/>
    </row>
    <row r="488" spans="1:16" s="1237" customFormat="1" ht="18" customHeight="1" x14ac:dyDescent="0.3">
      <c r="A488" s="699">
        <v>481</v>
      </c>
      <c r="B488" s="1290"/>
      <c r="C488" s="1388"/>
      <c r="D488" s="1231" t="s">
        <v>334</v>
      </c>
      <c r="E488" s="1247"/>
      <c r="F488" s="1247"/>
      <c r="G488" s="1276"/>
      <c r="H488" s="1248"/>
      <c r="I488" s="1234">
        <f>SUM(J488:N488)</f>
        <v>25000</v>
      </c>
      <c r="J488" s="1249"/>
      <c r="K488" s="1249"/>
      <c r="L488" s="1249">
        <v>200</v>
      </c>
      <c r="M488" s="1249"/>
      <c r="N488" s="1250">
        <f>25000-200</f>
        <v>24800</v>
      </c>
    </row>
    <row r="489" spans="1:16" s="1237" customFormat="1" ht="18" customHeight="1" x14ac:dyDescent="0.3">
      <c r="A489" s="699">
        <v>482</v>
      </c>
      <c r="B489" s="1290"/>
      <c r="C489" s="1388"/>
      <c r="D489" s="690" t="s">
        <v>1307</v>
      </c>
      <c r="E489" s="1247"/>
      <c r="F489" s="1247"/>
      <c r="G489" s="1276"/>
      <c r="H489" s="1248"/>
      <c r="I489" s="665">
        <f>SUM(J489:N489)</f>
        <v>203720</v>
      </c>
      <c r="J489" s="1249"/>
      <c r="K489" s="1249"/>
      <c r="L489" s="165">
        <v>128188</v>
      </c>
      <c r="M489" s="1249"/>
      <c r="N489" s="166">
        <v>75532</v>
      </c>
    </row>
    <row r="490" spans="1:16" s="10" customFormat="1" ht="18" customHeight="1" x14ac:dyDescent="0.3">
      <c r="A490" s="699">
        <v>483</v>
      </c>
      <c r="B490" s="1289"/>
      <c r="C490" s="1389"/>
      <c r="D490" s="1150" t="s">
        <v>954</v>
      </c>
      <c r="E490" s="198"/>
      <c r="F490" s="198"/>
      <c r="G490" s="1276"/>
      <c r="H490" s="704"/>
      <c r="I490" s="158">
        <f>SUM(J490:Q490)</f>
        <v>0</v>
      </c>
      <c r="J490" s="197"/>
      <c r="K490" s="197"/>
      <c r="L490" s="717"/>
      <c r="M490" s="197"/>
      <c r="N490" s="718"/>
    </row>
    <row r="491" spans="1:16" s="1699" customFormat="1" ht="18" customHeight="1" x14ac:dyDescent="0.3">
      <c r="A491" s="699">
        <v>484</v>
      </c>
      <c r="B491" s="1303"/>
      <c r="C491" s="1390"/>
      <c r="D491" s="690" t="s">
        <v>1391</v>
      </c>
      <c r="E491" s="1308"/>
      <c r="F491" s="1308"/>
      <c r="G491" s="1309"/>
      <c r="H491" s="704"/>
      <c r="I491" s="665">
        <f>SUM(J491:N491)</f>
        <v>203720</v>
      </c>
      <c r="J491" s="165"/>
      <c r="K491" s="165"/>
      <c r="L491" s="165">
        <f>SUM(L489:L490)</f>
        <v>128188</v>
      </c>
      <c r="M491" s="165"/>
      <c r="N491" s="166">
        <f>SUM(N489:N490)</f>
        <v>75532</v>
      </c>
    </row>
    <row r="492" spans="1:16" s="3" customFormat="1" ht="22.5" customHeight="1" x14ac:dyDescent="0.3">
      <c r="A492" s="699">
        <v>485</v>
      </c>
      <c r="B492" s="1282"/>
      <c r="C492" s="1387">
        <v>62</v>
      </c>
      <c r="D492" s="691" t="s">
        <v>92</v>
      </c>
      <c r="E492" s="164">
        <v>101853</v>
      </c>
      <c r="F492" s="164">
        <v>36450</v>
      </c>
      <c r="G492" s="1277">
        <v>121137</v>
      </c>
      <c r="H492" s="702" t="s">
        <v>24</v>
      </c>
      <c r="I492" s="665"/>
      <c r="J492" s="168"/>
      <c r="K492" s="168"/>
      <c r="L492" s="168"/>
      <c r="M492" s="168"/>
      <c r="N492" s="169"/>
      <c r="P492" s="10"/>
    </row>
    <row r="493" spans="1:16" s="1237" customFormat="1" ht="18" customHeight="1" x14ac:dyDescent="0.3">
      <c r="A493" s="699">
        <v>486</v>
      </c>
      <c r="B493" s="1283"/>
      <c r="C493" s="1388"/>
      <c r="D493" s="1231" t="s">
        <v>334</v>
      </c>
      <c r="E493" s="1232"/>
      <c r="F493" s="1232"/>
      <c r="G493" s="1277"/>
      <c r="H493" s="1233"/>
      <c r="I493" s="1234">
        <f>SUM(J493:N493)</f>
        <v>136877</v>
      </c>
      <c r="J493" s="1235"/>
      <c r="K493" s="1235"/>
      <c r="L493" s="1235">
        <f>136877</f>
        <v>136877</v>
      </c>
      <c r="M493" s="1235"/>
      <c r="N493" s="1236"/>
    </row>
    <row r="494" spans="1:16" s="1237" customFormat="1" ht="18" customHeight="1" x14ac:dyDescent="0.3">
      <c r="A494" s="699">
        <v>487</v>
      </c>
      <c r="B494" s="1283"/>
      <c r="C494" s="1388"/>
      <c r="D494" s="690" t="s">
        <v>1307</v>
      </c>
      <c r="E494" s="1232"/>
      <c r="F494" s="1232"/>
      <c r="G494" s="1277"/>
      <c r="H494" s="1233"/>
      <c r="I494" s="665">
        <f>SUM(J494:N494)</f>
        <v>249811</v>
      </c>
      <c r="J494" s="1235"/>
      <c r="K494" s="1235"/>
      <c r="L494" s="527">
        <v>249811</v>
      </c>
      <c r="M494" s="1235"/>
      <c r="N494" s="1236"/>
    </row>
    <row r="495" spans="1:16" s="10" customFormat="1" ht="18" customHeight="1" x14ac:dyDescent="0.3">
      <c r="A495" s="699">
        <v>488</v>
      </c>
      <c r="B495" s="1284"/>
      <c r="C495" s="1389"/>
      <c r="D495" s="1150" t="s">
        <v>954</v>
      </c>
      <c r="E495" s="164"/>
      <c r="F495" s="164"/>
      <c r="G495" s="1277"/>
      <c r="H495" s="702"/>
      <c r="I495" s="158">
        <f>SUM(J495:Q495)</f>
        <v>0</v>
      </c>
      <c r="J495" s="168"/>
      <c r="K495" s="168"/>
      <c r="L495" s="183"/>
      <c r="M495" s="168"/>
      <c r="N495" s="169"/>
    </row>
    <row r="496" spans="1:16" s="1699" customFormat="1" ht="18" customHeight="1" x14ac:dyDescent="0.3">
      <c r="A496" s="699">
        <v>489</v>
      </c>
      <c r="B496" s="1295"/>
      <c r="C496" s="1390"/>
      <c r="D496" s="690" t="s">
        <v>1391</v>
      </c>
      <c r="E496" s="1305"/>
      <c r="F496" s="1305"/>
      <c r="G496" s="1306"/>
      <c r="H496" s="702"/>
      <c r="I496" s="665">
        <f>SUM(J496:N496)</f>
        <v>249811</v>
      </c>
      <c r="J496" s="527"/>
      <c r="K496" s="527"/>
      <c r="L496" s="527">
        <f>SUM(L494:L495)</f>
        <v>249811</v>
      </c>
      <c r="M496" s="527"/>
      <c r="N496" s="520"/>
    </row>
    <row r="497" spans="1:16" s="3" customFormat="1" ht="22.5" customHeight="1" x14ac:dyDescent="0.3">
      <c r="A497" s="699">
        <v>490</v>
      </c>
      <c r="B497" s="1282"/>
      <c r="C497" s="1387">
        <v>63</v>
      </c>
      <c r="D497" s="691" t="s">
        <v>93</v>
      </c>
      <c r="E497" s="164">
        <v>17843</v>
      </c>
      <c r="F497" s="164">
        <v>16552</v>
      </c>
      <c r="G497" s="1277">
        <v>15166</v>
      </c>
      <c r="H497" s="702" t="s">
        <v>25</v>
      </c>
      <c r="I497" s="665"/>
      <c r="J497" s="168"/>
      <c r="K497" s="168"/>
      <c r="L497" s="168"/>
      <c r="M497" s="168"/>
      <c r="N497" s="169"/>
      <c r="P497" s="10"/>
    </row>
    <row r="498" spans="1:16" s="1237" customFormat="1" ht="18" customHeight="1" x14ac:dyDescent="0.3">
      <c r="A498" s="699">
        <v>491</v>
      </c>
      <c r="B498" s="1283"/>
      <c r="C498" s="1388"/>
      <c r="D498" s="1231" t="s">
        <v>334</v>
      </c>
      <c r="E498" s="1232"/>
      <c r="F498" s="1232"/>
      <c r="G498" s="1277"/>
      <c r="H498" s="1233"/>
      <c r="I498" s="1234">
        <f>SUM(J498:N498)</f>
        <v>16687</v>
      </c>
      <c r="J498" s="1235"/>
      <c r="K498" s="1235"/>
      <c r="L498" s="1235">
        <f>15187+500+1000</f>
        <v>16687</v>
      </c>
      <c r="M498" s="1235"/>
      <c r="N498" s="1236"/>
    </row>
    <row r="499" spans="1:16" s="1237" customFormat="1" ht="18" customHeight="1" x14ac:dyDescent="0.3">
      <c r="A499" s="699">
        <v>492</v>
      </c>
      <c r="B499" s="1283"/>
      <c r="C499" s="1388"/>
      <c r="D499" s="690" t="s">
        <v>1307</v>
      </c>
      <c r="E499" s="1232"/>
      <c r="F499" s="1232"/>
      <c r="G499" s="1277"/>
      <c r="H499" s="1233"/>
      <c r="I499" s="665">
        <f>SUM(J499:N499)</f>
        <v>18073</v>
      </c>
      <c r="J499" s="1235"/>
      <c r="K499" s="1235"/>
      <c r="L499" s="527">
        <v>18073</v>
      </c>
      <c r="M499" s="1235"/>
      <c r="N499" s="1236"/>
    </row>
    <row r="500" spans="1:16" s="10" customFormat="1" ht="18" customHeight="1" x14ac:dyDescent="0.3">
      <c r="A500" s="699">
        <v>493</v>
      </c>
      <c r="B500" s="1284"/>
      <c r="C500" s="1389"/>
      <c r="D500" s="1150" t="s">
        <v>834</v>
      </c>
      <c r="E500" s="164"/>
      <c r="F500" s="164"/>
      <c r="G500" s="1277"/>
      <c r="H500" s="702"/>
      <c r="I500" s="158">
        <f>SUM(J500:Q500)</f>
        <v>0</v>
      </c>
      <c r="J500" s="168"/>
      <c r="K500" s="168"/>
      <c r="L500" s="168"/>
      <c r="M500" s="168"/>
      <c r="N500" s="169"/>
    </row>
    <row r="501" spans="1:16" s="1699" customFormat="1" ht="18" customHeight="1" x14ac:dyDescent="0.3">
      <c r="A501" s="699">
        <v>494</v>
      </c>
      <c r="B501" s="1295"/>
      <c r="C501" s="1390"/>
      <c r="D501" s="690" t="s">
        <v>1391</v>
      </c>
      <c r="E501" s="1305"/>
      <c r="F501" s="1305"/>
      <c r="G501" s="1306"/>
      <c r="H501" s="702"/>
      <c r="I501" s="665">
        <f>SUM(J501:N501)</f>
        <v>18073</v>
      </c>
      <c r="J501" s="527"/>
      <c r="K501" s="527"/>
      <c r="L501" s="527">
        <f>SUM(L499:L500)</f>
        <v>18073</v>
      </c>
      <c r="M501" s="527"/>
      <c r="N501" s="520"/>
    </row>
    <row r="502" spans="1:16" s="10" customFormat="1" ht="22.5" customHeight="1" x14ac:dyDescent="0.3">
      <c r="A502" s="699">
        <v>495</v>
      </c>
      <c r="B502" s="1284"/>
      <c r="C502" s="1387">
        <v>64</v>
      </c>
      <c r="D502" s="690" t="s">
        <v>430</v>
      </c>
      <c r="E502" s="164">
        <v>145261</v>
      </c>
      <c r="F502" s="164">
        <v>244205</v>
      </c>
      <c r="G502" s="1277">
        <v>244205</v>
      </c>
      <c r="H502" s="702" t="s">
        <v>24</v>
      </c>
      <c r="I502" s="665"/>
      <c r="J502" s="168"/>
      <c r="K502" s="168"/>
      <c r="L502" s="168"/>
      <c r="M502" s="168"/>
      <c r="N502" s="169"/>
    </row>
    <row r="503" spans="1:16" s="1237" customFormat="1" ht="18" customHeight="1" x14ac:dyDescent="0.3">
      <c r="A503" s="699">
        <v>496</v>
      </c>
      <c r="B503" s="1283"/>
      <c r="C503" s="1388"/>
      <c r="D503" s="1231" t="s">
        <v>334</v>
      </c>
      <c r="E503" s="1232"/>
      <c r="F503" s="1232"/>
      <c r="G503" s="1277"/>
      <c r="H503" s="1233"/>
      <c r="I503" s="1234">
        <f>SUM(J503:N503)</f>
        <v>306766</v>
      </c>
      <c r="J503" s="1235"/>
      <c r="K503" s="1235"/>
      <c r="L503" s="1235"/>
      <c r="M503" s="1235"/>
      <c r="N503" s="1236">
        <v>306766</v>
      </c>
    </row>
    <row r="504" spans="1:16" s="1237" customFormat="1" ht="18" customHeight="1" x14ac:dyDescent="0.3">
      <c r="A504" s="699">
        <v>497</v>
      </c>
      <c r="B504" s="1283"/>
      <c r="C504" s="1388"/>
      <c r="D504" s="690" t="s">
        <v>1307</v>
      </c>
      <c r="E504" s="1232"/>
      <c r="F504" s="1232"/>
      <c r="G504" s="1277"/>
      <c r="H504" s="1233"/>
      <c r="I504" s="665">
        <f>SUM(J504:N504)</f>
        <v>306766</v>
      </c>
      <c r="J504" s="1235"/>
      <c r="K504" s="1235"/>
      <c r="L504" s="1235"/>
      <c r="M504" s="1235"/>
      <c r="N504" s="520">
        <v>306766</v>
      </c>
    </row>
    <row r="505" spans="1:16" s="10" customFormat="1" ht="18" customHeight="1" x14ac:dyDescent="0.3">
      <c r="A505" s="699">
        <v>498</v>
      </c>
      <c r="B505" s="1284"/>
      <c r="C505" s="1389"/>
      <c r="D505" s="1150" t="s">
        <v>733</v>
      </c>
      <c r="E505" s="164"/>
      <c r="F505" s="164"/>
      <c r="G505" s="1277"/>
      <c r="H505" s="702"/>
      <c r="I505" s="158">
        <f>SUM(J505:Q505)</f>
        <v>0</v>
      </c>
      <c r="J505" s="168"/>
      <c r="K505" s="168"/>
      <c r="L505" s="168"/>
      <c r="M505" s="168"/>
      <c r="N505" s="169"/>
    </row>
    <row r="506" spans="1:16" s="1699" customFormat="1" ht="18" customHeight="1" x14ac:dyDescent="0.3">
      <c r="A506" s="699">
        <v>499</v>
      </c>
      <c r="B506" s="1295"/>
      <c r="C506" s="1390"/>
      <c r="D506" s="690" t="s">
        <v>1391</v>
      </c>
      <c r="E506" s="1305"/>
      <c r="F506" s="1305"/>
      <c r="G506" s="1306"/>
      <c r="H506" s="702"/>
      <c r="I506" s="665">
        <f>SUM(J506:N506)</f>
        <v>306766</v>
      </c>
      <c r="J506" s="527"/>
      <c r="K506" s="527"/>
      <c r="L506" s="527"/>
      <c r="M506" s="527"/>
      <c r="N506" s="520">
        <f>SUM(N504:N505)</f>
        <v>306766</v>
      </c>
    </row>
    <row r="507" spans="1:16" s="3" customFormat="1" ht="22.5" customHeight="1" x14ac:dyDescent="0.3">
      <c r="A507" s="699">
        <v>500</v>
      </c>
      <c r="B507" s="1282"/>
      <c r="C507" s="1387">
        <v>65</v>
      </c>
      <c r="D507" s="691" t="s">
        <v>95</v>
      </c>
      <c r="E507" s="164">
        <v>4700</v>
      </c>
      <c r="F507" s="164">
        <v>5000</v>
      </c>
      <c r="G507" s="1277">
        <v>5300</v>
      </c>
      <c r="H507" s="702" t="s">
        <v>25</v>
      </c>
      <c r="I507" s="665"/>
      <c r="J507" s="168"/>
      <c r="K507" s="168"/>
      <c r="L507" s="168"/>
      <c r="M507" s="168"/>
      <c r="N507" s="169"/>
      <c r="P507" s="10"/>
    </row>
    <row r="508" spans="1:16" s="1237" customFormat="1" ht="18" customHeight="1" x14ac:dyDescent="0.3">
      <c r="A508" s="699">
        <v>501</v>
      </c>
      <c r="B508" s="1283"/>
      <c r="C508" s="1388"/>
      <c r="D508" s="1231" t="s">
        <v>334</v>
      </c>
      <c r="E508" s="1232"/>
      <c r="F508" s="1232"/>
      <c r="G508" s="1277"/>
      <c r="H508" s="1233"/>
      <c r="I508" s="1234">
        <f>SUM(J508:N508)</f>
        <v>15000</v>
      </c>
      <c r="J508" s="1235"/>
      <c r="K508" s="1235"/>
      <c r="L508" s="1235"/>
      <c r="M508" s="1235"/>
      <c r="N508" s="1236">
        <v>15000</v>
      </c>
    </row>
    <row r="509" spans="1:16" s="1237" customFormat="1" ht="18" customHeight="1" x14ac:dyDescent="0.3">
      <c r="A509" s="699">
        <v>502</v>
      </c>
      <c r="B509" s="1283"/>
      <c r="C509" s="1388"/>
      <c r="D509" s="690" t="s">
        <v>1307</v>
      </c>
      <c r="E509" s="1232"/>
      <c r="F509" s="1232"/>
      <c r="G509" s="1277"/>
      <c r="H509" s="1233"/>
      <c r="I509" s="665">
        <f>SUM(J509:N509)</f>
        <v>15000</v>
      </c>
      <c r="J509" s="1235"/>
      <c r="K509" s="1235"/>
      <c r="L509" s="1235"/>
      <c r="M509" s="1235"/>
      <c r="N509" s="520">
        <v>15000</v>
      </c>
    </row>
    <row r="510" spans="1:16" s="10" customFormat="1" ht="18" customHeight="1" x14ac:dyDescent="0.3">
      <c r="A510" s="699">
        <v>503</v>
      </c>
      <c r="B510" s="1284"/>
      <c r="C510" s="1389"/>
      <c r="D510" s="1150" t="s">
        <v>733</v>
      </c>
      <c r="E510" s="164"/>
      <c r="F510" s="164"/>
      <c r="G510" s="1277"/>
      <c r="H510" s="702"/>
      <c r="I510" s="158">
        <f>SUM(J510:Q510)</f>
        <v>0</v>
      </c>
      <c r="J510" s="168"/>
      <c r="K510" s="168"/>
      <c r="L510" s="168"/>
      <c r="M510" s="168"/>
      <c r="N510" s="169"/>
    </row>
    <row r="511" spans="1:16" s="1699" customFormat="1" ht="18" customHeight="1" x14ac:dyDescent="0.3">
      <c r="A511" s="699">
        <v>504</v>
      </c>
      <c r="B511" s="1295"/>
      <c r="C511" s="1390"/>
      <c r="D511" s="690" t="s">
        <v>1391</v>
      </c>
      <c r="E511" s="1305"/>
      <c r="F511" s="1305"/>
      <c r="G511" s="1306"/>
      <c r="H511" s="702"/>
      <c r="I511" s="665">
        <f>SUM(J511:N511)</f>
        <v>15000</v>
      </c>
      <c r="J511" s="527"/>
      <c r="K511" s="527"/>
      <c r="L511" s="527"/>
      <c r="M511" s="527"/>
      <c r="N511" s="520">
        <f>SUM(N509:N510)</f>
        <v>15000</v>
      </c>
    </row>
    <row r="512" spans="1:16" s="3" customFormat="1" ht="22.5" customHeight="1" x14ac:dyDescent="0.35">
      <c r="A512" s="699">
        <v>505</v>
      </c>
      <c r="B512" s="1282"/>
      <c r="C512" s="1387">
        <v>66</v>
      </c>
      <c r="D512" s="695" t="s">
        <v>431</v>
      </c>
      <c r="E512" s="164">
        <v>401040</v>
      </c>
      <c r="F512" s="164">
        <v>280000</v>
      </c>
      <c r="G512" s="1277">
        <v>305180</v>
      </c>
      <c r="H512" s="702" t="s">
        <v>24</v>
      </c>
      <c r="I512" s="665"/>
      <c r="J512" s="168"/>
      <c r="K512" s="168"/>
      <c r="L512" s="168"/>
      <c r="M512" s="168"/>
      <c r="N512" s="169"/>
      <c r="P512" s="10"/>
    </row>
    <row r="513" spans="1:16" s="1237" customFormat="1" ht="18" customHeight="1" x14ac:dyDescent="0.3">
      <c r="A513" s="699">
        <v>506</v>
      </c>
      <c r="B513" s="1283"/>
      <c r="C513" s="1388"/>
      <c r="D513" s="1231" t="s">
        <v>334</v>
      </c>
      <c r="E513" s="1232"/>
      <c r="F513" s="1232"/>
      <c r="G513" s="1277"/>
      <c r="H513" s="1233"/>
      <c r="I513" s="1234">
        <f>SUM(J513:N513)</f>
        <v>160000</v>
      </c>
      <c r="J513" s="1235"/>
      <c r="K513" s="1235"/>
      <c r="L513" s="1235"/>
      <c r="M513" s="1235"/>
      <c r="N513" s="1236">
        <v>160000</v>
      </c>
    </row>
    <row r="514" spans="1:16" s="1237" customFormat="1" ht="18" customHeight="1" x14ac:dyDescent="0.3">
      <c r="A514" s="699">
        <v>507</v>
      </c>
      <c r="B514" s="1283"/>
      <c r="C514" s="1388"/>
      <c r="D514" s="690" t="s">
        <v>1307</v>
      </c>
      <c r="E514" s="1232"/>
      <c r="F514" s="1232"/>
      <c r="G514" s="1277"/>
      <c r="H514" s="1233"/>
      <c r="I514" s="665">
        <f>SUM(J514:N514)</f>
        <v>146941</v>
      </c>
      <c r="J514" s="1235"/>
      <c r="K514" s="1235"/>
      <c r="L514" s="1235"/>
      <c r="M514" s="1235"/>
      <c r="N514" s="520">
        <v>146941</v>
      </c>
    </row>
    <row r="515" spans="1:16" s="10" customFormat="1" ht="18" customHeight="1" x14ac:dyDescent="0.3">
      <c r="A515" s="699">
        <v>508</v>
      </c>
      <c r="B515" s="1284"/>
      <c r="C515" s="1389"/>
      <c r="D515" s="1150" t="s">
        <v>954</v>
      </c>
      <c r="E515" s="164"/>
      <c r="F515" s="164"/>
      <c r="G515" s="1277"/>
      <c r="H515" s="702"/>
      <c r="I515" s="158">
        <f>SUM(J515:Q515)</f>
        <v>0</v>
      </c>
      <c r="J515" s="168"/>
      <c r="K515" s="168"/>
      <c r="L515" s="168"/>
      <c r="M515" s="168"/>
      <c r="N515" s="169"/>
    </row>
    <row r="516" spans="1:16" s="1699" customFormat="1" ht="18" customHeight="1" x14ac:dyDescent="0.3">
      <c r="A516" s="699">
        <v>509</v>
      </c>
      <c r="B516" s="1295"/>
      <c r="C516" s="1390"/>
      <c r="D516" s="690" t="s">
        <v>1391</v>
      </c>
      <c r="E516" s="1305"/>
      <c r="F516" s="1305"/>
      <c r="G516" s="1306"/>
      <c r="H516" s="702"/>
      <c r="I516" s="665">
        <f>SUM(J516:N516)</f>
        <v>146941</v>
      </c>
      <c r="J516" s="527"/>
      <c r="K516" s="527"/>
      <c r="L516" s="527"/>
      <c r="M516" s="527"/>
      <c r="N516" s="520">
        <f>SUM(N514:N515)</f>
        <v>146941</v>
      </c>
    </row>
    <row r="517" spans="1:16" s="3" customFormat="1" ht="22.5" customHeight="1" x14ac:dyDescent="0.3">
      <c r="A517" s="699">
        <v>510</v>
      </c>
      <c r="B517" s="1282"/>
      <c r="C517" s="1387">
        <v>67</v>
      </c>
      <c r="D517" s="691" t="s">
        <v>98</v>
      </c>
      <c r="E517" s="164">
        <v>65000</v>
      </c>
      <c r="F517" s="164">
        <v>70000</v>
      </c>
      <c r="G517" s="1277">
        <v>74000</v>
      </c>
      <c r="H517" s="702" t="s">
        <v>25</v>
      </c>
      <c r="I517" s="665"/>
      <c r="J517" s="168"/>
      <c r="K517" s="168"/>
      <c r="L517" s="168"/>
      <c r="M517" s="168"/>
      <c r="N517" s="169"/>
      <c r="P517" s="10"/>
    </row>
    <row r="518" spans="1:16" s="1237" customFormat="1" ht="18" customHeight="1" x14ac:dyDescent="0.3">
      <c r="A518" s="699">
        <v>511</v>
      </c>
      <c r="B518" s="1283"/>
      <c r="C518" s="1388"/>
      <c r="D518" s="1231" t="s">
        <v>334</v>
      </c>
      <c r="E518" s="1232"/>
      <c r="F518" s="1232"/>
      <c r="G518" s="1277"/>
      <c r="H518" s="1233"/>
      <c r="I518" s="1234">
        <f>SUM(J518:N518)</f>
        <v>70000</v>
      </c>
      <c r="J518" s="1235"/>
      <c r="K518" s="1235"/>
      <c r="L518" s="1235"/>
      <c r="M518" s="1235"/>
      <c r="N518" s="1236">
        <v>70000</v>
      </c>
    </row>
    <row r="519" spans="1:16" s="1237" customFormat="1" ht="18" customHeight="1" x14ac:dyDescent="0.3">
      <c r="A519" s="699">
        <v>512</v>
      </c>
      <c r="B519" s="1283"/>
      <c r="C519" s="1388"/>
      <c r="D519" s="690" t="s">
        <v>1307</v>
      </c>
      <c r="E519" s="1232"/>
      <c r="F519" s="1232"/>
      <c r="G519" s="1277"/>
      <c r="H519" s="1233"/>
      <c r="I519" s="665">
        <f>SUM(J519:N519)</f>
        <v>70500</v>
      </c>
      <c r="J519" s="1235"/>
      <c r="K519" s="1235"/>
      <c r="L519" s="1235"/>
      <c r="M519" s="1235"/>
      <c r="N519" s="520">
        <v>70500</v>
      </c>
    </row>
    <row r="520" spans="1:16" s="10" customFormat="1" ht="18" customHeight="1" x14ac:dyDescent="0.3">
      <c r="A520" s="699">
        <v>513</v>
      </c>
      <c r="B520" s="1284"/>
      <c r="C520" s="1389"/>
      <c r="D520" s="1150" t="s">
        <v>834</v>
      </c>
      <c r="E520" s="164"/>
      <c r="F520" s="164"/>
      <c r="G520" s="1277"/>
      <c r="H520" s="702"/>
      <c r="I520" s="158">
        <f>SUM(J520:Q520)</f>
        <v>0</v>
      </c>
      <c r="J520" s="168"/>
      <c r="K520" s="168"/>
      <c r="L520" s="168"/>
      <c r="M520" s="168"/>
      <c r="N520" s="184"/>
    </row>
    <row r="521" spans="1:16" s="1699" customFormat="1" ht="18" customHeight="1" x14ac:dyDescent="0.3">
      <c r="A521" s="699">
        <v>514</v>
      </c>
      <c r="B521" s="1295"/>
      <c r="C521" s="1390"/>
      <c r="D521" s="690" t="s">
        <v>1391</v>
      </c>
      <c r="E521" s="1305"/>
      <c r="F521" s="1305"/>
      <c r="G521" s="1306"/>
      <c r="H521" s="702"/>
      <c r="I521" s="665">
        <f>SUM(J521:N521)</f>
        <v>70500</v>
      </c>
      <c r="J521" s="527"/>
      <c r="K521" s="527"/>
      <c r="L521" s="527"/>
      <c r="M521" s="527"/>
      <c r="N521" s="520">
        <f>SUM(N519:N520)</f>
        <v>70500</v>
      </c>
    </row>
    <row r="522" spans="1:16" s="3" customFormat="1" ht="22.5" customHeight="1" x14ac:dyDescent="0.3">
      <c r="A522" s="699">
        <v>515</v>
      </c>
      <c r="B522" s="1282"/>
      <c r="C522" s="1387">
        <v>68</v>
      </c>
      <c r="D522" s="691" t="s">
        <v>99</v>
      </c>
      <c r="E522" s="164">
        <v>88062</v>
      </c>
      <c r="F522" s="164">
        <v>100000</v>
      </c>
      <c r="G522" s="1277">
        <v>100000</v>
      </c>
      <c r="H522" s="702" t="s">
        <v>25</v>
      </c>
      <c r="I522" s="665"/>
      <c r="J522" s="168"/>
      <c r="K522" s="168"/>
      <c r="L522" s="168"/>
      <c r="M522" s="168"/>
      <c r="N522" s="169"/>
      <c r="P522" s="10"/>
    </row>
    <row r="523" spans="1:16" s="1237" customFormat="1" ht="18" customHeight="1" x14ac:dyDescent="0.3">
      <c r="A523" s="699">
        <v>516</v>
      </c>
      <c r="B523" s="1283"/>
      <c r="C523" s="1388"/>
      <c r="D523" s="1231" t="s">
        <v>334</v>
      </c>
      <c r="E523" s="1232"/>
      <c r="F523" s="1232"/>
      <c r="G523" s="1277"/>
      <c r="H523" s="1233"/>
      <c r="I523" s="1234">
        <f>SUM(J523:N523)</f>
        <v>128000</v>
      </c>
      <c r="J523" s="1235"/>
      <c r="K523" s="1235"/>
      <c r="L523" s="1235"/>
      <c r="M523" s="1235"/>
      <c r="N523" s="1236">
        <v>128000</v>
      </c>
    </row>
    <row r="524" spans="1:16" s="1237" customFormat="1" ht="18" customHeight="1" x14ac:dyDescent="0.3">
      <c r="A524" s="699">
        <v>517</v>
      </c>
      <c r="B524" s="1283"/>
      <c r="C524" s="1388"/>
      <c r="D524" s="690" t="s">
        <v>1307</v>
      </c>
      <c r="E524" s="1232"/>
      <c r="F524" s="1232"/>
      <c r="G524" s="1277"/>
      <c r="H524" s="1233"/>
      <c r="I524" s="665">
        <f>SUM(J524:N524)</f>
        <v>128000</v>
      </c>
      <c r="J524" s="1235"/>
      <c r="K524" s="1235"/>
      <c r="L524" s="1235"/>
      <c r="M524" s="1235"/>
      <c r="N524" s="520">
        <v>128000</v>
      </c>
    </row>
    <row r="525" spans="1:16" s="10" customFormat="1" ht="18" customHeight="1" x14ac:dyDescent="0.3">
      <c r="A525" s="699">
        <v>518</v>
      </c>
      <c r="B525" s="1284"/>
      <c r="C525" s="1389"/>
      <c r="D525" s="1150" t="s">
        <v>733</v>
      </c>
      <c r="E525" s="164"/>
      <c r="F525" s="164"/>
      <c r="G525" s="1277"/>
      <c r="H525" s="702"/>
      <c r="I525" s="158">
        <f>SUM(J525:Q525)</f>
        <v>0</v>
      </c>
      <c r="J525" s="168"/>
      <c r="K525" s="168"/>
      <c r="L525" s="168"/>
      <c r="M525" s="168"/>
      <c r="N525" s="169"/>
    </row>
    <row r="526" spans="1:16" s="1699" customFormat="1" ht="18" customHeight="1" x14ac:dyDescent="0.3">
      <c r="A526" s="699">
        <v>519</v>
      </c>
      <c r="B526" s="1295"/>
      <c r="C526" s="1390"/>
      <c r="D526" s="690" t="s">
        <v>1391</v>
      </c>
      <c r="E526" s="1305"/>
      <c r="F526" s="1305"/>
      <c r="G526" s="1306"/>
      <c r="H526" s="702"/>
      <c r="I526" s="665">
        <f>SUM(J526:N526)</f>
        <v>128000</v>
      </c>
      <c r="J526" s="527"/>
      <c r="K526" s="527"/>
      <c r="L526" s="527"/>
      <c r="M526" s="527"/>
      <c r="N526" s="520">
        <f>SUM(N524:N525)</f>
        <v>128000</v>
      </c>
    </row>
    <row r="527" spans="1:16" s="3" customFormat="1" ht="22.5" customHeight="1" x14ac:dyDescent="0.3">
      <c r="A527" s="699">
        <v>520</v>
      </c>
      <c r="B527" s="1282"/>
      <c r="C527" s="1387">
        <v>69</v>
      </c>
      <c r="D527" s="691" t="s">
        <v>100</v>
      </c>
      <c r="E527" s="164">
        <v>27321</v>
      </c>
      <c r="F527" s="164"/>
      <c r="G527" s="1277"/>
      <c r="H527" s="702" t="s">
        <v>25</v>
      </c>
      <c r="I527" s="665"/>
      <c r="J527" s="168"/>
      <c r="K527" s="168"/>
      <c r="L527" s="168"/>
      <c r="M527" s="168"/>
      <c r="N527" s="169"/>
      <c r="P527" s="10"/>
    </row>
    <row r="528" spans="1:16" s="3" customFormat="1" ht="22.5" customHeight="1" x14ac:dyDescent="0.3">
      <c r="A528" s="699">
        <v>521</v>
      </c>
      <c r="B528" s="1282"/>
      <c r="C528" s="1387"/>
      <c r="D528" s="690" t="s">
        <v>1307</v>
      </c>
      <c r="E528" s="164"/>
      <c r="F528" s="164"/>
      <c r="G528" s="1277"/>
      <c r="H528" s="702"/>
      <c r="I528" s="665">
        <f>SUM(J528:N528)</f>
        <v>1697</v>
      </c>
      <c r="J528" s="168"/>
      <c r="K528" s="168"/>
      <c r="L528" s="168"/>
      <c r="M528" s="168"/>
      <c r="N528" s="520">
        <v>1697</v>
      </c>
      <c r="P528" s="10"/>
    </row>
    <row r="529" spans="1:16" s="10" customFormat="1" ht="18" customHeight="1" x14ac:dyDescent="0.3">
      <c r="A529" s="699">
        <v>522</v>
      </c>
      <c r="B529" s="1284"/>
      <c r="C529" s="1389"/>
      <c r="D529" s="1150" t="s">
        <v>834</v>
      </c>
      <c r="E529" s="164"/>
      <c r="F529" s="164"/>
      <c r="G529" s="1277"/>
      <c r="H529" s="702"/>
      <c r="I529" s="158">
        <f>SUM(J529:Q529)</f>
        <v>0</v>
      </c>
      <c r="J529" s="168"/>
      <c r="K529" s="168"/>
      <c r="L529" s="168"/>
      <c r="M529" s="168"/>
      <c r="N529" s="169"/>
    </row>
    <row r="530" spans="1:16" s="1699" customFormat="1" ht="18" customHeight="1" x14ac:dyDescent="0.3">
      <c r="A530" s="699">
        <v>523</v>
      </c>
      <c r="B530" s="1295"/>
      <c r="C530" s="1390"/>
      <c r="D530" s="690" t="s">
        <v>1391</v>
      </c>
      <c r="E530" s="1305"/>
      <c r="F530" s="1305"/>
      <c r="G530" s="1306"/>
      <c r="H530" s="702"/>
      <c r="I530" s="665">
        <f>SUM(J530:N530)</f>
        <v>1697</v>
      </c>
      <c r="J530" s="527"/>
      <c r="K530" s="527"/>
      <c r="L530" s="527"/>
      <c r="M530" s="527"/>
      <c r="N530" s="520">
        <f>SUM(N528:N529)</f>
        <v>1697</v>
      </c>
    </row>
    <row r="531" spans="1:16" s="3" customFormat="1" ht="22.5" customHeight="1" x14ac:dyDescent="0.3">
      <c r="A531" s="699">
        <v>524</v>
      </c>
      <c r="B531" s="1282"/>
      <c r="C531" s="1387">
        <v>70</v>
      </c>
      <c r="D531" s="691" t="s">
        <v>101</v>
      </c>
      <c r="E531" s="164">
        <v>19605</v>
      </c>
      <c r="F531" s="164">
        <v>22000</v>
      </c>
      <c r="G531" s="1277">
        <v>22339</v>
      </c>
      <c r="H531" s="702" t="s">
        <v>25</v>
      </c>
      <c r="I531" s="665"/>
      <c r="J531" s="168"/>
      <c r="K531" s="168"/>
      <c r="L531" s="168"/>
      <c r="M531" s="168"/>
      <c r="N531" s="169"/>
      <c r="P531" s="10"/>
    </row>
    <row r="532" spans="1:16" s="1237" customFormat="1" ht="18" customHeight="1" x14ac:dyDescent="0.3">
      <c r="A532" s="699">
        <v>525</v>
      </c>
      <c r="B532" s="1283"/>
      <c r="C532" s="1388"/>
      <c r="D532" s="1231" t="s">
        <v>334</v>
      </c>
      <c r="E532" s="1232"/>
      <c r="F532" s="1232"/>
      <c r="G532" s="1277"/>
      <c r="H532" s="1233"/>
      <c r="I532" s="1234">
        <f>SUM(J532:N532)</f>
        <v>22000</v>
      </c>
      <c r="J532" s="1235"/>
      <c r="K532" s="1235"/>
      <c r="L532" s="1235">
        <v>22000</v>
      </c>
      <c r="M532" s="1235"/>
      <c r="N532" s="1236"/>
    </row>
    <row r="533" spans="1:16" s="1237" customFormat="1" ht="18" customHeight="1" x14ac:dyDescent="0.3">
      <c r="A533" s="699">
        <v>526</v>
      </c>
      <c r="B533" s="1283"/>
      <c r="C533" s="1388"/>
      <c r="D533" s="690" t="s">
        <v>1307</v>
      </c>
      <c r="E533" s="1232"/>
      <c r="F533" s="1232"/>
      <c r="G533" s="1277"/>
      <c r="H533" s="1233"/>
      <c r="I533" s="665">
        <f>SUM(J533:N533)</f>
        <v>22922</v>
      </c>
      <c r="J533" s="1235"/>
      <c r="K533" s="1235"/>
      <c r="L533" s="527">
        <v>22922</v>
      </c>
      <c r="M533" s="1235"/>
      <c r="N533" s="1236"/>
    </row>
    <row r="534" spans="1:16" s="10" customFormat="1" ht="18" customHeight="1" x14ac:dyDescent="0.3">
      <c r="A534" s="699">
        <v>527</v>
      </c>
      <c r="B534" s="1284"/>
      <c r="C534" s="1389"/>
      <c r="D534" s="1150" t="s">
        <v>834</v>
      </c>
      <c r="E534" s="164"/>
      <c r="F534" s="164"/>
      <c r="G534" s="1277"/>
      <c r="H534" s="702"/>
      <c r="I534" s="158">
        <f>SUM(J534:Q534)</f>
        <v>0</v>
      </c>
      <c r="J534" s="168"/>
      <c r="K534" s="168"/>
      <c r="L534" s="168"/>
      <c r="M534" s="168"/>
      <c r="N534" s="169"/>
    </row>
    <row r="535" spans="1:16" s="1699" customFormat="1" ht="18" customHeight="1" x14ac:dyDescent="0.3">
      <c r="A535" s="699">
        <v>528</v>
      </c>
      <c r="B535" s="1295"/>
      <c r="C535" s="1390"/>
      <c r="D535" s="690" t="s">
        <v>1391</v>
      </c>
      <c r="E535" s="1305"/>
      <c r="F535" s="1305"/>
      <c r="G535" s="1306"/>
      <c r="H535" s="702"/>
      <c r="I535" s="665">
        <f>SUM(J535:N535)</f>
        <v>22922</v>
      </c>
      <c r="J535" s="527"/>
      <c r="K535" s="527"/>
      <c r="L535" s="527">
        <f>SUM(L533:L534)</f>
        <v>22922</v>
      </c>
      <c r="M535" s="527"/>
      <c r="N535" s="520"/>
    </row>
    <row r="536" spans="1:16" s="3" customFormat="1" ht="22.5" customHeight="1" x14ac:dyDescent="0.3">
      <c r="A536" s="699">
        <v>529</v>
      </c>
      <c r="B536" s="1282"/>
      <c r="C536" s="1387">
        <v>71</v>
      </c>
      <c r="D536" s="691" t="s">
        <v>102</v>
      </c>
      <c r="E536" s="164">
        <v>35620</v>
      </c>
      <c r="F536" s="164">
        <v>38324</v>
      </c>
      <c r="G536" s="1277">
        <v>38110</v>
      </c>
      <c r="H536" s="702" t="s">
        <v>25</v>
      </c>
      <c r="I536" s="665"/>
      <c r="J536" s="168"/>
      <c r="K536" s="168"/>
      <c r="L536" s="168"/>
      <c r="M536" s="168"/>
      <c r="N536" s="169"/>
      <c r="P536" s="10"/>
    </row>
    <row r="537" spans="1:16" s="1237" customFormat="1" ht="18" customHeight="1" x14ac:dyDescent="0.3">
      <c r="A537" s="699">
        <v>530</v>
      </c>
      <c r="B537" s="1283"/>
      <c r="C537" s="1388"/>
      <c r="D537" s="1231" t="s">
        <v>334</v>
      </c>
      <c r="E537" s="1232"/>
      <c r="F537" s="1232"/>
      <c r="G537" s="1277"/>
      <c r="H537" s="1233"/>
      <c r="I537" s="1234">
        <f>SUM(J537:N537)</f>
        <v>19000</v>
      </c>
      <c r="J537" s="1235"/>
      <c r="K537" s="1235"/>
      <c r="L537" s="1235">
        <v>19000</v>
      </c>
      <c r="M537" s="1235"/>
      <c r="N537" s="1236"/>
    </row>
    <row r="538" spans="1:16" s="1237" customFormat="1" ht="18" customHeight="1" x14ac:dyDescent="0.3">
      <c r="A538" s="699">
        <v>531</v>
      </c>
      <c r="B538" s="1283"/>
      <c r="C538" s="1388"/>
      <c r="D538" s="690" t="s">
        <v>1307</v>
      </c>
      <c r="E538" s="1232"/>
      <c r="F538" s="1232"/>
      <c r="G538" s="1277"/>
      <c r="H538" s="1233"/>
      <c r="I538" s="665">
        <f>SUM(J538:N538)</f>
        <v>22225</v>
      </c>
      <c r="J538" s="1235"/>
      <c r="K538" s="1235"/>
      <c r="L538" s="527">
        <v>22225</v>
      </c>
      <c r="M538" s="1235"/>
      <c r="N538" s="1236"/>
    </row>
    <row r="539" spans="1:16" s="10" customFormat="1" ht="18" customHeight="1" x14ac:dyDescent="0.3">
      <c r="A539" s="699">
        <v>532</v>
      </c>
      <c r="B539" s="1284"/>
      <c r="C539" s="1389"/>
      <c r="D539" s="1150" t="s">
        <v>834</v>
      </c>
      <c r="E539" s="164"/>
      <c r="F539" s="164"/>
      <c r="G539" s="1277"/>
      <c r="H539" s="702"/>
      <c r="I539" s="158">
        <f>SUM(J539:Q539)</f>
        <v>0</v>
      </c>
      <c r="J539" s="168"/>
      <c r="K539" s="168"/>
      <c r="L539" s="183"/>
      <c r="M539" s="168"/>
      <c r="N539" s="169"/>
    </row>
    <row r="540" spans="1:16" s="1699" customFormat="1" ht="18" customHeight="1" x14ac:dyDescent="0.3">
      <c r="A540" s="699">
        <v>533</v>
      </c>
      <c r="B540" s="1295"/>
      <c r="C540" s="1390"/>
      <c r="D540" s="690" t="s">
        <v>1391</v>
      </c>
      <c r="E540" s="1305"/>
      <c r="F540" s="1305"/>
      <c r="G540" s="1306"/>
      <c r="H540" s="702"/>
      <c r="I540" s="665">
        <f>SUM(J540:N540)</f>
        <v>22225</v>
      </c>
      <c r="J540" s="527"/>
      <c r="K540" s="527"/>
      <c r="L540" s="527">
        <f>SUM(L538:L539)</f>
        <v>22225</v>
      </c>
      <c r="M540" s="527"/>
      <c r="N540" s="520"/>
    </row>
    <row r="541" spans="1:16" s="10" customFormat="1" ht="22.5" customHeight="1" x14ac:dyDescent="0.3">
      <c r="A541" s="699">
        <v>534</v>
      </c>
      <c r="B541" s="1284"/>
      <c r="C541" s="1387">
        <v>72</v>
      </c>
      <c r="D541" s="690" t="s">
        <v>466</v>
      </c>
      <c r="E541" s="164"/>
      <c r="F541" s="164">
        <v>1500</v>
      </c>
      <c r="G541" s="1277"/>
      <c r="H541" s="702" t="s">
        <v>25</v>
      </c>
      <c r="I541" s="665"/>
      <c r="J541" s="168"/>
      <c r="K541" s="168"/>
      <c r="L541" s="168"/>
      <c r="M541" s="168"/>
      <c r="N541" s="169"/>
    </row>
    <row r="542" spans="1:16" s="10" customFormat="1" ht="22.5" customHeight="1" x14ac:dyDescent="0.3">
      <c r="A542" s="699">
        <v>535</v>
      </c>
      <c r="B542" s="1284"/>
      <c r="C542" s="1387"/>
      <c r="D542" s="690" t="s">
        <v>1307</v>
      </c>
      <c r="E542" s="164"/>
      <c r="F542" s="164"/>
      <c r="G542" s="1277"/>
      <c r="H542" s="702"/>
      <c r="I542" s="665">
        <f>SUM(J542:N542)</f>
        <v>2000</v>
      </c>
      <c r="J542" s="168"/>
      <c r="K542" s="168"/>
      <c r="L542" s="168"/>
      <c r="M542" s="168"/>
      <c r="N542" s="520">
        <v>2000</v>
      </c>
    </row>
    <row r="543" spans="1:16" s="10" customFormat="1" ht="18" customHeight="1" x14ac:dyDescent="0.3">
      <c r="A543" s="699">
        <v>536</v>
      </c>
      <c r="B543" s="1284"/>
      <c r="C543" s="1389"/>
      <c r="D543" s="1150" t="s">
        <v>834</v>
      </c>
      <c r="E543" s="164"/>
      <c r="F543" s="164"/>
      <c r="G543" s="1277"/>
      <c r="H543" s="702"/>
      <c r="I543" s="158">
        <f>SUM(J543:Q543)</f>
        <v>0</v>
      </c>
      <c r="J543" s="168"/>
      <c r="K543" s="168"/>
      <c r="L543" s="183"/>
      <c r="M543" s="168"/>
      <c r="N543" s="184"/>
    </row>
    <row r="544" spans="1:16" s="1699" customFormat="1" ht="18" customHeight="1" x14ac:dyDescent="0.3">
      <c r="A544" s="699">
        <v>537</v>
      </c>
      <c r="B544" s="1295"/>
      <c r="C544" s="1390"/>
      <c r="D544" s="690" t="s">
        <v>1391</v>
      </c>
      <c r="E544" s="1305"/>
      <c r="F544" s="1305"/>
      <c r="G544" s="1306"/>
      <c r="H544" s="702"/>
      <c r="I544" s="665">
        <f>SUM(J544:N544)</f>
        <v>2000</v>
      </c>
      <c r="J544" s="527"/>
      <c r="K544" s="527"/>
      <c r="L544" s="527"/>
      <c r="M544" s="527"/>
      <c r="N544" s="520">
        <f>SUM(N542:N543)</f>
        <v>2000</v>
      </c>
    </row>
    <row r="545" spans="1:16" s="3" customFormat="1" ht="22.5" customHeight="1" x14ac:dyDescent="0.3">
      <c r="A545" s="699">
        <v>538</v>
      </c>
      <c r="B545" s="1282"/>
      <c r="C545" s="1387">
        <v>73</v>
      </c>
      <c r="D545" s="691" t="s">
        <v>274</v>
      </c>
      <c r="E545" s="164">
        <v>38100</v>
      </c>
      <c r="F545" s="164">
        <v>38100</v>
      </c>
      <c r="G545" s="1277">
        <v>38100</v>
      </c>
      <c r="H545" s="702" t="s">
        <v>25</v>
      </c>
      <c r="I545" s="665"/>
      <c r="J545" s="168"/>
      <c r="K545" s="168"/>
      <c r="L545" s="168"/>
      <c r="M545" s="168"/>
      <c r="N545" s="169"/>
      <c r="P545" s="10"/>
    </row>
    <row r="546" spans="1:16" s="1237" customFormat="1" ht="18" customHeight="1" x14ac:dyDescent="0.3">
      <c r="A546" s="699">
        <v>539</v>
      </c>
      <c r="B546" s="1283"/>
      <c r="C546" s="1388"/>
      <c r="D546" s="1231" t="s">
        <v>334</v>
      </c>
      <c r="E546" s="1232"/>
      <c r="F546" s="1232"/>
      <c r="G546" s="1277"/>
      <c r="H546" s="1233"/>
      <c r="I546" s="1234">
        <f>SUM(J546:N546)</f>
        <v>38100</v>
      </c>
      <c r="J546" s="1235"/>
      <c r="K546" s="1235"/>
      <c r="L546" s="1235">
        <v>38100</v>
      </c>
      <c r="M546" s="1235"/>
      <c r="N546" s="1236"/>
    </row>
    <row r="547" spans="1:16" s="1237" customFormat="1" ht="18" customHeight="1" x14ac:dyDescent="0.3">
      <c r="A547" s="699">
        <v>540</v>
      </c>
      <c r="B547" s="1283"/>
      <c r="C547" s="1388"/>
      <c r="D547" s="690" t="s">
        <v>1307</v>
      </c>
      <c r="E547" s="1232"/>
      <c r="F547" s="1232"/>
      <c r="G547" s="1277"/>
      <c r="H547" s="1233"/>
      <c r="I547" s="665">
        <f>SUM(J547:N547)</f>
        <v>38100</v>
      </c>
      <c r="J547" s="1235"/>
      <c r="K547" s="1235"/>
      <c r="L547" s="527">
        <v>38100</v>
      </c>
      <c r="M547" s="1235"/>
      <c r="N547" s="1236"/>
    </row>
    <row r="548" spans="1:16" s="10" customFormat="1" ht="18" customHeight="1" x14ac:dyDescent="0.3">
      <c r="A548" s="699">
        <v>541</v>
      </c>
      <c r="B548" s="1284"/>
      <c r="C548" s="1389"/>
      <c r="D548" s="1150" t="s">
        <v>733</v>
      </c>
      <c r="E548" s="164"/>
      <c r="F548" s="164"/>
      <c r="G548" s="1277"/>
      <c r="H548" s="702"/>
      <c r="I548" s="158">
        <f>SUM(J548:Q548)</f>
        <v>0</v>
      </c>
      <c r="J548" s="168"/>
      <c r="K548" s="168"/>
      <c r="L548" s="168"/>
      <c r="M548" s="168"/>
      <c r="N548" s="169"/>
    </row>
    <row r="549" spans="1:16" s="1699" customFormat="1" ht="18" customHeight="1" x14ac:dyDescent="0.3">
      <c r="A549" s="699">
        <v>542</v>
      </c>
      <c r="B549" s="1295"/>
      <c r="C549" s="1390"/>
      <c r="D549" s="690" t="s">
        <v>1391</v>
      </c>
      <c r="E549" s="1305"/>
      <c r="F549" s="1305"/>
      <c r="G549" s="1306"/>
      <c r="H549" s="702"/>
      <c r="I549" s="665">
        <f>SUM(J549:N549)</f>
        <v>38100</v>
      </c>
      <c r="J549" s="527"/>
      <c r="K549" s="527"/>
      <c r="L549" s="527">
        <f>SUM(L547:L548)</f>
        <v>38100</v>
      </c>
      <c r="M549" s="527"/>
      <c r="N549" s="520"/>
    </row>
    <row r="550" spans="1:16" s="3" customFormat="1" ht="22.5" customHeight="1" x14ac:dyDescent="0.3">
      <c r="A550" s="699">
        <v>543</v>
      </c>
      <c r="B550" s="1282"/>
      <c r="C550" s="1387">
        <v>74</v>
      </c>
      <c r="D550" s="691" t="s">
        <v>103</v>
      </c>
      <c r="E550" s="164">
        <v>60629</v>
      </c>
      <c r="F550" s="164">
        <v>61200</v>
      </c>
      <c r="G550" s="1277">
        <v>61200</v>
      </c>
      <c r="H550" s="702" t="s">
        <v>25</v>
      </c>
      <c r="I550" s="665"/>
      <c r="J550" s="168"/>
      <c r="K550" s="168"/>
      <c r="L550" s="168"/>
      <c r="M550" s="168"/>
      <c r="N550" s="169"/>
      <c r="P550" s="10"/>
    </row>
    <row r="551" spans="1:16" s="1237" customFormat="1" ht="18" customHeight="1" x14ac:dyDescent="0.3">
      <c r="A551" s="699">
        <v>544</v>
      </c>
      <c r="B551" s="1283"/>
      <c r="C551" s="1388"/>
      <c r="D551" s="1231" t="s">
        <v>334</v>
      </c>
      <c r="E551" s="1232"/>
      <c r="F551" s="1232"/>
      <c r="G551" s="1277"/>
      <c r="H551" s="1233"/>
      <c r="I551" s="1234">
        <f>SUM(J551:N551)</f>
        <v>78055</v>
      </c>
      <c r="J551" s="1235"/>
      <c r="K551" s="1235"/>
      <c r="L551" s="1235">
        <f>69800+8255</f>
        <v>78055</v>
      </c>
      <c r="M551" s="1235"/>
      <c r="N551" s="1236"/>
    </row>
    <row r="552" spans="1:16" s="1237" customFormat="1" ht="18" customHeight="1" x14ac:dyDescent="0.3">
      <c r="A552" s="699">
        <v>545</v>
      </c>
      <c r="B552" s="1283"/>
      <c r="C552" s="1388"/>
      <c r="D552" s="690" t="s">
        <v>1307</v>
      </c>
      <c r="E552" s="1232"/>
      <c r="F552" s="1232"/>
      <c r="G552" s="1277"/>
      <c r="H552" s="1233"/>
      <c r="I552" s="665">
        <f>SUM(J552:N552)</f>
        <v>78055</v>
      </c>
      <c r="J552" s="1235"/>
      <c r="K552" s="1235"/>
      <c r="L552" s="527">
        <v>78055</v>
      </c>
      <c r="M552" s="1235"/>
      <c r="N552" s="1236"/>
    </row>
    <row r="553" spans="1:16" s="10" customFormat="1" ht="18" customHeight="1" x14ac:dyDescent="0.3">
      <c r="A553" s="699">
        <v>546</v>
      </c>
      <c r="B553" s="1284"/>
      <c r="C553" s="1389"/>
      <c r="D553" s="1150" t="s">
        <v>834</v>
      </c>
      <c r="E553" s="164"/>
      <c r="F553" s="164"/>
      <c r="G553" s="1277"/>
      <c r="H553" s="702"/>
      <c r="I553" s="158">
        <f>SUM(J553:Q553)</f>
        <v>0</v>
      </c>
      <c r="J553" s="168"/>
      <c r="K553" s="168"/>
      <c r="L553" s="168"/>
      <c r="M553" s="168"/>
      <c r="N553" s="169"/>
    </row>
    <row r="554" spans="1:16" s="1699" customFormat="1" ht="18" customHeight="1" x14ac:dyDescent="0.3">
      <c r="A554" s="699">
        <v>547</v>
      </c>
      <c r="B554" s="1295"/>
      <c r="C554" s="1390"/>
      <c r="D554" s="690" t="s">
        <v>1391</v>
      </c>
      <c r="E554" s="1305"/>
      <c r="F554" s="1305"/>
      <c r="G554" s="1306"/>
      <c r="H554" s="702"/>
      <c r="I554" s="665">
        <f>SUM(J554:N554)</f>
        <v>78055</v>
      </c>
      <c r="J554" s="527"/>
      <c r="K554" s="527"/>
      <c r="L554" s="527">
        <f>SUM(L552:L553)</f>
        <v>78055</v>
      </c>
      <c r="M554" s="527"/>
      <c r="N554" s="520"/>
    </row>
    <row r="555" spans="1:16" s="3" customFormat="1" ht="22.5" customHeight="1" x14ac:dyDescent="0.3">
      <c r="A555" s="699">
        <v>548</v>
      </c>
      <c r="B555" s="1282"/>
      <c r="C555" s="1387">
        <v>75</v>
      </c>
      <c r="D555" s="691" t="s">
        <v>104</v>
      </c>
      <c r="E555" s="164">
        <v>33741</v>
      </c>
      <c r="F555" s="164">
        <v>34150</v>
      </c>
      <c r="G555" s="1277">
        <v>34150</v>
      </c>
      <c r="H555" s="702" t="s">
        <v>25</v>
      </c>
      <c r="I555" s="665"/>
      <c r="J555" s="168"/>
      <c r="K555" s="168"/>
      <c r="L555" s="168"/>
      <c r="M555" s="168"/>
      <c r="N555" s="169"/>
      <c r="P555" s="10"/>
    </row>
    <row r="556" spans="1:16" s="1237" customFormat="1" ht="18" customHeight="1" x14ac:dyDescent="0.3">
      <c r="A556" s="699">
        <v>549</v>
      </c>
      <c r="B556" s="1283"/>
      <c r="C556" s="1388"/>
      <c r="D556" s="1231" t="s">
        <v>334</v>
      </c>
      <c r="E556" s="1232"/>
      <c r="F556" s="1232"/>
      <c r="G556" s="1277"/>
      <c r="H556" s="1233"/>
      <c r="I556" s="1234">
        <f>SUM(J556:N556)</f>
        <v>38847</v>
      </c>
      <c r="J556" s="1235"/>
      <c r="K556" s="1235"/>
      <c r="L556" s="1235">
        <f>34150+4697</f>
        <v>38847</v>
      </c>
      <c r="M556" s="1235"/>
      <c r="N556" s="1236"/>
    </row>
    <row r="557" spans="1:16" s="1237" customFormat="1" ht="18" customHeight="1" x14ac:dyDescent="0.3">
      <c r="A557" s="699">
        <v>550</v>
      </c>
      <c r="B557" s="1283"/>
      <c r="C557" s="1388"/>
      <c r="D557" s="690" t="s">
        <v>1307</v>
      </c>
      <c r="E557" s="1232"/>
      <c r="F557" s="1232"/>
      <c r="G557" s="1277"/>
      <c r="H557" s="1233"/>
      <c r="I557" s="665">
        <f>SUM(J557:N557)</f>
        <v>45874</v>
      </c>
      <c r="J557" s="1235"/>
      <c r="K557" s="1235"/>
      <c r="L557" s="527">
        <v>45874</v>
      </c>
      <c r="M557" s="1235"/>
      <c r="N557" s="1236"/>
    </row>
    <row r="558" spans="1:16" s="10" customFormat="1" ht="18" customHeight="1" x14ac:dyDescent="0.3">
      <c r="A558" s="699">
        <v>551</v>
      </c>
      <c r="B558" s="1284"/>
      <c r="C558" s="1389"/>
      <c r="D558" s="1150" t="s">
        <v>834</v>
      </c>
      <c r="E558" s="164"/>
      <c r="F558" s="164"/>
      <c r="G558" s="1277"/>
      <c r="H558" s="702"/>
      <c r="I558" s="158">
        <f>SUM(J558:Q558)</f>
        <v>0</v>
      </c>
      <c r="J558" s="168"/>
      <c r="K558" s="168"/>
      <c r="L558" s="183"/>
      <c r="M558" s="168"/>
      <c r="N558" s="169"/>
    </row>
    <row r="559" spans="1:16" s="1699" customFormat="1" ht="18" customHeight="1" x14ac:dyDescent="0.3">
      <c r="A559" s="699">
        <v>552</v>
      </c>
      <c r="B559" s="1295"/>
      <c r="C559" s="1390"/>
      <c r="D559" s="690" t="s">
        <v>1391</v>
      </c>
      <c r="E559" s="1305"/>
      <c r="F559" s="1305"/>
      <c r="G559" s="1306"/>
      <c r="H559" s="702"/>
      <c r="I559" s="665">
        <f>SUM(J559:N559)</f>
        <v>45874</v>
      </c>
      <c r="J559" s="527"/>
      <c r="K559" s="527"/>
      <c r="L559" s="527">
        <f>SUM(L557:L558)</f>
        <v>45874</v>
      </c>
      <c r="M559" s="527"/>
      <c r="N559" s="520"/>
    </row>
    <row r="560" spans="1:16" s="3" customFormat="1" ht="22.5" customHeight="1" x14ac:dyDescent="0.3">
      <c r="A560" s="699">
        <v>553</v>
      </c>
      <c r="B560" s="1282"/>
      <c r="C560" s="1387">
        <v>76</v>
      </c>
      <c r="D560" s="696" t="s">
        <v>349</v>
      </c>
      <c r="E560" s="164">
        <v>2949</v>
      </c>
      <c r="F560" s="164">
        <v>5000</v>
      </c>
      <c r="G560" s="1277">
        <v>2139</v>
      </c>
      <c r="H560" s="702" t="s">
        <v>25</v>
      </c>
      <c r="I560" s="665"/>
      <c r="J560" s="168"/>
      <c r="K560" s="168"/>
      <c r="L560" s="168"/>
      <c r="M560" s="168"/>
      <c r="N560" s="169"/>
      <c r="P560" s="10"/>
    </row>
    <row r="561" spans="1:16" s="1237" customFormat="1" ht="18" customHeight="1" x14ac:dyDescent="0.3">
      <c r="A561" s="699">
        <v>554</v>
      </c>
      <c r="B561" s="1283"/>
      <c r="C561" s="1388"/>
      <c r="D561" s="1231" t="s">
        <v>334</v>
      </c>
      <c r="E561" s="1232"/>
      <c r="F561" s="1232"/>
      <c r="G561" s="1277"/>
      <c r="H561" s="1233"/>
      <c r="I561" s="1234">
        <f>SUM(J561:N561)</f>
        <v>7500</v>
      </c>
      <c r="J561" s="1235"/>
      <c r="K561" s="1235"/>
      <c r="L561" s="1235">
        <v>7500</v>
      </c>
      <c r="M561" s="1235"/>
      <c r="N561" s="1236"/>
    </row>
    <row r="562" spans="1:16" s="1237" customFormat="1" ht="18" customHeight="1" x14ac:dyDescent="0.3">
      <c r="A562" s="699">
        <v>555</v>
      </c>
      <c r="B562" s="1283"/>
      <c r="C562" s="1388"/>
      <c r="D562" s="690" t="s">
        <v>1307</v>
      </c>
      <c r="E562" s="1232"/>
      <c r="F562" s="1232"/>
      <c r="G562" s="1277"/>
      <c r="H562" s="1233"/>
      <c r="I562" s="665">
        <f>SUM(J562:N562)</f>
        <v>9890</v>
      </c>
      <c r="J562" s="1235"/>
      <c r="K562" s="1235"/>
      <c r="L562" s="527">
        <f>10013-123</f>
        <v>9890</v>
      </c>
      <c r="M562" s="1235"/>
      <c r="N562" s="1236"/>
    </row>
    <row r="563" spans="1:16" s="10" customFormat="1" ht="18" customHeight="1" x14ac:dyDescent="0.3">
      <c r="A563" s="699">
        <v>556</v>
      </c>
      <c r="B563" s="1284"/>
      <c r="C563" s="1389"/>
      <c r="D563" s="1150" t="s">
        <v>834</v>
      </c>
      <c r="E563" s="164"/>
      <c r="F563" s="164"/>
      <c r="G563" s="1277"/>
      <c r="H563" s="702"/>
      <c r="I563" s="158">
        <f>SUM(J563:Q563)</f>
        <v>0</v>
      </c>
      <c r="J563" s="168"/>
      <c r="K563" s="168"/>
      <c r="L563" s="168"/>
      <c r="M563" s="168"/>
      <c r="N563" s="169"/>
    </row>
    <row r="564" spans="1:16" s="1699" customFormat="1" ht="18" customHeight="1" x14ac:dyDescent="0.3">
      <c r="A564" s="699">
        <v>557</v>
      </c>
      <c r="B564" s="1295"/>
      <c r="C564" s="1390"/>
      <c r="D564" s="690" t="s">
        <v>1391</v>
      </c>
      <c r="E564" s="1305"/>
      <c r="F564" s="1305"/>
      <c r="G564" s="1306"/>
      <c r="H564" s="702"/>
      <c r="I564" s="665">
        <f>SUM(J564:N564)</f>
        <v>9890</v>
      </c>
      <c r="J564" s="527"/>
      <c r="K564" s="527"/>
      <c r="L564" s="527">
        <f>SUM(L562:L563)</f>
        <v>9890</v>
      </c>
      <c r="M564" s="527"/>
      <c r="N564" s="520"/>
    </row>
    <row r="565" spans="1:16" s="3" customFormat="1" ht="22.5" customHeight="1" x14ac:dyDescent="0.3">
      <c r="A565" s="699">
        <v>558</v>
      </c>
      <c r="B565" s="1282"/>
      <c r="C565" s="1387">
        <v>77</v>
      </c>
      <c r="D565" s="691" t="s">
        <v>105</v>
      </c>
      <c r="E565" s="164">
        <v>650</v>
      </c>
      <c r="F565" s="164"/>
      <c r="G565" s="1277"/>
      <c r="H565" s="702" t="s">
        <v>25</v>
      </c>
      <c r="I565" s="665"/>
      <c r="J565" s="168"/>
      <c r="K565" s="168"/>
      <c r="L565" s="168"/>
      <c r="M565" s="168"/>
      <c r="N565" s="169"/>
      <c r="P565" s="10"/>
    </row>
    <row r="566" spans="1:16" s="1237" customFormat="1" ht="18" customHeight="1" x14ac:dyDescent="0.3">
      <c r="A566" s="699">
        <v>559</v>
      </c>
      <c r="B566" s="1283"/>
      <c r="C566" s="1388"/>
      <c r="D566" s="1231" t="s">
        <v>334</v>
      </c>
      <c r="E566" s="1232"/>
      <c r="F566" s="1232"/>
      <c r="G566" s="1277"/>
      <c r="H566" s="1233"/>
      <c r="I566" s="1234">
        <f>SUM(J566:N566)</f>
        <v>1500</v>
      </c>
      <c r="J566" s="1235"/>
      <c r="K566" s="1235"/>
      <c r="L566" s="1235">
        <v>1500</v>
      </c>
      <c r="M566" s="1235"/>
      <c r="N566" s="1236"/>
    </row>
    <row r="567" spans="1:16" s="1237" customFormat="1" ht="18" customHeight="1" x14ac:dyDescent="0.3">
      <c r="A567" s="699">
        <v>560</v>
      </c>
      <c r="B567" s="1283"/>
      <c r="C567" s="1388"/>
      <c r="D567" s="690" t="s">
        <v>1307</v>
      </c>
      <c r="E567" s="1232"/>
      <c r="F567" s="1232"/>
      <c r="G567" s="1277"/>
      <c r="H567" s="1233"/>
      <c r="I567" s="665">
        <f>SUM(J567:N567)</f>
        <v>1500</v>
      </c>
      <c r="J567" s="1235"/>
      <c r="K567" s="1235"/>
      <c r="L567" s="527">
        <v>1500</v>
      </c>
      <c r="M567" s="1235"/>
      <c r="N567" s="1236"/>
    </row>
    <row r="568" spans="1:16" s="10" customFormat="1" ht="18" customHeight="1" x14ac:dyDescent="0.3">
      <c r="A568" s="699">
        <v>561</v>
      </c>
      <c r="B568" s="1284"/>
      <c r="C568" s="1389"/>
      <c r="D568" s="1150" t="s">
        <v>733</v>
      </c>
      <c r="E568" s="164"/>
      <c r="F568" s="164"/>
      <c r="G568" s="1277"/>
      <c r="H568" s="702"/>
      <c r="I568" s="158">
        <f>SUM(J568:Q568)</f>
        <v>0</v>
      </c>
      <c r="J568" s="168"/>
      <c r="K568" s="168"/>
      <c r="L568" s="168"/>
      <c r="M568" s="168"/>
      <c r="N568" s="169"/>
    </row>
    <row r="569" spans="1:16" s="1699" customFormat="1" ht="18" customHeight="1" x14ac:dyDescent="0.3">
      <c r="A569" s="699">
        <v>562</v>
      </c>
      <c r="B569" s="1295"/>
      <c r="C569" s="1390"/>
      <c r="D569" s="690" t="s">
        <v>1391</v>
      </c>
      <c r="E569" s="1305"/>
      <c r="F569" s="1305"/>
      <c r="G569" s="1306"/>
      <c r="H569" s="702"/>
      <c r="I569" s="665">
        <f>SUM(J569:N569)</f>
        <v>1500</v>
      </c>
      <c r="J569" s="527"/>
      <c r="K569" s="527"/>
      <c r="L569" s="527">
        <f>SUM(L567:L568)</f>
        <v>1500</v>
      </c>
      <c r="M569" s="527"/>
      <c r="N569" s="520"/>
    </row>
    <row r="570" spans="1:16" s="10" customFormat="1" ht="22.5" customHeight="1" x14ac:dyDescent="0.3">
      <c r="A570" s="699">
        <v>563</v>
      </c>
      <c r="B570" s="1284"/>
      <c r="C570" s="1387">
        <v>78</v>
      </c>
      <c r="D570" s="690" t="s">
        <v>69</v>
      </c>
      <c r="E570" s="164">
        <v>1336</v>
      </c>
      <c r="F570" s="164">
        <v>2000</v>
      </c>
      <c r="G570" s="1277">
        <v>1785</v>
      </c>
      <c r="H570" s="702" t="s">
        <v>25</v>
      </c>
      <c r="I570" s="665"/>
      <c r="J570" s="168"/>
      <c r="K570" s="168"/>
      <c r="L570" s="168"/>
      <c r="M570" s="168"/>
      <c r="N570" s="169"/>
    </row>
    <row r="571" spans="1:16" s="1237" customFormat="1" ht="18" customHeight="1" x14ac:dyDescent="0.3">
      <c r="A571" s="699">
        <v>564</v>
      </c>
      <c r="B571" s="1283"/>
      <c r="C571" s="1388"/>
      <c r="D571" s="1231" t="s">
        <v>334</v>
      </c>
      <c r="E571" s="1232"/>
      <c r="F571" s="1232"/>
      <c r="G571" s="1277"/>
      <c r="H571" s="1233"/>
      <c r="I571" s="1234">
        <f>SUM(J571:N571)</f>
        <v>4000</v>
      </c>
      <c r="J571" s="1235"/>
      <c r="K571" s="1235"/>
      <c r="L571" s="1235"/>
      <c r="M571" s="1235"/>
      <c r="N571" s="1236">
        <v>4000</v>
      </c>
    </row>
    <row r="572" spans="1:16" s="1237" customFormat="1" ht="18" customHeight="1" x14ac:dyDescent="0.3">
      <c r="A572" s="699">
        <v>565</v>
      </c>
      <c r="B572" s="1283"/>
      <c r="C572" s="1388"/>
      <c r="D572" s="690" t="s">
        <v>1307</v>
      </c>
      <c r="E572" s="1232"/>
      <c r="F572" s="1232"/>
      <c r="G572" s="1277"/>
      <c r="H572" s="1233"/>
      <c r="I572" s="665">
        <f>SUM(J572:N572)</f>
        <v>4250</v>
      </c>
      <c r="J572" s="1235"/>
      <c r="K572" s="1235"/>
      <c r="L572" s="1235"/>
      <c r="M572" s="1235"/>
      <c r="N572" s="520">
        <v>4250</v>
      </c>
    </row>
    <row r="573" spans="1:16" s="10" customFormat="1" ht="18" customHeight="1" x14ac:dyDescent="0.3">
      <c r="A573" s="699">
        <v>566</v>
      </c>
      <c r="B573" s="1284"/>
      <c r="C573" s="1389"/>
      <c r="D573" s="1150" t="s">
        <v>834</v>
      </c>
      <c r="E573" s="164"/>
      <c r="F573" s="164"/>
      <c r="G573" s="1277"/>
      <c r="H573" s="702"/>
      <c r="I573" s="158">
        <f>SUM(J573:Q573)</f>
        <v>0</v>
      </c>
      <c r="J573" s="168"/>
      <c r="K573" s="168"/>
      <c r="L573" s="168"/>
      <c r="M573" s="168"/>
      <c r="N573" s="169"/>
    </row>
    <row r="574" spans="1:16" s="1699" customFormat="1" ht="18" customHeight="1" x14ac:dyDescent="0.3">
      <c r="A574" s="699">
        <v>567</v>
      </c>
      <c r="B574" s="1295"/>
      <c r="C574" s="1390"/>
      <c r="D574" s="690" t="s">
        <v>1391</v>
      </c>
      <c r="E574" s="1305"/>
      <c r="F574" s="1305"/>
      <c r="G574" s="1306"/>
      <c r="H574" s="702"/>
      <c r="I574" s="665">
        <f>SUM(J574:N574)</f>
        <v>4250</v>
      </c>
      <c r="J574" s="527"/>
      <c r="K574" s="527"/>
      <c r="L574" s="527"/>
      <c r="M574" s="527"/>
      <c r="N574" s="520">
        <f>SUM(N572:N573)</f>
        <v>4250</v>
      </c>
    </row>
    <row r="575" spans="1:16" s="3" customFormat="1" ht="22.5" customHeight="1" x14ac:dyDescent="0.3">
      <c r="A575" s="699">
        <v>568</v>
      </c>
      <c r="B575" s="1282"/>
      <c r="C575" s="1387">
        <v>79</v>
      </c>
      <c r="D575" s="691" t="s">
        <v>106</v>
      </c>
      <c r="E575" s="164"/>
      <c r="F575" s="164">
        <v>1000</v>
      </c>
      <c r="G575" s="1277"/>
      <c r="H575" s="702" t="s">
        <v>24</v>
      </c>
      <c r="I575" s="665"/>
      <c r="J575" s="168"/>
      <c r="K575" s="168"/>
      <c r="L575" s="168"/>
      <c r="M575" s="168"/>
      <c r="N575" s="169"/>
      <c r="P575" s="10"/>
    </row>
    <row r="576" spans="1:16" s="1237" customFormat="1" ht="18" customHeight="1" x14ac:dyDescent="0.3">
      <c r="A576" s="699">
        <v>569</v>
      </c>
      <c r="B576" s="1283"/>
      <c r="C576" s="1388"/>
      <c r="D576" s="1231" t="s">
        <v>334</v>
      </c>
      <c r="E576" s="1232"/>
      <c r="F576" s="1232"/>
      <c r="G576" s="1277"/>
      <c r="H576" s="1233"/>
      <c r="I576" s="1234">
        <f>SUM(J576:N576)</f>
        <v>500</v>
      </c>
      <c r="J576" s="1235"/>
      <c r="K576" s="1235"/>
      <c r="L576" s="1235">
        <v>500</v>
      </c>
      <c r="M576" s="1235"/>
      <c r="N576" s="1236"/>
    </row>
    <row r="577" spans="1:16" s="1237" customFormat="1" ht="18" customHeight="1" x14ac:dyDescent="0.3">
      <c r="A577" s="699">
        <v>570</v>
      </c>
      <c r="B577" s="1283"/>
      <c r="C577" s="1388"/>
      <c r="D577" s="690" t="s">
        <v>1307</v>
      </c>
      <c r="E577" s="1232"/>
      <c r="F577" s="1232"/>
      <c r="G577" s="1277"/>
      <c r="H577" s="1233"/>
      <c r="I577" s="665">
        <f>SUM(J577:N577)</f>
        <v>1739</v>
      </c>
      <c r="J577" s="1235"/>
      <c r="K577" s="1235"/>
      <c r="L577" s="527">
        <v>1739</v>
      </c>
      <c r="M577" s="1235"/>
      <c r="N577" s="1236"/>
    </row>
    <row r="578" spans="1:16" s="10" customFormat="1" ht="18" customHeight="1" x14ac:dyDescent="0.3">
      <c r="A578" s="699">
        <v>571</v>
      </c>
      <c r="B578" s="1284"/>
      <c r="C578" s="1389"/>
      <c r="D578" s="1150" t="s">
        <v>834</v>
      </c>
      <c r="E578" s="164"/>
      <c r="F578" s="164"/>
      <c r="G578" s="1277"/>
      <c r="H578" s="702"/>
      <c r="I578" s="158">
        <f>SUM(J578:Q578)</f>
        <v>0</v>
      </c>
      <c r="J578" s="168"/>
      <c r="K578" s="168"/>
      <c r="L578" s="168"/>
      <c r="M578" s="168"/>
      <c r="N578" s="169"/>
    </row>
    <row r="579" spans="1:16" s="1699" customFormat="1" ht="18" customHeight="1" x14ac:dyDescent="0.3">
      <c r="A579" s="699">
        <v>572</v>
      </c>
      <c r="B579" s="1295"/>
      <c r="C579" s="1390"/>
      <c r="D579" s="690" t="s">
        <v>1391</v>
      </c>
      <c r="E579" s="1305"/>
      <c r="F579" s="1305"/>
      <c r="G579" s="1306"/>
      <c r="H579" s="702"/>
      <c r="I579" s="665">
        <f>SUM(J579:N579)</f>
        <v>1739</v>
      </c>
      <c r="J579" s="527"/>
      <c r="K579" s="527"/>
      <c r="L579" s="527">
        <f>SUM(L577:L578)</f>
        <v>1739</v>
      </c>
      <c r="M579" s="527"/>
      <c r="N579" s="520"/>
    </row>
    <row r="580" spans="1:16" s="3" customFormat="1" ht="22.5" customHeight="1" x14ac:dyDescent="0.3">
      <c r="A580" s="699">
        <v>573</v>
      </c>
      <c r="B580" s="1282"/>
      <c r="C580" s="1387">
        <v>80</v>
      </c>
      <c r="D580" s="691" t="s">
        <v>107</v>
      </c>
      <c r="E580" s="164">
        <v>1371</v>
      </c>
      <c r="F580" s="164">
        <v>3100</v>
      </c>
      <c r="G580" s="1277">
        <v>1461</v>
      </c>
      <c r="H580" s="702" t="s">
        <v>24</v>
      </c>
      <c r="I580" s="665"/>
      <c r="J580" s="168"/>
      <c r="K580" s="168"/>
      <c r="L580" s="168"/>
      <c r="M580" s="168"/>
      <c r="N580" s="169"/>
      <c r="P580" s="10"/>
    </row>
    <row r="581" spans="1:16" s="1237" customFormat="1" ht="18" customHeight="1" x14ac:dyDescent="0.3">
      <c r="A581" s="699">
        <v>574</v>
      </c>
      <c r="B581" s="1283"/>
      <c r="C581" s="1388"/>
      <c r="D581" s="1231" t="s">
        <v>334</v>
      </c>
      <c r="E581" s="1232"/>
      <c r="F581" s="1232"/>
      <c r="G581" s="1277"/>
      <c r="H581" s="1233"/>
      <c r="I581" s="1234">
        <f>SUM(J581:N581)</f>
        <v>2100</v>
      </c>
      <c r="J581" s="1235"/>
      <c r="K581" s="1235">
        <v>100</v>
      </c>
      <c r="L581" s="1235">
        <v>2000</v>
      </c>
      <c r="M581" s="1235"/>
      <c r="N581" s="1236"/>
    </row>
    <row r="582" spans="1:16" s="1237" customFormat="1" ht="18" customHeight="1" x14ac:dyDescent="0.3">
      <c r="A582" s="699">
        <v>575</v>
      </c>
      <c r="B582" s="1283"/>
      <c r="C582" s="1388"/>
      <c r="D582" s="690" t="s">
        <v>1307</v>
      </c>
      <c r="E582" s="1232"/>
      <c r="F582" s="1232"/>
      <c r="G582" s="1277"/>
      <c r="H582" s="1233"/>
      <c r="I582" s="665">
        <f>SUM(J582:N582)</f>
        <v>2424</v>
      </c>
      <c r="J582" s="1235"/>
      <c r="K582" s="527">
        <v>200</v>
      </c>
      <c r="L582" s="527">
        <v>2224</v>
      </c>
      <c r="M582" s="1235"/>
      <c r="N582" s="1236"/>
    </row>
    <row r="583" spans="1:16" s="10" customFormat="1" ht="18" customHeight="1" x14ac:dyDescent="0.3">
      <c r="A583" s="699">
        <v>576</v>
      </c>
      <c r="B583" s="1284"/>
      <c r="C583" s="1389"/>
      <c r="D583" s="1150" t="s">
        <v>834</v>
      </c>
      <c r="E583" s="164"/>
      <c r="F583" s="164"/>
      <c r="G583" s="1277"/>
      <c r="H583" s="702"/>
      <c r="I583" s="158">
        <f>SUM(J583:Q583)</f>
        <v>0</v>
      </c>
      <c r="J583" s="168"/>
      <c r="K583" s="168"/>
      <c r="L583" s="168"/>
      <c r="M583" s="168"/>
      <c r="N583" s="169"/>
    </row>
    <row r="584" spans="1:16" s="1699" customFormat="1" ht="18" customHeight="1" x14ac:dyDescent="0.3">
      <c r="A584" s="699">
        <v>577</v>
      </c>
      <c r="B584" s="1295"/>
      <c r="C584" s="1390"/>
      <c r="D584" s="690" t="s">
        <v>1391</v>
      </c>
      <c r="E584" s="1305"/>
      <c r="F584" s="1305"/>
      <c r="G584" s="1306"/>
      <c r="H584" s="702"/>
      <c r="I584" s="665">
        <f>SUM(J584:N584)</f>
        <v>2424</v>
      </c>
      <c r="J584" s="527"/>
      <c r="K584" s="527">
        <f>SUM(K582:K583)</f>
        <v>200</v>
      </c>
      <c r="L584" s="527">
        <f>SUM(L582:L583)</f>
        <v>2224</v>
      </c>
      <c r="M584" s="527"/>
      <c r="N584" s="520"/>
    </row>
    <row r="585" spans="1:16" s="10" customFormat="1" ht="22.5" customHeight="1" x14ac:dyDescent="0.3">
      <c r="A585" s="699">
        <v>578</v>
      </c>
      <c r="B585" s="1284"/>
      <c r="C585" s="1387">
        <v>81</v>
      </c>
      <c r="D585" s="690" t="s">
        <v>470</v>
      </c>
      <c r="E585" s="164"/>
      <c r="F585" s="164">
        <v>5000</v>
      </c>
      <c r="G585" s="1277">
        <v>54</v>
      </c>
      <c r="H585" s="702" t="s">
        <v>25</v>
      </c>
      <c r="I585" s="665"/>
      <c r="J585" s="168"/>
      <c r="K585" s="168"/>
      <c r="L585" s="168"/>
      <c r="M585" s="168"/>
      <c r="N585" s="169"/>
    </row>
    <row r="586" spans="1:16" s="10" customFormat="1" ht="22.5" customHeight="1" x14ac:dyDescent="0.3">
      <c r="A586" s="699">
        <v>579</v>
      </c>
      <c r="B586" s="1284"/>
      <c r="C586" s="1387"/>
      <c r="D586" s="690" t="s">
        <v>1307</v>
      </c>
      <c r="E586" s="164"/>
      <c r="F586" s="164"/>
      <c r="G586" s="1277"/>
      <c r="H586" s="702"/>
      <c r="I586" s="665">
        <f>SUM(J586:N586)</f>
        <v>4982</v>
      </c>
      <c r="J586" s="168"/>
      <c r="K586" s="168"/>
      <c r="L586" s="527">
        <v>4982</v>
      </c>
      <c r="M586" s="168"/>
      <c r="N586" s="169"/>
    </row>
    <row r="587" spans="1:16" s="10" customFormat="1" ht="18" customHeight="1" x14ac:dyDescent="0.3">
      <c r="A587" s="699">
        <v>580</v>
      </c>
      <c r="B587" s="1284"/>
      <c r="C587" s="1389"/>
      <c r="D587" s="1150" t="s">
        <v>954</v>
      </c>
      <c r="E587" s="164"/>
      <c r="F587" s="164"/>
      <c r="G587" s="1277"/>
      <c r="H587" s="702"/>
      <c r="I587" s="158">
        <f>SUM(J587:Q587)</f>
        <v>-3986</v>
      </c>
      <c r="J587" s="168"/>
      <c r="K587" s="168"/>
      <c r="L587" s="183">
        <v>-3986</v>
      </c>
      <c r="M587" s="168"/>
      <c r="N587" s="169"/>
    </row>
    <row r="588" spans="1:16" s="1699" customFormat="1" ht="18" customHeight="1" x14ac:dyDescent="0.3">
      <c r="A588" s="699">
        <v>581</v>
      </c>
      <c r="B588" s="1295"/>
      <c r="C588" s="1390"/>
      <c r="D588" s="690" t="s">
        <v>1391</v>
      </c>
      <c r="E588" s="1305"/>
      <c r="F588" s="1305"/>
      <c r="G588" s="1306"/>
      <c r="H588" s="702"/>
      <c r="I588" s="665">
        <f>SUM(J588:N588)</f>
        <v>996</v>
      </c>
      <c r="J588" s="527"/>
      <c r="K588" s="527"/>
      <c r="L588" s="527">
        <f>SUM(L586:L587)</f>
        <v>996</v>
      </c>
      <c r="M588" s="527"/>
      <c r="N588" s="520"/>
    </row>
    <row r="589" spans="1:16" s="3" customFormat="1" ht="22.5" customHeight="1" x14ac:dyDescent="0.3">
      <c r="A589" s="699">
        <v>582</v>
      </c>
      <c r="B589" s="1282"/>
      <c r="C589" s="1387">
        <v>82</v>
      </c>
      <c r="D589" s="691" t="s">
        <v>526</v>
      </c>
      <c r="E589" s="164">
        <v>100173</v>
      </c>
      <c r="F589" s="164">
        <v>150000</v>
      </c>
      <c r="G589" s="1277">
        <v>140310</v>
      </c>
      <c r="H589" s="702" t="s">
        <v>24</v>
      </c>
      <c r="I589" s="665"/>
      <c r="J589" s="168"/>
      <c r="K589" s="168"/>
      <c r="L589" s="168"/>
      <c r="M589" s="168"/>
      <c r="N589" s="169"/>
      <c r="P589" s="10"/>
    </row>
    <row r="590" spans="1:16" s="1237" customFormat="1" ht="18" customHeight="1" x14ac:dyDescent="0.3">
      <c r="A590" s="699">
        <v>583</v>
      </c>
      <c r="B590" s="1283"/>
      <c r="C590" s="1388"/>
      <c r="D590" s="1231" t="s">
        <v>334</v>
      </c>
      <c r="E590" s="1232"/>
      <c r="F590" s="1232"/>
      <c r="G590" s="1277"/>
      <c r="H590" s="1233"/>
      <c r="I590" s="1234">
        <f>SUM(J590:N590)</f>
        <v>160000</v>
      </c>
      <c r="J590" s="1235"/>
      <c r="K590" s="1235"/>
      <c r="L590" s="1235">
        <v>160000</v>
      </c>
      <c r="M590" s="1235"/>
      <c r="N590" s="1236"/>
    </row>
    <row r="591" spans="1:16" s="1237" customFormat="1" ht="18" customHeight="1" x14ac:dyDescent="0.3">
      <c r="A591" s="699">
        <v>584</v>
      </c>
      <c r="B591" s="1283"/>
      <c r="C591" s="1388"/>
      <c r="D591" s="690" t="s">
        <v>1307</v>
      </c>
      <c r="E591" s="1232"/>
      <c r="F591" s="1232"/>
      <c r="G591" s="1277"/>
      <c r="H591" s="1233"/>
      <c r="I591" s="665">
        <f>SUM(J591:N591)</f>
        <v>225587</v>
      </c>
      <c r="J591" s="1235"/>
      <c r="K591" s="1235"/>
      <c r="L591" s="527">
        <v>225587</v>
      </c>
      <c r="M591" s="1235"/>
      <c r="N591" s="1236"/>
    </row>
    <row r="592" spans="1:16" s="10" customFormat="1" ht="18" customHeight="1" x14ac:dyDescent="0.3">
      <c r="A592" s="699">
        <v>585</v>
      </c>
      <c r="B592" s="1284"/>
      <c r="C592" s="1389"/>
      <c r="D592" s="1150" t="s">
        <v>834</v>
      </c>
      <c r="E592" s="164"/>
      <c r="F592" s="164"/>
      <c r="G592" s="1277"/>
      <c r="H592" s="702"/>
      <c r="I592" s="158">
        <f>SUM(J592:Q592)</f>
        <v>0</v>
      </c>
      <c r="J592" s="168"/>
      <c r="K592" s="168"/>
      <c r="L592" s="183"/>
      <c r="M592" s="168"/>
      <c r="N592" s="169"/>
    </row>
    <row r="593" spans="1:16" s="1699" customFormat="1" ht="18" customHeight="1" x14ac:dyDescent="0.3">
      <c r="A593" s="699">
        <v>586</v>
      </c>
      <c r="B593" s="1295"/>
      <c r="C593" s="1390"/>
      <c r="D593" s="690" t="s">
        <v>1391</v>
      </c>
      <c r="E593" s="1305"/>
      <c r="F593" s="1305"/>
      <c r="G593" s="1306"/>
      <c r="H593" s="702"/>
      <c r="I593" s="665">
        <f>SUM(J593:N593)</f>
        <v>225587</v>
      </c>
      <c r="J593" s="527"/>
      <c r="K593" s="527"/>
      <c r="L593" s="527">
        <f>SUM(L591:L592)</f>
        <v>225587</v>
      </c>
      <c r="M593" s="527"/>
      <c r="N593" s="520"/>
    </row>
    <row r="594" spans="1:16" s="3" customFormat="1" ht="22.5" customHeight="1" x14ac:dyDescent="0.3">
      <c r="A594" s="699">
        <v>587</v>
      </c>
      <c r="B594" s="1282"/>
      <c r="C594" s="1387">
        <v>83</v>
      </c>
      <c r="D594" s="691" t="s">
        <v>96</v>
      </c>
      <c r="E594" s="178">
        <v>32577</v>
      </c>
      <c r="F594" s="178">
        <v>47000</v>
      </c>
      <c r="G594" s="1281">
        <v>53306</v>
      </c>
      <c r="H594" s="702" t="s">
        <v>24</v>
      </c>
      <c r="I594" s="665"/>
      <c r="J594" s="168"/>
      <c r="K594" s="168"/>
      <c r="L594" s="168"/>
      <c r="M594" s="168"/>
      <c r="N594" s="169"/>
      <c r="P594" s="10"/>
    </row>
    <row r="595" spans="1:16" s="1237" customFormat="1" ht="18" customHeight="1" x14ac:dyDescent="0.3">
      <c r="A595" s="699">
        <v>588</v>
      </c>
      <c r="B595" s="1283"/>
      <c r="C595" s="1388"/>
      <c r="D595" s="1231" t="s">
        <v>334</v>
      </c>
      <c r="E595" s="1232"/>
      <c r="F595" s="1232"/>
      <c r="G595" s="1277"/>
      <c r="H595" s="1233"/>
      <c r="I595" s="1234">
        <f>SUM(J595:N595)</f>
        <v>49000</v>
      </c>
      <c r="J595" s="1235"/>
      <c r="K595" s="1235"/>
      <c r="L595" s="1235">
        <v>49000</v>
      </c>
      <c r="M595" s="1235"/>
      <c r="N595" s="1236"/>
    </row>
    <row r="596" spans="1:16" s="1237" customFormat="1" ht="18" customHeight="1" x14ac:dyDescent="0.3">
      <c r="A596" s="699">
        <v>589</v>
      </c>
      <c r="B596" s="1283"/>
      <c r="C596" s="1388"/>
      <c r="D596" s="690" t="s">
        <v>1307</v>
      </c>
      <c r="E596" s="1232"/>
      <c r="F596" s="1232"/>
      <c r="G596" s="1277"/>
      <c r="H596" s="1233"/>
      <c r="I596" s="665">
        <f>SUM(J596:N596)</f>
        <v>52061</v>
      </c>
      <c r="J596" s="1235"/>
      <c r="K596" s="1235"/>
      <c r="L596" s="527">
        <v>52061</v>
      </c>
      <c r="M596" s="1235"/>
      <c r="N596" s="1236"/>
    </row>
    <row r="597" spans="1:16" s="10" customFormat="1" ht="18" customHeight="1" x14ac:dyDescent="0.3">
      <c r="A597" s="699">
        <v>590</v>
      </c>
      <c r="B597" s="1284"/>
      <c r="C597" s="1389"/>
      <c r="D597" s="1150" t="s">
        <v>834</v>
      </c>
      <c r="E597" s="164"/>
      <c r="F597" s="164"/>
      <c r="G597" s="1277"/>
      <c r="H597" s="702"/>
      <c r="I597" s="158">
        <f>SUM(J597:Q597)</f>
        <v>0</v>
      </c>
      <c r="J597" s="168"/>
      <c r="K597" s="168"/>
      <c r="L597" s="183"/>
      <c r="M597" s="168"/>
      <c r="N597" s="169"/>
    </row>
    <row r="598" spans="1:16" s="1699" customFormat="1" ht="18" customHeight="1" x14ac:dyDescent="0.3">
      <c r="A598" s="699">
        <v>591</v>
      </c>
      <c r="B598" s="1295"/>
      <c r="C598" s="1390"/>
      <c r="D598" s="690" t="s">
        <v>1391</v>
      </c>
      <c r="E598" s="1305"/>
      <c r="F598" s="1305"/>
      <c r="G598" s="1306"/>
      <c r="H598" s="702"/>
      <c r="I598" s="665">
        <f>SUM(J598:N598)</f>
        <v>52061</v>
      </c>
      <c r="J598" s="527"/>
      <c r="K598" s="527"/>
      <c r="L598" s="527">
        <f>SUM(L596:L597)</f>
        <v>52061</v>
      </c>
      <c r="M598" s="527"/>
      <c r="N598" s="520"/>
    </row>
    <row r="599" spans="1:16" s="3" customFormat="1" ht="22.5" customHeight="1" x14ac:dyDescent="0.3">
      <c r="A599" s="699">
        <v>592</v>
      </c>
      <c r="B599" s="1282"/>
      <c r="C599" s="1387">
        <v>84</v>
      </c>
      <c r="D599" s="691" t="s">
        <v>97</v>
      </c>
      <c r="E599" s="164">
        <v>10066</v>
      </c>
      <c r="F599" s="164">
        <v>4833</v>
      </c>
      <c r="G599" s="1277">
        <v>3851</v>
      </c>
      <c r="H599" s="702" t="s">
        <v>24</v>
      </c>
      <c r="I599" s="665"/>
      <c r="J599" s="168"/>
      <c r="K599" s="168"/>
      <c r="L599" s="168"/>
      <c r="M599" s="168"/>
      <c r="N599" s="169"/>
      <c r="P599" s="10"/>
    </row>
    <row r="600" spans="1:16" s="1237" customFormat="1" ht="18" customHeight="1" x14ac:dyDescent="0.3">
      <c r="A600" s="699">
        <v>593</v>
      </c>
      <c r="B600" s="1283"/>
      <c r="C600" s="1388"/>
      <c r="D600" s="1231" t="s">
        <v>334</v>
      </c>
      <c r="E600" s="1232"/>
      <c r="F600" s="1232"/>
      <c r="G600" s="1277"/>
      <c r="H600" s="1233"/>
      <c r="I600" s="1234">
        <f>SUM(J600:N600)</f>
        <v>2000</v>
      </c>
      <c r="J600" s="1235"/>
      <c r="K600" s="1235"/>
      <c r="L600" s="1235">
        <v>2000</v>
      </c>
      <c r="M600" s="1235"/>
      <c r="N600" s="1236"/>
    </row>
    <row r="601" spans="1:16" s="1237" customFormat="1" ht="18" customHeight="1" x14ac:dyDescent="0.3">
      <c r="A601" s="699">
        <v>594</v>
      </c>
      <c r="B601" s="1283"/>
      <c r="C601" s="1388"/>
      <c r="D601" s="690" t="s">
        <v>1307</v>
      </c>
      <c r="E601" s="1232"/>
      <c r="F601" s="1232"/>
      <c r="G601" s="1277"/>
      <c r="H601" s="1233"/>
      <c r="I601" s="665">
        <f>SUM(J601:N601)</f>
        <v>13153</v>
      </c>
      <c r="J601" s="1235"/>
      <c r="K601" s="1235"/>
      <c r="L601" s="527">
        <v>13153</v>
      </c>
      <c r="M601" s="1235"/>
      <c r="N601" s="1236"/>
    </row>
    <row r="602" spans="1:16" s="10" customFormat="1" ht="18" customHeight="1" x14ac:dyDescent="0.3">
      <c r="A602" s="699">
        <v>595</v>
      </c>
      <c r="B602" s="1284"/>
      <c r="C602" s="1389"/>
      <c r="D602" s="1150" t="s">
        <v>834</v>
      </c>
      <c r="E602" s="164"/>
      <c r="F602" s="164"/>
      <c r="G602" s="1277"/>
      <c r="H602" s="702"/>
      <c r="I602" s="158">
        <f>SUM(J602:Q602)</f>
        <v>0</v>
      </c>
      <c r="J602" s="168"/>
      <c r="K602" s="168"/>
      <c r="L602" s="183"/>
      <c r="M602" s="168"/>
      <c r="N602" s="169"/>
    </row>
    <row r="603" spans="1:16" s="1699" customFormat="1" ht="18" customHeight="1" x14ac:dyDescent="0.3">
      <c r="A603" s="699">
        <v>596</v>
      </c>
      <c r="B603" s="1295"/>
      <c r="C603" s="1390"/>
      <c r="D603" s="690" t="s">
        <v>1391</v>
      </c>
      <c r="E603" s="1305"/>
      <c r="F603" s="1305"/>
      <c r="G603" s="1306"/>
      <c r="H603" s="702"/>
      <c r="I603" s="665">
        <f>SUM(J603:N603)</f>
        <v>13153</v>
      </c>
      <c r="J603" s="527"/>
      <c r="K603" s="527"/>
      <c r="L603" s="527">
        <f>SUM(L601:L602)</f>
        <v>13153</v>
      </c>
      <c r="M603" s="527"/>
      <c r="N603" s="520"/>
    </row>
    <row r="604" spans="1:16" s="3" customFormat="1" ht="22.5" customHeight="1" x14ac:dyDescent="0.3">
      <c r="A604" s="699">
        <v>597</v>
      </c>
      <c r="B604" s="1282"/>
      <c r="C604" s="1387">
        <v>85</v>
      </c>
      <c r="D604" s="691" t="s">
        <v>596</v>
      </c>
      <c r="E604" s="164"/>
      <c r="F604" s="164"/>
      <c r="G604" s="1277"/>
      <c r="H604" s="702" t="s">
        <v>24</v>
      </c>
      <c r="I604" s="665"/>
      <c r="J604" s="168"/>
      <c r="K604" s="168"/>
      <c r="L604" s="168"/>
      <c r="M604" s="168"/>
      <c r="N604" s="169"/>
    </row>
    <row r="605" spans="1:16" s="1237" customFormat="1" ht="18" customHeight="1" x14ac:dyDescent="0.3">
      <c r="A605" s="699">
        <v>598</v>
      </c>
      <c r="B605" s="1283"/>
      <c r="C605" s="1388"/>
      <c r="D605" s="1231" t="s">
        <v>334</v>
      </c>
      <c r="E605" s="1232"/>
      <c r="F605" s="1232"/>
      <c r="G605" s="1277"/>
      <c r="H605" s="1233"/>
      <c r="I605" s="1234">
        <f>SUM(J605:N605)</f>
        <v>835195</v>
      </c>
      <c r="J605" s="1235"/>
      <c r="K605" s="1235"/>
      <c r="L605" s="1235">
        <v>835195</v>
      </c>
      <c r="M605" s="1235"/>
      <c r="N605" s="1236"/>
    </row>
    <row r="606" spans="1:16" s="1237" customFormat="1" ht="18" customHeight="1" x14ac:dyDescent="0.3">
      <c r="A606" s="699">
        <v>599</v>
      </c>
      <c r="B606" s="1283"/>
      <c r="C606" s="1388"/>
      <c r="D606" s="690" t="s">
        <v>1307</v>
      </c>
      <c r="E606" s="1232"/>
      <c r="F606" s="1232"/>
      <c r="G606" s="1277"/>
      <c r="H606" s="1233"/>
      <c r="I606" s="665">
        <f>SUM(J606:N606)</f>
        <v>1443095</v>
      </c>
      <c r="J606" s="1235"/>
      <c r="K606" s="1235"/>
      <c r="L606" s="1235"/>
      <c r="M606" s="1235"/>
      <c r="N606" s="520">
        <v>1443095</v>
      </c>
    </row>
    <row r="607" spans="1:16" s="10" customFormat="1" ht="18" customHeight="1" x14ac:dyDescent="0.3">
      <c r="A607" s="699">
        <v>600</v>
      </c>
      <c r="B607" s="1284"/>
      <c r="C607" s="1389"/>
      <c r="D607" s="1150" t="s">
        <v>834</v>
      </c>
      <c r="E607" s="164"/>
      <c r="F607" s="164"/>
      <c r="G607" s="1277"/>
      <c r="H607" s="702"/>
      <c r="I607" s="158">
        <f>SUM(J607:Q607)</f>
        <v>0</v>
      </c>
      <c r="J607" s="168"/>
      <c r="K607" s="168"/>
      <c r="L607" s="168"/>
      <c r="M607" s="168"/>
      <c r="N607" s="169"/>
    </row>
    <row r="608" spans="1:16" s="1699" customFormat="1" ht="18" customHeight="1" x14ac:dyDescent="0.3">
      <c r="A608" s="699">
        <v>601</v>
      </c>
      <c r="B608" s="1295"/>
      <c r="C608" s="1390"/>
      <c r="D608" s="690" t="s">
        <v>1391</v>
      </c>
      <c r="E608" s="1305"/>
      <c r="F608" s="1305"/>
      <c r="G608" s="1306"/>
      <c r="H608" s="702"/>
      <c r="I608" s="665">
        <f>SUM(J608:N608)</f>
        <v>1443095</v>
      </c>
      <c r="J608" s="527"/>
      <c r="K608" s="527"/>
      <c r="L608" s="527">
        <f>SUM(L606:L607)</f>
        <v>0</v>
      </c>
      <c r="M608" s="527"/>
      <c r="N608" s="520">
        <f>SUM(N606:N607)</f>
        <v>1443095</v>
      </c>
    </row>
    <row r="609" spans="1:16" s="3" customFormat="1" ht="22.5" customHeight="1" x14ac:dyDescent="0.3">
      <c r="A609" s="699">
        <v>602</v>
      </c>
      <c r="B609" s="1282"/>
      <c r="C609" s="1387">
        <v>86</v>
      </c>
      <c r="D609" s="691" t="s">
        <v>598</v>
      </c>
      <c r="E609" s="164"/>
      <c r="F609" s="164"/>
      <c r="G609" s="1277"/>
      <c r="H609" s="702" t="s">
        <v>25</v>
      </c>
      <c r="I609" s="665"/>
      <c r="J609" s="168"/>
      <c r="K609" s="168"/>
      <c r="L609" s="168"/>
      <c r="M609" s="168"/>
      <c r="N609" s="169"/>
    </row>
    <row r="610" spans="1:16" s="1237" customFormat="1" ht="18" customHeight="1" x14ac:dyDescent="0.3">
      <c r="A610" s="699">
        <v>603</v>
      </c>
      <c r="B610" s="1283"/>
      <c r="C610" s="1388"/>
      <c r="D610" s="1231" t="s">
        <v>334</v>
      </c>
      <c r="E610" s="1232"/>
      <c r="F610" s="1232"/>
      <c r="G610" s="1277"/>
      <c r="H610" s="1233"/>
      <c r="I610" s="1234">
        <f>SUM(J610:N610)</f>
        <v>56013</v>
      </c>
      <c r="J610" s="1235"/>
      <c r="K610" s="1235"/>
      <c r="L610" s="1235">
        <v>56013</v>
      </c>
      <c r="M610" s="1235"/>
      <c r="N610" s="1236"/>
    </row>
    <row r="611" spans="1:16" s="1237" customFormat="1" ht="18" customHeight="1" x14ac:dyDescent="0.3">
      <c r="A611" s="699">
        <v>604</v>
      </c>
      <c r="B611" s="1283"/>
      <c r="C611" s="1388"/>
      <c r="D611" s="690" t="s">
        <v>1307</v>
      </c>
      <c r="E611" s="1232"/>
      <c r="F611" s="1232"/>
      <c r="G611" s="1277"/>
      <c r="H611" s="1233"/>
      <c r="I611" s="665">
        <f>SUM(J611:N611)</f>
        <v>55582</v>
      </c>
      <c r="J611" s="1235"/>
      <c r="K611" s="1235"/>
      <c r="L611" s="527">
        <v>55582</v>
      </c>
      <c r="M611" s="1235"/>
      <c r="N611" s="1236"/>
    </row>
    <row r="612" spans="1:16" s="10" customFormat="1" ht="18" customHeight="1" x14ac:dyDescent="0.3">
      <c r="A612" s="699">
        <v>605</v>
      </c>
      <c r="B612" s="1284"/>
      <c r="C612" s="1389"/>
      <c r="D612" s="1150" t="s">
        <v>834</v>
      </c>
      <c r="E612" s="164"/>
      <c r="F612" s="164"/>
      <c r="G612" s="1277"/>
      <c r="H612" s="702"/>
      <c r="I612" s="158">
        <f>SUM(J612:Q612)</f>
        <v>0</v>
      </c>
      <c r="J612" s="168"/>
      <c r="K612" s="168"/>
      <c r="L612" s="168"/>
      <c r="M612" s="168"/>
      <c r="N612" s="169"/>
    </row>
    <row r="613" spans="1:16" s="1699" customFormat="1" ht="18" customHeight="1" x14ac:dyDescent="0.3">
      <c r="A613" s="699">
        <v>606</v>
      </c>
      <c r="B613" s="1295"/>
      <c r="C613" s="1390"/>
      <c r="D613" s="690" t="s">
        <v>1391</v>
      </c>
      <c r="E613" s="1305"/>
      <c r="F613" s="1305"/>
      <c r="G613" s="1306"/>
      <c r="H613" s="702"/>
      <c r="I613" s="665">
        <f>SUM(J613:N613)</f>
        <v>55582</v>
      </c>
      <c r="J613" s="527"/>
      <c r="K613" s="527"/>
      <c r="L613" s="527">
        <f>SUM(L611:L612)</f>
        <v>55582</v>
      </c>
      <c r="M613" s="527"/>
      <c r="N613" s="520"/>
    </row>
    <row r="614" spans="1:16" s="3" customFormat="1" ht="22.5" customHeight="1" x14ac:dyDescent="0.3">
      <c r="A614" s="699">
        <v>607</v>
      </c>
      <c r="B614" s="1282"/>
      <c r="C614" s="1387"/>
      <c r="D614" s="404" t="s">
        <v>327</v>
      </c>
      <c r="E614" s="164"/>
      <c r="F614" s="164"/>
      <c r="G614" s="1277"/>
      <c r="H614" s="702"/>
      <c r="I614" s="666"/>
      <c r="J614" s="171"/>
      <c r="K614" s="171"/>
      <c r="L614" s="171"/>
      <c r="M614" s="171"/>
      <c r="N614" s="172"/>
      <c r="O614" s="10"/>
      <c r="P614" s="10"/>
    </row>
    <row r="615" spans="1:16" s="3" customFormat="1" ht="22.5" customHeight="1" x14ac:dyDescent="0.3">
      <c r="A615" s="699">
        <v>608</v>
      </c>
      <c r="B615" s="1282"/>
      <c r="C615" s="1387">
        <v>87</v>
      </c>
      <c r="D615" s="186" t="s">
        <v>8</v>
      </c>
      <c r="E615" s="164">
        <v>301060</v>
      </c>
      <c r="F615" s="164">
        <v>270000</v>
      </c>
      <c r="G615" s="1277">
        <v>277661</v>
      </c>
      <c r="H615" s="702" t="s">
        <v>24</v>
      </c>
      <c r="I615" s="665"/>
      <c r="J615" s="168"/>
      <c r="K615" s="168"/>
      <c r="L615" s="168"/>
      <c r="M615" s="168"/>
      <c r="N615" s="169"/>
      <c r="P615" s="10"/>
    </row>
    <row r="616" spans="1:16" s="1237" customFormat="1" ht="18" customHeight="1" x14ac:dyDescent="0.3">
      <c r="A616" s="699">
        <v>609</v>
      </c>
      <c r="B616" s="1283"/>
      <c r="C616" s="1388"/>
      <c r="D616" s="1261" t="s">
        <v>334</v>
      </c>
      <c r="E616" s="1232"/>
      <c r="F616" s="1232"/>
      <c r="G616" s="1277"/>
      <c r="H616" s="1233"/>
      <c r="I616" s="1234">
        <f>SUM(J616:N616)</f>
        <v>280000</v>
      </c>
      <c r="J616" s="1235"/>
      <c r="K616" s="1235"/>
      <c r="L616" s="1235"/>
      <c r="M616" s="1235"/>
      <c r="N616" s="1236">
        <v>280000</v>
      </c>
    </row>
    <row r="617" spans="1:16" s="1237" customFormat="1" ht="18" customHeight="1" x14ac:dyDescent="0.3">
      <c r="A617" s="699">
        <v>610</v>
      </c>
      <c r="B617" s="1283"/>
      <c r="C617" s="1388"/>
      <c r="D617" s="1312" t="s">
        <v>1307</v>
      </c>
      <c r="E617" s="1232"/>
      <c r="F617" s="1232"/>
      <c r="G617" s="1277"/>
      <c r="H617" s="1233"/>
      <c r="I617" s="665">
        <f>SUM(J617:N617)</f>
        <v>291521</v>
      </c>
      <c r="J617" s="1235"/>
      <c r="K617" s="1235"/>
      <c r="L617" s="527">
        <v>11521</v>
      </c>
      <c r="M617" s="1235"/>
      <c r="N617" s="520">
        <v>280000</v>
      </c>
    </row>
    <row r="618" spans="1:16" s="10" customFormat="1" ht="18" customHeight="1" x14ac:dyDescent="0.3">
      <c r="A618" s="699">
        <v>611</v>
      </c>
      <c r="B618" s="1284"/>
      <c r="C618" s="1389"/>
      <c r="D618" s="1151" t="s">
        <v>834</v>
      </c>
      <c r="E618" s="164"/>
      <c r="F618" s="164"/>
      <c r="G618" s="1277"/>
      <c r="H618" s="702"/>
      <c r="I618" s="158">
        <f>SUM(J618:Q618)</f>
        <v>0</v>
      </c>
      <c r="J618" s="168"/>
      <c r="K618" s="168"/>
      <c r="L618" s="183"/>
      <c r="M618" s="183"/>
      <c r="N618" s="184"/>
    </row>
    <row r="619" spans="1:16" s="1699" customFormat="1" ht="18" customHeight="1" x14ac:dyDescent="0.3">
      <c r="A619" s="699">
        <v>612</v>
      </c>
      <c r="B619" s="1295"/>
      <c r="C619" s="1390"/>
      <c r="D619" s="1312" t="s">
        <v>1391</v>
      </c>
      <c r="E619" s="1305"/>
      <c r="F619" s="1305"/>
      <c r="G619" s="1306"/>
      <c r="H619" s="702"/>
      <c r="I619" s="665">
        <f>SUM(J619:N619)</f>
        <v>291521</v>
      </c>
      <c r="J619" s="527"/>
      <c r="K619" s="527"/>
      <c r="L619" s="527">
        <f>SUM(L617:L618)</f>
        <v>11521</v>
      </c>
      <c r="M619" s="527"/>
      <c r="N619" s="520">
        <f>SUM(N617:N618)</f>
        <v>280000</v>
      </c>
    </row>
    <row r="620" spans="1:16" s="3" customFormat="1" ht="22.5" customHeight="1" x14ac:dyDescent="0.3">
      <c r="A620" s="699">
        <v>613</v>
      </c>
      <c r="B620" s="1282"/>
      <c r="C620" s="1387">
        <v>88</v>
      </c>
      <c r="D620" s="186" t="s">
        <v>326</v>
      </c>
      <c r="E620" s="164">
        <v>48000</v>
      </c>
      <c r="F620" s="164">
        <v>50000</v>
      </c>
      <c r="G620" s="1277">
        <v>50000</v>
      </c>
      <c r="H620" s="702" t="s">
        <v>24</v>
      </c>
      <c r="I620" s="665"/>
      <c r="J620" s="168"/>
      <c r="K620" s="168"/>
      <c r="L620" s="168"/>
      <c r="M620" s="168"/>
      <c r="N620" s="169"/>
      <c r="P620" s="10"/>
    </row>
    <row r="621" spans="1:16" s="1237" customFormat="1" ht="18" customHeight="1" x14ac:dyDescent="0.3">
      <c r="A621" s="699">
        <v>614</v>
      </c>
      <c r="B621" s="1283"/>
      <c r="C621" s="1388"/>
      <c r="D621" s="1261" t="s">
        <v>334</v>
      </c>
      <c r="E621" s="1232"/>
      <c r="F621" s="1232"/>
      <c r="G621" s="1277"/>
      <c r="H621" s="1233"/>
      <c r="I621" s="1234">
        <f>SUM(J621:N621)</f>
        <v>54053</v>
      </c>
      <c r="J621" s="1235"/>
      <c r="K621" s="1235"/>
      <c r="L621" s="1235"/>
      <c r="M621" s="1235"/>
      <c r="N621" s="1236">
        <v>54053</v>
      </c>
    </row>
    <row r="622" spans="1:16" s="1237" customFormat="1" ht="18" customHeight="1" x14ac:dyDescent="0.3">
      <c r="A622" s="699">
        <v>615</v>
      </c>
      <c r="B622" s="1283"/>
      <c r="C622" s="1388"/>
      <c r="D622" s="1312" t="s">
        <v>1307</v>
      </c>
      <c r="E622" s="1232"/>
      <c r="F622" s="1232"/>
      <c r="G622" s="1277"/>
      <c r="H622" s="1233"/>
      <c r="I622" s="665">
        <f>SUM(J622:N622)</f>
        <v>54053</v>
      </c>
      <c r="J622" s="1235"/>
      <c r="K622" s="1235"/>
      <c r="L622" s="1235"/>
      <c r="M622" s="1235"/>
      <c r="N622" s="520">
        <v>54053</v>
      </c>
    </row>
    <row r="623" spans="1:16" s="10" customFormat="1" ht="18" customHeight="1" x14ac:dyDescent="0.3">
      <c r="A623" s="699">
        <v>616</v>
      </c>
      <c r="B623" s="1284"/>
      <c r="C623" s="1389"/>
      <c r="D623" s="1151" t="s">
        <v>733</v>
      </c>
      <c r="E623" s="164"/>
      <c r="F623" s="164"/>
      <c r="G623" s="1277"/>
      <c r="H623" s="702"/>
      <c r="I623" s="158">
        <f>SUM(J623:Q623)</f>
        <v>0</v>
      </c>
      <c r="J623" s="168"/>
      <c r="K623" s="168"/>
      <c r="L623" s="168"/>
      <c r="M623" s="168"/>
      <c r="N623" s="169"/>
    </row>
    <row r="624" spans="1:16" s="1699" customFormat="1" ht="18" customHeight="1" x14ac:dyDescent="0.3">
      <c r="A624" s="699">
        <v>617</v>
      </c>
      <c r="B624" s="1295"/>
      <c r="C624" s="1390"/>
      <c r="D624" s="1312" t="s">
        <v>1391</v>
      </c>
      <c r="E624" s="1305"/>
      <c r="F624" s="1305"/>
      <c r="G624" s="1306"/>
      <c r="H624" s="702"/>
      <c r="I624" s="665">
        <f>SUM(J624:N624)</f>
        <v>54053</v>
      </c>
      <c r="J624" s="527"/>
      <c r="K624" s="527"/>
      <c r="L624" s="527"/>
      <c r="M624" s="527"/>
      <c r="N624" s="520">
        <f>SUM(N622:N623)</f>
        <v>54053</v>
      </c>
    </row>
    <row r="625" spans="1:16" s="3" customFormat="1" ht="22.5" customHeight="1" x14ac:dyDescent="0.3">
      <c r="A625" s="699">
        <v>618</v>
      </c>
      <c r="B625" s="1282"/>
      <c r="C625" s="1387">
        <v>89</v>
      </c>
      <c r="D625" s="186" t="s">
        <v>9</v>
      </c>
      <c r="E625" s="164">
        <v>285720</v>
      </c>
      <c r="F625" s="164">
        <v>288725</v>
      </c>
      <c r="G625" s="1277">
        <v>289144</v>
      </c>
      <c r="H625" s="702" t="s">
        <v>24</v>
      </c>
      <c r="I625" s="665"/>
      <c r="J625" s="168"/>
      <c r="K625" s="168"/>
      <c r="L625" s="168"/>
      <c r="M625" s="168"/>
      <c r="N625" s="169"/>
      <c r="P625" s="10"/>
    </row>
    <row r="626" spans="1:16" s="1237" customFormat="1" ht="18" customHeight="1" x14ac:dyDescent="0.3">
      <c r="A626" s="699">
        <v>619</v>
      </c>
      <c r="B626" s="1283"/>
      <c r="C626" s="1388"/>
      <c r="D626" s="1261" t="s">
        <v>334</v>
      </c>
      <c r="E626" s="1232"/>
      <c r="F626" s="1232"/>
      <c r="G626" s="1277"/>
      <c r="H626" s="1233"/>
      <c r="I626" s="1234">
        <f>SUM(J626:N626)</f>
        <v>298908</v>
      </c>
      <c r="J626" s="1235"/>
      <c r="K626" s="1235"/>
      <c r="L626" s="1235"/>
      <c r="M626" s="1235"/>
      <c r="N626" s="1236">
        <v>298908</v>
      </c>
    </row>
    <row r="627" spans="1:16" s="1237" customFormat="1" ht="18" customHeight="1" x14ac:dyDescent="0.3">
      <c r="A627" s="699">
        <v>620</v>
      </c>
      <c r="B627" s="1283"/>
      <c r="C627" s="1388"/>
      <c r="D627" s="1312" t="s">
        <v>1307</v>
      </c>
      <c r="E627" s="1232"/>
      <c r="F627" s="1232"/>
      <c r="G627" s="1277"/>
      <c r="H627" s="1233"/>
      <c r="I627" s="665">
        <f>SUM(J627:N627)</f>
        <v>299033</v>
      </c>
      <c r="J627" s="1235"/>
      <c r="K627" s="1235"/>
      <c r="L627" s="527">
        <v>125</v>
      </c>
      <c r="M627" s="1235"/>
      <c r="N627" s="520">
        <v>298908</v>
      </c>
    </row>
    <row r="628" spans="1:16" s="10" customFormat="1" ht="18" customHeight="1" x14ac:dyDescent="0.3">
      <c r="A628" s="699">
        <v>621</v>
      </c>
      <c r="B628" s="1284"/>
      <c r="C628" s="1389"/>
      <c r="D628" s="1151" t="s">
        <v>834</v>
      </c>
      <c r="E628" s="164"/>
      <c r="F628" s="164"/>
      <c r="G628" s="1277"/>
      <c r="H628" s="702"/>
      <c r="I628" s="158">
        <f>SUM(J628:Q628)</f>
        <v>0</v>
      </c>
      <c r="J628" s="168"/>
      <c r="K628" s="168"/>
      <c r="L628" s="183"/>
      <c r="M628" s="168"/>
      <c r="N628" s="184"/>
    </row>
    <row r="629" spans="1:16" s="1699" customFormat="1" ht="18" customHeight="1" x14ac:dyDescent="0.3">
      <c r="A629" s="699">
        <v>622</v>
      </c>
      <c r="B629" s="1295"/>
      <c r="C629" s="1390"/>
      <c r="D629" s="1312" t="s">
        <v>1391</v>
      </c>
      <c r="E629" s="1305"/>
      <c r="F629" s="1305"/>
      <c r="G629" s="1306"/>
      <c r="H629" s="702"/>
      <c r="I629" s="665">
        <f>SUM(J629:N629)</f>
        <v>299033</v>
      </c>
      <c r="J629" s="527"/>
      <c r="K629" s="527"/>
      <c r="L629" s="527">
        <f>SUM(L627:L628)</f>
        <v>125</v>
      </c>
      <c r="M629" s="527"/>
      <c r="N629" s="520">
        <f>SUM(N627:N628)</f>
        <v>298908</v>
      </c>
    </row>
    <row r="630" spans="1:16" s="3" customFormat="1" ht="22.5" customHeight="1" x14ac:dyDescent="0.3">
      <c r="A630" s="699">
        <v>623</v>
      </c>
      <c r="B630" s="1282"/>
      <c r="C630" s="1387">
        <v>90</v>
      </c>
      <c r="D630" s="186" t="s">
        <v>7</v>
      </c>
      <c r="E630" s="164">
        <v>15053</v>
      </c>
      <c r="F630" s="164">
        <v>21000</v>
      </c>
      <c r="G630" s="1277">
        <v>21700</v>
      </c>
      <c r="H630" s="702" t="s">
        <v>24</v>
      </c>
      <c r="I630" s="665"/>
      <c r="J630" s="168"/>
      <c r="K630" s="168"/>
      <c r="L630" s="168"/>
      <c r="M630" s="168"/>
      <c r="N630" s="169"/>
      <c r="P630" s="10"/>
    </row>
    <row r="631" spans="1:16" s="1237" customFormat="1" ht="18" customHeight="1" x14ac:dyDescent="0.3">
      <c r="A631" s="699">
        <v>624</v>
      </c>
      <c r="B631" s="1283"/>
      <c r="C631" s="1388"/>
      <c r="D631" s="1261" t="s">
        <v>334</v>
      </c>
      <c r="E631" s="1232"/>
      <c r="F631" s="1232"/>
      <c r="G631" s="1277"/>
      <c r="H631" s="1233"/>
      <c r="I631" s="1234">
        <f>SUM(J631:N631)</f>
        <v>43000</v>
      </c>
      <c r="J631" s="1235"/>
      <c r="K631" s="1235"/>
      <c r="L631" s="1235"/>
      <c r="M631" s="1235"/>
      <c r="N631" s="1236">
        <v>43000</v>
      </c>
    </row>
    <row r="632" spans="1:16" s="1237" customFormat="1" ht="18" customHeight="1" x14ac:dyDescent="0.3">
      <c r="A632" s="699">
        <v>625</v>
      </c>
      <c r="B632" s="1283"/>
      <c r="C632" s="1388"/>
      <c r="D632" s="1312" t="s">
        <v>1307</v>
      </c>
      <c r="E632" s="1232"/>
      <c r="F632" s="1232"/>
      <c r="G632" s="1277"/>
      <c r="H632" s="1233"/>
      <c r="I632" s="665">
        <f>SUM(J632:N632)</f>
        <v>43000</v>
      </c>
      <c r="J632" s="1235"/>
      <c r="K632" s="1235"/>
      <c r="L632" s="1235"/>
      <c r="M632" s="1235"/>
      <c r="N632" s="520">
        <v>43000</v>
      </c>
    </row>
    <row r="633" spans="1:16" s="10" customFormat="1" ht="18" customHeight="1" x14ac:dyDescent="0.3">
      <c r="A633" s="699">
        <v>626</v>
      </c>
      <c r="B633" s="1284"/>
      <c r="C633" s="1389"/>
      <c r="D633" s="1151" t="s">
        <v>733</v>
      </c>
      <c r="E633" s="164"/>
      <c r="F633" s="164"/>
      <c r="G633" s="1277"/>
      <c r="H633" s="702"/>
      <c r="I633" s="158">
        <f>SUM(J633:Q633)</f>
        <v>0</v>
      </c>
      <c r="J633" s="168"/>
      <c r="K633" s="168"/>
      <c r="L633" s="168"/>
      <c r="M633" s="168"/>
      <c r="N633" s="169"/>
    </row>
    <row r="634" spans="1:16" s="1699" customFormat="1" ht="18" customHeight="1" x14ac:dyDescent="0.3">
      <c r="A634" s="699">
        <v>627</v>
      </c>
      <c r="B634" s="1295"/>
      <c r="C634" s="1390"/>
      <c r="D634" s="1312" t="s">
        <v>1391</v>
      </c>
      <c r="E634" s="1305"/>
      <c r="F634" s="1305"/>
      <c r="G634" s="1306"/>
      <c r="H634" s="702"/>
      <c r="I634" s="665">
        <f>SUM(J634:N634)</f>
        <v>43000</v>
      </c>
      <c r="J634" s="527"/>
      <c r="K634" s="527"/>
      <c r="L634" s="527"/>
      <c r="M634" s="527"/>
      <c r="N634" s="520">
        <f>SUM(N632:N633)</f>
        <v>43000</v>
      </c>
    </row>
    <row r="635" spans="1:16" s="3" customFormat="1" ht="22.5" customHeight="1" x14ac:dyDescent="0.3">
      <c r="A635" s="699">
        <v>628</v>
      </c>
      <c r="B635" s="1282"/>
      <c r="C635" s="1387"/>
      <c r="D635" s="404" t="s">
        <v>328</v>
      </c>
      <c r="E635" s="164"/>
      <c r="F635" s="164"/>
      <c r="G635" s="1277"/>
      <c r="H635" s="702"/>
      <c r="I635" s="666"/>
      <c r="J635" s="171"/>
      <c r="K635" s="171"/>
      <c r="L635" s="171"/>
      <c r="M635" s="171"/>
      <c r="N635" s="172"/>
      <c r="O635" s="10"/>
      <c r="P635" s="10"/>
    </row>
    <row r="636" spans="1:16" s="3" customFormat="1" ht="22.5" customHeight="1" x14ac:dyDescent="0.3">
      <c r="A636" s="699">
        <v>629</v>
      </c>
      <c r="B636" s="1282"/>
      <c r="C636" s="1387">
        <v>91</v>
      </c>
      <c r="D636" s="186" t="s">
        <v>329</v>
      </c>
      <c r="E636" s="164">
        <v>326893</v>
      </c>
      <c r="F636" s="164">
        <v>186000</v>
      </c>
      <c r="G636" s="1277">
        <v>157789</v>
      </c>
      <c r="H636" s="702" t="s">
        <v>24</v>
      </c>
      <c r="I636" s="665"/>
      <c r="J636" s="168"/>
      <c r="K636" s="168"/>
      <c r="L636" s="168"/>
      <c r="M636" s="168"/>
      <c r="N636" s="169"/>
      <c r="P636" s="10"/>
    </row>
    <row r="637" spans="1:16" s="1237" customFormat="1" ht="18" customHeight="1" x14ac:dyDescent="0.3">
      <c r="A637" s="699">
        <v>630</v>
      </c>
      <c r="B637" s="1283"/>
      <c r="C637" s="1388"/>
      <c r="D637" s="1261" t="s">
        <v>334</v>
      </c>
      <c r="E637" s="1232"/>
      <c r="F637" s="1232"/>
      <c r="G637" s="1277"/>
      <c r="H637" s="1233"/>
      <c r="I637" s="1234">
        <f>SUM(J637:N637)</f>
        <v>171000</v>
      </c>
      <c r="J637" s="1235"/>
      <c r="K637" s="1235"/>
      <c r="L637" s="1235">
        <v>136000</v>
      </c>
      <c r="M637" s="1235"/>
      <c r="N637" s="1236">
        <v>35000</v>
      </c>
    </row>
    <row r="638" spans="1:16" s="1237" customFormat="1" ht="18" customHeight="1" x14ac:dyDescent="0.3">
      <c r="A638" s="699">
        <v>631</v>
      </c>
      <c r="B638" s="1283"/>
      <c r="C638" s="1388"/>
      <c r="D638" s="1312" t="s">
        <v>1307</v>
      </c>
      <c r="E638" s="1232"/>
      <c r="F638" s="1232"/>
      <c r="G638" s="1277"/>
      <c r="H638" s="1233"/>
      <c r="I638" s="665">
        <f>SUM(J638:N638)</f>
        <v>171000</v>
      </c>
      <c r="J638" s="1235"/>
      <c r="K638" s="1235"/>
      <c r="L638" s="527">
        <v>136000</v>
      </c>
      <c r="M638" s="1235"/>
      <c r="N638" s="520">
        <v>35000</v>
      </c>
    </row>
    <row r="639" spans="1:16" s="10" customFormat="1" ht="18" customHeight="1" x14ac:dyDescent="0.3">
      <c r="A639" s="699">
        <v>632</v>
      </c>
      <c r="B639" s="1284"/>
      <c r="C639" s="1389"/>
      <c r="D639" s="1151" t="s">
        <v>834</v>
      </c>
      <c r="E639" s="164"/>
      <c r="F639" s="164"/>
      <c r="G639" s="1277"/>
      <c r="H639" s="702"/>
      <c r="I639" s="158">
        <f>SUM(J639:Q639)</f>
        <v>0</v>
      </c>
      <c r="J639" s="168"/>
      <c r="K639" s="168"/>
      <c r="L639" s="183"/>
      <c r="M639" s="183"/>
      <c r="N639" s="184"/>
    </row>
    <row r="640" spans="1:16" s="1699" customFormat="1" ht="18" customHeight="1" x14ac:dyDescent="0.3">
      <c r="A640" s="699">
        <v>633</v>
      </c>
      <c r="B640" s="1295"/>
      <c r="C640" s="1390"/>
      <c r="D640" s="1312" t="s">
        <v>1391</v>
      </c>
      <c r="E640" s="1305"/>
      <c r="F640" s="1305"/>
      <c r="G640" s="1306"/>
      <c r="H640" s="702"/>
      <c r="I640" s="665">
        <f>SUM(J640:N640)</f>
        <v>171000</v>
      </c>
      <c r="J640" s="527"/>
      <c r="K640" s="527"/>
      <c r="L640" s="527">
        <f>SUM(L638:L639)</f>
        <v>136000</v>
      </c>
      <c r="M640" s="527"/>
      <c r="N640" s="520">
        <f>SUM(N638:N639)</f>
        <v>35000</v>
      </c>
    </row>
    <row r="641" spans="1:16" s="3" customFormat="1" ht="22.5" customHeight="1" x14ac:dyDescent="0.3">
      <c r="A641" s="699">
        <v>634</v>
      </c>
      <c r="B641" s="1282"/>
      <c r="C641" s="1387">
        <v>92</v>
      </c>
      <c r="D641" s="186" t="s">
        <v>330</v>
      </c>
      <c r="E641" s="164">
        <v>175000</v>
      </c>
      <c r="F641" s="164">
        <v>180000</v>
      </c>
      <c r="G641" s="1277">
        <v>180000</v>
      </c>
      <c r="H641" s="702" t="s">
        <v>24</v>
      </c>
      <c r="I641" s="665"/>
      <c r="J641" s="168"/>
      <c r="K641" s="168"/>
      <c r="L641" s="168"/>
      <c r="M641" s="168"/>
      <c r="N641" s="169"/>
      <c r="P641" s="10"/>
    </row>
    <row r="642" spans="1:16" s="1237" customFormat="1" ht="18" customHeight="1" x14ac:dyDescent="0.3">
      <c r="A642" s="699">
        <v>635</v>
      </c>
      <c r="B642" s="1283"/>
      <c r="C642" s="1388"/>
      <c r="D642" s="1261" t="s">
        <v>334</v>
      </c>
      <c r="E642" s="1232"/>
      <c r="F642" s="1232"/>
      <c r="G642" s="1277"/>
      <c r="H642" s="1233"/>
      <c r="I642" s="1234">
        <f>SUM(J642:N642)</f>
        <v>180000</v>
      </c>
      <c r="J642" s="1235"/>
      <c r="K642" s="1235"/>
      <c r="L642" s="1235"/>
      <c r="M642" s="1235"/>
      <c r="N642" s="1236">
        <v>180000</v>
      </c>
    </row>
    <row r="643" spans="1:16" s="1237" customFormat="1" ht="18" customHeight="1" x14ac:dyDescent="0.3">
      <c r="A643" s="699">
        <v>636</v>
      </c>
      <c r="B643" s="1283"/>
      <c r="C643" s="1388"/>
      <c r="D643" s="1312" t="s">
        <v>1307</v>
      </c>
      <c r="E643" s="1232"/>
      <c r="F643" s="1232"/>
      <c r="G643" s="1277"/>
      <c r="H643" s="1233"/>
      <c r="I643" s="665">
        <f>SUM(J643:N643)</f>
        <v>180000</v>
      </c>
      <c r="J643" s="1235"/>
      <c r="K643" s="1235"/>
      <c r="L643" s="1235"/>
      <c r="M643" s="1235"/>
      <c r="N643" s="520">
        <v>180000</v>
      </c>
    </row>
    <row r="644" spans="1:16" s="10" customFormat="1" ht="18" customHeight="1" x14ac:dyDescent="0.3">
      <c r="A644" s="699">
        <v>637</v>
      </c>
      <c r="B644" s="1284"/>
      <c r="C644" s="1389"/>
      <c r="D644" s="1151" t="s">
        <v>733</v>
      </c>
      <c r="E644" s="164"/>
      <c r="F644" s="164"/>
      <c r="G644" s="1277"/>
      <c r="H644" s="702"/>
      <c r="I644" s="158">
        <f>SUM(J644:Q644)</f>
        <v>0</v>
      </c>
      <c r="J644" s="168"/>
      <c r="K644" s="168"/>
      <c r="L644" s="168"/>
      <c r="M644" s="168"/>
      <c r="N644" s="169"/>
    </row>
    <row r="645" spans="1:16" s="1699" customFormat="1" ht="18" customHeight="1" x14ac:dyDescent="0.3">
      <c r="A645" s="699">
        <v>638</v>
      </c>
      <c r="B645" s="1295"/>
      <c r="C645" s="1390"/>
      <c r="D645" s="1312" t="s">
        <v>1391</v>
      </c>
      <c r="E645" s="1305"/>
      <c r="F645" s="1305"/>
      <c r="G645" s="1306"/>
      <c r="H645" s="702"/>
      <c r="I645" s="665">
        <f>SUM(J645:N645)</f>
        <v>180000</v>
      </c>
      <c r="J645" s="527"/>
      <c r="K645" s="527"/>
      <c r="L645" s="527"/>
      <c r="M645" s="527"/>
      <c r="N645" s="520">
        <f>SUM(N643:N644)</f>
        <v>180000</v>
      </c>
    </row>
    <row r="646" spans="1:16" s="10" customFormat="1" ht="18" customHeight="1" x14ac:dyDescent="0.3">
      <c r="A646" s="699">
        <v>639</v>
      </c>
      <c r="B646" s="1284"/>
      <c r="C646" s="1389">
        <v>93</v>
      </c>
      <c r="D646" s="690" t="s">
        <v>915</v>
      </c>
      <c r="E646" s="164"/>
      <c r="F646" s="164"/>
      <c r="G646" s="1277"/>
      <c r="H646" s="702" t="s">
        <v>24</v>
      </c>
      <c r="I646" s="665"/>
      <c r="J646" s="168"/>
      <c r="K646" s="168"/>
      <c r="L646" s="168"/>
      <c r="M646" s="168"/>
      <c r="N646" s="169"/>
    </row>
    <row r="647" spans="1:16" s="10" customFormat="1" ht="18" customHeight="1" x14ac:dyDescent="0.3">
      <c r="A647" s="699">
        <v>640</v>
      </c>
      <c r="B647" s="1284"/>
      <c r="C647" s="1389"/>
      <c r="D647" s="1312" t="s">
        <v>1307</v>
      </c>
      <c r="E647" s="164"/>
      <c r="F647" s="164"/>
      <c r="G647" s="1277"/>
      <c r="H647" s="702"/>
      <c r="I647" s="665">
        <f>SUM(J647:N647)</f>
        <v>119820</v>
      </c>
      <c r="J647" s="168"/>
      <c r="K647" s="168"/>
      <c r="L647" s="168"/>
      <c r="M647" s="168"/>
      <c r="N647" s="520">
        <v>119820</v>
      </c>
    </row>
    <row r="648" spans="1:16" s="10" customFormat="1" ht="18" customHeight="1" x14ac:dyDescent="0.3">
      <c r="A648" s="699">
        <v>641</v>
      </c>
      <c r="B648" s="1284"/>
      <c r="C648" s="1389"/>
      <c r="D648" s="1151" t="s">
        <v>834</v>
      </c>
      <c r="E648" s="164"/>
      <c r="F648" s="164"/>
      <c r="G648" s="1277"/>
      <c r="H648" s="702"/>
      <c r="I648" s="158">
        <f>SUM(J648:Q648)</f>
        <v>0</v>
      </c>
      <c r="J648" s="168"/>
      <c r="K648" s="168"/>
      <c r="L648" s="168"/>
      <c r="M648" s="168"/>
      <c r="N648" s="184"/>
    </row>
    <row r="649" spans="1:16" s="1699" customFormat="1" ht="18" customHeight="1" x14ac:dyDescent="0.3">
      <c r="A649" s="699">
        <v>642</v>
      </c>
      <c r="B649" s="1295"/>
      <c r="C649" s="1390"/>
      <c r="D649" s="1312" t="s">
        <v>1391</v>
      </c>
      <c r="E649" s="1305"/>
      <c r="F649" s="1305"/>
      <c r="G649" s="1306"/>
      <c r="H649" s="702"/>
      <c r="I649" s="665">
        <f>SUM(J649:N649)</f>
        <v>119820</v>
      </c>
      <c r="J649" s="527"/>
      <c r="K649" s="527"/>
      <c r="L649" s="527"/>
      <c r="M649" s="527"/>
      <c r="N649" s="520">
        <f>SUM(N647:N648)</f>
        <v>119820</v>
      </c>
    </row>
    <row r="650" spans="1:16" s="10" customFormat="1" ht="22.5" customHeight="1" x14ac:dyDescent="0.3">
      <c r="A650" s="699">
        <v>643</v>
      </c>
      <c r="B650" s="1284"/>
      <c r="C650" s="1387">
        <v>94</v>
      </c>
      <c r="D650" s="690" t="s">
        <v>471</v>
      </c>
      <c r="E650" s="164"/>
      <c r="F650" s="164">
        <v>42559</v>
      </c>
      <c r="G650" s="1277">
        <v>31491</v>
      </c>
      <c r="H650" s="702" t="s">
        <v>25</v>
      </c>
      <c r="I650" s="665"/>
      <c r="J650" s="168"/>
      <c r="K650" s="168"/>
      <c r="L650" s="168"/>
      <c r="M650" s="168"/>
      <c r="N650" s="169"/>
    </row>
    <row r="651" spans="1:16" s="10" customFormat="1" ht="22.5" customHeight="1" x14ac:dyDescent="0.3">
      <c r="A651" s="699">
        <v>644</v>
      </c>
      <c r="B651" s="1284"/>
      <c r="C651" s="1387"/>
      <c r="D651" s="690" t="s">
        <v>1307</v>
      </c>
      <c r="E651" s="164"/>
      <c r="F651" s="164"/>
      <c r="G651" s="1277"/>
      <c r="H651" s="702"/>
      <c r="I651" s="665">
        <f>SUM(J651:N651)</f>
        <v>7868</v>
      </c>
      <c r="J651" s="168"/>
      <c r="K651" s="168"/>
      <c r="L651" s="527">
        <v>7868</v>
      </c>
      <c r="M651" s="168"/>
      <c r="N651" s="169"/>
    </row>
    <row r="652" spans="1:16" s="10" customFormat="1" ht="18" customHeight="1" x14ac:dyDescent="0.3">
      <c r="A652" s="699">
        <v>645</v>
      </c>
      <c r="B652" s="1284"/>
      <c r="C652" s="1389"/>
      <c r="D652" s="1150" t="s">
        <v>834</v>
      </c>
      <c r="E652" s="164"/>
      <c r="F652" s="164"/>
      <c r="G652" s="1277"/>
      <c r="H652" s="702"/>
      <c r="I652" s="158">
        <f>SUM(J652:Q652)</f>
        <v>0</v>
      </c>
      <c r="J652" s="168"/>
      <c r="K652" s="168"/>
      <c r="L652" s="183"/>
      <c r="M652" s="168"/>
      <c r="N652" s="169"/>
    </row>
    <row r="653" spans="1:16" s="1699" customFormat="1" ht="18" customHeight="1" x14ac:dyDescent="0.3">
      <c r="A653" s="699">
        <v>646</v>
      </c>
      <c r="B653" s="1295"/>
      <c r="C653" s="1390"/>
      <c r="D653" s="690" t="s">
        <v>1391</v>
      </c>
      <c r="E653" s="1305"/>
      <c r="F653" s="1305"/>
      <c r="G653" s="1306"/>
      <c r="H653" s="702"/>
      <c r="I653" s="665">
        <f>SUM(J653:N653)</f>
        <v>7868</v>
      </c>
      <c r="J653" s="527"/>
      <c r="K653" s="527"/>
      <c r="L653" s="527">
        <f>SUM(L651:L652)</f>
        <v>7868</v>
      </c>
      <c r="M653" s="527"/>
      <c r="N653" s="520"/>
    </row>
    <row r="654" spans="1:16" s="3" customFormat="1" ht="22.5" customHeight="1" x14ac:dyDescent="0.3">
      <c r="A654" s="699">
        <v>647</v>
      </c>
      <c r="B654" s="1282"/>
      <c r="C654" s="1387">
        <v>95</v>
      </c>
      <c r="D654" s="691" t="s">
        <v>108</v>
      </c>
      <c r="E654" s="164">
        <v>13000</v>
      </c>
      <c r="F654" s="164">
        <v>20000</v>
      </c>
      <c r="G654" s="1277">
        <v>20000</v>
      </c>
      <c r="H654" s="702" t="s">
        <v>24</v>
      </c>
      <c r="I654" s="665"/>
      <c r="J654" s="168"/>
      <c r="K654" s="168"/>
      <c r="L654" s="168"/>
      <c r="M654" s="168"/>
      <c r="N654" s="169"/>
      <c r="P654" s="10"/>
    </row>
    <row r="655" spans="1:16" s="1237" customFormat="1" ht="18" customHeight="1" x14ac:dyDescent="0.3">
      <c r="A655" s="699">
        <v>648</v>
      </c>
      <c r="B655" s="1283"/>
      <c r="C655" s="1388"/>
      <c r="D655" s="1231" t="s">
        <v>334</v>
      </c>
      <c r="E655" s="1232"/>
      <c r="F655" s="1232"/>
      <c r="G655" s="1277"/>
      <c r="H655" s="1233"/>
      <c r="I655" s="1234">
        <f>SUM(J655:N655)</f>
        <v>20000</v>
      </c>
      <c r="J655" s="1235"/>
      <c r="K655" s="1235"/>
      <c r="L655" s="1235">
        <v>20000</v>
      </c>
      <c r="M655" s="1235"/>
      <c r="N655" s="1236"/>
    </row>
    <row r="656" spans="1:16" s="1237" customFormat="1" ht="18" customHeight="1" x14ac:dyDescent="0.3">
      <c r="A656" s="699">
        <v>649</v>
      </c>
      <c r="B656" s="1283"/>
      <c r="C656" s="1388"/>
      <c r="D656" s="690" t="s">
        <v>1307</v>
      </c>
      <c r="E656" s="1232"/>
      <c r="F656" s="1232"/>
      <c r="G656" s="1277"/>
      <c r="H656" s="1233"/>
      <c r="I656" s="665">
        <f>SUM(J656:N656)</f>
        <v>27000</v>
      </c>
      <c r="J656" s="1235"/>
      <c r="K656" s="1235"/>
      <c r="L656" s="527">
        <v>27000</v>
      </c>
      <c r="M656" s="1235"/>
      <c r="N656" s="1236"/>
    </row>
    <row r="657" spans="1:16" s="10" customFormat="1" ht="18" customHeight="1" x14ac:dyDescent="0.3">
      <c r="A657" s="699">
        <v>650</v>
      </c>
      <c r="B657" s="1284"/>
      <c r="C657" s="1389"/>
      <c r="D657" s="1150" t="s">
        <v>834</v>
      </c>
      <c r="E657" s="164"/>
      <c r="F657" s="164"/>
      <c r="G657" s="1277"/>
      <c r="H657" s="702"/>
      <c r="I657" s="158">
        <f>SUM(J657:Q657)</f>
        <v>0</v>
      </c>
      <c r="J657" s="168"/>
      <c r="K657" s="168"/>
      <c r="L657" s="168"/>
      <c r="M657" s="168"/>
      <c r="N657" s="169"/>
    </row>
    <row r="658" spans="1:16" s="1699" customFormat="1" ht="18" customHeight="1" x14ac:dyDescent="0.3">
      <c r="A658" s="699">
        <v>651</v>
      </c>
      <c r="B658" s="1295"/>
      <c r="C658" s="1390"/>
      <c r="D658" s="690" t="s">
        <v>1391</v>
      </c>
      <c r="E658" s="1305"/>
      <c r="F658" s="1305"/>
      <c r="G658" s="1306"/>
      <c r="H658" s="702"/>
      <c r="I658" s="665">
        <f>SUM(J658:N658)</f>
        <v>27000</v>
      </c>
      <c r="J658" s="527"/>
      <c r="K658" s="527"/>
      <c r="L658" s="527">
        <f>SUM(L656:L657)</f>
        <v>27000</v>
      </c>
      <c r="M658" s="527"/>
      <c r="N658" s="520"/>
    </row>
    <row r="659" spans="1:16" s="3" customFormat="1" ht="22.5" customHeight="1" x14ac:dyDescent="0.3">
      <c r="A659" s="699">
        <v>652</v>
      </c>
      <c r="B659" s="1282"/>
      <c r="C659" s="1387">
        <v>96</v>
      </c>
      <c r="D659" s="691" t="s">
        <v>109</v>
      </c>
      <c r="E659" s="164">
        <v>1000</v>
      </c>
      <c r="F659" s="164">
        <v>1000</v>
      </c>
      <c r="G659" s="1277">
        <v>1000</v>
      </c>
      <c r="H659" s="702" t="s">
        <v>24</v>
      </c>
      <c r="I659" s="665"/>
      <c r="J659" s="168"/>
      <c r="K659" s="168"/>
      <c r="L659" s="168"/>
      <c r="M659" s="168"/>
      <c r="N659" s="169"/>
      <c r="P659" s="10"/>
    </row>
    <row r="660" spans="1:16" s="1237" customFormat="1" ht="18" customHeight="1" x14ac:dyDescent="0.3">
      <c r="A660" s="699">
        <v>653</v>
      </c>
      <c r="B660" s="1283"/>
      <c r="C660" s="1388"/>
      <c r="D660" s="1231" t="s">
        <v>334</v>
      </c>
      <c r="E660" s="1232"/>
      <c r="F660" s="1232"/>
      <c r="G660" s="1277"/>
      <c r="H660" s="1233"/>
      <c r="I660" s="1234">
        <f>SUM(J660:N660)</f>
        <v>1000</v>
      </c>
      <c r="J660" s="1235"/>
      <c r="K660" s="1235"/>
      <c r="L660" s="1235">
        <v>1000</v>
      </c>
      <c r="M660" s="1235"/>
      <c r="N660" s="1236"/>
    </row>
    <row r="661" spans="1:16" s="1237" customFormat="1" ht="18" customHeight="1" x14ac:dyDescent="0.3">
      <c r="A661" s="699">
        <v>654</v>
      </c>
      <c r="B661" s="1283"/>
      <c r="C661" s="1388"/>
      <c r="D661" s="690" t="s">
        <v>1307</v>
      </c>
      <c r="E661" s="1232"/>
      <c r="F661" s="1232"/>
      <c r="G661" s="1277"/>
      <c r="H661" s="1233"/>
      <c r="I661" s="665">
        <f>SUM(J661:N661)</f>
        <v>1000</v>
      </c>
      <c r="J661" s="1235"/>
      <c r="K661" s="1235"/>
      <c r="L661" s="527">
        <v>1000</v>
      </c>
      <c r="M661" s="1235"/>
      <c r="N661" s="1236"/>
    </row>
    <row r="662" spans="1:16" s="10" customFormat="1" ht="18" customHeight="1" x14ac:dyDescent="0.3">
      <c r="A662" s="699">
        <v>655</v>
      </c>
      <c r="B662" s="1284"/>
      <c r="C662" s="1389"/>
      <c r="D662" s="1150" t="s">
        <v>733</v>
      </c>
      <c r="E662" s="164"/>
      <c r="F662" s="164"/>
      <c r="G662" s="1277"/>
      <c r="H662" s="702"/>
      <c r="I662" s="158">
        <f>SUM(J662:Q662)</f>
        <v>0</v>
      </c>
      <c r="J662" s="168"/>
      <c r="K662" s="168"/>
      <c r="L662" s="168"/>
      <c r="M662" s="168"/>
      <c r="N662" s="169"/>
    </row>
    <row r="663" spans="1:16" s="1699" customFormat="1" ht="18" customHeight="1" x14ac:dyDescent="0.3">
      <c r="A663" s="699">
        <v>656</v>
      </c>
      <c r="B663" s="1295"/>
      <c r="C663" s="1390"/>
      <c r="D663" s="690" t="s">
        <v>1391</v>
      </c>
      <c r="E663" s="1305"/>
      <c r="F663" s="1305"/>
      <c r="G663" s="1306"/>
      <c r="H663" s="702"/>
      <c r="I663" s="665">
        <f>SUM(J663:N663)</f>
        <v>1000</v>
      </c>
      <c r="J663" s="527"/>
      <c r="K663" s="527"/>
      <c r="L663" s="527">
        <f>SUM(L661:L662)</f>
        <v>1000</v>
      </c>
      <c r="M663" s="527"/>
      <c r="N663" s="520"/>
    </row>
    <row r="664" spans="1:16" s="3" customFormat="1" ht="22.5" customHeight="1" x14ac:dyDescent="0.3">
      <c r="A664" s="699">
        <v>657</v>
      </c>
      <c r="B664" s="1282"/>
      <c r="C664" s="1387">
        <v>97</v>
      </c>
      <c r="D664" s="691" t="s">
        <v>110</v>
      </c>
      <c r="E664" s="164">
        <v>1845</v>
      </c>
      <c r="F664" s="164">
        <v>5000</v>
      </c>
      <c r="G664" s="1277">
        <v>1851</v>
      </c>
      <c r="H664" s="702" t="s">
        <v>24</v>
      </c>
      <c r="I664" s="665"/>
      <c r="J664" s="168"/>
      <c r="K664" s="168"/>
      <c r="L664" s="168"/>
      <c r="M664" s="168"/>
      <c r="N664" s="169"/>
      <c r="P664" s="10"/>
    </row>
    <row r="665" spans="1:16" s="1237" customFormat="1" ht="18" customHeight="1" x14ac:dyDescent="0.3">
      <c r="A665" s="699">
        <v>658</v>
      </c>
      <c r="B665" s="1283"/>
      <c r="C665" s="1388"/>
      <c r="D665" s="1231" t="s">
        <v>334</v>
      </c>
      <c r="E665" s="1232"/>
      <c r="F665" s="1232"/>
      <c r="G665" s="1277"/>
      <c r="H665" s="1233"/>
      <c r="I665" s="1234">
        <f>SUM(J665:N665)</f>
        <v>5000</v>
      </c>
      <c r="J665" s="1235"/>
      <c r="K665" s="1235"/>
      <c r="L665" s="1235">
        <v>5000</v>
      </c>
      <c r="M665" s="1235"/>
      <c r="N665" s="1236"/>
    </row>
    <row r="666" spans="1:16" s="1237" customFormat="1" ht="18" customHeight="1" x14ac:dyDescent="0.3">
      <c r="A666" s="699">
        <v>659</v>
      </c>
      <c r="B666" s="1283"/>
      <c r="C666" s="1388"/>
      <c r="D666" s="690" t="s">
        <v>1307</v>
      </c>
      <c r="E666" s="1232"/>
      <c r="F666" s="1232"/>
      <c r="G666" s="1277"/>
      <c r="H666" s="1233"/>
      <c r="I666" s="665">
        <f>SUM(J666:N666)</f>
        <v>6000</v>
      </c>
      <c r="J666" s="1235"/>
      <c r="K666" s="1235"/>
      <c r="L666" s="527">
        <v>6000</v>
      </c>
      <c r="M666" s="1235"/>
      <c r="N666" s="1236"/>
    </row>
    <row r="667" spans="1:16" s="10" customFormat="1" ht="18" customHeight="1" x14ac:dyDescent="0.3">
      <c r="A667" s="699">
        <v>660</v>
      </c>
      <c r="B667" s="1284"/>
      <c r="C667" s="1389"/>
      <c r="D667" s="1150" t="s">
        <v>834</v>
      </c>
      <c r="E667" s="164"/>
      <c r="F667" s="164"/>
      <c r="G667" s="1277"/>
      <c r="H667" s="702"/>
      <c r="I667" s="158">
        <f>SUM(J667:Q667)</f>
        <v>0</v>
      </c>
      <c r="J667" s="168"/>
      <c r="K667" s="168"/>
      <c r="L667" s="168"/>
      <c r="M667" s="168"/>
      <c r="N667" s="169"/>
    </row>
    <row r="668" spans="1:16" s="1699" customFormat="1" ht="18" customHeight="1" x14ac:dyDescent="0.3">
      <c r="A668" s="699">
        <v>661</v>
      </c>
      <c r="B668" s="1295"/>
      <c r="C668" s="1390"/>
      <c r="D668" s="690" t="s">
        <v>1391</v>
      </c>
      <c r="E668" s="1305"/>
      <c r="F668" s="1305"/>
      <c r="G668" s="1306"/>
      <c r="H668" s="702"/>
      <c r="I668" s="665">
        <f>SUM(J668:N668)</f>
        <v>6000</v>
      </c>
      <c r="J668" s="527"/>
      <c r="K668" s="527"/>
      <c r="L668" s="527">
        <f>SUM(L666:L667)</f>
        <v>6000</v>
      </c>
      <c r="M668" s="527"/>
      <c r="N668" s="520"/>
    </row>
    <row r="669" spans="1:16" s="3" customFormat="1" ht="22.5" customHeight="1" x14ac:dyDescent="0.3">
      <c r="A669" s="699">
        <v>662</v>
      </c>
      <c r="B669" s="1282"/>
      <c r="C669" s="1387">
        <v>98</v>
      </c>
      <c r="D669" s="691" t="s">
        <v>111</v>
      </c>
      <c r="E669" s="164">
        <v>12578</v>
      </c>
      <c r="F669" s="164">
        <v>16000</v>
      </c>
      <c r="G669" s="1277">
        <v>13221</v>
      </c>
      <c r="H669" s="702" t="s">
        <v>24</v>
      </c>
      <c r="I669" s="665"/>
      <c r="J669" s="168"/>
      <c r="K669" s="168"/>
      <c r="L669" s="168"/>
      <c r="M669" s="168"/>
      <c r="N669" s="169"/>
      <c r="P669" s="10"/>
    </row>
    <row r="670" spans="1:16" s="1237" customFormat="1" ht="18" customHeight="1" x14ac:dyDescent="0.3">
      <c r="A670" s="699">
        <v>663</v>
      </c>
      <c r="B670" s="1283"/>
      <c r="C670" s="1388"/>
      <c r="D670" s="1231" t="s">
        <v>334</v>
      </c>
      <c r="E670" s="1232"/>
      <c r="F670" s="1232"/>
      <c r="G670" s="1277"/>
      <c r="H670" s="1233"/>
      <c r="I670" s="1234">
        <f>SUM(J670:N670)</f>
        <v>20000</v>
      </c>
      <c r="J670" s="1235"/>
      <c r="K670" s="1235"/>
      <c r="L670" s="1235">
        <v>20000</v>
      </c>
      <c r="M670" s="1235"/>
      <c r="N670" s="1236"/>
    </row>
    <row r="671" spans="1:16" s="1237" customFormat="1" ht="18" customHeight="1" x14ac:dyDescent="0.3">
      <c r="A671" s="699">
        <v>664</v>
      </c>
      <c r="B671" s="1283"/>
      <c r="C671" s="1388"/>
      <c r="D671" s="690" t="s">
        <v>1307</v>
      </c>
      <c r="E671" s="1232"/>
      <c r="F671" s="1232"/>
      <c r="G671" s="1277"/>
      <c r="H671" s="1233"/>
      <c r="I671" s="665">
        <f>SUM(J671:N671)</f>
        <v>39459</v>
      </c>
      <c r="J671" s="1235"/>
      <c r="K671" s="527">
        <v>15</v>
      </c>
      <c r="L671" s="527">
        <v>38844</v>
      </c>
      <c r="M671" s="1235"/>
      <c r="N671" s="520">
        <v>600</v>
      </c>
    </row>
    <row r="672" spans="1:16" s="10" customFormat="1" ht="18" customHeight="1" x14ac:dyDescent="0.3">
      <c r="A672" s="699">
        <v>665</v>
      </c>
      <c r="B672" s="1284"/>
      <c r="C672" s="1389"/>
      <c r="D672" s="1150" t="s">
        <v>1454</v>
      </c>
      <c r="E672" s="164"/>
      <c r="F672" s="164"/>
      <c r="G672" s="1277"/>
      <c r="H672" s="702"/>
      <c r="I672" s="158">
        <f>SUM(J672:Q672)</f>
        <v>200</v>
      </c>
      <c r="J672" s="168"/>
      <c r="K672" s="168"/>
      <c r="L672" s="183">
        <v>200</v>
      </c>
      <c r="M672" s="168"/>
      <c r="N672" s="169"/>
    </row>
    <row r="673" spans="1:16" s="10" customFormat="1" ht="18" customHeight="1" x14ac:dyDescent="0.3">
      <c r="A673" s="699">
        <v>666</v>
      </c>
      <c r="B673" s="1284"/>
      <c r="C673" s="1389"/>
      <c r="D673" s="1150" t="s">
        <v>1478</v>
      </c>
      <c r="E673" s="164"/>
      <c r="F673" s="164"/>
      <c r="G673" s="1277"/>
      <c r="H673" s="702"/>
      <c r="I673" s="158">
        <f>SUM(J673:Q673)</f>
        <v>-102</v>
      </c>
      <c r="J673" s="168"/>
      <c r="K673" s="168"/>
      <c r="L673" s="183">
        <v>-102</v>
      </c>
      <c r="M673" s="168"/>
      <c r="N673" s="169"/>
    </row>
    <row r="674" spans="1:16" s="10" customFormat="1" ht="18" customHeight="1" x14ac:dyDescent="0.3">
      <c r="A674" s="699">
        <v>667</v>
      </c>
      <c r="B674" s="1284"/>
      <c r="C674" s="1389"/>
      <c r="D674" s="690" t="s">
        <v>1391</v>
      </c>
      <c r="E674" s="164"/>
      <c r="F674" s="164"/>
      <c r="G674" s="1277"/>
      <c r="H674" s="702"/>
      <c r="I674" s="665">
        <f>SUM(J674:N674)</f>
        <v>39659</v>
      </c>
      <c r="J674" s="168"/>
      <c r="K674" s="527">
        <f>SUM(K671:K672)</f>
        <v>15</v>
      </c>
      <c r="L674" s="527">
        <f>SUM(L671:L672)</f>
        <v>39044</v>
      </c>
      <c r="M674" s="168"/>
      <c r="N674" s="520">
        <f>SUM(N671:N672)</f>
        <v>600</v>
      </c>
    </row>
    <row r="675" spans="1:16" s="3" customFormat="1" ht="22.5" customHeight="1" x14ac:dyDescent="0.3">
      <c r="A675" s="699">
        <v>668</v>
      </c>
      <c r="B675" s="1282"/>
      <c r="C675" s="1387">
        <v>99</v>
      </c>
      <c r="D675" s="691" t="s">
        <v>112</v>
      </c>
      <c r="E675" s="164">
        <v>172231</v>
      </c>
      <c r="F675" s="164">
        <v>170000</v>
      </c>
      <c r="G675" s="1277">
        <v>160341</v>
      </c>
      <c r="H675" s="702" t="s">
        <v>24</v>
      </c>
      <c r="I675" s="665"/>
      <c r="J675" s="168"/>
      <c r="K675" s="168"/>
      <c r="L675" s="168"/>
      <c r="M675" s="168"/>
      <c r="N675" s="169"/>
      <c r="P675" s="10"/>
    </row>
    <row r="676" spans="1:16" s="1237" customFormat="1" ht="18" customHeight="1" x14ac:dyDescent="0.3">
      <c r="A676" s="699">
        <v>669</v>
      </c>
      <c r="B676" s="1283"/>
      <c r="C676" s="1388"/>
      <c r="D676" s="1231" t="s">
        <v>334</v>
      </c>
      <c r="E676" s="1232"/>
      <c r="F676" s="1232"/>
      <c r="G676" s="1277"/>
      <c r="H676" s="1233"/>
      <c r="I676" s="1234">
        <f>SUM(J676:N676)</f>
        <v>170000</v>
      </c>
      <c r="J676" s="1235"/>
      <c r="K676" s="1235"/>
      <c r="L676" s="1235">
        <v>170000</v>
      </c>
      <c r="M676" s="1235"/>
      <c r="N676" s="1236"/>
    </row>
    <row r="677" spans="1:16" s="1237" customFormat="1" ht="18" customHeight="1" x14ac:dyDescent="0.3">
      <c r="A677" s="699">
        <v>670</v>
      </c>
      <c r="B677" s="1283"/>
      <c r="C677" s="1388"/>
      <c r="D677" s="690" t="s">
        <v>1307</v>
      </c>
      <c r="E677" s="1232"/>
      <c r="F677" s="1232"/>
      <c r="G677" s="1277"/>
      <c r="H677" s="1233"/>
      <c r="I677" s="665">
        <f>SUM(J677:N677)</f>
        <v>188929</v>
      </c>
      <c r="J677" s="1235"/>
      <c r="K677" s="1235"/>
      <c r="L677" s="527">
        <v>188929</v>
      </c>
      <c r="M677" s="1235"/>
      <c r="N677" s="1236"/>
    </row>
    <row r="678" spans="1:16" s="10" customFormat="1" ht="18" customHeight="1" x14ac:dyDescent="0.3">
      <c r="A678" s="699">
        <v>671</v>
      </c>
      <c r="B678" s="1284"/>
      <c r="C678" s="1389"/>
      <c r="D678" s="1150" t="s">
        <v>834</v>
      </c>
      <c r="E678" s="164"/>
      <c r="F678" s="164"/>
      <c r="G678" s="1277"/>
      <c r="H678" s="702"/>
      <c r="I678" s="158">
        <f>SUM(J678:Q678)</f>
        <v>0</v>
      </c>
      <c r="J678" s="168"/>
      <c r="K678" s="168"/>
      <c r="L678" s="168"/>
      <c r="M678" s="168"/>
      <c r="N678" s="169"/>
    </row>
    <row r="679" spans="1:16" s="1699" customFormat="1" ht="18" customHeight="1" x14ac:dyDescent="0.3">
      <c r="A679" s="699">
        <v>672</v>
      </c>
      <c r="B679" s="1295"/>
      <c r="C679" s="1390"/>
      <c r="D679" s="690" t="s">
        <v>1391</v>
      </c>
      <c r="E679" s="1305"/>
      <c r="F679" s="1305"/>
      <c r="G679" s="1306"/>
      <c r="H679" s="702"/>
      <c r="I679" s="665">
        <f>SUM(J679:N679)</f>
        <v>188929</v>
      </c>
      <c r="J679" s="527"/>
      <c r="K679" s="527"/>
      <c r="L679" s="527">
        <f>SUM(L677:L678)</f>
        <v>188929</v>
      </c>
      <c r="M679" s="527"/>
      <c r="N679" s="520"/>
    </row>
    <row r="680" spans="1:16" s="3" customFormat="1" ht="22.5" customHeight="1" x14ac:dyDescent="0.3">
      <c r="A680" s="699">
        <v>673</v>
      </c>
      <c r="B680" s="1282"/>
      <c r="C680" s="1387">
        <v>100</v>
      </c>
      <c r="D680" s="691" t="s">
        <v>113</v>
      </c>
      <c r="E680" s="178">
        <v>3068</v>
      </c>
      <c r="F680" s="178">
        <v>5000</v>
      </c>
      <c r="G680" s="1281">
        <v>4681</v>
      </c>
      <c r="H680" s="702" t="s">
        <v>24</v>
      </c>
      <c r="I680" s="665"/>
      <c r="J680" s="168"/>
      <c r="K680" s="168"/>
      <c r="L680" s="168"/>
      <c r="M680" s="168"/>
      <c r="N680" s="169"/>
      <c r="P680" s="10"/>
    </row>
    <row r="681" spans="1:16" s="1237" customFormat="1" ht="18" customHeight="1" x14ac:dyDescent="0.3">
      <c r="A681" s="699">
        <v>674</v>
      </c>
      <c r="B681" s="1283"/>
      <c r="C681" s="1388"/>
      <c r="D681" s="1231" t="s">
        <v>334</v>
      </c>
      <c r="E681" s="1232"/>
      <c r="F681" s="1232"/>
      <c r="G681" s="1277"/>
      <c r="H681" s="1233"/>
      <c r="I681" s="1234">
        <f>SUM(J681:N681)</f>
        <v>5000</v>
      </c>
      <c r="J681" s="1235"/>
      <c r="K681" s="1235"/>
      <c r="L681" s="1235">
        <v>5000</v>
      </c>
      <c r="M681" s="1235"/>
      <c r="N681" s="1236"/>
    </row>
    <row r="682" spans="1:16" s="1237" customFormat="1" ht="18" customHeight="1" x14ac:dyDescent="0.3">
      <c r="A682" s="699">
        <v>675</v>
      </c>
      <c r="B682" s="1283"/>
      <c r="C682" s="1388"/>
      <c r="D682" s="690" t="s">
        <v>1307</v>
      </c>
      <c r="E682" s="1232"/>
      <c r="F682" s="1232"/>
      <c r="G682" s="1277"/>
      <c r="H682" s="1233"/>
      <c r="I682" s="665">
        <f>SUM(J682:N682)</f>
        <v>8802</v>
      </c>
      <c r="J682" s="1235"/>
      <c r="K682" s="1235"/>
      <c r="L682" s="527">
        <v>8802</v>
      </c>
      <c r="M682" s="1235"/>
      <c r="N682" s="1236"/>
    </row>
    <row r="683" spans="1:16" s="10" customFormat="1" ht="18" customHeight="1" x14ac:dyDescent="0.3">
      <c r="A683" s="699">
        <v>676</v>
      </c>
      <c r="B683" s="1284"/>
      <c r="C683" s="1389"/>
      <c r="D683" s="1150" t="s">
        <v>834</v>
      </c>
      <c r="E683" s="164"/>
      <c r="F683" s="164"/>
      <c r="G683" s="1277"/>
      <c r="H683" s="702"/>
      <c r="I683" s="158">
        <f>SUM(J683:Q683)</f>
        <v>0</v>
      </c>
      <c r="J683" s="168"/>
      <c r="K683" s="168"/>
      <c r="L683" s="168"/>
      <c r="M683" s="168"/>
      <c r="N683" s="169"/>
    </row>
    <row r="684" spans="1:16" s="1699" customFormat="1" ht="18" customHeight="1" x14ac:dyDescent="0.3">
      <c r="A684" s="699">
        <v>677</v>
      </c>
      <c r="B684" s="1295"/>
      <c r="C684" s="1390"/>
      <c r="D684" s="690" t="s">
        <v>1391</v>
      </c>
      <c r="E684" s="1305"/>
      <c r="F684" s="1305"/>
      <c r="G684" s="1306"/>
      <c r="H684" s="702"/>
      <c r="I684" s="665">
        <f>SUM(J684:N684)</f>
        <v>8802</v>
      </c>
      <c r="J684" s="527"/>
      <c r="K684" s="527"/>
      <c r="L684" s="527">
        <f>SUM(L682:L683)</f>
        <v>8802</v>
      </c>
      <c r="M684" s="527"/>
      <c r="N684" s="520"/>
    </row>
    <row r="685" spans="1:16" s="3" customFormat="1" ht="22.5" customHeight="1" x14ac:dyDescent="0.3">
      <c r="A685" s="699">
        <v>678</v>
      </c>
      <c r="B685" s="1282"/>
      <c r="C685" s="1387">
        <v>101</v>
      </c>
      <c r="D685" s="691" t="s">
        <v>114</v>
      </c>
      <c r="E685" s="164">
        <v>736</v>
      </c>
      <c r="F685" s="164">
        <v>5000</v>
      </c>
      <c r="G685" s="1277">
        <v>2677</v>
      </c>
      <c r="H685" s="702" t="s">
        <v>24</v>
      </c>
      <c r="I685" s="665"/>
      <c r="J685" s="168"/>
      <c r="K685" s="168"/>
      <c r="L685" s="168"/>
      <c r="M685" s="168"/>
      <c r="N685" s="169"/>
      <c r="P685" s="10"/>
    </row>
    <row r="686" spans="1:16" s="1237" customFormat="1" ht="18" customHeight="1" x14ac:dyDescent="0.3">
      <c r="A686" s="699">
        <v>679</v>
      </c>
      <c r="B686" s="1283"/>
      <c r="C686" s="1388"/>
      <c r="D686" s="1231" t="s">
        <v>334</v>
      </c>
      <c r="E686" s="1232"/>
      <c r="F686" s="1232"/>
      <c r="G686" s="1277"/>
      <c r="H686" s="1233"/>
      <c r="I686" s="1234">
        <f>SUM(J686:N686)</f>
        <v>6000</v>
      </c>
      <c r="J686" s="1235"/>
      <c r="K686" s="1235"/>
      <c r="L686" s="1235">
        <v>6000</v>
      </c>
      <c r="M686" s="1235"/>
      <c r="N686" s="1236"/>
    </row>
    <row r="687" spans="1:16" s="1237" customFormat="1" ht="18" customHeight="1" x14ac:dyDescent="0.3">
      <c r="A687" s="699">
        <v>680</v>
      </c>
      <c r="B687" s="1283"/>
      <c r="C687" s="1388"/>
      <c r="D687" s="690" t="s">
        <v>1307</v>
      </c>
      <c r="E687" s="1232"/>
      <c r="F687" s="1232"/>
      <c r="G687" s="1277"/>
      <c r="H687" s="1233"/>
      <c r="I687" s="665">
        <f>SUM(J687:N687)</f>
        <v>19106</v>
      </c>
      <c r="J687" s="1235"/>
      <c r="K687" s="1235"/>
      <c r="L687" s="527">
        <v>19106</v>
      </c>
      <c r="M687" s="1235"/>
      <c r="N687" s="1236"/>
    </row>
    <row r="688" spans="1:16" s="10" customFormat="1" ht="18" customHeight="1" x14ac:dyDescent="0.3">
      <c r="A688" s="699">
        <v>681</v>
      </c>
      <c r="B688" s="1284"/>
      <c r="C688" s="1389"/>
      <c r="D688" s="1150" t="s">
        <v>834</v>
      </c>
      <c r="E688" s="164"/>
      <c r="F688" s="164"/>
      <c r="G688" s="1277"/>
      <c r="H688" s="702"/>
      <c r="I688" s="158">
        <f>SUM(J688:Q688)</f>
        <v>0</v>
      </c>
      <c r="J688" s="168"/>
      <c r="K688" s="168"/>
      <c r="L688" s="168"/>
      <c r="M688" s="168"/>
      <c r="N688" s="169"/>
    </row>
    <row r="689" spans="1:16" s="1699" customFormat="1" ht="18" customHeight="1" x14ac:dyDescent="0.3">
      <c r="A689" s="699">
        <v>682</v>
      </c>
      <c r="B689" s="1295"/>
      <c r="C689" s="1390"/>
      <c r="D689" s="690" t="s">
        <v>1391</v>
      </c>
      <c r="E689" s="1305"/>
      <c r="F689" s="1305"/>
      <c r="G689" s="1306"/>
      <c r="H689" s="702"/>
      <c r="I689" s="665">
        <f>SUM(J689:N689)</f>
        <v>19106</v>
      </c>
      <c r="J689" s="527"/>
      <c r="K689" s="527"/>
      <c r="L689" s="527">
        <f>SUM(L687:L688)</f>
        <v>19106</v>
      </c>
      <c r="M689" s="527"/>
      <c r="N689" s="520"/>
    </row>
    <row r="690" spans="1:16" s="3" customFormat="1" ht="22.5" customHeight="1" x14ac:dyDescent="0.3">
      <c r="A690" s="699">
        <v>683</v>
      </c>
      <c r="B690" s="1282"/>
      <c r="C690" s="1387">
        <v>102</v>
      </c>
      <c r="D690" s="691" t="s">
        <v>115</v>
      </c>
      <c r="E690" s="164">
        <v>369</v>
      </c>
      <c r="F690" s="164">
        <v>1500</v>
      </c>
      <c r="G690" s="1277">
        <v>1956</v>
      </c>
      <c r="H690" s="702" t="s">
        <v>24</v>
      </c>
      <c r="I690" s="665"/>
      <c r="J690" s="168"/>
      <c r="K690" s="168"/>
      <c r="L690" s="168"/>
      <c r="M690" s="168"/>
      <c r="N690" s="169"/>
      <c r="P690" s="10"/>
    </row>
    <row r="691" spans="1:16" s="1237" customFormat="1" ht="18" customHeight="1" x14ac:dyDescent="0.3">
      <c r="A691" s="699">
        <v>684</v>
      </c>
      <c r="B691" s="1283"/>
      <c r="C691" s="1388"/>
      <c r="D691" s="1231" t="s">
        <v>334</v>
      </c>
      <c r="E691" s="1232"/>
      <c r="F691" s="1232"/>
      <c r="G691" s="1277"/>
      <c r="H691" s="1233"/>
      <c r="I691" s="1234">
        <f>SUM(J691:N691)</f>
        <v>1000</v>
      </c>
      <c r="J691" s="1235"/>
      <c r="K691" s="1235"/>
      <c r="L691" s="1235">
        <v>1000</v>
      </c>
      <c r="M691" s="1235"/>
      <c r="N691" s="1236"/>
    </row>
    <row r="692" spans="1:16" s="1237" customFormat="1" ht="18" customHeight="1" x14ac:dyDescent="0.3">
      <c r="A692" s="699">
        <v>685</v>
      </c>
      <c r="B692" s="1283"/>
      <c r="C692" s="1388"/>
      <c r="D692" s="690" t="s">
        <v>1307</v>
      </c>
      <c r="E692" s="1232"/>
      <c r="F692" s="1232"/>
      <c r="G692" s="1277"/>
      <c r="H692" s="1233"/>
      <c r="I692" s="665">
        <f>SUM(J692:N692)</f>
        <v>6187</v>
      </c>
      <c r="J692" s="1235"/>
      <c r="K692" s="1235"/>
      <c r="L692" s="527">
        <v>6187</v>
      </c>
      <c r="M692" s="1235"/>
      <c r="N692" s="1236"/>
    </row>
    <row r="693" spans="1:16" s="10" customFormat="1" ht="18" customHeight="1" x14ac:dyDescent="0.3">
      <c r="A693" s="699">
        <v>686</v>
      </c>
      <c r="B693" s="1284"/>
      <c r="C693" s="1389"/>
      <c r="D693" s="1150" t="s">
        <v>834</v>
      </c>
      <c r="E693" s="164"/>
      <c r="F693" s="164"/>
      <c r="G693" s="1277"/>
      <c r="H693" s="702"/>
      <c r="I693" s="158">
        <f>SUM(J693:Q693)</f>
        <v>0</v>
      </c>
      <c r="J693" s="168"/>
      <c r="K693" s="168"/>
      <c r="L693" s="168"/>
      <c r="M693" s="168"/>
      <c r="N693" s="169"/>
    </row>
    <row r="694" spans="1:16" s="1699" customFormat="1" ht="18" customHeight="1" x14ac:dyDescent="0.3">
      <c r="A694" s="699">
        <v>687</v>
      </c>
      <c r="B694" s="1295"/>
      <c r="C694" s="1390"/>
      <c r="D694" s="690" t="s">
        <v>1391</v>
      </c>
      <c r="E694" s="1305"/>
      <c r="F694" s="1305"/>
      <c r="G694" s="1306"/>
      <c r="H694" s="702"/>
      <c r="I694" s="665">
        <f>SUM(J694:N694)</f>
        <v>6187</v>
      </c>
      <c r="J694" s="527"/>
      <c r="K694" s="527"/>
      <c r="L694" s="527">
        <f>SUM(L692:L693)</f>
        <v>6187</v>
      </c>
      <c r="M694" s="527"/>
      <c r="N694" s="520"/>
    </row>
    <row r="695" spans="1:16" s="3" customFormat="1" ht="22.5" customHeight="1" x14ac:dyDescent="0.3">
      <c r="A695" s="699">
        <v>688</v>
      </c>
      <c r="B695" s="1282"/>
      <c r="C695" s="1387">
        <v>103</v>
      </c>
      <c r="D695" s="697" t="s">
        <v>340</v>
      </c>
      <c r="E695" s="164">
        <v>62799</v>
      </c>
      <c r="F695" s="164">
        <v>38148</v>
      </c>
      <c r="G695" s="1277">
        <v>56649</v>
      </c>
      <c r="H695" s="702" t="s">
        <v>24</v>
      </c>
      <c r="I695" s="665"/>
      <c r="J695" s="168"/>
      <c r="K695" s="168"/>
      <c r="L695" s="168"/>
      <c r="M695" s="168"/>
      <c r="N695" s="169"/>
      <c r="P695" s="10"/>
    </row>
    <row r="696" spans="1:16" s="1237" customFormat="1" ht="18" customHeight="1" x14ac:dyDescent="0.3">
      <c r="A696" s="699">
        <v>689</v>
      </c>
      <c r="B696" s="1283"/>
      <c r="C696" s="1388"/>
      <c r="D696" s="1231" t="s">
        <v>334</v>
      </c>
      <c r="E696" s="1232"/>
      <c r="F696" s="1232"/>
      <c r="G696" s="1277"/>
      <c r="H696" s="1233"/>
      <c r="I696" s="1234">
        <f>SUM(J696:N696)</f>
        <v>65620</v>
      </c>
      <c r="J696" s="1235"/>
      <c r="K696" s="1235"/>
      <c r="L696" s="1235">
        <v>65620</v>
      </c>
      <c r="M696" s="1235"/>
      <c r="N696" s="1236"/>
    </row>
    <row r="697" spans="1:16" s="1237" customFormat="1" ht="18" customHeight="1" x14ac:dyDescent="0.3">
      <c r="A697" s="699">
        <v>690</v>
      </c>
      <c r="B697" s="1283"/>
      <c r="C697" s="1388"/>
      <c r="D697" s="690" t="s">
        <v>1307</v>
      </c>
      <c r="E697" s="1232"/>
      <c r="F697" s="1232"/>
      <c r="G697" s="1277"/>
      <c r="H697" s="1233"/>
      <c r="I697" s="665">
        <f>SUM(J697:N697)</f>
        <v>63125</v>
      </c>
      <c r="J697" s="1235"/>
      <c r="K697" s="1235"/>
      <c r="L697" s="527">
        <v>63125</v>
      </c>
      <c r="M697" s="1235"/>
      <c r="N697" s="1236"/>
    </row>
    <row r="698" spans="1:16" s="10" customFormat="1" ht="18" customHeight="1" x14ac:dyDescent="0.3">
      <c r="A698" s="699">
        <v>691</v>
      </c>
      <c r="B698" s="1284"/>
      <c r="C698" s="1389"/>
      <c r="D698" s="1150" t="s">
        <v>834</v>
      </c>
      <c r="E698" s="164"/>
      <c r="F698" s="164"/>
      <c r="G698" s="1277"/>
      <c r="H698" s="702"/>
      <c r="I698" s="158">
        <f>SUM(J698:Q698)</f>
        <v>0</v>
      </c>
      <c r="J698" s="168"/>
      <c r="K698" s="168"/>
      <c r="L698" s="168"/>
      <c r="M698" s="168"/>
      <c r="N698" s="169"/>
    </row>
    <row r="699" spans="1:16" s="1699" customFormat="1" ht="18" customHeight="1" x14ac:dyDescent="0.3">
      <c r="A699" s="699">
        <v>692</v>
      </c>
      <c r="B699" s="1295"/>
      <c r="C699" s="1390"/>
      <c r="D699" s="690" t="s">
        <v>1391</v>
      </c>
      <c r="E699" s="1305"/>
      <c r="F699" s="1305"/>
      <c r="G699" s="1306"/>
      <c r="H699" s="702"/>
      <c r="I699" s="665">
        <f>SUM(J699:N699)</f>
        <v>63125</v>
      </c>
      <c r="J699" s="527"/>
      <c r="K699" s="527"/>
      <c r="L699" s="527">
        <f>SUM(L697:L698)</f>
        <v>63125</v>
      </c>
      <c r="M699" s="527"/>
      <c r="N699" s="520"/>
    </row>
    <row r="700" spans="1:16" s="3" customFormat="1" ht="22.5" customHeight="1" x14ac:dyDescent="0.3">
      <c r="A700" s="699">
        <v>693</v>
      </c>
      <c r="B700" s="1282"/>
      <c r="C700" s="1387">
        <v>104</v>
      </c>
      <c r="D700" s="697" t="s">
        <v>10</v>
      </c>
      <c r="E700" s="164">
        <v>56802</v>
      </c>
      <c r="F700" s="164">
        <v>56400</v>
      </c>
      <c r="G700" s="1277">
        <v>56400</v>
      </c>
      <c r="H700" s="702" t="s">
        <v>24</v>
      </c>
      <c r="I700" s="665"/>
      <c r="J700" s="168"/>
      <c r="K700" s="168"/>
      <c r="L700" s="168"/>
      <c r="M700" s="168"/>
      <c r="N700" s="169"/>
      <c r="P700" s="10"/>
    </row>
    <row r="701" spans="1:16" s="1237" customFormat="1" ht="18" customHeight="1" x14ac:dyDescent="0.3">
      <c r="A701" s="699">
        <v>694</v>
      </c>
      <c r="B701" s="1283"/>
      <c r="C701" s="1388"/>
      <c r="D701" s="1231" t="s">
        <v>334</v>
      </c>
      <c r="E701" s="1232"/>
      <c r="F701" s="1232"/>
      <c r="G701" s="1277"/>
      <c r="H701" s="1233"/>
      <c r="I701" s="1234">
        <f>SUM(J701:N701)</f>
        <v>61048</v>
      </c>
      <c r="J701" s="1235"/>
      <c r="K701" s="1235"/>
      <c r="L701" s="1235">
        <f>58000+3048</f>
        <v>61048</v>
      </c>
      <c r="M701" s="1235"/>
      <c r="N701" s="1236"/>
    </row>
    <row r="702" spans="1:16" s="1237" customFormat="1" ht="18" customHeight="1" x14ac:dyDescent="0.3">
      <c r="A702" s="699">
        <v>695</v>
      </c>
      <c r="B702" s="1283"/>
      <c r="C702" s="1388"/>
      <c r="D702" s="690" t="s">
        <v>1307</v>
      </c>
      <c r="E702" s="1232"/>
      <c r="F702" s="1232"/>
      <c r="G702" s="1277"/>
      <c r="H702" s="1233"/>
      <c r="I702" s="665">
        <f>SUM(J702:N702)</f>
        <v>63948</v>
      </c>
      <c r="J702" s="1235"/>
      <c r="K702" s="1235"/>
      <c r="L702" s="527">
        <v>63948</v>
      </c>
      <c r="M702" s="1235"/>
      <c r="N702" s="1236"/>
    </row>
    <row r="703" spans="1:16" s="10" customFormat="1" ht="18" customHeight="1" x14ac:dyDescent="0.3">
      <c r="A703" s="699">
        <v>696</v>
      </c>
      <c r="B703" s="1284"/>
      <c r="C703" s="1389"/>
      <c r="D703" s="1150" t="s">
        <v>834</v>
      </c>
      <c r="E703" s="164"/>
      <c r="F703" s="164"/>
      <c r="G703" s="1277"/>
      <c r="H703" s="702"/>
      <c r="I703" s="158">
        <f>SUM(J703:Q703)</f>
        <v>0</v>
      </c>
      <c r="J703" s="168"/>
      <c r="K703" s="168"/>
      <c r="L703" s="168"/>
      <c r="M703" s="168"/>
      <c r="N703" s="169"/>
    </row>
    <row r="704" spans="1:16" s="1699" customFormat="1" ht="18" customHeight="1" x14ac:dyDescent="0.3">
      <c r="A704" s="699">
        <v>697</v>
      </c>
      <c r="B704" s="1295"/>
      <c r="C704" s="1390"/>
      <c r="D704" s="690" t="s">
        <v>1391</v>
      </c>
      <c r="E704" s="1305"/>
      <c r="F704" s="1305"/>
      <c r="G704" s="1306"/>
      <c r="H704" s="702"/>
      <c r="I704" s="665">
        <f>SUM(J704:N704)</f>
        <v>63948</v>
      </c>
      <c r="J704" s="527"/>
      <c r="K704" s="527"/>
      <c r="L704" s="527">
        <f>SUM(L702:L703)</f>
        <v>63948</v>
      </c>
      <c r="M704" s="527"/>
      <c r="N704" s="520"/>
    </row>
    <row r="705" spans="1:16" s="3" customFormat="1" ht="22.5" customHeight="1" x14ac:dyDescent="0.3">
      <c r="A705" s="699">
        <v>698</v>
      </c>
      <c r="B705" s="1282"/>
      <c r="C705" s="1387">
        <v>105</v>
      </c>
      <c r="D705" s="697" t="s">
        <v>276</v>
      </c>
      <c r="E705" s="164">
        <v>18393</v>
      </c>
      <c r="F705" s="164">
        <v>19000</v>
      </c>
      <c r="G705" s="1277">
        <v>19000</v>
      </c>
      <c r="H705" s="702" t="s">
        <v>24</v>
      </c>
      <c r="I705" s="665"/>
      <c r="J705" s="168"/>
      <c r="K705" s="168"/>
      <c r="L705" s="168"/>
      <c r="M705" s="168"/>
      <c r="N705" s="169"/>
      <c r="P705" s="10"/>
    </row>
    <row r="706" spans="1:16" s="1237" customFormat="1" ht="18" customHeight="1" x14ac:dyDescent="0.3">
      <c r="A706" s="699">
        <v>699</v>
      </c>
      <c r="B706" s="1283"/>
      <c r="C706" s="1388"/>
      <c r="D706" s="1231" t="s">
        <v>334</v>
      </c>
      <c r="E706" s="1232"/>
      <c r="F706" s="1232"/>
      <c r="G706" s="1277"/>
      <c r="H706" s="1233"/>
      <c r="I706" s="1234">
        <f>SUM(J706:N706)</f>
        <v>19000</v>
      </c>
      <c r="J706" s="1235"/>
      <c r="K706" s="1235"/>
      <c r="L706" s="1235">
        <v>19000</v>
      </c>
      <c r="M706" s="1235"/>
      <c r="N706" s="1236"/>
    </row>
    <row r="707" spans="1:16" s="1237" customFormat="1" ht="18" customHeight="1" x14ac:dyDescent="0.3">
      <c r="A707" s="699">
        <v>700</v>
      </c>
      <c r="B707" s="1283"/>
      <c r="C707" s="1388"/>
      <c r="D707" s="690" t="s">
        <v>1307</v>
      </c>
      <c r="E707" s="1232"/>
      <c r="F707" s="1232"/>
      <c r="G707" s="1277"/>
      <c r="H707" s="1248"/>
      <c r="I707" s="665">
        <f>SUM(J707:N707)</f>
        <v>21658</v>
      </c>
      <c r="J707" s="1235"/>
      <c r="K707" s="1235"/>
      <c r="L707" s="527">
        <v>21658</v>
      </c>
      <c r="M707" s="1235"/>
      <c r="N707" s="1236"/>
    </row>
    <row r="708" spans="1:16" s="10" customFormat="1" ht="18" customHeight="1" x14ac:dyDescent="0.3">
      <c r="A708" s="699">
        <v>701</v>
      </c>
      <c r="B708" s="1284"/>
      <c r="C708" s="1389"/>
      <c r="D708" s="1150" t="s">
        <v>834</v>
      </c>
      <c r="E708" s="164"/>
      <c r="F708" s="164"/>
      <c r="G708" s="1277"/>
      <c r="H708" s="704"/>
      <c r="I708" s="158">
        <f>SUM(J708:Q708)</f>
        <v>0</v>
      </c>
      <c r="J708" s="168"/>
      <c r="K708" s="168"/>
      <c r="L708" s="168"/>
      <c r="M708" s="168"/>
      <c r="N708" s="169"/>
    </row>
    <row r="709" spans="1:16" s="1699" customFormat="1" ht="18" customHeight="1" x14ac:dyDescent="0.3">
      <c r="A709" s="699">
        <v>702</v>
      </c>
      <c r="B709" s="1295"/>
      <c r="C709" s="1390"/>
      <c r="D709" s="690" t="s">
        <v>1391</v>
      </c>
      <c r="E709" s="1305"/>
      <c r="F709" s="1305"/>
      <c r="G709" s="1306"/>
      <c r="H709" s="704"/>
      <c r="I709" s="665">
        <f>SUM(J709:N709)</f>
        <v>21658</v>
      </c>
      <c r="J709" s="527"/>
      <c r="K709" s="527"/>
      <c r="L709" s="527">
        <f>SUM(L707:L708)</f>
        <v>21658</v>
      </c>
      <c r="M709" s="527"/>
      <c r="N709" s="520"/>
    </row>
    <row r="710" spans="1:16" s="3" customFormat="1" ht="22.5" customHeight="1" x14ac:dyDescent="0.3">
      <c r="A710" s="699">
        <v>703</v>
      </c>
      <c r="B710" s="1282"/>
      <c r="C710" s="1387">
        <v>106</v>
      </c>
      <c r="D710" s="691" t="s">
        <v>275</v>
      </c>
      <c r="E710" s="164">
        <v>665</v>
      </c>
      <c r="F710" s="164">
        <v>1000</v>
      </c>
      <c r="G710" s="1277"/>
      <c r="H710" s="704" t="s">
        <v>24</v>
      </c>
      <c r="I710" s="665"/>
      <c r="J710" s="168"/>
      <c r="K710" s="168"/>
      <c r="L710" s="168"/>
      <c r="M710" s="168"/>
      <c r="N710" s="169"/>
      <c r="P710" s="10"/>
    </row>
    <row r="711" spans="1:16" s="1237" customFormat="1" ht="18" customHeight="1" x14ac:dyDescent="0.3">
      <c r="A711" s="699">
        <v>704</v>
      </c>
      <c r="B711" s="1290"/>
      <c r="C711" s="1388"/>
      <c r="D711" s="1231" t="s">
        <v>334</v>
      </c>
      <c r="E711" s="1247"/>
      <c r="F711" s="1247"/>
      <c r="G711" s="1276"/>
      <c r="H711" s="1248"/>
      <c r="I711" s="1234">
        <f>SUM(J711:N711)</f>
        <v>1500</v>
      </c>
      <c r="J711" s="1249"/>
      <c r="K711" s="1249"/>
      <c r="L711" s="1249">
        <v>1500</v>
      </c>
      <c r="M711" s="1249"/>
      <c r="N711" s="1250"/>
    </row>
    <row r="712" spans="1:16" s="1237" customFormat="1" ht="18" customHeight="1" x14ac:dyDescent="0.3">
      <c r="A712" s="699">
        <v>705</v>
      </c>
      <c r="B712" s="1290"/>
      <c r="C712" s="1388"/>
      <c r="D712" s="690" t="s">
        <v>1307</v>
      </c>
      <c r="E712" s="1247"/>
      <c r="F712" s="1247"/>
      <c r="G712" s="1276"/>
      <c r="H712" s="1248"/>
      <c r="I712" s="665">
        <f>SUM(J712:N712)</f>
        <v>2949</v>
      </c>
      <c r="J712" s="1249"/>
      <c r="K712" s="1249"/>
      <c r="L712" s="165">
        <v>2949</v>
      </c>
      <c r="M712" s="1249"/>
      <c r="N712" s="1250"/>
    </row>
    <row r="713" spans="1:16" s="10" customFormat="1" ht="18" customHeight="1" x14ac:dyDescent="0.3">
      <c r="A713" s="699">
        <v>706</v>
      </c>
      <c r="B713" s="1289"/>
      <c r="C713" s="1389"/>
      <c r="D713" s="1150" t="s">
        <v>834</v>
      </c>
      <c r="E713" s="198"/>
      <c r="F713" s="198"/>
      <c r="G713" s="1276"/>
      <c r="H713" s="704"/>
      <c r="I713" s="158">
        <f>SUM(J713:Q713)</f>
        <v>0</v>
      </c>
      <c r="J713" s="197"/>
      <c r="K713" s="197"/>
      <c r="L713" s="197"/>
      <c r="M713" s="197"/>
      <c r="N713" s="205"/>
    </row>
    <row r="714" spans="1:16" s="1699" customFormat="1" ht="18" customHeight="1" x14ac:dyDescent="0.3">
      <c r="A714" s="699">
        <v>707</v>
      </c>
      <c r="B714" s="1303"/>
      <c r="C714" s="1390"/>
      <c r="D714" s="690" t="s">
        <v>1391</v>
      </c>
      <c r="E714" s="1308"/>
      <c r="F714" s="1308"/>
      <c r="G714" s="1309"/>
      <c r="H714" s="704"/>
      <c r="I714" s="665">
        <f>SUM(J714:N714)</f>
        <v>2949</v>
      </c>
      <c r="J714" s="165"/>
      <c r="K714" s="165"/>
      <c r="L714" s="165">
        <f>SUM(L712:L713)</f>
        <v>2949</v>
      </c>
      <c r="M714" s="165"/>
      <c r="N714" s="166"/>
    </row>
    <row r="715" spans="1:16" s="3" customFormat="1" ht="22.5" customHeight="1" x14ac:dyDescent="0.3">
      <c r="A715" s="699">
        <v>708</v>
      </c>
      <c r="B715" s="1282"/>
      <c r="C715" s="1387">
        <v>107</v>
      </c>
      <c r="D715" s="691" t="s">
        <v>1283</v>
      </c>
      <c r="E715" s="164">
        <v>1047</v>
      </c>
      <c r="F715" s="164">
        <v>2570</v>
      </c>
      <c r="G715" s="1277">
        <v>1047</v>
      </c>
      <c r="H715" s="702" t="s">
        <v>25</v>
      </c>
      <c r="I715" s="665"/>
      <c r="J715" s="168"/>
      <c r="K715" s="168"/>
      <c r="L715" s="168"/>
      <c r="M715" s="168"/>
      <c r="N715" s="169"/>
      <c r="P715" s="10"/>
    </row>
    <row r="716" spans="1:16" s="1237" customFormat="1" ht="18" customHeight="1" x14ac:dyDescent="0.3">
      <c r="A716" s="699">
        <v>709</v>
      </c>
      <c r="B716" s="1283"/>
      <c r="C716" s="1388"/>
      <c r="D716" s="1231" t="s">
        <v>334</v>
      </c>
      <c r="E716" s="1232"/>
      <c r="F716" s="1232"/>
      <c r="G716" s="1277"/>
      <c r="H716" s="1233"/>
      <c r="I716" s="1234">
        <f>SUM(J716:N716)</f>
        <v>4570</v>
      </c>
      <c r="J716" s="1235"/>
      <c r="K716" s="1235"/>
      <c r="L716" s="1235">
        <v>4570</v>
      </c>
      <c r="M716" s="1235"/>
      <c r="N716" s="1236"/>
    </row>
    <row r="717" spans="1:16" s="1237" customFormat="1" ht="18" customHeight="1" x14ac:dyDescent="0.3">
      <c r="A717" s="699">
        <v>710</v>
      </c>
      <c r="B717" s="1283"/>
      <c r="C717" s="1388"/>
      <c r="D717" s="690" t="s">
        <v>1307</v>
      </c>
      <c r="E717" s="1232"/>
      <c r="F717" s="1232"/>
      <c r="G717" s="1277"/>
      <c r="H717" s="1233"/>
      <c r="I717" s="665">
        <f>SUM(J717:N717)</f>
        <v>10476</v>
      </c>
      <c r="J717" s="1235"/>
      <c r="K717" s="1235"/>
      <c r="L717" s="527">
        <v>10476</v>
      </c>
      <c r="M717" s="1235"/>
      <c r="N717" s="1236"/>
    </row>
    <row r="718" spans="1:16" s="10" customFormat="1" ht="18" customHeight="1" x14ac:dyDescent="0.3">
      <c r="A718" s="699">
        <v>711</v>
      </c>
      <c r="B718" s="1284"/>
      <c r="C718" s="1389"/>
      <c r="D718" s="1150" t="s">
        <v>834</v>
      </c>
      <c r="E718" s="164"/>
      <c r="F718" s="164"/>
      <c r="G718" s="1277"/>
      <c r="H718" s="702"/>
      <c r="I718" s="158">
        <f>SUM(J718:Q718)</f>
        <v>0</v>
      </c>
      <c r="J718" s="168"/>
      <c r="K718" s="168"/>
      <c r="L718" s="168"/>
      <c r="M718" s="168"/>
      <c r="N718" s="169"/>
    </row>
    <row r="719" spans="1:16" s="1699" customFormat="1" ht="18" customHeight="1" x14ac:dyDescent="0.3">
      <c r="A719" s="699">
        <v>712</v>
      </c>
      <c r="B719" s="1295"/>
      <c r="C719" s="1390"/>
      <c r="D719" s="690" t="s">
        <v>1391</v>
      </c>
      <c r="E719" s="1305"/>
      <c r="F719" s="1305"/>
      <c r="G719" s="1306"/>
      <c r="H719" s="702"/>
      <c r="I719" s="665">
        <f>SUM(J719:N719)</f>
        <v>10476</v>
      </c>
      <c r="J719" s="527"/>
      <c r="K719" s="527"/>
      <c r="L719" s="527">
        <f>SUM(L717:L718)</f>
        <v>10476</v>
      </c>
      <c r="M719" s="527"/>
      <c r="N719" s="520"/>
    </row>
    <row r="720" spans="1:16" s="10" customFormat="1" ht="22.5" customHeight="1" x14ac:dyDescent="0.3">
      <c r="A720" s="699">
        <v>713</v>
      </c>
      <c r="B720" s="1284"/>
      <c r="C720" s="1387">
        <v>108</v>
      </c>
      <c r="D720" s="691" t="s">
        <v>597</v>
      </c>
      <c r="E720" s="164"/>
      <c r="F720" s="164"/>
      <c r="G720" s="1277"/>
      <c r="H720" s="702" t="s">
        <v>25</v>
      </c>
      <c r="I720" s="665"/>
      <c r="J720" s="168"/>
      <c r="K720" s="168"/>
      <c r="L720" s="168"/>
      <c r="M720" s="168"/>
      <c r="N720" s="169"/>
    </row>
    <row r="721" spans="1:16" s="1237" customFormat="1" ht="18" customHeight="1" x14ac:dyDescent="0.3">
      <c r="A721" s="699">
        <v>714</v>
      </c>
      <c r="B721" s="1283"/>
      <c r="C721" s="1388"/>
      <c r="D721" s="1231" t="s">
        <v>334</v>
      </c>
      <c r="E721" s="1232"/>
      <c r="F721" s="1232"/>
      <c r="G721" s="1277"/>
      <c r="H721" s="1233"/>
      <c r="I721" s="1234">
        <f>SUM(J721:N721)</f>
        <v>1800</v>
      </c>
      <c r="J721" s="1235"/>
      <c r="K721" s="1235"/>
      <c r="L721" s="1235">
        <v>1800</v>
      </c>
      <c r="M721" s="1235"/>
      <c r="N721" s="1236"/>
    </row>
    <row r="722" spans="1:16" s="1237" customFormat="1" ht="18" customHeight="1" x14ac:dyDescent="0.3">
      <c r="A722" s="699">
        <v>715</v>
      </c>
      <c r="B722" s="1283"/>
      <c r="C722" s="1388"/>
      <c r="D722" s="690" t="s">
        <v>1307</v>
      </c>
      <c r="E722" s="1232"/>
      <c r="F722" s="1232"/>
      <c r="G722" s="1277"/>
      <c r="H722" s="1233"/>
      <c r="I722" s="665">
        <f>SUM(J722:N722)</f>
        <v>2286</v>
      </c>
      <c r="J722" s="1235"/>
      <c r="K722" s="1235"/>
      <c r="L722" s="527">
        <v>2286</v>
      </c>
      <c r="M722" s="1235"/>
      <c r="N722" s="1236"/>
    </row>
    <row r="723" spans="1:16" s="10" customFormat="1" ht="18" customHeight="1" x14ac:dyDescent="0.3">
      <c r="A723" s="699">
        <v>716</v>
      </c>
      <c r="B723" s="1284"/>
      <c r="C723" s="1389"/>
      <c r="D723" s="1150" t="s">
        <v>834</v>
      </c>
      <c r="E723" s="164"/>
      <c r="F723" s="164"/>
      <c r="G723" s="1277"/>
      <c r="H723" s="702"/>
      <c r="I723" s="158">
        <f>SUM(J723:Q723)</f>
        <v>0</v>
      </c>
      <c r="J723" s="168"/>
      <c r="K723" s="168"/>
      <c r="L723" s="168"/>
      <c r="M723" s="168"/>
      <c r="N723" s="169"/>
    </row>
    <row r="724" spans="1:16" s="1699" customFormat="1" ht="18" customHeight="1" x14ac:dyDescent="0.3">
      <c r="A724" s="699">
        <v>717</v>
      </c>
      <c r="B724" s="1295"/>
      <c r="C724" s="1390"/>
      <c r="D724" s="690" t="s">
        <v>1391</v>
      </c>
      <c r="E724" s="1305"/>
      <c r="F724" s="1305"/>
      <c r="G724" s="1306"/>
      <c r="H724" s="702"/>
      <c r="I724" s="665">
        <f>SUM(J724:N724)</f>
        <v>2286</v>
      </c>
      <c r="J724" s="527"/>
      <c r="K724" s="527"/>
      <c r="L724" s="527">
        <f>SUM(L722:L723)</f>
        <v>2286</v>
      </c>
      <c r="M724" s="527"/>
      <c r="N724" s="520"/>
    </row>
    <row r="725" spans="1:16" s="3" customFormat="1" ht="22.5" customHeight="1" x14ac:dyDescent="0.3">
      <c r="A725" s="699">
        <v>718</v>
      </c>
      <c r="B725" s="1282"/>
      <c r="C725" s="1387">
        <v>109</v>
      </c>
      <c r="D725" s="691" t="s">
        <v>116</v>
      </c>
      <c r="E725" s="164">
        <v>6416</v>
      </c>
      <c r="F725" s="164">
        <v>15000</v>
      </c>
      <c r="G725" s="1277">
        <v>7036</v>
      </c>
      <c r="H725" s="702" t="s">
        <v>24</v>
      </c>
      <c r="I725" s="665"/>
      <c r="J725" s="168"/>
      <c r="K725" s="168"/>
      <c r="L725" s="168"/>
      <c r="M725" s="168"/>
      <c r="N725" s="169"/>
      <c r="P725" s="10"/>
    </row>
    <row r="726" spans="1:16" s="1237" customFormat="1" ht="18" customHeight="1" x14ac:dyDescent="0.3">
      <c r="A726" s="699">
        <v>719</v>
      </c>
      <c r="B726" s="1283"/>
      <c r="C726" s="1388"/>
      <c r="D726" s="1231" t="s">
        <v>334</v>
      </c>
      <c r="E726" s="1232"/>
      <c r="F726" s="1232"/>
      <c r="G726" s="1277"/>
      <c r="H726" s="1233"/>
      <c r="I726" s="1234">
        <f>SUM(J726:N726)</f>
        <v>16000</v>
      </c>
      <c r="J726" s="1235"/>
      <c r="K726" s="1235"/>
      <c r="L726" s="1235">
        <v>16000</v>
      </c>
      <c r="M726" s="1235"/>
      <c r="N726" s="1236"/>
    </row>
    <row r="727" spans="1:16" s="1237" customFormat="1" ht="18" customHeight="1" x14ac:dyDescent="0.3">
      <c r="A727" s="699">
        <v>720</v>
      </c>
      <c r="B727" s="1283"/>
      <c r="C727" s="1388"/>
      <c r="D727" s="690" t="s">
        <v>1307</v>
      </c>
      <c r="E727" s="1232"/>
      <c r="F727" s="1232"/>
      <c r="G727" s="1277"/>
      <c r="H727" s="1233"/>
      <c r="I727" s="665">
        <f>SUM(J727:N727)</f>
        <v>25240</v>
      </c>
      <c r="J727" s="1235"/>
      <c r="K727" s="1235"/>
      <c r="L727" s="527">
        <v>25240</v>
      </c>
      <c r="M727" s="1235"/>
      <c r="N727" s="1236"/>
    </row>
    <row r="728" spans="1:16" s="10" customFormat="1" ht="18" customHeight="1" x14ac:dyDescent="0.3">
      <c r="A728" s="699">
        <v>721</v>
      </c>
      <c r="B728" s="1284"/>
      <c r="C728" s="1389"/>
      <c r="D728" s="1150" t="s">
        <v>1457</v>
      </c>
      <c r="E728" s="164"/>
      <c r="F728" s="164"/>
      <c r="G728" s="1277"/>
      <c r="H728" s="702"/>
      <c r="I728" s="158">
        <f>SUM(J728:Q728)</f>
        <v>-120</v>
      </c>
      <c r="J728" s="168"/>
      <c r="K728" s="168"/>
      <c r="L728" s="183">
        <v>-120</v>
      </c>
      <c r="M728" s="168"/>
      <c r="N728" s="169"/>
    </row>
    <row r="729" spans="1:16" s="1699" customFormat="1" ht="18" customHeight="1" x14ac:dyDescent="0.3">
      <c r="A729" s="699">
        <v>722</v>
      </c>
      <c r="B729" s="1295"/>
      <c r="C729" s="1390"/>
      <c r="D729" s="690" t="s">
        <v>1391</v>
      </c>
      <c r="E729" s="1305"/>
      <c r="F729" s="1305"/>
      <c r="G729" s="1306"/>
      <c r="H729" s="702"/>
      <c r="I729" s="665">
        <f>SUM(J729:N729)</f>
        <v>25120</v>
      </c>
      <c r="J729" s="527"/>
      <c r="K729" s="527"/>
      <c r="L729" s="527">
        <f>SUM(L727:L728)</f>
        <v>25120</v>
      </c>
      <c r="M729" s="527"/>
      <c r="N729" s="520"/>
    </row>
    <row r="730" spans="1:16" s="10" customFormat="1" ht="22.5" customHeight="1" x14ac:dyDescent="0.3">
      <c r="A730" s="699">
        <v>723</v>
      </c>
      <c r="B730" s="1296"/>
      <c r="C730" s="1387">
        <v>110</v>
      </c>
      <c r="D730" s="691" t="s">
        <v>307</v>
      </c>
      <c r="E730" s="164">
        <v>152751</v>
      </c>
      <c r="F730" s="164">
        <v>155346</v>
      </c>
      <c r="G730" s="1277">
        <v>144202</v>
      </c>
      <c r="H730" s="702" t="s">
        <v>24</v>
      </c>
      <c r="I730" s="666"/>
      <c r="J730" s="171"/>
      <c r="K730" s="171"/>
      <c r="L730" s="171"/>
      <c r="M730" s="171"/>
      <c r="N730" s="172"/>
    </row>
    <row r="731" spans="1:16" s="1237" customFormat="1" ht="18" customHeight="1" x14ac:dyDescent="0.3">
      <c r="A731" s="699">
        <v>724</v>
      </c>
      <c r="B731" s="1283"/>
      <c r="C731" s="1388"/>
      <c r="D731" s="1231" t="s">
        <v>334</v>
      </c>
      <c r="E731" s="1232"/>
      <c r="F731" s="1232"/>
      <c r="G731" s="1277"/>
      <c r="H731" s="1233"/>
      <c r="I731" s="1234">
        <f>SUM(J731:N731)</f>
        <v>153222</v>
      </c>
      <c r="J731" s="1235"/>
      <c r="K731" s="1235"/>
      <c r="L731" s="1235">
        <v>153222</v>
      </c>
      <c r="M731" s="1235"/>
      <c r="N731" s="1236"/>
    </row>
    <row r="732" spans="1:16" s="1237" customFormat="1" ht="18" customHeight="1" x14ac:dyDescent="0.3">
      <c r="A732" s="699">
        <v>725</v>
      </c>
      <c r="B732" s="1283"/>
      <c r="C732" s="1388"/>
      <c r="D732" s="690" t="s">
        <v>1307</v>
      </c>
      <c r="E732" s="1232"/>
      <c r="F732" s="1232"/>
      <c r="G732" s="1277"/>
      <c r="H732" s="1233"/>
      <c r="I732" s="665">
        <f>SUM(J732:N732)</f>
        <v>164366</v>
      </c>
      <c r="J732" s="1235"/>
      <c r="K732" s="1235"/>
      <c r="L732" s="527">
        <v>164366</v>
      </c>
      <c r="M732" s="1235"/>
      <c r="N732" s="1236"/>
    </row>
    <row r="733" spans="1:16" s="10" customFormat="1" ht="18" customHeight="1" x14ac:dyDescent="0.3">
      <c r="A733" s="699">
        <v>726</v>
      </c>
      <c r="B733" s="1284"/>
      <c r="C733" s="1389"/>
      <c r="D733" s="1150" t="s">
        <v>834</v>
      </c>
      <c r="E733" s="164"/>
      <c r="F733" s="164"/>
      <c r="G733" s="1277"/>
      <c r="H733" s="702"/>
      <c r="I733" s="158">
        <f>SUM(J733:Q733)</f>
        <v>0</v>
      </c>
      <c r="J733" s="168"/>
      <c r="K733" s="168"/>
      <c r="L733" s="168"/>
      <c r="M733" s="168"/>
      <c r="N733" s="169"/>
    </row>
    <row r="734" spans="1:16" s="1699" customFormat="1" ht="18" customHeight="1" x14ac:dyDescent="0.3">
      <c r="A734" s="699">
        <v>727</v>
      </c>
      <c r="B734" s="1295"/>
      <c r="C734" s="1390"/>
      <c r="D734" s="690" t="s">
        <v>1391</v>
      </c>
      <c r="E734" s="1305"/>
      <c r="F734" s="1305"/>
      <c r="G734" s="1306"/>
      <c r="H734" s="702"/>
      <c r="I734" s="665">
        <f>SUM(J734:N734)</f>
        <v>164366</v>
      </c>
      <c r="J734" s="527"/>
      <c r="K734" s="527"/>
      <c r="L734" s="527">
        <f>SUM(L732:L733)</f>
        <v>164366</v>
      </c>
      <c r="M734" s="527"/>
      <c r="N734" s="520"/>
    </row>
    <row r="735" spans="1:16" s="10" customFormat="1" ht="18" customHeight="1" x14ac:dyDescent="0.3">
      <c r="A735" s="699">
        <v>728</v>
      </c>
      <c r="B735" s="1284"/>
      <c r="C735" s="1389">
        <v>111</v>
      </c>
      <c r="D735" s="691" t="s">
        <v>910</v>
      </c>
      <c r="E735" s="164"/>
      <c r="F735" s="164"/>
      <c r="G735" s="1277"/>
      <c r="H735" s="702" t="s">
        <v>25</v>
      </c>
      <c r="I735" s="665"/>
      <c r="J735" s="168"/>
      <c r="K735" s="168"/>
      <c r="L735" s="168"/>
      <c r="M735" s="168"/>
      <c r="N735" s="169"/>
    </row>
    <row r="736" spans="1:16" s="10" customFormat="1" ht="18" customHeight="1" x14ac:dyDescent="0.3">
      <c r="A736" s="699">
        <v>729</v>
      </c>
      <c r="B736" s="1284"/>
      <c r="C736" s="1389"/>
      <c r="D736" s="690" t="s">
        <v>1307</v>
      </c>
      <c r="E736" s="164"/>
      <c r="F736" s="164"/>
      <c r="G736" s="1277"/>
      <c r="H736" s="702"/>
      <c r="I736" s="665">
        <f>SUM(J736:N736)</f>
        <v>1500</v>
      </c>
      <c r="J736" s="168"/>
      <c r="K736" s="168"/>
      <c r="L736" s="527">
        <v>1500</v>
      </c>
      <c r="M736" s="168"/>
      <c r="N736" s="169"/>
    </row>
    <row r="737" spans="1:16" s="10" customFormat="1" ht="18" customHeight="1" x14ac:dyDescent="0.3">
      <c r="A737" s="699">
        <v>730</v>
      </c>
      <c r="B737" s="1284"/>
      <c r="C737" s="1389"/>
      <c r="D737" s="1150" t="s">
        <v>954</v>
      </c>
      <c r="E737" s="164"/>
      <c r="F737" s="164"/>
      <c r="G737" s="1277"/>
      <c r="H737" s="702"/>
      <c r="I737" s="158">
        <f>SUM(J737:Q737)</f>
        <v>102</v>
      </c>
      <c r="J737" s="183">
        <v>649</v>
      </c>
      <c r="K737" s="183">
        <v>102</v>
      </c>
      <c r="L737" s="183">
        <v>-649</v>
      </c>
      <c r="M737" s="168"/>
      <c r="N737" s="169"/>
    </row>
    <row r="738" spans="1:16" s="1699" customFormat="1" ht="18" customHeight="1" x14ac:dyDescent="0.3">
      <c r="A738" s="699">
        <v>731</v>
      </c>
      <c r="B738" s="1295"/>
      <c r="C738" s="1390"/>
      <c r="D738" s="690" t="s">
        <v>1391</v>
      </c>
      <c r="E738" s="1305"/>
      <c r="F738" s="1305"/>
      <c r="G738" s="1306"/>
      <c r="H738" s="702"/>
      <c r="I738" s="665">
        <f>SUM(J738:N738)</f>
        <v>1602</v>
      </c>
      <c r="J738" s="527">
        <f>SUM(J737)</f>
        <v>649</v>
      </c>
      <c r="K738" s="527">
        <f>SUM(K737)</f>
        <v>102</v>
      </c>
      <c r="L738" s="527">
        <f>SUM(L736:L737)</f>
        <v>851</v>
      </c>
      <c r="M738" s="527"/>
      <c r="N738" s="520"/>
    </row>
    <row r="739" spans="1:16" s="10" customFormat="1" ht="22.5" customHeight="1" x14ac:dyDescent="0.3">
      <c r="A739" s="699">
        <v>732</v>
      </c>
      <c r="B739" s="1296"/>
      <c r="C739" s="1387">
        <v>112</v>
      </c>
      <c r="D739" s="691" t="s">
        <v>434</v>
      </c>
      <c r="E739" s="164">
        <v>3000</v>
      </c>
      <c r="F739" s="164">
        <v>3000</v>
      </c>
      <c r="G739" s="1277">
        <v>8000</v>
      </c>
      <c r="H739" s="702" t="s">
        <v>25</v>
      </c>
      <c r="I739" s="666"/>
      <c r="J739" s="171"/>
      <c r="K739" s="171"/>
      <c r="L739" s="171"/>
      <c r="M739" s="171"/>
      <c r="N739" s="172"/>
    </row>
    <row r="740" spans="1:16" s="1237" customFormat="1" ht="18" customHeight="1" x14ac:dyDescent="0.3">
      <c r="A740" s="699">
        <v>733</v>
      </c>
      <c r="B740" s="1283"/>
      <c r="C740" s="1388"/>
      <c r="D740" s="1231" t="s">
        <v>334</v>
      </c>
      <c r="E740" s="1232"/>
      <c r="F740" s="1232"/>
      <c r="G740" s="1277"/>
      <c r="H740" s="1233"/>
      <c r="I740" s="1234">
        <f>SUM(J740:N740)</f>
        <v>3000</v>
      </c>
      <c r="J740" s="1235"/>
      <c r="K740" s="1235"/>
      <c r="L740" s="1235">
        <v>3000</v>
      </c>
      <c r="M740" s="1235"/>
      <c r="N740" s="1236"/>
    </row>
    <row r="741" spans="1:16" s="1237" customFormat="1" ht="18" customHeight="1" x14ac:dyDescent="0.3">
      <c r="A741" s="699">
        <v>734</v>
      </c>
      <c r="B741" s="1283"/>
      <c r="C741" s="1388"/>
      <c r="D741" s="690" t="s">
        <v>1307</v>
      </c>
      <c r="E741" s="1232"/>
      <c r="F741" s="1232"/>
      <c r="G741" s="1277"/>
      <c r="H741" s="1233"/>
      <c r="I741" s="665">
        <f>SUM(J741:N741)</f>
        <v>7930</v>
      </c>
      <c r="J741" s="1235"/>
      <c r="K741" s="1235"/>
      <c r="L741" s="527">
        <v>7930</v>
      </c>
      <c r="M741" s="1235"/>
      <c r="N741" s="1236"/>
    </row>
    <row r="742" spans="1:16" s="10" customFormat="1" ht="18" customHeight="1" x14ac:dyDescent="0.3">
      <c r="A742" s="699">
        <v>735</v>
      </c>
      <c r="B742" s="1284"/>
      <c r="C742" s="1389"/>
      <c r="D742" s="1150" t="s">
        <v>834</v>
      </c>
      <c r="E742" s="164"/>
      <c r="F742" s="164"/>
      <c r="G742" s="1277"/>
      <c r="H742" s="702"/>
      <c r="I742" s="158">
        <f>SUM(J742:Q742)</f>
        <v>0</v>
      </c>
      <c r="J742" s="168"/>
      <c r="K742" s="168"/>
      <c r="L742" s="168"/>
      <c r="M742" s="168"/>
      <c r="N742" s="169"/>
    </row>
    <row r="743" spans="1:16" s="1699" customFormat="1" ht="18" customHeight="1" x14ac:dyDescent="0.3">
      <c r="A743" s="699">
        <v>736</v>
      </c>
      <c r="B743" s="1295"/>
      <c r="C743" s="1390"/>
      <c r="D743" s="690" t="s">
        <v>1391</v>
      </c>
      <c r="E743" s="1305"/>
      <c r="F743" s="1305"/>
      <c r="G743" s="1306"/>
      <c r="H743" s="702"/>
      <c r="I743" s="665">
        <f>SUM(J743:N743)</f>
        <v>7930</v>
      </c>
      <c r="J743" s="527"/>
      <c r="K743" s="527"/>
      <c r="L743" s="527">
        <f>SUM(L741:L742)</f>
        <v>7930</v>
      </c>
      <c r="M743" s="527"/>
      <c r="N743" s="520"/>
    </row>
    <row r="744" spans="1:16" s="3" customFormat="1" ht="22.5" customHeight="1" x14ac:dyDescent="0.3">
      <c r="A744" s="699">
        <v>737</v>
      </c>
      <c r="B744" s="1282"/>
      <c r="C744" s="1387">
        <v>113</v>
      </c>
      <c r="D744" s="691" t="s">
        <v>118</v>
      </c>
      <c r="E744" s="164">
        <f>E749+E754+E759+E764+E769</f>
        <v>3250</v>
      </c>
      <c r="F744" s="164">
        <f t="shared" ref="F744:G744" si="28">F749+F754+F759+F764+F769</f>
        <v>3250</v>
      </c>
      <c r="G744" s="164">
        <f t="shared" si="28"/>
        <v>3250</v>
      </c>
      <c r="H744" s="702" t="s">
        <v>24</v>
      </c>
      <c r="I744" s="666"/>
      <c r="J744" s="171"/>
      <c r="K744" s="171"/>
      <c r="L744" s="171"/>
      <c r="M744" s="171"/>
      <c r="N744" s="172"/>
      <c r="O744" s="10"/>
      <c r="P744" s="10"/>
    </row>
    <row r="745" spans="1:16" s="1237" customFormat="1" ht="18" customHeight="1" x14ac:dyDescent="0.3">
      <c r="A745" s="699">
        <v>738</v>
      </c>
      <c r="B745" s="1283"/>
      <c r="C745" s="1388"/>
      <c r="D745" s="1231" t="s">
        <v>334</v>
      </c>
      <c r="E745" s="1232"/>
      <c r="F745" s="1232"/>
      <c r="G745" s="1277"/>
      <c r="H745" s="1233"/>
      <c r="I745" s="1234">
        <f>SUM(J745:N745)</f>
        <v>3250</v>
      </c>
      <c r="J745" s="1262">
        <f>J750+J755+J760+J765+J770</f>
        <v>0</v>
      </c>
      <c r="K745" s="1262">
        <f t="shared" ref="K745:M745" si="29">K750+K755+K760+K765+K770</f>
        <v>0</v>
      </c>
      <c r="L745" s="1262">
        <f t="shared" si="29"/>
        <v>0</v>
      </c>
      <c r="M745" s="1262">
        <f t="shared" si="29"/>
        <v>0</v>
      </c>
      <c r="N745" s="1239">
        <f>N750+N755+N760+N765+N770</f>
        <v>3250</v>
      </c>
    </row>
    <row r="746" spans="1:16" s="1237" customFormat="1" ht="18" customHeight="1" x14ac:dyDescent="0.3">
      <c r="A746" s="699">
        <v>739</v>
      </c>
      <c r="B746" s="1283"/>
      <c r="C746" s="1388"/>
      <c r="D746" s="690" t="s">
        <v>1307</v>
      </c>
      <c r="E746" s="1232"/>
      <c r="F746" s="1232"/>
      <c r="G746" s="1277"/>
      <c r="H746" s="1233"/>
      <c r="I746" s="665">
        <f>SUM(J746:N746)</f>
        <v>3250</v>
      </c>
      <c r="J746" s="527">
        <f>J751+J756+J761+J766+J771</f>
        <v>0</v>
      </c>
      <c r="K746" s="527">
        <f t="shared" ref="K746:N746" si="30">K751+K756+K761+K766+K771</f>
        <v>0</v>
      </c>
      <c r="L746" s="527">
        <f t="shared" si="30"/>
        <v>0</v>
      </c>
      <c r="M746" s="527">
        <f t="shared" si="30"/>
        <v>0</v>
      </c>
      <c r="N746" s="520">
        <f t="shared" si="30"/>
        <v>3250</v>
      </c>
    </row>
    <row r="747" spans="1:16" s="10" customFormat="1" ht="18" customHeight="1" x14ac:dyDescent="0.3">
      <c r="A747" s="699">
        <v>740</v>
      </c>
      <c r="B747" s="1284"/>
      <c r="C747" s="1389"/>
      <c r="D747" s="1150" t="s">
        <v>733</v>
      </c>
      <c r="E747" s="164"/>
      <c r="F747" s="164"/>
      <c r="G747" s="1277"/>
      <c r="H747" s="702"/>
      <c r="I747" s="158">
        <f>SUM(J747:Q747)</f>
        <v>0</v>
      </c>
      <c r="J747" s="519">
        <f>J752+J757++J762+J767+J772</f>
        <v>0</v>
      </c>
      <c r="K747" s="519">
        <f t="shared" ref="K747:M747" si="31">K752+K757++K762+K767+K772</f>
        <v>0</v>
      </c>
      <c r="L747" s="519">
        <f t="shared" si="31"/>
        <v>0</v>
      </c>
      <c r="M747" s="519">
        <f t="shared" si="31"/>
        <v>0</v>
      </c>
      <c r="N747" s="520">
        <f>N752+N757+N762+N767+N772</f>
        <v>0</v>
      </c>
    </row>
    <row r="748" spans="1:16" s="1699" customFormat="1" ht="18" customHeight="1" x14ac:dyDescent="0.3">
      <c r="A748" s="699">
        <v>741</v>
      </c>
      <c r="B748" s="1295"/>
      <c r="C748" s="1390"/>
      <c r="D748" s="690" t="s">
        <v>1391</v>
      </c>
      <c r="E748" s="1305"/>
      <c r="F748" s="1305"/>
      <c r="G748" s="1306"/>
      <c r="H748" s="702"/>
      <c r="I748" s="665">
        <f>SUM(J748:N748)</f>
        <v>3250</v>
      </c>
      <c r="J748" s="527">
        <f>J747+J746</f>
        <v>0</v>
      </c>
      <c r="K748" s="527">
        <f t="shared" ref="K748:N748" si="32">K747+K746</f>
        <v>0</v>
      </c>
      <c r="L748" s="527">
        <f t="shared" si="32"/>
        <v>0</v>
      </c>
      <c r="M748" s="527">
        <f t="shared" si="32"/>
        <v>0</v>
      </c>
      <c r="N748" s="520">
        <f t="shared" si="32"/>
        <v>3250</v>
      </c>
    </row>
    <row r="749" spans="1:16" s="11" customFormat="1" ht="18" customHeight="1" x14ac:dyDescent="0.3">
      <c r="A749" s="699">
        <v>742</v>
      </c>
      <c r="B749" s="1285"/>
      <c r="C749" s="1393"/>
      <c r="D749" s="177" t="s">
        <v>119</v>
      </c>
      <c r="E749" s="164">
        <v>650</v>
      </c>
      <c r="F749" s="173">
        <v>650</v>
      </c>
      <c r="G749" s="1264">
        <v>650</v>
      </c>
      <c r="H749" s="703"/>
      <c r="I749" s="667"/>
      <c r="J749" s="183"/>
      <c r="K749" s="183"/>
      <c r="L749" s="183"/>
      <c r="M749" s="183"/>
      <c r="N749" s="184"/>
      <c r="P749" s="10"/>
    </row>
    <row r="750" spans="1:16" s="1246" customFormat="1" ht="18" customHeight="1" x14ac:dyDescent="0.3">
      <c r="A750" s="699">
        <v>743</v>
      </c>
      <c r="B750" s="1286"/>
      <c r="C750" s="1392"/>
      <c r="D750" s="1252" t="s">
        <v>334</v>
      </c>
      <c r="E750" s="1232"/>
      <c r="F750" s="1241"/>
      <c r="G750" s="1264"/>
      <c r="H750" s="1242"/>
      <c r="I750" s="1243">
        <f>SUM(J750:N750)</f>
        <v>650</v>
      </c>
      <c r="J750" s="1244"/>
      <c r="K750" s="1244"/>
      <c r="L750" s="1244"/>
      <c r="M750" s="1244"/>
      <c r="N750" s="1245">
        <v>650</v>
      </c>
      <c r="P750" s="1237"/>
    </row>
    <row r="751" spans="1:16" s="1246" customFormat="1" ht="18" customHeight="1" x14ac:dyDescent="0.3">
      <c r="A751" s="699">
        <v>744</v>
      </c>
      <c r="B751" s="1286"/>
      <c r="C751" s="1392"/>
      <c r="D751" s="176" t="s">
        <v>1307</v>
      </c>
      <c r="E751" s="1232"/>
      <c r="F751" s="1241"/>
      <c r="G751" s="1264"/>
      <c r="H751" s="1242"/>
      <c r="I751" s="665">
        <f>SUM(J751:N751)</f>
        <v>650</v>
      </c>
      <c r="J751" s="1244"/>
      <c r="K751" s="1244"/>
      <c r="L751" s="1244"/>
      <c r="M751" s="1244"/>
      <c r="N751" s="184">
        <v>650</v>
      </c>
      <c r="P751" s="1237"/>
    </row>
    <row r="752" spans="1:16" s="11" customFormat="1" ht="18" customHeight="1" x14ac:dyDescent="0.3">
      <c r="A752" s="699">
        <v>745</v>
      </c>
      <c r="B752" s="1285"/>
      <c r="C752" s="1393"/>
      <c r="D752" s="176" t="s">
        <v>733</v>
      </c>
      <c r="E752" s="164"/>
      <c r="F752" s="173"/>
      <c r="G752" s="1264"/>
      <c r="H752" s="703"/>
      <c r="I752" s="158">
        <f>SUM(J752:Q752)</f>
        <v>0</v>
      </c>
      <c r="J752" s="183"/>
      <c r="K752" s="183"/>
      <c r="L752" s="183"/>
      <c r="M752" s="183"/>
      <c r="N752" s="184"/>
      <c r="P752" s="10"/>
    </row>
    <row r="753" spans="1:16" s="11" customFormat="1" ht="18" customHeight="1" x14ac:dyDescent="0.3">
      <c r="A753" s="699">
        <v>746</v>
      </c>
      <c r="B753" s="1285"/>
      <c r="C753" s="1393"/>
      <c r="D753" s="176" t="s">
        <v>1391</v>
      </c>
      <c r="E753" s="164"/>
      <c r="F753" s="173"/>
      <c r="G753" s="1264"/>
      <c r="H753" s="703"/>
      <c r="I753" s="665">
        <f>SUM(J753:N753)</f>
        <v>650</v>
      </c>
      <c r="J753" s="183"/>
      <c r="K753" s="183"/>
      <c r="L753" s="183"/>
      <c r="M753" s="183"/>
      <c r="N753" s="184">
        <f>SUM(N751:N752)</f>
        <v>650</v>
      </c>
      <c r="P753" s="10"/>
    </row>
    <row r="754" spans="1:16" s="11" customFormat="1" ht="18" customHeight="1" x14ac:dyDescent="0.3">
      <c r="A754" s="699">
        <v>747</v>
      </c>
      <c r="B754" s="1285"/>
      <c r="C754" s="1393"/>
      <c r="D754" s="179" t="s">
        <v>120</v>
      </c>
      <c r="E754" s="164">
        <v>650</v>
      </c>
      <c r="F754" s="173">
        <v>650</v>
      </c>
      <c r="G754" s="1264">
        <v>650</v>
      </c>
      <c r="H754" s="703"/>
      <c r="I754" s="668"/>
      <c r="J754" s="174"/>
      <c r="K754" s="174"/>
      <c r="L754" s="174"/>
      <c r="M754" s="174"/>
      <c r="N754" s="175"/>
      <c r="P754" s="10"/>
    </row>
    <row r="755" spans="1:16" s="1246" customFormat="1" ht="18" customHeight="1" x14ac:dyDescent="0.3">
      <c r="A755" s="699">
        <v>748</v>
      </c>
      <c r="B755" s="1286"/>
      <c r="C755" s="1392"/>
      <c r="D755" s="1252" t="s">
        <v>334</v>
      </c>
      <c r="E755" s="1232"/>
      <c r="F755" s="1241"/>
      <c r="G755" s="1264"/>
      <c r="H755" s="1242"/>
      <c r="I755" s="1243">
        <f>SUM(J755:N755)</f>
        <v>650</v>
      </c>
      <c r="J755" s="1244"/>
      <c r="K755" s="1244"/>
      <c r="L755" s="1244"/>
      <c r="M755" s="1244"/>
      <c r="N755" s="1245">
        <v>650</v>
      </c>
      <c r="P755" s="1237"/>
    </row>
    <row r="756" spans="1:16" s="1246" customFormat="1" ht="18" customHeight="1" x14ac:dyDescent="0.3">
      <c r="A756" s="699">
        <v>749</v>
      </c>
      <c r="B756" s="1286"/>
      <c r="C756" s="1392"/>
      <c r="D756" s="176" t="s">
        <v>1307</v>
      </c>
      <c r="E756" s="1232"/>
      <c r="F756" s="1241"/>
      <c r="G756" s="1264"/>
      <c r="H756" s="1242"/>
      <c r="I756" s="665">
        <f>SUM(J756:N756)</f>
        <v>650</v>
      </c>
      <c r="J756" s="1244"/>
      <c r="K756" s="1244"/>
      <c r="L756" s="1244"/>
      <c r="M756" s="1244"/>
      <c r="N756" s="184">
        <v>650</v>
      </c>
      <c r="P756" s="1237"/>
    </row>
    <row r="757" spans="1:16" s="11" customFormat="1" ht="18" customHeight="1" x14ac:dyDescent="0.3">
      <c r="A757" s="699">
        <v>750</v>
      </c>
      <c r="B757" s="1285"/>
      <c r="C757" s="1393"/>
      <c r="D757" s="176" t="s">
        <v>733</v>
      </c>
      <c r="E757" s="164"/>
      <c r="F757" s="173"/>
      <c r="G757" s="1264"/>
      <c r="H757" s="703"/>
      <c r="I757" s="158">
        <f>SUM(J757:Q757)</f>
        <v>0</v>
      </c>
      <c r="J757" s="183"/>
      <c r="K757" s="183"/>
      <c r="L757" s="183"/>
      <c r="M757" s="183"/>
      <c r="N757" s="184"/>
      <c r="P757" s="10"/>
    </row>
    <row r="758" spans="1:16" s="11" customFormat="1" ht="18" customHeight="1" x14ac:dyDescent="0.3">
      <c r="A758" s="699">
        <v>751</v>
      </c>
      <c r="B758" s="1285"/>
      <c r="C758" s="1393"/>
      <c r="D758" s="176" t="s">
        <v>1391</v>
      </c>
      <c r="E758" s="164"/>
      <c r="F758" s="173"/>
      <c r="G758" s="1264"/>
      <c r="H758" s="703"/>
      <c r="I758" s="665">
        <f>SUM(J758:N758)</f>
        <v>650</v>
      </c>
      <c r="J758" s="183"/>
      <c r="K758" s="183"/>
      <c r="L758" s="183"/>
      <c r="M758" s="183"/>
      <c r="N758" s="184">
        <f>SUM(N756:N757)</f>
        <v>650</v>
      </c>
      <c r="P758" s="10"/>
    </row>
    <row r="759" spans="1:16" s="11" customFormat="1" ht="18" customHeight="1" x14ac:dyDescent="0.3">
      <c r="A759" s="699">
        <v>752</v>
      </c>
      <c r="B759" s="1285"/>
      <c r="C759" s="1393"/>
      <c r="D759" s="179" t="s">
        <v>121</v>
      </c>
      <c r="E759" s="164">
        <v>650</v>
      </c>
      <c r="F759" s="173">
        <v>650</v>
      </c>
      <c r="G759" s="1264">
        <v>650</v>
      </c>
      <c r="H759" s="703"/>
      <c r="I759" s="668"/>
      <c r="J759" s="174"/>
      <c r="K759" s="174"/>
      <c r="L759" s="174"/>
      <c r="M759" s="174"/>
      <c r="N759" s="175"/>
      <c r="P759" s="10"/>
    </row>
    <row r="760" spans="1:16" s="1246" customFormat="1" ht="18" customHeight="1" x14ac:dyDescent="0.3">
      <c r="A760" s="699">
        <v>753</v>
      </c>
      <c r="B760" s="1286"/>
      <c r="C760" s="1392"/>
      <c r="D760" s="1252" t="s">
        <v>334</v>
      </c>
      <c r="E760" s="1232"/>
      <c r="F760" s="1241"/>
      <c r="G760" s="1264"/>
      <c r="H760" s="1242"/>
      <c r="I760" s="1243">
        <f>SUM(J760:N760)</f>
        <v>650</v>
      </c>
      <c r="J760" s="1244"/>
      <c r="K760" s="1244"/>
      <c r="L760" s="1244"/>
      <c r="M760" s="1244"/>
      <c r="N760" s="1245">
        <v>650</v>
      </c>
      <c r="P760" s="1237"/>
    </row>
    <row r="761" spans="1:16" s="1246" customFormat="1" ht="18" customHeight="1" x14ac:dyDescent="0.3">
      <c r="A761" s="699">
        <v>754</v>
      </c>
      <c r="B761" s="1286"/>
      <c r="C761" s="1392"/>
      <c r="D761" s="176" t="s">
        <v>1307</v>
      </c>
      <c r="E761" s="1232"/>
      <c r="F761" s="1241"/>
      <c r="G761" s="1264"/>
      <c r="H761" s="1242"/>
      <c r="I761" s="665">
        <f>SUM(J761:N761)</f>
        <v>650</v>
      </c>
      <c r="J761" s="1244"/>
      <c r="K761" s="1244"/>
      <c r="L761" s="1244"/>
      <c r="M761" s="1244"/>
      <c r="N761" s="184">
        <v>650</v>
      </c>
      <c r="P761" s="1237"/>
    </row>
    <row r="762" spans="1:16" s="11" customFormat="1" ht="18" customHeight="1" x14ac:dyDescent="0.3">
      <c r="A762" s="699">
        <v>755</v>
      </c>
      <c r="B762" s="1285"/>
      <c r="C762" s="1393"/>
      <c r="D762" s="176" t="s">
        <v>733</v>
      </c>
      <c r="E762" s="164"/>
      <c r="F762" s="173"/>
      <c r="G762" s="1264"/>
      <c r="H762" s="703"/>
      <c r="I762" s="158">
        <f>SUM(J762:Q762)</f>
        <v>0</v>
      </c>
      <c r="J762" s="183"/>
      <c r="K762" s="183"/>
      <c r="L762" s="183"/>
      <c r="M762" s="183"/>
      <c r="N762" s="184"/>
      <c r="P762" s="10"/>
    </row>
    <row r="763" spans="1:16" s="11" customFormat="1" ht="18" customHeight="1" x14ac:dyDescent="0.3">
      <c r="A763" s="699">
        <v>756</v>
      </c>
      <c r="B763" s="1285"/>
      <c r="C763" s="1393"/>
      <c r="D763" s="176" t="s">
        <v>1391</v>
      </c>
      <c r="E763" s="164"/>
      <c r="F763" s="173"/>
      <c r="G763" s="1264"/>
      <c r="H763" s="703"/>
      <c r="I763" s="665">
        <f>SUM(J763:N763)</f>
        <v>650</v>
      </c>
      <c r="J763" s="183"/>
      <c r="K763" s="183"/>
      <c r="L763" s="183"/>
      <c r="M763" s="183"/>
      <c r="N763" s="184">
        <f>SUM(N761:N762)</f>
        <v>650</v>
      </c>
      <c r="P763" s="10"/>
    </row>
    <row r="764" spans="1:16" s="11" customFormat="1" ht="18" customHeight="1" x14ac:dyDescent="0.3">
      <c r="A764" s="699">
        <v>757</v>
      </c>
      <c r="B764" s="1285"/>
      <c r="C764" s="1393"/>
      <c r="D764" s="179" t="s">
        <v>122</v>
      </c>
      <c r="E764" s="164">
        <v>650</v>
      </c>
      <c r="F764" s="173">
        <v>650</v>
      </c>
      <c r="G764" s="1264">
        <v>650</v>
      </c>
      <c r="H764" s="703"/>
      <c r="I764" s="668"/>
      <c r="J764" s="174"/>
      <c r="K764" s="174"/>
      <c r="L764" s="174"/>
      <c r="M764" s="174"/>
      <c r="N764" s="175"/>
      <c r="P764" s="10"/>
    </row>
    <row r="765" spans="1:16" s="1246" customFormat="1" ht="18" customHeight="1" x14ac:dyDescent="0.3">
      <c r="A765" s="699">
        <v>758</v>
      </c>
      <c r="B765" s="1286"/>
      <c r="C765" s="1392"/>
      <c r="D765" s="1252" t="s">
        <v>334</v>
      </c>
      <c r="E765" s="1232"/>
      <c r="F765" s="1241"/>
      <c r="G765" s="1264"/>
      <c r="H765" s="1242"/>
      <c r="I765" s="1243">
        <f>SUM(J765:N765)</f>
        <v>650</v>
      </c>
      <c r="J765" s="1244"/>
      <c r="K765" s="1244"/>
      <c r="L765" s="1244"/>
      <c r="M765" s="1244"/>
      <c r="N765" s="1245">
        <v>650</v>
      </c>
      <c r="P765" s="1237"/>
    </row>
    <row r="766" spans="1:16" s="1246" customFormat="1" ht="18" customHeight="1" x14ac:dyDescent="0.3">
      <c r="A766" s="699">
        <v>759</v>
      </c>
      <c r="B766" s="1286"/>
      <c r="C766" s="1392"/>
      <c r="D766" s="176" t="s">
        <v>1307</v>
      </c>
      <c r="E766" s="1232"/>
      <c r="F766" s="1241"/>
      <c r="G766" s="1264"/>
      <c r="H766" s="1242"/>
      <c r="I766" s="665">
        <f>SUM(J766:N766)</f>
        <v>650</v>
      </c>
      <c r="J766" s="1244"/>
      <c r="K766" s="1244"/>
      <c r="L766" s="1244"/>
      <c r="M766" s="1244"/>
      <c r="N766" s="184">
        <v>650</v>
      </c>
      <c r="P766" s="1237"/>
    </row>
    <row r="767" spans="1:16" s="11" customFormat="1" ht="18" customHeight="1" x14ac:dyDescent="0.3">
      <c r="A767" s="699">
        <v>760</v>
      </c>
      <c r="B767" s="1285"/>
      <c r="C767" s="1393"/>
      <c r="D767" s="176" t="s">
        <v>733</v>
      </c>
      <c r="E767" s="164"/>
      <c r="F767" s="173"/>
      <c r="G767" s="1264"/>
      <c r="H767" s="703"/>
      <c r="I767" s="158">
        <f>SUM(J767:Q767)</f>
        <v>0</v>
      </c>
      <c r="J767" s="183"/>
      <c r="K767" s="183"/>
      <c r="L767" s="183"/>
      <c r="M767" s="183"/>
      <c r="N767" s="184"/>
      <c r="P767" s="10"/>
    </row>
    <row r="768" spans="1:16" s="11" customFormat="1" ht="18" customHeight="1" x14ac:dyDescent="0.3">
      <c r="A768" s="699">
        <v>761</v>
      </c>
      <c r="B768" s="1285"/>
      <c r="C768" s="1393"/>
      <c r="D768" s="176" t="s">
        <v>1391</v>
      </c>
      <c r="E768" s="164"/>
      <c r="F768" s="173"/>
      <c r="G768" s="1264"/>
      <c r="H768" s="703"/>
      <c r="I768" s="665">
        <f>SUM(J768:N768)</f>
        <v>650</v>
      </c>
      <c r="J768" s="183"/>
      <c r="K768" s="183"/>
      <c r="L768" s="183"/>
      <c r="M768" s="183"/>
      <c r="N768" s="184">
        <f>SUM(N766:N767)</f>
        <v>650</v>
      </c>
      <c r="P768" s="10"/>
    </row>
    <row r="769" spans="1:16" s="11" customFormat="1" ht="18" customHeight="1" x14ac:dyDescent="0.3">
      <c r="A769" s="699">
        <v>762</v>
      </c>
      <c r="B769" s="1285"/>
      <c r="C769" s="1393"/>
      <c r="D769" s="179" t="s">
        <v>123</v>
      </c>
      <c r="E769" s="164">
        <v>650</v>
      </c>
      <c r="F769" s="173">
        <v>650</v>
      </c>
      <c r="G769" s="1264">
        <v>650</v>
      </c>
      <c r="H769" s="703"/>
      <c r="I769" s="668"/>
      <c r="J769" s="174"/>
      <c r="K769" s="174"/>
      <c r="L769" s="174"/>
      <c r="M769" s="174"/>
      <c r="N769" s="175"/>
      <c r="P769" s="10"/>
    </row>
    <row r="770" spans="1:16" s="1246" customFormat="1" ht="18" customHeight="1" x14ac:dyDescent="0.3">
      <c r="A770" s="699">
        <v>763</v>
      </c>
      <c r="B770" s="1286"/>
      <c r="C770" s="1392"/>
      <c r="D770" s="1252" t="s">
        <v>334</v>
      </c>
      <c r="E770" s="1232"/>
      <c r="F770" s="1241"/>
      <c r="G770" s="1264"/>
      <c r="H770" s="1242"/>
      <c r="I770" s="1243">
        <f>SUM(J770:N770)</f>
        <v>650</v>
      </c>
      <c r="J770" s="1244"/>
      <c r="K770" s="1244"/>
      <c r="L770" s="1244"/>
      <c r="M770" s="1244"/>
      <c r="N770" s="1245">
        <v>650</v>
      </c>
      <c r="P770" s="1237"/>
    </row>
    <row r="771" spans="1:16" s="1246" customFormat="1" ht="18" customHeight="1" x14ac:dyDescent="0.3">
      <c r="A771" s="699">
        <v>764</v>
      </c>
      <c r="B771" s="1498"/>
      <c r="C771" s="1392"/>
      <c r="D771" s="176" t="s">
        <v>1307</v>
      </c>
      <c r="E771" s="1247"/>
      <c r="F771" s="1255"/>
      <c r="G771" s="1275"/>
      <c r="H771" s="1499"/>
      <c r="I771" s="665">
        <f>SUM(J771:N771)</f>
        <v>650</v>
      </c>
      <c r="J771" s="1500"/>
      <c r="K771" s="1500"/>
      <c r="L771" s="1500"/>
      <c r="M771" s="1500"/>
      <c r="N771" s="718">
        <v>650</v>
      </c>
      <c r="P771" s="1237"/>
    </row>
    <row r="772" spans="1:16" s="11" customFormat="1" ht="18" customHeight="1" x14ac:dyDescent="0.3">
      <c r="A772" s="699">
        <v>765</v>
      </c>
      <c r="B772" s="1297"/>
      <c r="C772" s="1393"/>
      <c r="D772" s="176" t="s">
        <v>733</v>
      </c>
      <c r="E772" s="198"/>
      <c r="F772" s="170"/>
      <c r="G772" s="1275"/>
      <c r="H772" s="716"/>
      <c r="I772" s="158">
        <f>SUM(J772:Q772)</f>
        <v>0</v>
      </c>
      <c r="J772" s="717"/>
      <c r="K772" s="717"/>
      <c r="L772" s="717"/>
      <c r="M772" s="717"/>
      <c r="N772" s="718"/>
      <c r="P772" s="10"/>
    </row>
    <row r="773" spans="1:16" s="11" customFormat="1" ht="18" customHeight="1" x14ac:dyDescent="0.3">
      <c r="A773" s="699">
        <v>766</v>
      </c>
      <c r="B773" s="1297"/>
      <c r="C773" s="1393"/>
      <c r="D773" s="176" t="s">
        <v>1391</v>
      </c>
      <c r="E773" s="198"/>
      <c r="F773" s="170"/>
      <c r="G773" s="1275"/>
      <c r="H773" s="716"/>
      <c r="I773" s="665">
        <f>SUM(J773:N773)</f>
        <v>650</v>
      </c>
      <c r="J773" s="717"/>
      <c r="K773" s="717"/>
      <c r="L773" s="717"/>
      <c r="M773" s="717"/>
      <c r="N773" s="718">
        <f>SUM(N771:N772)</f>
        <v>650</v>
      </c>
      <c r="P773" s="10"/>
    </row>
    <row r="774" spans="1:16" s="11" customFormat="1" ht="30" customHeight="1" x14ac:dyDescent="0.3">
      <c r="A774" s="699">
        <v>767</v>
      </c>
      <c r="B774" s="1297"/>
      <c r="C774" s="1395">
        <v>114</v>
      </c>
      <c r="D774" s="691" t="s">
        <v>599</v>
      </c>
      <c r="E774" s="198"/>
      <c r="F774" s="170"/>
      <c r="G774" s="1275"/>
      <c r="H774" s="704" t="s">
        <v>25</v>
      </c>
      <c r="I774" s="665"/>
      <c r="J774" s="717"/>
      <c r="K774" s="717"/>
      <c r="L774" s="197"/>
      <c r="M774" s="717"/>
      <c r="N774" s="718"/>
      <c r="P774" s="10"/>
    </row>
    <row r="775" spans="1:16" s="1246" customFormat="1" ht="18" customHeight="1" x14ac:dyDescent="0.3">
      <c r="A775" s="699">
        <v>768</v>
      </c>
      <c r="B775" s="1498"/>
      <c r="C775" s="1388"/>
      <c r="D775" s="1231" t="s">
        <v>334</v>
      </c>
      <c r="E775" s="1247"/>
      <c r="F775" s="1255"/>
      <c r="G775" s="1502"/>
      <c r="H775" s="1248"/>
      <c r="I775" s="1234">
        <f>SUM(J775:N775)</f>
        <v>2000</v>
      </c>
      <c r="J775" s="1500"/>
      <c r="K775" s="1500"/>
      <c r="L775" s="1249">
        <v>2000</v>
      </c>
      <c r="M775" s="1500"/>
      <c r="N775" s="1501"/>
      <c r="P775" s="1237"/>
    </row>
    <row r="776" spans="1:16" s="11" customFormat="1" ht="18" customHeight="1" x14ac:dyDescent="0.3">
      <c r="A776" s="699">
        <v>769</v>
      </c>
      <c r="B776" s="1297"/>
      <c r="C776" s="1389"/>
      <c r="D776" s="690" t="s">
        <v>1307</v>
      </c>
      <c r="E776" s="198"/>
      <c r="F776" s="170"/>
      <c r="G776" s="1275"/>
      <c r="H776" s="704"/>
      <c r="I776" s="665">
        <f>SUM(J776:N776)</f>
        <v>2000</v>
      </c>
      <c r="J776" s="717"/>
      <c r="K776" s="717"/>
      <c r="L776" s="165">
        <v>2000</v>
      </c>
      <c r="M776" s="717"/>
      <c r="N776" s="718"/>
      <c r="P776" s="10"/>
    </row>
    <row r="777" spans="1:16" s="11" customFormat="1" ht="18" customHeight="1" x14ac:dyDescent="0.3">
      <c r="A777" s="699">
        <v>770</v>
      </c>
      <c r="B777" s="1297"/>
      <c r="C777" s="1389"/>
      <c r="D777" s="1150" t="s">
        <v>733</v>
      </c>
      <c r="E777" s="198"/>
      <c r="F777" s="170"/>
      <c r="G777" s="1275"/>
      <c r="H777" s="704"/>
      <c r="I777" s="158">
        <f>SUM(J777:Q777)</f>
        <v>0</v>
      </c>
      <c r="J777" s="717"/>
      <c r="K777" s="717"/>
      <c r="L777" s="197"/>
      <c r="M777" s="717"/>
      <c r="N777" s="718"/>
      <c r="P777" s="10"/>
    </row>
    <row r="778" spans="1:16" s="157" customFormat="1" ht="18" customHeight="1" x14ac:dyDescent="0.3">
      <c r="A778" s="699">
        <v>771</v>
      </c>
      <c r="B778" s="1313"/>
      <c r="C778" s="1390"/>
      <c r="D778" s="690" t="s">
        <v>1391</v>
      </c>
      <c r="E778" s="1308"/>
      <c r="F778" s="1314"/>
      <c r="G778" s="1315"/>
      <c r="H778" s="704"/>
      <c r="I778" s="665">
        <f>SUM(J778:N778)</f>
        <v>2000</v>
      </c>
      <c r="J778" s="1316"/>
      <c r="K778" s="1316"/>
      <c r="L778" s="165">
        <f>SUM(L776:L777)</f>
        <v>2000</v>
      </c>
      <c r="M778" s="1316"/>
      <c r="N778" s="1317"/>
      <c r="P778" s="1699"/>
    </row>
    <row r="779" spans="1:16" s="751" customFormat="1" ht="22.5" customHeight="1" x14ac:dyDescent="0.35">
      <c r="A779" s="699">
        <v>772</v>
      </c>
      <c r="B779" s="1298"/>
      <c r="C779" s="1387">
        <v>115</v>
      </c>
      <c r="D779" s="691" t="s">
        <v>600</v>
      </c>
      <c r="E779" s="198"/>
      <c r="F779" s="170"/>
      <c r="G779" s="1275"/>
      <c r="H779" s="704" t="s">
        <v>25</v>
      </c>
      <c r="I779" s="665"/>
      <c r="J779" s="717"/>
      <c r="K779" s="717"/>
      <c r="L779" s="197"/>
      <c r="M779" s="717"/>
      <c r="N779" s="718"/>
      <c r="P779" s="3"/>
    </row>
    <row r="780" spans="1:16" s="1246" customFormat="1" ht="18" customHeight="1" x14ac:dyDescent="0.3">
      <c r="A780" s="699">
        <v>773</v>
      </c>
      <c r="B780" s="1498"/>
      <c r="C780" s="1388"/>
      <c r="D780" s="1231" t="s">
        <v>334</v>
      </c>
      <c r="E780" s="1247"/>
      <c r="F780" s="1255"/>
      <c r="G780" s="1502"/>
      <c r="H780" s="1248"/>
      <c r="I780" s="1234">
        <f>SUM(J780:N780)</f>
        <v>17000</v>
      </c>
      <c r="J780" s="1500"/>
      <c r="K780" s="1500"/>
      <c r="L780" s="1249">
        <v>17000</v>
      </c>
      <c r="M780" s="1500"/>
      <c r="N780" s="1501"/>
      <c r="P780" s="1237"/>
    </row>
    <row r="781" spans="1:16" s="11" customFormat="1" ht="18" customHeight="1" x14ac:dyDescent="0.3">
      <c r="A781" s="699">
        <v>774</v>
      </c>
      <c r="B781" s="1297"/>
      <c r="C781" s="1389"/>
      <c r="D781" s="690" t="s">
        <v>1307</v>
      </c>
      <c r="E781" s="198"/>
      <c r="F781" s="170"/>
      <c r="G781" s="1275"/>
      <c r="H781" s="704"/>
      <c r="I781" s="665">
        <f>SUM(J781:N781)</f>
        <v>0</v>
      </c>
      <c r="J781" s="717"/>
      <c r="K781" s="717"/>
      <c r="L781" s="165">
        <v>0</v>
      </c>
      <c r="M781" s="717"/>
      <c r="N781" s="718"/>
      <c r="P781" s="10"/>
    </row>
    <row r="782" spans="1:16" s="11" customFormat="1" ht="18" customHeight="1" x14ac:dyDescent="0.3">
      <c r="A782" s="699">
        <v>775</v>
      </c>
      <c r="B782" s="1297"/>
      <c r="C782" s="1389"/>
      <c r="D782" s="1150" t="s">
        <v>834</v>
      </c>
      <c r="E782" s="198"/>
      <c r="F782" s="170"/>
      <c r="G782" s="1275"/>
      <c r="H782" s="704"/>
      <c r="I782" s="158">
        <f>SUM(J782:Q782)</f>
        <v>0</v>
      </c>
      <c r="J782" s="717"/>
      <c r="K782" s="717"/>
      <c r="L782" s="717"/>
      <c r="M782" s="717"/>
      <c r="N782" s="718"/>
      <c r="P782" s="10"/>
    </row>
    <row r="783" spans="1:16" s="157" customFormat="1" ht="18" customHeight="1" x14ac:dyDescent="0.3">
      <c r="A783" s="699">
        <v>776</v>
      </c>
      <c r="B783" s="1313"/>
      <c r="C783" s="1390"/>
      <c r="D783" s="690" t="s">
        <v>1391</v>
      </c>
      <c r="E783" s="1308"/>
      <c r="F783" s="1314"/>
      <c r="G783" s="1315"/>
      <c r="H783" s="704"/>
      <c r="I783" s="665">
        <f>SUM(J783:N783)</f>
        <v>0</v>
      </c>
      <c r="J783" s="1316"/>
      <c r="K783" s="1316"/>
      <c r="L783" s="165">
        <f>SUM(L781:L782)</f>
        <v>0</v>
      </c>
      <c r="M783" s="1316"/>
      <c r="N783" s="1317"/>
      <c r="P783" s="1699"/>
    </row>
    <row r="784" spans="1:16" s="751" customFormat="1" ht="22.5" customHeight="1" x14ac:dyDescent="0.35">
      <c r="A784" s="699">
        <v>777</v>
      </c>
      <c r="B784" s="1298"/>
      <c r="C784" s="1387">
        <v>116</v>
      </c>
      <c r="D784" s="691" t="s">
        <v>601</v>
      </c>
      <c r="E784" s="198"/>
      <c r="F784" s="170"/>
      <c r="G784" s="1275"/>
      <c r="H784" s="704" t="s">
        <v>25</v>
      </c>
      <c r="I784" s="665"/>
      <c r="J784" s="717"/>
      <c r="K784" s="717"/>
      <c r="L784" s="197"/>
      <c r="M784" s="717"/>
      <c r="N784" s="718"/>
      <c r="P784" s="3"/>
    </row>
    <row r="785" spans="1:16" s="1246" customFormat="1" ht="18" customHeight="1" x14ac:dyDescent="0.3">
      <c r="A785" s="699">
        <v>778</v>
      </c>
      <c r="B785" s="1498"/>
      <c r="C785" s="1388"/>
      <c r="D785" s="1231" t="s">
        <v>334</v>
      </c>
      <c r="E785" s="1247"/>
      <c r="F785" s="1255"/>
      <c r="G785" s="1502"/>
      <c r="H785" s="1499"/>
      <c r="I785" s="1234">
        <f>SUM(J785:N785)</f>
        <v>2200</v>
      </c>
      <c r="J785" s="1500"/>
      <c r="K785" s="1500"/>
      <c r="L785" s="1249">
        <v>2200</v>
      </c>
      <c r="M785" s="1500"/>
      <c r="N785" s="1501"/>
      <c r="P785" s="1237"/>
    </row>
    <row r="786" spans="1:16" s="1246" customFormat="1" ht="18" customHeight="1" x14ac:dyDescent="0.3">
      <c r="A786" s="699">
        <v>779</v>
      </c>
      <c r="B786" s="1498"/>
      <c r="C786" s="1388"/>
      <c r="D786" s="690" t="s">
        <v>1307</v>
      </c>
      <c r="E786" s="1247"/>
      <c r="F786" s="1255"/>
      <c r="G786" s="1502"/>
      <c r="H786" s="1499"/>
      <c r="I786" s="665">
        <f>SUM(J786:N786)</f>
        <v>2500</v>
      </c>
      <c r="J786" s="1500"/>
      <c r="K786" s="1500"/>
      <c r="L786" s="165">
        <v>2500</v>
      </c>
      <c r="M786" s="1500"/>
      <c r="N786" s="1501"/>
      <c r="P786" s="1237"/>
    </row>
    <row r="787" spans="1:16" s="11" customFormat="1" ht="18" customHeight="1" x14ac:dyDescent="0.3">
      <c r="A787" s="699">
        <v>780</v>
      </c>
      <c r="B787" s="1297"/>
      <c r="C787" s="1389"/>
      <c r="D787" s="1150" t="s">
        <v>834</v>
      </c>
      <c r="E787" s="198"/>
      <c r="F787" s="170"/>
      <c r="G787" s="1275"/>
      <c r="H787" s="716"/>
      <c r="I787" s="158">
        <f>SUM(J787:Q787)</f>
        <v>0</v>
      </c>
      <c r="J787" s="717"/>
      <c r="K787" s="717"/>
      <c r="L787" s="197"/>
      <c r="M787" s="717"/>
      <c r="N787" s="718"/>
      <c r="P787" s="10"/>
    </row>
    <row r="788" spans="1:16" s="157" customFormat="1" ht="18" customHeight="1" x14ac:dyDescent="0.3">
      <c r="A788" s="699">
        <v>781</v>
      </c>
      <c r="B788" s="1313"/>
      <c r="C788" s="1390"/>
      <c r="D788" s="690" t="s">
        <v>1391</v>
      </c>
      <c r="E788" s="1308"/>
      <c r="F788" s="1314"/>
      <c r="G788" s="1315"/>
      <c r="H788" s="716"/>
      <c r="I788" s="665">
        <f>SUM(J788:N788)</f>
        <v>2500</v>
      </c>
      <c r="J788" s="1316"/>
      <c r="K788" s="1316"/>
      <c r="L788" s="165">
        <f>SUM(L786:L787)</f>
        <v>2500</v>
      </c>
      <c r="M788" s="1316"/>
      <c r="N788" s="1317"/>
      <c r="P788" s="1699"/>
    </row>
    <row r="789" spans="1:16" s="751" customFormat="1" ht="22.5" customHeight="1" x14ac:dyDescent="0.35">
      <c r="A789" s="699">
        <v>782</v>
      </c>
      <c r="B789" s="1298"/>
      <c r="C789" s="1387">
        <v>117</v>
      </c>
      <c r="D789" s="691" t="s">
        <v>1365</v>
      </c>
      <c r="E789" s="198"/>
      <c r="F789" s="170"/>
      <c r="G789" s="1275"/>
      <c r="H789" s="704" t="s">
        <v>25</v>
      </c>
      <c r="I789" s="665"/>
      <c r="J789" s="717"/>
      <c r="K789" s="717"/>
      <c r="L789" s="197"/>
      <c r="M789" s="717"/>
      <c r="N789" s="718"/>
      <c r="P789" s="3"/>
    </row>
    <row r="790" spans="1:16" s="1246" customFormat="1" ht="18" customHeight="1" x14ac:dyDescent="0.3">
      <c r="A790" s="699">
        <v>783</v>
      </c>
      <c r="B790" s="1498"/>
      <c r="C790" s="1392"/>
      <c r="D790" s="1231" t="s">
        <v>334</v>
      </c>
      <c r="E790" s="1247"/>
      <c r="F790" s="1255"/>
      <c r="G790" s="1502"/>
      <c r="H790" s="1499"/>
      <c r="I790" s="1234">
        <f>SUM(J790:N790)</f>
        <v>5000</v>
      </c>
      <c r="J790" s="1500"/>
      <c r="K790" s="1500"/>
      <c r="L790" s="1249">
        <v>5000</v>
      </c>
      <c r="M790" s="1500"/>
      <c r="N790" s="1501"/>
      <c r="P790" s="1237"/>
    </row>
    <row r="791" spans="1:16" s="1246" customFormat="1" ht="18" customHeight="1" x14ac:dyDescent="0.3">
      <c r="A791" s="699">
        <v>784</v>
      </c>
      <c r="B791" s="1498"/>
      <c r="C791" s="1392"/>
      <c r="D791" s="690" t="s">
        <v>1307</v>
      </c>
      <c r="E791" s="1247"/>
      <c r="F791" s="1255"/>
      <c r="G791" s="1502"/>
      <c r="H791" s="1499"/>
      <c r="I791" s="665">
        <f>SUM(J791:N791)</f>
        <v>5000</v>
      </c>
      <c r="J791" s="1500"/>
      <c r="K791" s="1500"/>
      <c r="L791" s="165">
        <v>5000</v>
      </c>
      <c r="M791" s="1500"/>
      <c r="N791" s="1501"/>
      <c r="P791" s="1237"/>
    </row>
    <row r="792" spans="1:16" s="11" customFormat="1" ht="18" customHeight="1" x14ac:dyDescent="0.3">
      <c r="A792" s="699">
        <v>785</v>
      </c>
      <c r="B792" s="1297"/>
      <c r="C792" s="1393"/>
      <c r="D792" s="1150" t="s">
        <v>733</v>
      </c>
      <c r="E792" s="198"/>
      <c r="F792" s="170"/>
      <c r="G792" s="1275"/>
      <c r="H792" s="716"/>
      <c r="I792" s="158">
        <f>SUM(J792:Q792)</f>
        <v>0</v>
      </c>
      <c r="J792" s="717"/>
      <c r="K792" s="717"/>
      <c r="L792" s="197"/>
      <c r="M792" s="717"/>
      <c r="N792" s="718"/>
      <c r="P792" s="10"/>
    </row>
    <row r="793" spans="1:16" s="157" customFormat="1" ht="18" customHeight="1" x14ac:dyDescent="0.3">
      <c r="A793" s="699">
        <v>786</v>
      </c>
      <c r="B793" s="1313"/>
      <c r="C793" s="1394"/>
      <c r="D793" s="690" t="s">
        <v>1391</v>
      </c>
      <c r="E793" s="1308"/>
      <c r="F793" s="1314"/>
      <c r="G793" s="1315"/>
      <c r="H793" s="716"/>
      <c r="I793" s="665">
        <f>SUM(J793:N793)</f>
        <v>5000</v>
      </c>
      <c r="J793" s="1316"/>
      <c r="K793" s="1316"/>
      <c r="L793" s="165">
        <f>SUM(L791:L792)</f>
        <v>5000</v>
      </c>
      <c r="M793" s="1316"/>
      <c r="N793" s="1317"/>
      <c r="P793" s="1699"/>
    </row>
    <row r="794" spans="1:16" s="751" customFormat="1" ht="22.5" customHeight="1" x14ac:dyDescent="0.35">
      <c r="A794" s="699">
        <v>787</v>
      </c>
      <c r="B794" s="1298"/>
      <c r="C794" s="1387">
        <v>118</v>
      </c>
      <c r="D794" s="691" t="s">
        <v>602</v>
      </c>
      <c r="E794" s="198"/>
      <c r="F794" s="170"/>
      <c r="G794" s="1275"/>
      <c r="H794" s="704" t="s">
        <v>25</v>
      </c>
      <c r="I794" s="665"/>
      <c r="J794" s="717"/>
      <c r="K794" s="717"/>
      <c r="L794" s="197"/>
      <c r="M794" s="717"/>
      <c r="N794" s="718"/>
      <c r="P794" s="3"/>
    </row>
    <row r="795" spans="1:16" s="1246" customFormat="1" ht="18" customHeight="1" x14ac:dyDescent="0.3">
      <c r="A795" s="699">
        <v>788</v>
      </c>
      <c r="B795" s="1498"/>
      <c r="C795" s="1388"/>
      <c r="D795" s="1231" t="s">
        <v>334</v>
      </c>
      <c r="E795" s="1247"/>
      <c r="F795" s="1255"/>
      <c r="G795" s="1502"/>
      <c r="H795" s="1499"/>
      <c r="I795" s="1234">
        <f>SUM(J795:N795)</f>
        <v>1100</v>
      </c>
      <c r="J795" s="1500"/>
      <c r="K795" s="1500"/>
      <c r="L795" s="1249">
        <v>1100</v>
      </c>
      <c r="M795" s="1500"/>
      <c r="N795" s="1501"/>
      <c r="P795" s="1237"/>
    </row>
    <row r="796" spans="1:16" s="1246" customFormat="1" ht="18" customHeight="1" x14ac:dyDescent="0.3">
      <c r="A796" s="699">
        <v>789</v>
      </c>
      <c r="B796" s="1498"/>
      <c r="C796" s="1388"/>
      <c r="D796" s="690" t="s">
        <v>1307</v>
      </c>
      <c r="E796" s="1247"/>
      <c r="F796" s="1255"/>
      <c r="G796" s="1502"/>
      <c r="H796" s="1499"/>
      <c r="I796" s="665">
        <f>SUM(J796:N796)</f>
        <v>1100</v>
      </c>
      <c r="J796" s="1500"/>
      <c r="K796" s="1500"/>
      <c r="L796" s="165">
        <v>1100</v>
      </c>
      <c r="M796" s="1500"/>
      <c r="N796" s="1501"/>
      <c r="P796" s="1237"/>
    </row>
    <row r="797" spans="1:16" s="11" customFormat="1" ht="18" customHeight="1" x14ac:dyDescent="0.3">
      <c r="A797" s="699">
        <v>790</v>
      </c>
      <c r="B797" s="1297"/>
      <c r="C797" s="1389"/>
      <c r="D797" s="1150" t="s">
        <v>733</v>
      </c>
      <c r="E797" s="198"/>
      <c r="F797" s="170"/>
      <c r="G797" s="1275"/>
      <c r="H797" s="716"/>
      <c r="I797" s="158">
        <f>SUM(J797:Q797)</f>
        <v>0</v>
      </c>
      <c r="J797" s="717"/>
      <c r="K797" s="717"/>
      <c r="L797" s="197"/>
      <c r="M797" s="717"/>
      <c r="N797" s="718"/>
      <c r="P797" s="10"/>
    </row>
    <row r="798" spans="1:16" s="157" customFormat="1" ht="18" customHeight="1" x14ac:dyDescent="0.3">
      <c r="A798" s="699">
        <v>791</v>
      </c>
      <c r="B798" s="1313"/>
      <c r="C798" s="1390"/>
      <c r="D798" s="690" t="s">
        <v>1391</v>
      </c>
      <c r="E798" s="1308"/>
      <c r="F798" s="1314"/>
      <c r="G798" s="1315"/>
      <c r="H798" s="716"/>
      <c r="I798" s="665">
        <f>SUM(J798:N798)</f>
        <v>1100</v>
      </c>
      <c r="J798" s="1316"/>
      <c r="K798" s="1316"/>
      <c r="L798" s="165">
        <f>SUM(L796:L797)</f>
        <v>1100</v>
      </c>
      <c r="M798" s="1316"/>
      <c r="N798" s="1317"/>
      <c r="P798" s="1699"/>
    </row>
    <row r="799" spans="1:16" s="11" customFormat="1" ht="30" customHeight="1" x14ac:dyDescent="0.3">
      <c r="A799" s="699">
        <v>792</v>
      </c>
      <c r="B799" s="1297"/>
      <c r="C799" s="1395">
        <v>119</v>
      </c>
      <c r="D799" s="691" t="s">
        <v>544</v>
      </c>
      <c r="E799" s="198"/>
      <c r="F799" s="170"/>
      <c r="G799" s="1275">
        <v>1176</v>
      </c>
      <c r="H799" s="704" t="s">
        <v>25</v>
      </c>
      <c r="I799" s="665"/>
      <c r="J799" s="717"/>
      <c r="K799" s="717"/>
      <c r="L799" s="197"/>
      <c r="M799" s="717"/>
      <c r="N799" s="718"/>
      <c r="P799" s="10"/>
    </row>
    <row r="800" spans="1:16" s="1246" customFormat="1" ht="18" customHeight="1" x14ac:dyDescent="0.3">
      <c r="A800" s="699">
        <v>793</v>
      </c>
      <c r="B800" s="1498"/>
      <c r="C800" s="1392"/>
      <c r="D800" s="1231" t="s">
        <v>334</v>
      </c>
      <c r="E800" s="1247"/>
      <c r="F800" s="1255"/>
      <c r="G800" s="1502"/>
      <c r="H800" s="1248"/>
      <c r="I800" s="1234">
        <f>SUM(J800:N800)</f>
        <v>8950</v>
      </c>
      <c r="J800" s="1500"/>
      <c r="K800" s="1500"/>
      <c r="L800" s="1249">
        <f>700+5860</f>
        <v>6560</v>
      </c>
      <c r="M800" s="1500"/>
      <c r="N800" s="1250">
        <v>2390</v>
      </c>
      <c r="P800" s="1237"/>
    </row>
    <row r="801" spans="1:16" s="1246" customFormat="1" ht="18" customHeight="1" x14ac:dyDescent="0.3">
      <c r="A801" s="699">
        <v>794</v>
      </c>
      <c r="B801" s="1498"/>
      <c r="C801" s="1392"/>
      <c r="D801" s="690" t="s">
        <v>1307</v>
      </c>
      <c r="E801" s="1247"/>
      <c r="F801" s="1255"/>
      <c r="G801" s="1502"/>
      <c r="H801" s="1248"/>
      <c r="I801" s="665">
        <f>SUM(J801:N801)</f>
        <v>31874</v>
      </c>
      <c r="J801" s="165">
        <v>595</v>
      </c>
      <c r="K801" s="165">
        <v>196</v>
      </c>
      <c r="L801" s="165">
        <v>15859</v>
      </c>
      <c r="M801" s="1500"/>
      <c r="N801" s="166">
        <v>15224</v>
      </c>
      <c r="P801" s="1237"/>
    </row>
    <row r="802" spans="1:16" s="11" customFormat="1" ht="18" customHeight="1" x14ac:dyDescent="0.3">
      <c r="A802" s="699">
        <v>795</v>
      </c>
      <c r="B802" s="1297"/>
      <c r="C802" s="1393"/>
      <c r="D802" s="1150" t="s">
        <v>834</v>
      </c>
      <c r="E802" s="198"/>
      <c r="F802" s="170"/>
      <c r="G802" s="1275"/>
      <c r="H802" s="704"/>
      <c r="I802" s="158">
        <f>SUM(J802:Q802)</f>
        <v>0</v>
      </c>
      <c r="J802" s="717"/>
      <c r="K802" s="717"/>
      <c r="L802" s="717"/>
      <c r="M802" s="717"/>
      <c r="N802" s="718"/>
      <c r="P802" s="10"/>
    </row>
    <row r="803" spans="1:16" s="157" customFormat="1" ht="18" customHeight="1" x14ac:dyDescent="0.3">
      <c r="A803" s="699">
        <v>796</v>
      </c>
      <c r="B803" s="1313"/>
      <c r="C803" s="1394"/>
      <c r="D803" s="690" t="s">
        <v>1391</v>
      </c>
      <c r="E803" s="1308"/>
      <c r="F803" s="1314"/>
      <c r="G803" s="1315"/>
      <c r="H803" s="704"/>
      <c r="I803" s="665">
        <f>SUM(J803:N803)</f>
        <v>31874</v>
      </c>
      <c r="J803" s="165">
        <f>SUM(J801:J802)</f>
        <v>595</v>
      </c>
      <c r="K803" s="165">
        <f>SUM(K801:K802)</f>
        <v>196</v>
      </c>
      <c r="L803" s="165">
        <f>SUM(L801:L802)</f>
        <v>15859</v>
      </c>
      <c r="M803" s="165"/>
      <c r="N803" s="166">
        <f>SUM(N801:N802)</f>
        <v>15224</v>
      </c>
      <c r="P803" s="1699"/>
    </row>
    <row r="804" spans="1:16" s="751" customFormat="1" ht="22.5" customHeight="1" x14ac:dyDescent="0.35">
      <c r="A804" s="699">
        <v>797</v>
      </c>
      <c r="B804" s="1298"/>
      <c r="C804" s="1387">
        <v>120</v>
      </c>
      <c r="D804" s="691" t="s">
        <v>603</v>
      </c>
      <c r="E804" s="198"/>
      <c r="F804" s="170"/>
      <c r="G804" s="1275">
        <v>6208</v>
      </c>
      <c r="H804" s="704" t="s">
        <v>25</v>
      </c>
      <c r="I804" s="665"/>
      <c r="J804" s="717"/>
      <c r="K804" s="717"/>
      <c r="L804" s="197"/>
      <c r="M804" s="717"/>
      <c r="N804" s="718"/>
      <c r="P804" s="3"/>
    </row>
    <row r="805" spans="1:16" s="1246" customFormat="1" ht="18" customHeight="1" x14ac:dyDescent="0.3">
      <c r="A805" s="699">
        <v>798</v>
      </c>
      <c r="B805" s="1498"/>
      <c r="C805" s="1388"/>
      <c r="D805" s="1231" t="s">
        <v>334</v>
      </c>
      <c r="E805" s="1247"/>
      <c r="F805" s="1255"/>
      <c r="G805" s="1502"/>
      <c r="H805" s="1499"/>
      <c r="I805" s="1234">
        <f>SUM(J805:N805)</f>
        <v>3545</v>
      </c>
      <c r="J805" s="1249">
        <v>766</v>
      </c>
      <c r="K805" s="1249">
        <v>158</v>
      </c>
      <c r="L805" s="1249">
        <f>3545-766-158</f>
        <v>2621</v>
      </c>
      <c r="M805" s="1500"/>
      <c r="N805" s="1501"/>
      <c r="P805" s="1237"/>
    </row>
    <row r="806" spans="1:16" s="1246" customFormat="1" ht="18" customHeight="1" x14ac:dyDescent="0.3">
      <c r="A806" s="699">
        <v>799</v>
      </c>
      <c r="B806" s="1498"/>
      <c r="C806" s="1388"/>
      <c r="D806" s="690" t="s">
        <v>1307</v>
      </c>
      <c r="E806" s="1247"/>
      <c r="F806" s="1255"/>
      <c r="G806" s="1502"/>
      <c r="H806" s="1499"/>
      <c r="I806" s="665">
        <f>SUM(J806:N806)</f>
        <v>3000</v>
      </c>
      <c r="J806" s="165">
        <v>766</v>
      </c>
      <c r="K806" s="165">
        <v>158</v>
      </c>
      <c r="L806" s="165">
        <v>2076</v>
      </c>
      <c r="M806" s="1500"/>
      <c r="N806" s="1501"/>
      <c r="P806" s="1237"/>
    </row>
    <row r="807" spans="1:16" s="11" customFormat="1" ht="18" customHeight="1" x14ac:dyDescent="0.3">
      <c r="A807" s="699">
        <v>800</v>
      </c>
      <c r="B807" s="1297"/>
      <c r="C807" s="1389"/>
      <c r="D807" s="167" t="s">
        <v>834</v>
      </c>
      <c r="E807" s="198"/>
      <c r="F807" s="170"/>
      <c r="G807" s="1275"/>
      <c r="H807" s="716"/>
      <c r="I807" s="158">
        <f>SUM(J807:Q807)</f>
        <v>0</v>
      </c>
      <c r="J807" s="717"/>
      <c r="K807" s="717"/>
      <c r="L807" s="197"/>
      <c r="M807" s="717"/>
      <c r="N807" s="718"/>
      <c r="P807" s="10"/>
    </row>
    <row r="808" spans="1:16" s="157" customFormat="1" ht="18" customHeight="1" x14ac:dyDescent="0.3">
      <c r="A808" s="699">
        <v>801</v>
      </c>
      <c r="B808" s="1313"/>
      <c r="C808" s="1390"/>
      <c r="D808" s="690" t="s">
        <v>1391</v>
      </c>
      <c r="E808" s="1308"/>
      <c r="F808" s="1314"/>
      <c r="G808" s="1315"/>
      <c r="H808" s="716"/>
      <c r="I808" s="665">
        <f>SUM(J808:N808)</f>
        <v>3000</v>
      </c>
      <c r="J808" s="165">
        <f>SUM(J806:J807)</f>
        <v>766</v>
      </c>
      <c r="K808" s="165">
        <f t="shared" ref="K808:L808" si="33">SUM(K806:K807)</f>
        <v>158</v>
      </c>
      <c r="L808" s="165">
        <f t="shared" si="33"/>
        <v>2076</v>
      </c>
      <c r="M808" s="1316"/>
      <c r="N808" s="1317"/>
      <c r="P808" s="1699"/>
    </row>
    <row r="809" spans="1:16" s="751" customFormat="1" ht="22.5" customHeight="1" x14ac:dyDescent="0.35">
      <c r="A809" s="699">
        <v>802</v>
      </c>
      <c r="B809" s="1298"/>
      <c r="C809" s="1387">
        <v>121</v>
      </c>
      <c r="D809" s="691" t="s">
        <v>363</v>
      </c>
      <c r="E809" s="198">
        <v>250</v>
      </c>
      <c r="F809" s="170"/>
      <c r="G809" s="1275">
        <v>703</v>
      </c>
      <c r="H809" s="704" t="s">
        <v>25</v>
      </c>
      <c r="I809" s="665"/>
      <c r="J809" s="717"/>
      <c r="K809" s="717"/>
      <c r="L809" s="197"/>
      <c r="M809" s="717"/>
      <c r="N809" s="718"/>
      <c r="P809" s="3"/>
    </row>
    <row r="810" spans="1:16" s="1246" customFormat="1" ht="18" customHeight="1" x14ac:dyDescent="0.3">
      <c r="A810" s="699">
        <v>803</v>
      </c>
      <c r="B810" s="1498"/>
      <c r="C810" s="1388"/>
      <c r="D810" s="1231" t="s">
        <v>334</v>
      </c>
      <c r="E810" s="1247"/>
      <c r="F810" s="1255"/>
      <c r="G810" s="1502"/>
      <c r="H810" s="1499"/>
      <c r="I810" s="1234">
        <f>SUM(J810:N810)</f>
        <v>1334</v>
      </c>
      <c r="J810" s="1249">
        <v>201</v>
      </c>
      <c r="K810" s="1249">
        <v>49</v>
      </c>
      <c r="L810" s="1249">
        <v>1084</v>
      </c>
      <c r="M810" s="1500"/>
      <c r="N810" s="1501"/>
      <c r="P810" s="1237"/>
    </row>
    <row r="811" spans="1:16" s="1246" customFormat="1" ht="18" customHeight="1" x14ac:dyDescent="0.3">
      <c r="A811" s="699">
        <v>804</v>
      </c>
      <c r="B811" s="1498"/>
      <c r="C811" s="1388"/>
      <c r="D811" s="690" t="s">
        <v>1307</v>
      </c>
      <c r="E811" s="1247"/>
      <c r="F811" s="1255"/>
      <c r="G811" s="1502"/>
      <c r="H811" s="1499"/>
      <c r="I811" s="665">
        <f>SUM(J811:N811)</f>
        <v>1584</v>
      </c>
      <c r="J811" s="165">
        <v>201</v>
      </c>
      <c r="K811" s="165">
        <v>32</v>
      </c>
      <c r="L811" s="165">
        <v>1351</v>
      </c>
      <c r="M811" s="1500"/>
      <c r="N811" s="1501"/>
      <c r="P811" s="1237"/>
    </row>
    <row r="812" spans="1:16" s="11" customFormat="1" ht="18" customHeight="1" x14ac:dyDescent="0.3">
      <c r="A812" s="699">
        <v>805</v>
      </c>
      <c r="B812" s="1297"/>
      <c r="C812" s="1389"/>
      <c r="D812" s="167" t="s">
        <v>834</v>
      </c>
      <c r="E812" s="198"/>
      <c r="F812" s="170"/>
      <c r="G812" s="1275"/>
      <c r="H812" s="716"/>
      <c r="I812" s="158">
        <f>SUM(J812:Q812)</f>
        <v>0</v>
      </c>
      <c r="J812" s="717"/>
      <c r="K812" s="717"/>
      <c r="L812" s="197"/>
      <c r="M812" s="717"/>
      <c r="N812" s="718"/>
      <c r="P812" s="10"/>
    </row>
    <row r="813" spans="1:16" s="157" customFormat="1" ht="18" customHeight="1" x14ac:dyDescent="0.3">
      <c r="A813" s="699">
        <v>806</v>
      </c>
      <c r="B813" s="1313"/>
      <c r="C813" s="1390"/>
      <c r="D813" s="690" t="s">
        <v>1391</v>
      </c>
      <c r="E813" s="1308"/>
      <c r="F813" s="1314"/>
      <c r="G813" s="1315"/>
      <c r="H813" s="716"/>
      <c r="I813" s="665">
        <f>SUM(J813:N813)</f>
        <v>1584</v>
      </c>
      <c r="J813" s="165">
        <f>SUM(J811:J812)</f>
        <v>201</v>
      </c>
      <c r="K813" s="165">
        <f t="shared" ref="K813:L813" si="34">SUM(K811:K812)</f>
        <v>32</v>
      </c>
      <c r="L813" s="165">
        <f t="shared" si="34"/>
        <v>1351</v>
      </c>
      <c r="M813" s="1316"/>
      <c r="N813" s="1317"/>
      <c r="P813" s="1699"/>
    </row>
    <row r="814" spans="1:16" s="10" customFormat="1" ht="22.5" customHeight="1" x14ac:dyDescent="0.3">
      <c r="A814" s="699">
        <v>807</v>
      </c>
      <c r="B814" s="1291"/>
      <c r="C814" s="1387">
        <v>122</v>
      </c>
      <c r="D814" s="690" t="s">
        <v>364</v>
      </c>
      <c r="E814" s="198"/>
      <c r="F814" s="170"/>
      <c r="G814" s="1276"/>
      <c r="H814" s="704" t="s">
        <v>25</v>
      </c>
      <c r="I814" s="665"/>
      <c r="J814" s="165"/>
      <c r="K814" s="165"/>
      <c r="L814" s="165"/>
      <c r="M814" s="165"/>
      <c r="N814" s="166"/>
    </row>
    <row r="815" spans="1:16" s="1237" customFormat="1" ht="18" customHeight="1" x14ac:dyDescent="0.3">
      <c r="A815" s="699">
        <v>808</v>
      </c>
      <c r="B815" s="1292"/>
      <c r="C815" s="1503"/>
      <c r="D815" s="1231" t="s">
        <v>334</v>
      </c>
      <c r="E815" s="1247"/>
      <c r="F815" s="1255"/>
      <c r="G815" s="1504"/>
      <c r="H815" s="1248"/>
      <c r="I815" s="1234">
        <f>SUM(J815:N815)</f>
        <v>6000</v>
      </c>
      <c r="J815" s="1256"/>
      <c r="K815" s="1256"/>
      <c r="L815" s="1256"/>
      <c r="M815" s="1256"/>
      <c r="N815" s="1505">
        <v>6000</v>
      </c>
    </row>
    <row r="816" spans="1:16" s="1237" customFormat="1" ht="18" customHeight="1" x14ac:dyDescent="0.3">
      <c r="A816" s="699">
        <v>809</v>
      </c>
      <c r="B816" s="1292"/>
      <c r="C816" s="1503"/>
      <c r="D816" s="690" t="s">
        <v>1307</v>
      </c>
      <c r="E816" s="1247"/>
      <c r="F816" s="1255"/>
      <c r="G816" s="1504"/>
      <c r="H816" s="1248"/>
      <c r="I816" s="665">
        <f>SUM(J816:N816)</f>
        <v>8500</v>
      </c>
      <c r="J816" s="1256"/>
      <c r="K816" s="1256"/>
      <c r="L816" s="1256"/>
      <c r="M816" s="1256"/>
      <c r="N816" s="166">
        <v>8500</v>
      </c>
    </row>
    <row r="817" spans="1:14" s="10" customFormat="1" ht="18" customHeight="1" x14ac:dyDescent="0.3">
      <c r="A817" s="699">
        <v>810</v>
      </c>
      <c r="B817" s="1291"/>
      <c r="C817" s="1387"/>
      <c r="D817" s="1150" t="s">
        <v>834</v>
      </c>
      <c r="E817" s="198"/>
      <c r="F817" s="170"/>
      <c r="G817" s="1276"/>
      <c r="H817" s="704"/>
      <c r="I817" s="158">
        <f>SUM(J817:Q817)</f>
        <v>0</v>
      </c>
      <c r="J817" s="165"/>
      <c r="K817" s="165"/>
      <c r="L817" s="165"/>
      <c r="M817" s="165"/>
      <c r="N817" s="718"/>
    </row>
    <row r="818" spans="1:14" s="1699" customFormat="1" ht="18" customHeight="1" x14ac:dyDescent="0.3">
      <c r="A818" s="699">
        <v>811</v>
      </c>
      <c r="B818" s="1291"/>
      <c r="C818" s="1396"/>
      <c r="D818" s="690" t="s">
        <v>1391</v>
      </c>
      <c r="E818" s="1308"/>
      <c r="F818" s="1314"/>
      <c r="G818" s="1309"/>
      <c r="H818" s="704"/>
      <c r="I818" s="665">
        <f>SUM(J818:N818)</f>
        <v>8500</v>
      </c>
      <c r="J818" s="165"/>
      <c r="K818" s="165"/>
      <c r="L818" s="165"/>
      <c r="M818" s="165"/>
      <c r="N818" s="166">
        <f>SUM(N816:N817)</f>
        <v>8500</v>
      </c>
    </row>
    <row r="819" spans="1:14" s="10" customFormat="1" ht="22.5" customHeight="1" x14ac:dyDescent="0.3">
      <c r="A819" s="699">
        <v>812</v>
      </c>
      <c r="B819" s="1291"/>
      <c r="C819" s="1387">
        <v>123</v>
      </c>
      <c r="D819" s="690" t="s">
        <v>722</v>
      </c>
      <c r="E819" s="198"/>
      <c r="F819" s="170"/>
      <c r="G819" s="1276"/>
      <c r="H819" s="704" t="s">
        <v>25</v>
      </c>
      <c r="I819" s="665"/>
      <c r="J819" s="165"/>
      <c r="K819" s="165"/>
      <c r="L819" s="165"/>
      <c r="M819" s="165"/>
      <c r="N819" s="166"/>
    </row>
    <row r="820" spans="1:14" s="1237" customFormat="1" ht="18" customHeight="1" x14ac:dyDescent="0.3">
      <c r="A820" s="699">
        <v>813</v>
      </c>
      <c r="B820" s="1292"/>
      <c r="C820" s="1503"/>
      <c r="D820" s="1231" t="s">
        <v>334</v>
      </c>
      <c r="E820" s="1247"/>
      <c r="F820" s="1255"/>
      <c r="G820" s="1504"/>
      <c r="H820" s="1248"/>
      <c r="I820" s="1234">
        <f>SUM(J820:N820)</f>
        <v>170</v>
      </c>
      <c r="J820" s="1256"/>
      <c r="K820" s="1256"/>
      <c r="L820" s="1249">
        <v>170</v>
      </c>
      <c r="M820" s="1256"/>
      <c r="N820" s="1505"/>
    </row>
    <row r="821" spans="1:14" s="1237" customFormat="1" ht="18" customHeight="1" x14ac:dyDescent="0.3">
      <c r="A821" s="699">
        <v>814</v>
      </c>
      <c r="B821" s="1292"/>
      <c r="C821" s="1503"/>
      <c r="D821" s="690" t="s">
        <v>1307</v>
      </c>
      <c r="E821" s="1247"/>
      <c r="F821" s="1255"/>
      <c r="G821" s="1504"/>
      <c r="H821" s="1248"/>
      <c r="I821" s="665">
        <f>SUM(J821:N821)</f>
        <v>0</v>
      </c>
      <c r="J821" s="1256"/>
      <c r="K821" s="1256"/>
      <c r="L821" s="165">
        <v>0</v>
      </c>
      <c r="M821" s="1256"/>
      <c r="N821" s="1505"/>
    </row>
    <row r="822" spans="1:14" s="10" customFormat="1" ht="18" customHeight="1" x14ac:dyDescent="0.3">
      <c r="A822" s="699">
        <v>815</v>
      </c>
      <c r="B822" s="1291"/>
      <c r="C822" s="1387"/>
      <c r="D822" s="1150" t="s">
        <v>834</v>
      </c>
      <c r="E822" s="198"/>
      <c r="F822" s="170"/>
      <c r="G822" s="1276"/>
      <c r="H822" s="704"/>
      <c r="I822" s="158">
        <f>SUM(J822:Q822)</f>
        <v>0</v>
      </c>
      <c r="J822" s="165"/>
      <c r="K822" s="165"/>
      <c r="L822" s="197"/>
      <c r="M822" s="165"/>
      <c r="N822" s="166"/>
    </row>
    <row r="823" spans="1:14" s="1699" customFormat="1" ht="18" customHeight="1" x14ac:dyDescent="0.3">
      <c r="A823" s="699">
        <v>816</v>
      </c>
      <c r="B823" s="1291"/>
      <c r="C823" s="1396"/>
      <c r="D823" s="690" t="s">
        <v>1391</v>
      </c>
      <c r="E823" s="1308"/>
      <c r="F823" s="1314"/>
      <c r="G823" s="1309"/>
      <c r="H823" s="704"/>
      <c r="I823" s="665">
        <f>SUM(J823:N823)</f>
        <v>0</v>
      </c>
      <c r="J823" s="165"/>
      <c r="K823" s="165"/>
      <c r="L823" s="165">
        <f>SUM(L821:L822)</f>
        <v>0</v>
      </c>
      <c r="M823" s="165"/>
      <c r="N823" s="166"/>
    </row>
    <row r="824" spans="1:14" s="10" customFormat="1" ht="22.5" customHeight="1" x14ac:dyDescent="0.3">
      <c r="A824" s="699">
        <v>817</v>
      </c>
      <c r="B824" s="1291"/>
      <c r="C824" s="1387">
        <v>124</v>
      </c>
      <c r="D824" s="690" t="s">
        <v>723</v>
      </c>
      <c r="E824" s="198"/>
      <c r="F824" s="170"/>
      <c r="G824" s="1276"/>
      <c r="H824" s="704" t="s">
        <v>25</v>
      </c>
      <c r="I824" s="665"/>
      <c r="J824" s="165"/>
      <c r="K824" s="165"/>
      <c r="L824" s="165"/>
      <c r="M824" s="165"/>
      <c r="N824" s="166"/>
    </row>
    <row r="825" spans="1:14" s="1237" customFormat="1" ht="18" customHeight="1" x14ac:dyDescent="0.3">
      <c r="A825" s="699">
        <v>818</v>
      </c>
      <c r="B825" s="1292"/>
      <c r="C825" s="1503"/>
      <c r="D825" s="1231" t="s">
        <v>334</v>
      </c>
      <c r="E825" s="1247"/>
      <c r="F825" s="1255"/>
      <c r="G825" s="1504"/>
      <c r="H825" s="1248"/>
      <c r="I825" s="1234">
        <f>SUM(J825:N825)</f>
        <v>16127</v>
      </c>
      <c r="J825" s="1256">
        <v>4500</v>
      </c>
      <c r="K825" s="1256">
        <v>877</v>
      </c>
      <c r="L825" s="1256">
        <v>10750</v>
      </c>
      <c r="M825" s="1256"/>
      <c r="N825" s="1505"/>
    </row>
    <row r="826" spans="1:14" s="1237" customFormat="1" ht="18" customHeight="1" x14ac:dyDescent="0.3">
      <c r="A826" s="699">
        <v>819</v>
      </c>
      <c r="B826" s="1292"/>
      <c r="C826" s="1503"/>
      <c r="D826" s="690" t="s">
        <v>1307</v>
      </c>
      <c r="E826" s="1247"/>
      <c r="F826" s="1255"/>
      <c r="G826" s="1504"/>
      <c r="H826" s="1248"/>
      <c r="I826" s="665">
        <f>SUM(J826:N826)</f>
        <v>10750</v>
      </c>
      <c r="J826" s="165">
        <v>0</v>
      </c>
      <c r="K826" s="165">
        <v>0</v>
      </c>
      <c r="L826" s="165">
        <v>10750</v>
      </c>
      <c r="M826" s="1256"/>
      <c r="N826" s="1505"/>
    </row>
    <row r="827" spans="1:14" s="10" customFormat="1" ht="18" customHeight="1" x14ac:dyDescent="0.3">
      <c r="A827" s="699">
        <v>820</v>
      </c>
      <c r="B827" s="1291"/>
      <c r="C827" s="1387"/>
      <c r="D827" s="1150" t="s">
        <v>834</v>
      </c>
      <c r="E827" s="198"/>
      <c r="F827" s="170"/>
      <c r="G827" s="1276"/>
      <c r="H827" s="704"/>
      <c r="I827" s="158">
        <f>SUM(J827:Q827)</f>
        <v>0</v>
      </c>
      <c r="J827" s="717"/>
      <c r="K827" s="717"/>
      <c r="L827" s="165"/>
      <c r="M827" s="165"/>
      <c r="N827" s="166"/>
    </row>
    <row r="828" spans="1:14" s="1699" customFormat="1" ht="18" customHeight="1" x14ac:dyDescent="0.3">
      <c r="A828" s="699">
        <v>821</v>
      </c>
      <c r="B828" s="1291"/>
      <c r="C828" s="1396"/>
      <c r="D828" s="690" t="s">
        <v>1391</v>
      </c>
      <c r="E828" s="1308"/>
      <c r="F828" s="1314"/>
      <c r="G828" s="1309"/>
      <c r="H828" s="704"/>
      <c r="I828" s="665">
        <f>SUM(J828:N828)</f>
        <v>10750</v>
      </c>
      <c r="J828" s="165">
        <f>SUM(J826:J827)</f>
        <v>0</v>
      </c>
      <c r="K828" s="165">
        <f t="shared" ref="K828:L828" si="35">SUM(K826:K827)</f>
        <v>0</v>
      </c>
      <c r="L828" s="165">
        <f t="shared" si="35"/>
        <v>10750</v>
      </c>
      <c r="M828" s="165"/>
      <c r="N828" s="166"/>
    </row>
    <row r="829" spans="1:14" s="10" customFormat="1" ht="33.75" customHeight="1" x14ac:dyDescent="0.3">
      <c r="A829" s="699">
        <v>822</v>
      </c>
      <c r="B829" s="1291"/>
      <c r="C829" s="1395">
        <v>125</v>
      </c>
      <c r="D829" s="690" t="s">
        <v>725</v>
      </c>
      <c r="E829" s="198"/>
      <c r="F829" s="170"/>
      <c r="G829" s="1276">
        <v>40</v>
      </c>
      <c r="H829" s="704" t="s">
        <v>25</v>
      </c>
      <c r="I829" s="665"/>
      <c r="J829" s="165"/>
      <c r="K829" s="165"/>
      <c r="L829" s="165"/>
      <c r="M829" s="165"/>
      <c r="N829" s="166"/>
    </row>
    <row r="830" spans="1:14" s="1237" customFormat="1" ht="18" customHeight="1" x14ac:dyDescent="0.3">
      <c r="A830" s="699">
        <v>823</v>
      </c>
      <c r="B830" s="1292"/>
      <c r="C830" s="1503"/>
      <c r="D830" s="1231" t="s">
        <v>334</v>
      </c>
      <c r="E830" s="1247"/>
      <c r="F830" s="1255"/>
      <c r="G830" s="1504"/>
      <c r="H830" s="1248"/>
      <c r="I830" s="1234">
        <f>SUM(J830:N830)</f>
        <v>435</v>
      </c>
      <c r="J830" s="1256"/>
      <c r="K830" s="1256"/>
      <c r="L830" s="1256">
        <v>435</v>
      </c>
      <c r="M830" s="1256"/>
      <c r="N830" s="1505"/>
    </row>
    <row r="831" spans="1:14" s="1237" customFormat="1" ht="18" customHeight="1" x14ac:dyDescent="0.3">
      <c r="A831" s="699">
        <v>824</v>
      </c>
      <c r="B831" s="1292"/>
      <c r="C831" s="1503"/>
      <c r="D831" s="690" t="s">
        <v>1307</v>
      </c>
      <c r="E831" s="1247"/>
      <c r="F831" s="1255"/>
      <c r="G831" s="1504"/>
      <c r="H831" s="1248"/>
      <c r="I831" s="665">
        <f>SUM(J831:N831)</f>
        <v>435</v>
      </c>
      <c r="J831" s="1256"/>
      <c r="K831" s="1256"/>
      <c r="L831" s="165">
        <v>435</v>
      </c>
      <c r="M831" s="1256"/>
      <c r="N831" s="1505"/>
    </row>
    <row r="832" spans="1:14" s="10" customFormat="1" ht="18" customHeight="1" x14ac:dyDescent="0.3">
      <c r="A832" s="699">
        <v>825</v>
      </c>
      <c r="B832" s="1291"/>
      <c r="C832" s="1387"/>
      <c r="D832" s="1150" t="s">
        <v>733</v>
      </c>
      <c r="E832" s="198"/>
      <c r="F832" s="170"/>
      <c r="G832" s="1276"/>
      <c r="H832" s="704"/>
      <c r="I832" s="158">
        <f>SUM(J832:Q832)</f>
        <v>0</v>
      </c>
      <c r="J832" s="165"/>
      <c r="K832" s="165"/>
      <c r="L832" s="165"/>
      <c r="M832" s="165"/>
      <c r="N832" s="166"/>
    </row>
    <row r="833" spans="1:16" s="1699" customFormat="1" ht="18" customHeight="1" x14ac:dyDescent="0.3">
      <c r="A833" s="699">
        <v>826</v>
      </c>
      <c r="B833" s="1291"/>
      <c r="C833" s="1396"/>
      <c r="D833" s="690" t="s">
        <v>1391</v>
      </c>
      <c r="E833" s="1308"/>
      <c r="F833" s="1314"/>
      <c r="G833" s="1309"/>
      <c r="H833" s="704"/>
      <c r="I833" s="665">
        <f>SUM(J833:N833)</f>
        <v>435</v>
      </c>
      <c r="J833" s="165"/>
      <c r="K833" s="165"/>
      <c r="L833" s="165">
        <f>SUM(L831:L832)</f>
        <v>435</v>
      </c>
      <c r="M833" s="165"/>
      <c r="N833" s="166"/>
    </row>
    <row r="834" spans="1:16" s="10" customFormat="1" ht="22.5" customHeight="1" x14ac:dyDescent="0.3">
      <c r="A834" s="699">
        <v>827</v>
      </c>
      <c r="B834" s="1291"/>
      <c r="C834" s="1387">
        <v>126</v>
      </c>
      <c r="D834" s="690" t="s">
        <v>724</v>
      </c>
      <c r="E834" s="198"/>
      <c r="F834" s="170"/>
      <c r="G834" s="1276"/>
      <c r="H834" s="704" t="s">
        <v>25</v>
      </c>
      <c r="I834" s="665"/>
      <c r="J834" s="165"/>
      <c r="K834" s="165"/>
      <c r="L834" s="165"/>
      <c r="M834" s="165"/>
      <c r="N834" s="166"/>
    </row>
    <row r="835" spans="1:16" s="1237" customFormat="1" ht="18" customHeight="1" x14ac:dyDescent="0.3">
      <c r="A835" s="699">
        <v>828</v>
      </c>
      <c r="B835" s="1292"/>
      <c r="C835" s="1503"/>
      <c r="D835" s="1231" t="s">
        <v>334</v>
      </c>
      <c r="E835" s="1247"/>
      <c r="F835" s="1255"/>
      <c r="G835" s="1504"/>
      <c r="H835" s="1248"/>
      <c r="I835" s="1234">
        <f>SUM(J835:N835)</f>
        <v>382</v>
      </c>
      <c r="J835" s="1256"/>
      <c r="K835" s="1256"/>
      <c r="L835" s="1256">
        <v>382</v>
      </c>
      <c r="M835" s="1256"/>
      <c r="N835" s="1505"/>
    </row>
    <row r="836" spans="1:16" s="1237" customFormat="1" ht="18" customHeight="1" x14ac:dyDescent="0.3">
      <c r="A836" s="699">
        <v>829</v>
      </c>
      <c r="B836" s="1292"/>
      <c r="C836" s="1503"/>
      <c r="D836" s="690" t="s">
        <v>1307</v>
      </c>
      <c r="E836" s="1247"/>
      <c r="F836" s="1255"/>
      <c r="G836" s="1504"/>
      <c r="H836" s="1248"/>
      <c r="I836" s="665">
        <f>SUM(J836:N836)</f>
        <v>382</v>
      </c>
      <c r="J836" s="1256"/>
      <c r="K836" s="1256"/>
      <c r="L836" s="165">
        <v>382</v>
      </c>
      <c r="M836" s="1256"/>
      <c r="N836" s="1505"/>
    </row>
    <row r="837" spans="1:16" s="10" customFormat="1" ht="18" customHeight="1" x14ac:dyDescent="0.3">
      <c r="A837" s="699">
        <v>830</v>
      </c>
      <c r="B837" s="1291"/>
      <c r="C837" s="1387"/>
      <c r="D837" s="1150" t="s">
        <v>733</v>
      </c>
      <c r="E837" s="198"/>
      <c r="F837" s="170"/>
      <c r="G837" s="1276"/>
      <c r="H837" s="704"/>
      <c r="I837" s="158">
        <f>SUM(J837:Q837)</f>
        <v>0</v>
      </c>
      <c r="J837" s="165"/>
      <c r="K837" s="165"/>
      <c r="L837" s="165"/>
      <c r="M837" s="165"/>
      <c r="N837" s="166"/>
    </row>
    <row r="838" spans="1:16" s="1699" customFormat="1" ht="18" customHeight="1" x14ac:dyDescent="0.3">
      <c r="A838" s="699">
        <v>831</v>
      </c>
      <c r="B838" s="1291"/>
      <c r="C838" s="1396"/>
      <c r="D838" s="690" t="s">
        <v>1391</v>
      </c>
      <c r="E838" s="1308"/>
      <c r="F838" s="1314"/>
      <c r="G838" s="1309"/>
      <c r="H838" s="704"/>
      <c r="I838" s="665">
        <f>SUM(J838:N838)</f>
        <v>382</v>
      </c>
      <c r="J838" s="165"/>
      <c r="K838" s="165"/>
      <c r="L838" s="165">
        <f>SUM(L836:L837)</f>
        <v>382</v>
      </c>
      <c r="M838" s="165"/>
      <c r="N838" s="166"/>
    </row>
    <row r="839" spans="1:16" s="10" customFormat="1" ht="22.5" customHeight="1" x14ac:dyDescent="0.3">
      <c r="A839" s="699">
        <v>832</v>
      </c>
      <c r="B839" s="1291"/>
      <c r="C839" s="1387">
        <v>127</v>
      </c>
      <c r="D839" s="690" t="s">
        <v>678</v>
      </c>
      <c r="E839" s="198"/>
      <c r="F839" s="170"/>
      <c r="G839" s="1276"/>
      <c r="H839" s="704" t="s">
        <v>25</v>
      </c>
      <c r="I839" s="665"/>
      <c r="J839" s="165"/>
      <c r="K839" s="165"/>
      <c r="L839" s="165"/>
      <c r="M839" s="165"/>
      <c r="N839" s="166"/>
    </row>
    <row r="840" spans="1:16" s="1237" customFormat="1" ht="18" customHeight="1" x14ac:dyDescent="0.3">
      <c r="A840" s="699">
        <v>833</v>
      </c>
      <c r="B840" s="1292"/>
      <c r="C840" s="1503"/>
      <c r="D840" s="1231" t="s">
        <v>334</v>
      </c>
      <c r="E840" s="1247"/>
      <c r="F840" s="1255"/>
      <c r="G840" s="1504"/>
      <c r="H840" s="1248"/>
      <c r="I840" s="1234">
        <f>SUM(J840:N840)</f>
        <v>1635</v>
      </c>
      <c r="J840" s="1256"/>
      <c r="K840" s="1256"/>
      <c r="L840" s="1256">
        <v>1635</v>
      </c>
      <c r="M840" s="1256"/>
      <c r="N840" s="1505"/>
    </row>
    <row r="841" spans="1:16" s="1237" customFormat="1" ht="18" customHeight="1" x14ac:dyDescent="0.3">
      <c r="A841" s="699">
        <v>834</v>
      </c>
      <c r="B841" s="1292"/>
      <c r="C841" s="1503"/>
      <c r="D841" s="690" t="s">
        <v>1307</v>
      </c>
      <c r="E841" s="1247"/>
      <c r="F841" s="1255"/>
      <c r="G841" s="1504"/>
      <c r="H841" s="1248"/>
      <c r="I841" s="665">
        <f>SUM(J841:N841)</f>
        <v>1635</v>
      </c>
      <c r="J841" s="1256"/>
      <c r="K841" s="1256"/>
      <c r="L841" s="165">
        <v>1635</v>
      </c>
      <c r="M841" s="1256"/>
      <c r="N841" s="1505"/>
    </row>
    <row r="842" spans="1:16" s="10" customFormat="1" ht="18" customHeight="1" x14ac:dyDescent="0.3">
      <c r="A842" s="699">
        <v>835</v>
      </c>
      <c r="B842" s="1291"/>
      <c r="C842" s="1387"/>
      <c r="D842" s="1150" t="s">
        <v>733</v>
      </c>
      <c r="E842" s="198"/>
      <c r="F842" s="170"/>
      <c r="G842" s="1276"/>
      <c r="H842" s="704"/>
      <c r="I842" s="158">
        <f>SUM(J842:Q842)</f>
        <v>0</v>
      </c>
      <c r="J842" s="165"/>
      <c r="K842" s="165"/>
      <c r="L842" s="165"/>
      <c r="M842" s="165"/>
      <c r="N842" s="166"/>
    </row>
    <row r="843" spans="1:16" s="1699" customFormat="1" ht="18" customHeight="1" x14ac:dyDescent="0.3">
      <c r="A843" s="699">
        <v>836</v>
      </c>
      <c r="B843" s="1291"/>
      <c r="C843" s="1396"/>
      <c r="D843" s="690" t="s">
        <v>1391</v>
      </c>
      <c r="E843" s="1308"/>
      <c r="F843" s="1314"/>
      <c r="G843" s="1309"/>
      <c r="H843" s="704"/>
      <c r="I843" s="665">
        <f>SUM(J843:N843)</f>
        <v>1635</v>
      </c>
      <c r="J843" s="165"/>
      <c r="K843" s="165"/>
      <c r="L843" s="165">
        <f>SUM(L841:L842)</f>
        <v>1635</v>
      </c>
      <c r="M843" s="165"/>
      <c r="N843" s="166"/>
    </row>
    <row r="844" spans="1:16" s="11" customFormat="1" ht="18" customHeight="1" x14ac:dyDescent="0.3">
      <c r="A844" s="699">
        <v>837</v>
      </c>
      <c r="B844" s="1285"/>
      <c r="C844" s="1387">
        <v>128</v>
      </c>
      <c r="D844" s="690" t="s">
        <v>524</v>
      </c>
      <c r="E844" s="164"/>
      <c r="F844" s="173">
        <v>5745</v>
      </c>
      <c r="G844" s="1264">
        <v>5082</v>
      </c>
      <c r="H844" s="702" t="s">
        <v>25</v>
      </c>
      <c r="I844" s="667"/>
      <c r="J844" s="183"/>
      <c r="K844" s="183"/>
      <c r="L844" s="183"/>
      <c r="M844" s="183"/>
      <c r="N844" s="184"/>
      <c r="P844" s="10"/>
    </row>
    <row r="845" spans="1:16" s="11" customFormat="1" ht="18" customHeight="1" x14ac:dyDescent="0.3">
      <c r="A845" s="699">
        <v>838</v>
      </c>
      <c r="B845" s="1285"/>
      <c r="C845" s="1387"/>
      <c r="D845" s="690" t="s">
        <v>1307</v>
      </c>
      <c r="E845" s="164"/>
      <c r="F845" s="173"/>
      <c r="G845" s="1264"/>
      <c r="H845" s="702"/>
      <c r="I845" s="665">
        <f>SUM(J845:N845)</f>
        <v>2137</v>
      </c>
      <c r="J845" s="183"/>
      <c r="K845" s="183"/>
      <c r="L845" s="527">
        <v>2137</v>
      </c>
      <c r="M845" s="183"/>
      <c r="N845" s="184"/>
      <c r="P845" s="10"/>
    </row>
    <row r="846" spans="1:16" s="11" customFormat="1" ht="18" customHeight="1" x14ac:dyDescent="0.3">
      <c r="A846" s="699">
        <v>839</v>
      </c>
      <c r="B846" s="1285"/>
      <c r="C846" s="1387"/>
      <c r="D846" s="1150" t="s">
        <v>834</v>
      </c>
      <c r="E846" s="164"/>
      <c r="F846" s="173"/>
      <c r="G846" s="1264"/>
      <c r="H846" s="702"/>
      <c r="I846" s="158">
        <f>SUM(J846:Q846)</f>
        <v>0</v>
      </c>
      <c r="J846" s="183"/>
      <c r="K846" s="183"/>
      <c r="L846" s="183"/>
      <c r="M846" s="183"/>
      <c r="N846" s="184"/>
      <c r="P846" s="10"/>
    </row>
    <row r="847" spans="1:16" s="157" customFormat="1" ht="18" customHeight="1" x14ac:dyDescent="0.3">
      <c r="A847" s="699">
        <v>840</v>
      </c>
      <c r="B847" s="1294"/>
      <c r="C847" s="1396"/>
      <c r="D847" s="690" t="s">
        <v>1391</v>
      </c>
      <c r="E847" s="1305"/>
      <c r="F847" s="1310"/>
      <c r="G847" s="1311"/>
      <c r="H847" s="702"/>
      <c r="I847" s="665">
        <f>SUM(J847:N847)</f>
        <v>2137</v>
      </c>
      <c r="J847" s="519"/>
      <c r="K847" s="519"/>
      <c r="L847" s="527">
        <f>SUM(L845:L846)</f>
        <v>2137</v>
      </c>
      <c r="M847" s="519"/>
      <c r="N847" s="693"/>
      <c r="P847" s="1699"/>
    </row>
    <row r="848" spans="1:16" s="10" customFormat="1" ht="18" customHeight="1" x14ac:dyDescent="0.3">
      <c r="A848" s="699">
        <v>841</v>
      </c>
      <c r="B848" s="1291"/>
      <c r="C848" s="1387">
        <v>129</v>
      </c>
      <c r="D848" s="690" t="s">
        <v>606</v>
      </c>
      <c r="E848" s="198"/>
      <c r="F848" s="170"/>
      <c r="G848" s="1276"/>
      <c r="H848" s="702" t="s">
        <v>25</v>
      </c>
      <c r="I848" s="665"/>
      <c r="J848" s="165"/>
      <c r="K848" s="165"/>
      <c r="L848" s="165"/>
      <c r="M848" s="165"/>
      <c r="N848" s="166"/>
    </row>
    <row r="849" spans="1:16" s="10" customFormat="1" ht="18" customHeight="1" x14ac:dyDescent="0.3">
      <c r="A849" s="699">
        <v>842</v>
      </c>
      <c r="B849" s="1291"/>
      <c r="C849" s="1387"/>
      <c r="D849" s="690" t="s">
        <v>1307</v>
      </c>
      <c r="E849" s="198"/>
      <c r="F849" s="170"/>
      <c r="G849" s="1276"/>
      <c r="H849" s="702"/>
      <c r="I849" s="665">
        <f>SUM(J849:N849)</f>
        <v>0</v>
      </c>
      <c r="J849" s="165"/>
      <c r="K849" s="165"/>
      <c r="L849" s="165">
        <v>0</v>
      </c>
      <c r="M849" s="165"/>
      <c r="N849" s="166"/>
    </row>
    <row r="850" spans="1:16" s="10" customFormat="1" ht="18" customHeight="1" x14ac:dyDescent="0.3">
      <c r="A850" s="699">
        <v>843</v>
      </c>
      <c r="B850" s="1291"/>
      <c r="C850" s="1387"/>
      <c r="D850" s="1150" t="s">
        <v>834</v>
      </c>
      <c r="E850" s="198"/>
      <c r="F850" s="170"/>
      <c r="G850" s="1276"/>
      <c r="H850" s="702"/>
      <c r="I850" s="158">
        <f>SUM(J850:Q850)</f>
        <v>0</v>
      </c>
      <c r="J850" s="165"/>
      <c r="K850" s="165"/>
      <c r="L850" s="717"/>
      <c r="M850" s="165"/>
      <c r="N850" s="166"/>
    </row>
    <row r="851" spans="1:16" s="1699" customFormat="1" ht="18" customHeight="1" x14ac:dyDescent="0.3">
      <c r="A851" s="699">
        <v>844</v>
      </c>
      <c r="B851" s="1291"/>
      <c r="C851" s="1396"/>
      <c r="D851" s="690" t="s">
        <v>1391</v>
      </c>
      <c r="E851" s="1308"/>
      <c r="F851" s="1314"/>
      <c r="G851" s="1309"/>
      <c r="H851" s="702"/>
      <c r="I851" s="665">
        <f>SUM(J851:N851)</f>
        <v>0</v>
      </c>
      <c r="J851" s="165"/>
      <c r="K851" s="165"/>
      <c r="L851" s="165">
        <f>SUM(L849:L850)</f>
        <v>0</v>
      </c>
      <c r="M851" s="165"/>
      <c r="N851" s="166"/>
    </row>
    <row r="852" spans="1:16" s="1699" customFormat="1" ht="31.5" customHeight="1" x14ac:dyDescent="0.3">
      <c r="A852" s="699">
        <v>845</v>
      </c>
      <c r="B852" s="1291"/>
      <c r="C852" s="1395">
        <v>130</v>
      </c>
      <c r="D852" s="690" t="s">
        <v>1136</v>
      </c>
      <c r="E852" s="1308"/>
      <c r="F852" s="1314"/>
      <c r="G852" s="1309"/>
      <c r="H852" s="702" t="s">
        <v>25</v>
      </c>
      <c r="I852" s="665"/>
      <c r="J852" s="165"/>
      <c r="K852" s="165"/>
      <c r="L852" s="165"/>
      <c r="M852" s="165"/>
      <c r="N852" s="166"/>
    </row>
    <row r="853" spans="1:16" s="1699" customFormat="1" ht="18" customHeight="1" x14ac:dyDescent="0.3">
      <c r="A853" s="699">
        <v>846</v>
      </c>
      <c r="B853" s="1291"/>
      <c r="C853" s="1395"/>
      <c r="D853" s="690" t="s">
        <v>1307</v>
      </c>
      <c r="E853" s="1308"/>
      <c r="F853" s="1314"/>
      <c r="G853" s="1309"/>
      <c r="H853" s="702"/>
      <c r="I853" s="665">
        <f>SUM(J853:N853)</f>
        <v>8747</v>
      </c>
      <c r="J853" s="165"/>
      <c r="K853" s="165"/>
      <c r="L853" s="165">
        <v>8747</v>
      </c>
      <c r="M853" s="165"/>
      <c r="N853" s="166"/>
    </row>
    <row r="854" spans="1:16" s="1699" customFormat="1" ht="18" customHeight="1" x14ac:dyDescent="0.3">
      <c r="A854" s="699">
        <v>847</v>
      </c>
      <c r="B854" s="1291"/>
      <c r="C854" s="1396"/>
      <c r="D854" s="1150" t="s">
        <v>834</v>
      </c>
      <c r="E854" s="1308"/>
      <c r="F854" s="1314"/>
      <c r="G854" s="1309"/>
      <c r="H854" s="702"/>
      <c r="I854" s="158">
        <f>SUM(J854:Q854)</f>
        <v>0</v>
      </c>
      <c r="J854" s="165"/>
      <c r="K854" s="165"/>
      <c r="L854" s="717"/>
      <c r="M854" s="165"/>
      <c r="N854" s="166"/>
    </row>
    <row r="855" spans="1:16" s="1699" customFormat="1" ht="18" customHeight="1" x14ac:dyDescent="0.3">
      <c r="A855" s="699">
        <v>848</v>
      </c>
      <c r="B855" s="1291"/>
      <c r="C855" s="1396"/>
      <c r="D855" s="690" t="s">
        <v>1391</v>
      </c>
      <c r="E855" s="1308"/>
      <c r="F855" s="1314"/>
      <c r="G855" s="1309"/>
      <c r="H855" s="702"/>
      <c r="I855" s="665">
        <f>SUM(J855:N855)</f>
        <v>8747</v>
      </c>
      <c r="J855" s="165"/>
      <c r="K855" s="165"/>
      <c r="L855" s="165">
        <f>SUM(L853:L854)</f>
        <v>8747</v>
      </c>
      <c r="M855" s="165"/>
      <c r="N855" s="166"/>
    </row>
    <row r="856" spans="1:16" s="10" customFormat="1" ht="18" customHeight="1" x14ac:dyDescent="0.3">
      <c r="A856" s="699">
        <v>849</v>
      </c>
      <c r="B856" s="1291"/>
      <c r="C856" s="1387">
        <v>131</v>
      </c>
      <c r="D856" s="690" t="s">
        <v>497</v>
      </c>
      <c r="E856" s="198"/>
      <c r="F856" s="170"/>
      <c r="G856" s="1276">
        <v>253</v>
      </c>
      <c r="H856" s="702" t="s">
        <v>25</v>
      </c>
      <c r="I856" s="665"/>
      <c r="J856" s="165"/>
      <c r="K856" s="165"/>
      <c r="L856" s="165"/>
      <c r="M856" s="165"/>
      <c r="N856" s="166"/>
    </row>
    <row r="857" spans="1:16" s="10" customFormat="1" ht="18" customHeight="1" x14ac:dyDescent="0.3">
      <c r="A857" s="699">
        <v>850</v>
      </c>
      <c r="B857" s="1291"/>
      <c r="C857" s="1387"/>
      <c r="D857" s="690" t="s">
        <v>1307</v>
      </c>
      <c r="E857" s="198"/>
      <c r="F857" s="170"/>
      <c r="G857" s="1276"/>
      <c r="H857" s="702"/>
      <c r="I857" s="665">
        <f>SUM(J857:N857)</f>
        <v>269</v>
      </c>
      <c r="J857" s="165"/>
      <c r="K857" s="165"/>
      <c r="L857" s="165">
        <v>269</v>
      </c>
      <c r="M857" s="165"/>
      <c r="N857" s="166"/>
    </row>
    <row r="858" spans="1:16" s="10" customFormat="1" ht="18" customHeight="1" x14ac:dyDescent="0.3">
      <c r="A858" s="699">
        <v>851</v>
      </c>
      <c r="B858" s="1291"/>
      <c r="C858" s="1387"/>
      <c r="D858" s="1150" t="s">
        <v>1457</v>
      </c>
      <c r="E858" s="198"/>
      <c r="F858" s="170"/>
      <c r="G858" s="1276"/>
      <c r="H858" s="702"/>
      <c r="I858" s="158">
        <f>SUM(J858:Q858)</f>
        <v>508</v>
      </c>
      <c r="J858" s="165"/>
      <c r="K858" s="165"/>
      <c r="L858" s="717">
        <v>508</v>
      </c>
      <c r="M858" s="165"/>
      <c r="N858" s="166"/>
    </row>
    <row r="859" spans="1:16" s="1699" customFormat="1" ht="18" customHeight="1" x14ac:dyDescent="0.3">
      <c r="A859" s="699">
        <v>852</v>
      </c>
      <c r="B859" s="1291"/>
      <c r="C859" s="1396"/>
      <c r="D859" s="690" t="s">
        <v>1391</v>
      </c>
      <c r="E859" s="1308"/>
      <c r="F859" s="1314"/>
      <c r="G859" s="1309"/>
      <c r="H859" s="702"/>
      <c r="I859" s="665">
        <f>SUM(J859:N859)</f>
        <v>777</v>
      </c>
      <c r="J859" s="165"/>
      <c r="K859" s="165"/>
      <c r="L859" s="165">
        <f>SUM(L857:L858)</f>
        <v>777</v>
      </c>
      <c r="M859" s="165"/>
      <c r="N859" s="166"/>
    </row>
    <row r="860" spans="1:16" s="10" customFormat="1" ht="18" customHeight="1" x14ac:dyDescent="0.3">
      <c r="A860" s="699">
        <v>853</v>
      </c>
      <c r="B860" s="1291"/>
      <c r="C860" s="1387">
        <v>132</v>
      </c>
      <c r="D860" s="690" t="s">
        <v>607</v>
      </c>
      <c r="E860" s="198"/>
      <c r="F860" s="170"/>
      <c r="G860" s="1276">
        <v>7830</v>
      </c>
      <c r="H860" s="702" t="s">
        <v>25</v>
      </c>
      <c r="I860" s="665"/>
      <c r="J860" s="165"/>
      <c r="K860" s="165"/>
      <c r="L860" s="165"/>
      <c r="M860" s="165"/>
      <c r="N860" s="166"/>
    </row>
    <row r="861" spans="1:16" s="10" customFormat="1" ht="18" customHeight="1" x14ac:dyDescent="0.3">
      <c r="A861" s="699">
        <v>854</v>
      </c>
      <c r="B861" s="1291"/>
      <c r="C861" s="1387"/>
      <c r="D861" s="690" t="s">
        <v>1307</v>
      </c>
      <c r="E861" s="198"/>
      <c r="F861" s="170"/>
      <c r="G861" s="1276"/>
      <c r="H861" s="704"/>
      <c r="I861" s="665">
        <f>SUM(J861:N861)</f>
        <v>3459</v>
      </c>
      <c r="J861" s="165"/>
      <c r="K861" s="165">
        <v>186</v>
      </c>
      <c r="L861" s="165"/>
      <c r="M861" s="165"/>
      <c r="N861" s="166">
        <v>3273</v>
      </c>
    </row>
    <row r="862" spans="1:16" s="10" customFormat="1" ht="18" customHeight="1" x14ac:dyDescent="0.3">
      <c r="A862" s="699">
        <v>855</v>
      </c>
      <c r="B862" s="1291"/>
      <c r="C862" s="1387"/>
      <c r="D862" s="1150" t="s">
        <v>1311</v>
      </c>
      <c r="E862" s="198"/>
      <c r="F862" s="170"/>
      <c r="G862" s="1276"/>
      <c r="H862" s="704"/>
      <c r="I862" s="158">
        <f>SUM(J862:Q862)</f>
        <v>0</v>
      </c>
      <c r="J862" s="165"/>
      <c r="K862" s="717"/>
      <c r="L862" s="717"/>
      <c r="M862" s="717"/>
      <c r="N862" s="718"/>
    </row>
    <row r="863" spans="1:16" s="1699" customFormat="1" ht="18" customHeight="1" x14ac:dyDescent="0.3">
      <c r="A863" s="699">
        <v>856</v>
      </c>
      <c r="B863" s="1291"/>
      <c r="C863" s="1396"/>
      <c r="D863" s="690" t="s">
        <v>1391</v>
      </c>
      <c r="E863" s="1308"/>
      <c r="F863" s="1314"/>
      <c r="G863" s="1309"/>
      <c r="H863" s="704"/>
      <c r="I863" s="665">
        <f>SUM(J863:N863)</f>
        <v>3459</v>
      </c>
      <c r="J863" s="165"/>
      <c r="K863" s="165">
        <f>SUM(K861:K862)</f>
        <v>186</v>
      </c>
      <c r="L863" s="165"/>
      <c r="M863" s="165"/>
      <c r="N863" s="166">
        <f>SUM(N861:N862)</f>
        <v>3273</v>
      </c>
    </row>
    <row r="864" spans="1:16" s="3" customFormat="1" ht="18" customHeight="1" x14ac:dyDescent="0.3">
      <c r="A864" s="699">
        <v>857</v>
      </c>
      <c r="B864" s="1289"/>
      <c r="C864" s="1387">
        <v>133</v>
      </c>
      <c r="D864" s="690" t="s">
        <v>478</v>
      </c>
      <c r="E864" s="198">
        <v>3440</v>
      </c>
      <c r="F864" s="198"/>
      <c r="G864" s="1276">
        <v>13551</v>
      </c>
      <c r="H864" s="704" t="s">
        <v>25</v>
      </c>
      <c r="I864" s="665"/>
      <c r="J864" s="197"/>
      <c r="K864" s="197"/>
      <c r="L864" s="197"/>
      <c r="M864" s="165"/>
      <c r="N864" s="166"/>
      <c r="O864" s="10"/>
      <c r="P864" s="10"/>
    </row>
    <row r="865" spans="1:16" s="3" customFormat="1" ht="18" customHeight="1" x14ac:dyDescent="0.3">
      <c r="A865" s="699">
        <v>858</v>
      </c>
      <c r="B865" s="1289"/>
      <c r="C865" s="1387"/>
      <c r="D865" s="690" t="s">
        <v>1307</v>
      </c>
      <c r="E865" s="198"/>
      <c r="F865" s="198"/>
      <c r="G865" s="1276"/>
      <c r="H865" s="704"/>
      <c r="I865" s="665">
        <f>SUM(J865:N865)</f>
        <v>4622</v>
      </c>
      <c r="J865" s="165">
        <v>56</v>
      </c>
      <c r="K865" s="165">
        <v>26</v>
      </c>
      <c r="L865" s="165">
        <v>4540</v>
      </c>
      <c r="M865" s="165"/>
      <c r="N865" s="166"/>
      <c r="O865" s="10"/>
      <c r="P865" s="10"/>
    </row>
    <row r="866" spans="1:16" s="3" customFormat="1" ht="18" customHeight="1" x14ac:dyDescent="0.3">
      <c r="A866" s="699">
        <v>859</v>
      </c>
      <c r="B866" s="1289"/>
      <c r="C866" s="1387"/>
      <c r="D866" s="1150" t="s">
        <v>834</v>
      </c>
      <c r="E866" s="198"/>
      <c r="F866" s="198"/>
      <c r="G866" s="1276"/>
      <c r="H866" s="704"/>
      <c r="I866" s="158">
        <f>SUM(J866:Q866)</f>
        <v>0</v>
      </c>
      <c r="J866" s="197"/>
      <c r="K866" s="197"/>
      <c r="L866" s="717"/>
      <c r="M866" s="165"/>
      <c r="N866" s="166"/>
      <c r="O866" s="10"/>
      <c r="P866" s="10"/>
    </row>
    <row r="867" spans="1:16" s="110" customFormat="1" ht="18" customHeight="1" x14ac:dyDescent="0.35">
      <c r="A867" s="699">
        <v>860</v>
      </c>
      <c r="B867" s="1303"/>
      <c r="C867" s="1396"/>
      <c r="D867" s="690" t="s">
        <v>1391</v>
      </c>
      <c r="E867" s="1308"/>
      <c r="F867" s="1308"/>
      <c r="G867" s="1309"/>
      <c r="H867" s="704"/>
      <c r="I867" s="665">
        <f>SUM(J867:N867)</f>
        <v>4622</v>
      </c>
      <c r="J867" s="165">
        <f>SUM(J865:J866)</f>
        <v>56</v>
      </c>
      <c r="K867" s="165">
        <f>SUM(K865:K866)</f>
        <v>26</v>
      </c>
      <c r="L867" s="165">
        <f>SUM(L865:L866)</f>
        <v>4540</v>
      </c>
      <c r="M867" s="165"/>
      <c r="N867" s="166"/>
      <c r="O867" s="1699"/>
      <c r="P867" s="1699"/>
    </row>
    <row r="868" spans="1:16" s="10" customFormat="1" ht="18" customHeight="1" x14ac:dyDescent="0.3">
      <c r="A868" s="699">
        <v>861</v>
      </c>
      <c r="B868" s="1291"/>
      <c r="C868" s="1387">
        <v>134</v>
      </c>
      <c r="D868" s="690" t="s">
        <v>682</v>
      </c>
      <c r="E868" s="198"/>
      <c r="F868" s="170"/>
      <c r="G868" s="1276"/>
      <c r="H868" s="704" t="s">
        <v>25</v>
      </c>
      <c r="I868" s="665"/>
      <c r="J868" s="165"/>
      <c r="K868" s="165"/>
      <c r="L868" s="165"/>
      <c r="M868" s="165"/>
      <c r="N868" s="166"/>
    </row>
    <row r="869" spans="1:16" s="10" customFormat="1" ht="18" customHeight="1" x14ac:dyDescent="0.3">
      <c r="A869" s="699">
        <v>862</v>
      </c>
      <c r="B869" s="1291"/>
      <c r="C869" s="1387"/>
      <c r="D869" s="690" t="s">
        <v>1307</v>
      </c>
      <c r="E869" s="198"/>
      <c r="F869" s="170"/>
      <c r="G869" s="1276"/>
      <c r="H869" s="704"/>
      <c r="I869" s="665">
        <f>SUM(J869:N869)</f>
        <v>7899</v>
      </c>
      <c r="J869" s="165">
        <v>4179</v>
      </c>
      <c r="K869" s="165">
        <v>765</v>
      </c>
      <c r="L869" s="165">
        <v>2955</v>
      </c>
      <c r="M869" s="165"/>
      <c r="N869" s="166"/>
    </row>
    <row r="870" spans="1:16" s="10" customFormat="1" ht="18" customHeight="1" x14ac:dyDescent="0.3">
      <c r="A870" s="699">
        <v>863</v>
      </c>
      <c r="B870" s="1291"/>
      <c r="C870" s="1387"/>
      <c r="D870" s="1150" t="s">
        <v>834</v>
      </c>
      <c r="E870" s="198"/>
      <c r="F870" s="170"/>
      <c r="G870" s="1276"/>
      <c r="H870" s="704"/>
      <c r="I870" s="158">
        <f>SUM(J870:Q870)</f>
        <v>0</v>
      </c>
      <c r="J870" s="717"/>
      <c r="K870" s="717"/>
      <c r="L870" s="717"/>
      <c r="M870" s="165"/>
      <c r="N870" s="166"/>
    </row>
    <row r="871" spans="1:16" s="1699" customFormat="1" ht="18" customHeight="1" x14ac:dyDescent="0.3">
      <c r="A871" s="699">
        <v>864</v>
      </c>
      <c r="B871" s="1291"/>
      <c r="C871" s="1396"/>
      <c r="D871" s="690" t="s">
        <v>1391</v>
      </c>
      <c r="E871" s="1308"/>
      <c r="F871" s="1314"/>
      <c r="G871" s="1309"/>
      <c r="H871" s="704"/>
      <c r="I871" s="665">
        <f>SUM(J871:N871)</f>
        <v>7899</v>
      </c>
      <c r="J871" s="165">
        <f>SUM(J869:J870)</f>
        <v>4179</v>
      </c>
      <c r="K871" s="165">
        <f t="shared" ref="K871:L871" si="36">SUM(K869:K870)</f>
        <v>765</v>
      </c>
      <c r="L871" s="165">
        <f t="shared" si="36"/>
        <v>2955</v>
      </c>
      <c r="M871" s="165"/>
      <c r="N871" s="166"/>
    </row>
    <row r="872" spans="1:16" s="10" customFormat="1" ht="18" customHeight="1" x14ac:dyDescent="0.3">
      <c r="A872" s="699">
        <v>865</v>
      </c>
      <c r="B872" s="1291"/>
      <c r="C872" s="1387">
        <v>135</v>
      </c>
      <c r="D872" s="690" t="s">
        <v>489</v>
      </c>
      <c r="E872" s="198"/>
      <c r="F872" s="170"/>
      <c r="G872" s="1276">
        <v>170</v>
      </c>
      <c r="H872" s="702" t="s">
        <v>25</v>
      </c>
      <c r="I872" s="665"/>
      <c r="J872" s="165"/>
      <c r="K872" s="165"/>
      <c r="L872" s="165"/>
      <c r="M872" s="165"/>
      <c r="N872" s="166"/>
    </row>
    <row r="873" spans="1:16" s="10" customFormat="1" ht="18" customHeight="1" x14ac:dyDescent="0.3">
      <c r="A873" s="699">
        <v>866</v>
      </c>
      <c r="B873" s="1291"/>
      <c r="C873" s="1387"/>
      <c r="D873" s="690" t="s">
        <v>1307</v>
      </c>
      <c r="E873" s="198"/>
      <c r="F873" s="170"/>
      <c r="G873" s="1276"/>
      <c r="H873" s="702"/>
      <c r="I873" s="665">
        <f>SUM(J873:N873)</f>
        <v>72</v>
      </c>
      <c r="J873" s="165"/>
      <c r="K873" s="165"/>
      <c r="L873" s="165">
        <v>50</v>
      </c>
      <c r="M873" s="165"/>
      <c r="N873" s="166">
        <v>22</v>
      </c>
    </row>
    <row r="874" spans="1:16" s="10" customFormat="1" ht="18" customHeight="1" x14ac:dyDescent="0.3">
      <c r="A874" s="699">
        <v>867</v>
      </c>
      <c r="B874" s="1291"/>
      <c r="C874" s="1387"/>
      <c r="D874" s="1150" t="s">
        <v>954</v>
      </c>
      <c r="E874" s="198"/>
      <c r="F874" s="170"/>
      <c r="G874" s="1276"/>
      <c r="H874" s="702"/>
      <c r="I874" s="158">
        <f>SUM(J874:Q874)</f>
        <v>0</v>
      </c>
      <c r="J874" s="165"/>
      <c r="K874" s="165"/>
      <c r="L874" s="717"/>
      <c r="M874" s="165"/>
      <c r="N874" s="718"/>
    </row>
    <row r="875" spans="1:16" s="1699" customFormat="1" ht="18" customHeight="1" x14ac:dyDescent="0.3">
      <c r="A875" s="699">
        <v>868</v>
      </c>
      <c r="B875" s="1291"/>
      <c r="C875" s="1396"/>
      <c r="D875" s="690" t="s">
        <v>1391</v>
      </c>
      <c r="E875" s="1308"/>
      <c r="F875" s="1314"/>
      <c r="G875" s="1309"/>
      <c r="H875" s="702"/>
      <c r="I875" s="665">
        <f>SUM(J875:N875)</f>
        <v>72</v>
      </c>
      <c r="J875" s="165"/>
      <c r="K875" s="165"/>
      <c r="L875" s="165">
        <f>SUM(L873:L874)</f>
        <v>50</v>
      </c>
      <c r="M875" s="165"/>
      <c r="N875" s="166">
        <f>SUM(N873:N874)</f>
        <v>22</v>
      </c>
    </row>
    <row r="876" spans="1:16" s="10" customFormat="1" ht="18" customHeight="1" x14ac:dyDescent="0.3">
      <c r="A876" s="699">
        <v>869</v>
      </c>
      <c r="B876" s="1291"/>
      <c r="C876" s="1387">
        <v>136</v>
      </c>
      <c r="D876" s="690" t="s">
        <v>919</v>
      </c>
      <c r="E876" s="198"/>
      <c r="F876" s="170"/>
      <c r="G876" s="1276">
        <v>143</v>
      </c>
      <c r="H876" s="702" t="s">
        <v>25</v>
      </c>
      <c r="I876" s="665"/>
      <c r="J876" s="165"/>
      <c r="K876" s="165"/>
      <c r="L876" s="165"/>
      <c r="M876" s="165"/>
      <c r="N876" s="166"/>
    </row>
    <row r="877" spans="1:16" s="10" customFormat="1" ht="18" customHeight="1" x14ac:dyDescent="0.3">
      <c r="A877" s="699">
        <v>870</v>
      </c>
      <c r="B877" s="1291"/>
      <c r="C877" s="1387"/>
      <c r="D877" s="690" t="s">
        <v>1307</v>
      </c>
      <c r="E877" s="198"/>
      <c r="F877" s="170"/>
      <c r="G877" s="1276"/>
      <c r="H877" s="702"/>
      <c r="I877" s="665">
        <f>SUM(J877:N877)</f>
        <v>257</v>
      </c>
      <c r="J877" s="165"/>
      <c r="K877" s="165"/>
      <c r="L877" s="165">
        <v>257</v>
      </c>
      <c r="M877" s="165"/>
      <c r="N877" s="166"/>
    </row>
    <row r="878" spans="1:16" s="10" customFormat="1" ht="18" customHeight="1" x14ac:dyDescent="0.3">
      <c r="A878" s="699">
        <v>871</v>
      </c>
      <c r="B878" s="1291"/>
      <c r="C878" s="1387"/>
      <c r="D878" s="1150" t="s">
        <v>834</v>
      </c>
      <c r="E878" s="198"/>
      <c r="F878" s="170"/>
      <c r="G878" s="1276"/>
      <c r="H878" s="702"/>
      <c r="I878" s="158">
        <f>SUM(J878:Q878)</f>
        <v>0</v>
      </c>
      <c r="J878" s="165"/>
      <c r="K878" s="165"/>
      <c r="L878" s="717"/>
      <c r="M878" s="165"/>
      <c r="N878" s="166"/>
    </row>
    <row r="879" spans="1:16" s="1699" customFormat="1" ht="18" customHeight="1" x14ac:dyDescent="0.3">
      <c r="A879" s="699">
        <v>872</v>
      </c>
      <c r="B879" s="1291"/>
      <c r="C879" s="1396"/>
      <c r="D879" s="690" t="s">
        <v>1391</v>
      </c>
      <c r="E879" s="1308"/>
      <c r="F879" s="1314"/>
      <c r="G879" s="1309"/>
      <c r="H879" s="702"/>
      <c r="I879" s="665">
        <f>SUM(J879:N879)</f>
        <v>257</v>
      </c>
      <c r="J879" s="165"/>
      <c r="K879" s="165"/>
      <c r="L879" s="165">
        <f>SUM(L877:L878)</f>
        <v>257</v>
      </c>
      <c r="M879" s="165"/>
      <c r="N879" s="166"/>
    </row>
    <row r="880" spans="1:16" s="10" customFormat="1" ht="18" customHeight="1" x14ac:dyDescent="0.3">
      <c r="A880" s="699">
        <v>873</v>
      </c>
      <c r="B880" s="1291"/>
      <c r="C880" s="1387">
        <v>137</v>
      </c>
      <c r="D880" s="690" t="s">
        <v>609</v>
      </c>
      <c r="E880" s="198"/>
      <c r="F880" s="170"/>
      <c r="G880" s="1276"/>
      <c r="H880" s="702" t="s">
        <v>25</v>
      </c>
      <c r="I880" s="665"/>
      <c r="J880" s="165"/>
      <c r="K880" s="165"/>
      <c r="L880" s="165"/>
      <c r="M880" s="165"/>
      <c r="N880" s="166"/>
    </row>
    <row r="881" spans="1:16" s="10" customFormat="1" ht="18" customHeight="1" x14ac:dyDescent="0.3">
      <c r="A881" s="699">
        <v>874</v>
      </c>
      <c r="B881" s="1291"/>
      <c r="C881" s="1387"/>
      <c r="D881" s="690" t="s">
        <v>1307</v>
      </c>
      <c r="E881" s="198"/>
      <c r="F881" s="170"/>
      <c r="G881" s="1276"/>
      <c r="H881" s="702"/>
      <c r="I881" s="665">
        <f>SUM(J881:N881)</f>
        <v>300</v>
      </c>
      <c r="J881" s="165"/>
      <c r="K881" s="165"/>
      <c r="L881" s="165">
        <v>300</v>
      </c>
      <c r="M881" s="165"/>
      <c r="N881" s="166"/>
    </row>
    <row r="882" spans="1:16" s="10" customFormat="1" ht="18" customHeight="1" x14ac:dyDescent="0.3">
      <c r="A882" s="699">
        <v>875</v>
      </c>
      <c r="B882" s="1291"/>
      <c r="C882" s="1387"/>
      <c r="D882" s="1150" t="s">
        <v>834</v>
      </c>
      <c r="E882" s="198"/>
      <c r="F882" s="170"/>
      <c r="G882" s="1276"/>
      <c r="H882" s="702"/>
      <c r="I882" s="158">
        <f>SUM(J882:Q882)</f>
        <v>0</v>
      </c>
      <c r="J882" s="165"/>
      <c r="K882" s="165"/>
      <c r="L882" s="717"/>
      <c r="M882" s="165"/>
      <c r="N882" s="166"/>
    </row>
    <row r="883" spans="1:16" s="1699" customFormat="1" ht="18" customHeight="1" x14ac:dyDescent="0.3">
      <c r="A883" s="699">
        <v>876</v>
      </c>
      <c r="B883" s="1291"/>
      <c r="C883" s="1396"/>
      <c r="D883" s="690" t="s">
        <v>1391</v>
      </c>
      <c r="E883" s="1308"/>
      <c r="F883" s="1314"/>
      <c r="G883" s="1309"/>
      <c r="H883" s="702"/>
      <c r="I883" s="665">
        <f>SUM(J883:N883)</f>
        <v>300</v>
      </c>
      <c r="J883" s="165"/>
      <c r="K883" s="165"/>
      <c r="L883" s="165">
        <f>SUM(L881:L882)</f>
        <v>300</v>
      </c>
      <c r="M883" s="165"/>
      <c r="N883" s="166"/>
    </row>
    <row r="884" spans="1:16" s="10" customFormat="1" ht="18" customHeight="1" x14ac:dyDescent="0.3">
      <c r="A884" s="699">
        <v>877</v>
      </c>
      <c r="B884" s="1291"/>
      <c r="C884" s="1387">
        <v>138</v>
      </c>
      <c r="D884" s="690" t="s">
        <v>488</v>
      </c>
      <c r="E884" s="198"/>
      <c r="F884" s="170"/>
      <c r="G884" s="1276">
        <v>180</v>
      </c>
      <c r="H884" s="702" t="s">
        <v>25</v>
      </c>
      <c r="I884" s="665"/>
      <c r="J884" s="165"/>
      <c r="K884" s="165"/>
      <c r="L884" s="165"/>
      <c r="M884" s="165"/>
      <c r="N884" s="166"/>
    </row>
    <row r="885" spans="1:16" s="10" customFormat="1" ht="18" customHeight="1" x14ac:dyDescent="0.3">
      <c r="A885" s="699">
        <v>878</v>
      </c>
      <c r="B885" s="1291"/>
      <c r="C885" s="1387"/>
      <c r="D885" s="690" t="s">
        <v>1307</v>
      </c>
      <c r="E885" s="198"/>
      <c r="F885" s="170"/>
      <c r="G885" s="1276"/>
      <c r="H885" s="702"/>
      <c r="I885" s="665">
        <f>SUM(J885:N885)</f>
        <v>3689</v>
      </c>
      <c r="J885" s="165"/>
      <c r="K885" s="165"/>
      <c r="L885" s="165">
        <v>3689</v>
      </c>
      <c r="M885" s="165"/>
      <c r="N885" s="166"/>
    </row>
    <row r="886" spans="1:16" s="10" customFormat="1" ht="18" customHeight="1" x14ac:dyDescent="0.3">
      <c r="A886" s="699">
        <v>879</v>
      </c>
      <c r="B886" s="1291"/>
      <c r="C886" s="1387"/>
      <c r="D886" s="1150" t="s">
        <v>834</v>
      </c>
      <c r="E886" s="198"/>
      <c r="F886" s="170"/>
      <c r="G886" s="1276"/>
      <c r="H886" s="702"/>
      <c r="I886" s="158">
        <f>SUM(J886:Q886)</f>
        <v>0</v>
      </c>
      <c r="J886" s="165"/>
      <c r="K886" s="165"/>
      <c r="L886" s="717"/>
      <c r="M886" s="165"/>
      <c r="N886" s="166"/>
    </row>
    <row r="887" spans="1:16" s="1699" customFormat="1" ht="18" customHeight="1" x14ac:dyDescent="0.3">
      <c r="A887" s="699">
        <v>880</v>
      </c>
      <c r="B887" s="1291"/>
      <c r="C887" s="1396"/>
      <c r="D887" s="690" t="s">
        <v>1391</v>
      </c>
      <c r="E887" s="1308"/>
      <c r="F887" s="1314"/>
      <c r="G887" s="1309"/>
      <c r="H887" s="702"/>
      <c r="I887" s="665">
        <f>SUM(J887:N887)</f>
        <v>3689</v>
      </c>
      <c r="J887" s="165"/>
      <c r="K887" s="165"/>
      <c r="L887" s="165">
        <f>SUM(L885:L886)</f>
        <v>3689</v>
      </c>
      <c r="M887" s="165"/>
      <c r="N887" s="166"/>
    </row>
    <row r="888" spans="1:16" s="10" customFormat="1" ht="18" customHeight="1" x14ac:dyDescent="0.3">
      <c r="A888" s="699">
        <v>881</v>
      </c>
      <c r="B888" s="1291"/>
      <c r="C888" s="1387">
        <v>139</v>
      </c>
      <c r="D888" s="690" t="s">
        <v>540</v>
      </c>
      <c r="E888" s="198"/>
      <c r="F888" s="170"/>
      <c r="G888" s="1276">
        <v>478</v>
      </c>
      <c r="H888" s="702" t="s">
        <v>25</v>
      </c>
      <c r="I888" s="665"/>
      <c r="J888" s="165"/>
      <c r="K888" s="165"/>
      <c r="L888" s="165"/>
      <c r="M888" s="165"/>
      <c r="N888" s="166"/>
    </row>
    <row r="889" spans="1:16" s="10" customFormat="1" ht="18" customHeight="1" x14ac:dyDescent="0.3">
      <c r="A889" s="699">
        <v>882</v>
      </c>
      <c r="B889" s="1291"/>
      <c r="C889" s="1387"/>
      <c r="D889" s="690" t="s">
        <v>1307</v>
      </c>
      <c r="E889" s="198"/>
      <c r="F889" s="170"/>
      <c r="G889" s="1276"/>
      <c r="H889" s="702"/>
      <c r="I889" s="665">
        <f>SUM(J889:N889)</f>
        <v>3967</v>
      </c>
      <c r="J889" s="165"/>
      <c r="K889" s="165"/>
      <c r="L889" s="165">
        <v>3967</v>
      </c>
      <c r="M889" s="165"/>
      <c r="N889" s="166"/>
    </row>
    <row r="890" spans="1:16" s="10" customFormat="1" ht="18" customHeight="1" x14ac:dyDescent="0.3">
      <c r="A890" s="699">
        <v>883</v>
      </c>
      <c r="B890" s="1291"/>
      <c r="C890" s="1387"/>
      <c r="D890" s="1150" t="s">
        <v>834</v>
      </c>
      <c r="E890" s="198"/>
      <c r="F890" s="170"/>
      <c r="G890" s="1276"/>
      <c r="H890" s="702"/>
      <c r="I890" s="158">
        <f>SUM(J890:Q890)</f>
        <v>0</v>
      </c>
      <c r="J890" s="165"/>
      <c r="K890" s="165"/>
      <c r="L890" s="717"/>
      <c r="M890" s="165"/>
      <c r="N890" s="166"/>
    </row>
    <row r="891" spans="1:16" s="1699" customFormat="1" ht="18" customHeight="1" x14ac:dyDescent="0.3">
      <c r="A891" s="699">
        <v>884</v>
      </c>
      <c r="B891" s="1291"/>
      <c r="C891" s="1396"/>
      <c r="D891" s="690" t="s">
        <v>1391</v>
      </c>
      <c r="E891" s="1308"/>
      <c r="F891" s="1314"/>
      <c r="G891" s="1309"/>
      <c r="H891" s="702"/>
      <c r="I891" s="665">
        <f>SUM(J891:N891)</f>
        <v>3967</v>
      </c>
      <c r="J891" s="165"/>
      <c r="K891" s="165"/>
      <c r="L891" s="165">
        <f>SUM(L889:L890)</f>
        <v>3967</v>
      </c>
      <c r="M891" s="165"/>
      <c r="N891" s="166"/>
    </row>
    <row r="892" spans="1:16" s="10" customFormat="1" ht="18" customHeight="1" x14ac:dyDescent="0.3">
      <c r="A892" s="699">
        <v>885</v>
      </c>
      <c r="B892" s="1291"/>
      <c r="C892" s="1387">
        <v>140</v>
      </c>
      <c r="D892" s="690" t="s">
        <v>610</v>
      </c>
      <c r="E892" s="198"/>
      <c r="F892" s="170"/>
      <c r="G892" s="1276">
        <v>3</v>
      </c>
      <c r="H892" s="702" t="s">
        <v>25</v>
      </c>
      <c r="I892" s="665"/>
      <c r="J892" s="165"/>
      <c r="K892" s="165"/>
      <c r="L892" s="165"/>
      <c r="M892" s="165"/>
      <c r="N892" s="166"/>
    </row>
    <row r="893" spans="1:16" s="10" customFormat="1" ht="18" customHeight="1" x14ac:dyDescent="0.3">
      <c r="A893" s="699">
        <v>886</v>
      </c>
      <c r="B893" s="1291"/>
      <c r="C893" s="1387"/>
      <c r="D893" s="690" t="s">
        <v>1307</v>
      </c>
      <c r="E893" s="198"/>
      <c r="F893" s="170"/>
      <c r="G893" s="1276"/>
      <c r="H893" s="702"/>
      <c r="I893" s="665">
        <f>SUM(J893:N893)</f>
        <v>377</v>
      </c>
      <c r="J893" s="165"/>
      <c r="K893" s="165"/>
      <c r="L893" s="165">
        <v>377</v>
      </c>
      <c r="M893" s="165"/>
      <c r="N893" s="166"/>
    </row>
    <row r="894" spans="1:16" s="10" customFormat="1" ht="18" customHeight="1" x14ac:dyDescent="0.3">
      <c r="A894" s="699">
        <v>887</v>
      </c>
      <c r="B894" s="1291"/>
      <c r="C894" s="1387"/>
      <c r="D894" s="1150" t="s">
        <v>834</v>
      </c>
      <c r="E894" s="198"/>
      <c r="F894" s="170"/>
      <c r="G894" s="1276"/>
      <c r="H894" s="702"/>
      <c r="I894" s="158">
        <f>SUM(J894:Q894)</f>
        <v>0</v>
      </c>
      <c r="J894" s="165"/>
      <c r="K894" s="165"/>
      <c r="L894" s="717"/>
      <c r="M894" s="165"/>
      <c r="N894" s="166"/>
    </row>
    <row r="895" spans="1:16" s="1699" customFormat="1" ht="18" customHeight="1" x14ac:dyDescent="0.3">
      <c r="A895" s="699">
        <v>888</v>
      </c>
      <c r="B895" s="1291"/>
      <c r="C895" s="1396"/>
      <c r="D895" s="690" t="s">
        <v>1391</v>
      </c>
      <c r="E895" s="1308"/>
      <c r="F895" s="1314"/>
      <c r="G895" s="1309"/>
      <c r="H895" s="702"/>
      <c r="I895" s="665">
        <f>SUM(J895:N895)</f>
        <v>377</v>
      </c>
      <c r="J895" s="165"/>
      <c r="K895" s="165"/>
      <c r="L895" s="165">
        <f>SUM(L893:L894)</f>
        <v>377</v>
      </c>
      <c r="M895" s="165"/>
      <c r="N895" s="166"/>
    </row>
    <row r="896" spans="1:16" s="182" customFormat="1" ht="18" customHeight="1" x14ac:dyDescent="0.3">
      <c r="A896" s="699">
        <v>889</v>
      </c>
      <c r="B896" s="1291"/>
      <c r="C896" s="1387">
        <v>141</v>
      </c>
      <c r="D896" s="690" t="s">
        <v>338</v>
      </c>
      <c r="E896" s="198">
        <v>1471</v>
      </c>
      <c r="F896" s="170"/>
      <c r="G896" s="1276">
        <v>173</v>
      </c>
      <c r="H896" s="704" t="s">
        <v>25</v>
      </c>
      <c r="I896" s="665"/>
      <c r="J896" s="165"/>
      <c r="K896" s="165"/>
      <c r="L896" s="165"/>
      <c r="M896" s="165"/>
      <c r="N896" s="166"/>
      <c r="O896" s="157"/>
      <c r="P896" s="10"/>
    </row>
    <row r="897" spans="1:16" s="182" customFormat="1" ht="18" customHeight="1" x14ac:dyDescent="0.3">
      <c r="A897" s="699">
        <v>890</v>
      </c>
      <c r="B897" s="1291"/>
      <c r="C897" s="1387"/>
      <c r="D897" s="690" t="s">
        <v>1307</v>
      </c>
      <c r="E897" s="198"/>
      <c r="F897" s="170"/>
      <c r="G897" s="1276"/>
      <c r="H897" s="704"/>
      <c r="I897" s="665">
        <f>SUM(J897:N897)</f>
        <v>2639</v>
      </c>
      <c r="J897" s="165"/>
      <c r="K897" s="165"/>
      <c r="L897" s="165">
        <v>2493</v>
      </c>
      <c r="M897" s="165"/>
      <c r="N897" s="166">
        <v>146</v>
      </c>
      <c r="O897" s="157"/>
      <c r="P897" s="10"/>
    </row>
    <row r="898" spans="1:16" s="182" customFormat="1" ht="18" customHeight="1" x14ac:dyDescent="0.3">
      <c r="A898" s="699">
        <v>891</v>
      </c>
      <c r="B898" s="1291"/>
      <c r="C898" s="1387"/>
      <c r="D898" s="1150" t="s">
        <v>834</v>
      </c>
      <c r="E898" s="198"/>
      <c r="F898" s="170"/>
      <c r="G898" s="1276"/>
      <c r="H898" s="704"/>
      <c r="I898" s="158">
        <f>SUM(J898:Q898)</f>
        <v>0</v>
      </c>
      <c r="J898" s="165"/>
      <c r="K898" s="165"/>
      <c r="L898" s="717"/>
      <c r="M898" s="165"/>
      <c r="N898" s="718"/>
      <c r="O898" s="157"/>
      <c r="P898" s="10"/>
    </row>
    <row r="899" spans="1:16" s="182" customFormat="1" ht="18" customHeight="1" x14ac:dyDescent="0.3">
      <c r="A899" s="699">
        <v>892</v>
      </c>
      <c r="B899" s="1291"/>
      <c r="C899" s="1396"/>
      <c r="D899" s="690" t="s">
        <v>1391</v>
      </c>
      <c r="E899" s="1308"/>
      <c r="F899" s="1314"/>
      <c r="G899" s="1309"/>
      <c r="H899" s="704"/>
      <c r="I899" s="665">
        <f>SUM(J899:N899)</f>
        <v>2639</v>
      </c>
      <c r="J899" s="165"/>
      <c r="K899" s="165"/>
      <c r="L899" s="165">
        <f>SUM(L897:L898)</f>
        <v>2493</v>
      </c>
      <c r="M899" s="165"/>
      <c r="N899" s="166">
        <f>SUM(N897:N898)</f>
        <v>146</v>
      </c>
      <c r="O899" s="157"/>
      <c r="P899" s="1699"/>
    </row>
    <row r="900" spans="1:16" s="182" customFormat="1" ht="29.25" customHeight="1" x14ac:dyDescent="0.3">
      <c r="A900" s="699">
        <v>893</v>
      </c>
      <c r="B900" s="1291"/>
      <c r="C900" s="1395">
        <v>142</v>
      </c>
      <c r="D900" s="690" t="s">
        <v>436</v>
      </c>
      <c r="E900" s="198">
        <v>9697</v>
      </c>
      <c r="F900" s="198"/>
      <c r="G900" s="1276">
        <v>8097</v>
      </c>
      <c r="H900" s="704" t="s">
        <v>25</v>
      </c>
      <c r="I900" s="665"/>
      <c r="J900" s="165"/>
      <c r="K900" s="165"/>
      <c r="L900" s="165"/>
      <c r="M900" s="165"/>
      <c r="N900" s="166"/>
      <c r="O900" s="157"/>
      <c r="P900" s="10"/>
    </row>
    <row r="901" spans="1:16" s="182" customFormat="1" ht="20.100000000000001" customHeight="1" x14ac:dyDescent="0.3">
      <c r="A901" s="699">
        <v>894</v>
      </c>
      <c r="B901" s="1291"/>
      <c r="C901" s="1387"/>
      <c r="D901" s="690" t="s">
        <v>1307</v>
      </c>
      <c r="E901" s="198"/>
      <c r="F901" s="198"/>
      <c r="G901" s="1276"/>
      <c r="H901" s="704"/>
      <c r="I901" s="665">
        <f>SUM(J901:N901)</f>
        <v>106</v>
      </c>
      <c r="J901" s="165"/>
      <c r="K901" s="165"/>
      <c r="L901" s="165">
        <v>106</v>
      </c>
      <c r="M901" s="165"/>
      <c r="N901" s="166"/>
      <c r="O901" s="157"/>
      <c r="P901" s="10"/>
    </row>
    <row r="902" spans="1:16" s="182" customFormat="1" ht="18" customHeight="1" x14ac:dyDescent="0.3">
      <c r="A902" s="699">
        <v>895</v>
      </c>
      <c r="B902" s="1291"/>
      <c r="C902" s="1387"/>
      <c r="D902" s="1150" t="s">
        <v>834</v>
      </c>
      <c r="E902" s="198"/>
      <c r="F902" s="198"/>
      <c r="G902" s="1276"/>
      <c r="H902" s="704"/>
      <c r="I902" s="158">
        <f>SUM(J902:Q902)</f>
        <v>0</v>
      </c>
      <c r="J902" s="165"/>
      <c r="K902" s="165"/>
      <c r="L902" s="717"/>
      <c r="M902" s="165"/>
      <c r="N902" s="166"/>
      <c r="O902" s="157"/>
      <c r="P902" s="10"/>
    </row>
    <row r="903" spans="1:16" s="182" customFormat="1" ht="18.600000000000001" customHeight="1" x14ac:dyDescent="0.3">
      <c r="A903" s="699">
        <v>896</v>
      </c>
      <c r="B903" s="1291"/>
      <c r="C903" s="1396"/>
      <c r="D903" s="690" t="s">
        <v>1391</v>
      </c>
      <c r="E903" s="1308"/>
      <c r="F903" s="1308"/>
      <c r="G903" s="1309"/>
      <c r="H903" s="704"/>
      <c r="I903" s="665">
        <f>SUM(J903:N903)</f>
        <v>106</v>
      </c>
      <c r="J903" s="165"/>
      <c r="K903" s="165"/>
      <c r="L903" s="165">
        <f>SUM(L901:L902)</f>
        <v>106</v>
      </c>
      <c r="M903" s="165"/>
      <c r="N903" s="166"/>
      <c r="O903" s="157"/>
      <c r="P903" s="1699"/>
    </row>
    <row r="904" spans="1:16" s="182" customFormat="1" ht="29.25" customHeight="1" x14ac:dyDescent="0.3">
      <c r="A904" s="699">
        <v>897</v>
      </c>
      <c r="B904" s="1291"/>
      <c r="C904" s="1395">
        <v>143</v>
      </c>
      <c r="D904" s="690" t="s">
        <v>611</v>
      </c>
      <c r="E904" s="198"/>
      <c r="F904" s="198"/>
      <c r="G904" s="1276"/>
      <c r="H904" s="704" t="s">
        <v>25</v>
      </c>
      <c r="I904" s="665"/>
      <c r="J904" s="165"/>
      <c r="K904" s="165"/>
      <c r="L904" s="165"/>
      <c r="M904" s="165"/>
      <c r="N904" s="166"/>
      <c r="O904" s="157"/>
      <c r="P904" s="10"/>
    </row>
    <row r="905" spans="1:16" s="182" customFormat="1" ht="20.100000000000001" customHeight="1" x14ac:dyDescent="0.3">
      <c r="A905" s="699">
        <v>898</v>
      </c>
      <c r="B905" s="1291"/>
      <c r="C905" s="1387"/>
      <c r="D905" s="690" t="s">
        <v>1307</v>
      </c>
      <c r="E905" s="198"/>
      <c r="F905" s="198"/>
      <c r="G905" s="1276"/>
      <c r="H905" s="704"/>
      <c r="I905" s="665">
        <f>SUM(J905:N905)</f>
        <v>5398</v>
      </c>
      <c r="J905" s="165"/>
      <c r="K905" s="165"/>
      <c r="L905" s="165">
        <v>5398</v>
      </c>
      <c r="M905" s="165"/>
      <c r="N905" s="166"/>
      <c r="O905" s="157"/>
      <c r="P905" s="10"/>
    </row>
    <row r="906" spans="1:16" s="182" customFormat="1" ht="18" customHeight="1" x14ac:dyDescent="0.3">
      <c r="A906" s="699">
        <v>899</v>
      </c>
      <c r="B906" s="1291"/>
      <c r="C906" s="1387"/>
      <c r="D906" s="1150" t="s">
        <v>834</v>
      </c>
      <c r="E906" s="198"/>
      <c r="F906" s="198"/>
      <c r="G906" s="1276"/>
      <c r="H906" s="704"/>
      <c r="I906" s="158">
        <f>SUM(J906:Q906)</f>
        <v>0</v>
      </c>
      <c r="J906" s="165"/>
      <c r="K906" s="165"/>
      <c r="L906" s="717"/>
      <c r="M906" s="165"/>
      <c r="N906" s="166"/>
      <c r="O906" s="157"/>
      <c r="P906" s="10"/>
    </row>
    <row r="907" spans="1:16" s="182" customFormat="1" ht="18" customHeight="1" x14ac:dyDescent="0.3">
      <c r="A907" s="699">
        <v>900</v>
      </c>
      <c r="B907" s="1291"/>
      <c r="C907" s="1396"/>
      <c r="D907" s="690" t="s">
        <v>1391</v>
      </c>
      <c r="E907" s="1308"/>
      <c r="F907" s="1308"/>
      <c r="G907" s="1309"/>
      <c r="H907" s="704"/>
      <c r="I907" s="665">
        <f>SUM(J907:N907)</f>
        <v>5398</v>
      </c>
      <c r="J907" s="165"/>
      <c r="K907" s="165"/>
      <c r="L907" s="165">
        <f>SUM(L905:L906)</f>
        <v>5398</v>
      </c>
      <c r="M907" s="165"/>
      <c r="N907" s="166"/>
      <c r="O907" s="157"/>
      <c r="P907" s="1699"/>
    </row>
    <row r="908" spans="1:16" s="3" customFormat="1" ht="29.45" customHeight="1" x14ac:dyDescent="0.3">
      <c r="A908" s="699">
        <v>901</v>
      </c>
      <c r="B908" s="1284"/>
      <c r="C908" s="1395">
        <v>144</v>
      </c>
      <c r="D908" s="690" t="s">
        <v>437</v>
      </c>
      <c r="E908" s="164">
        <v>11403</v>
      </c>
      <c r="F908" s="164"/>
      <c r="G908" s="1277">
        <v>11389</v>
      </c>
      <c r="H908" s="704" t="s">
        <v>25</v>
      </c>
      <c r="I908" s="665"/>
      <c r="J908" s="197"/>
      <c r="K908" s="197"/>
      <c r="L908" s="197"/>
      <c r="M908" s="165"/>
      <c r="N908" s="166"/>
      <c r="O908" s="10"/>
      <c r="P908" s="10"/>
    </row>
    <row r="909" spans="1:16" s="3" customFormat="1" ht="20.100000000000001" customHeight="1" x14ac:dyDescent="0.3">
      <c r="A909" s="699">
        <v>902</v>
      </c>
      <c r="B909" s="1289"/>
      <c r="C909" s="1387"/>
      <c r="D909" s="690" t="s">
        <v>1307</v>
      </c>
      <c r="E909" s="198"/>
      <c r="F909" s="198"/>
      <c r="G909" s="1276"/>
      <c r="H909" s="704"/>
      <c r="I909" s="665">
        <f>SUM(J909:N909)</f>
        <v>14708</v>
      </c>
      <c r="J909" s="197"/>
      <c r="K909" s="197"/>
      <c r="L909" s="165">
        <v>14708</v>
      </c>
      <c r="M909" s="165"/>
      <c r="N909" s="166"/>
      <c r="O909" s="10"/>
      <c r="P909" s="10"/>
    </row>
    <row r="910" spans="1:16" s="3" customFormat="1" ht="18" customHeight="1" x14ac:dyDescent="0.3">
      <c r="A910" s="699">
        <v>903</v>
      </c>
      <c r="B910" s="1289"/>
      <c r="C910" s="1387"/>
      <c r="D910" s="1150" t="s">
        <v>733</v>
      </c>
      <c r="E910" s="198"/>
      <c r="F910" s="198"/>
      <c r="G910" s="1276"/>
      <c r="H910" s="704"/>
      <c r="I910" s="158">
        <f>SUM(J910:Q910)</f>
        <v>0</v>
      </c>
      <c r="J910" s="197"/>
      <c r="K910" s="197"/>
      <c r="L910" s="717"/>
      <c r="M910" s="165"/>
      <c r="N910" s="166"/>
      <c r="O910" s="10"/>
      <c r="P910" s="10"/>
    </row>
    <row r="911" spans="1:16" s="110" customFormat="1" ht="18" customHeight="1" x14ac:dyDescent="0.35">
      <c r="A911" s="699">
        <v>904</v>
      </c>
      <c r="B911" s="1303"/>
      <c r="C911" s="1396"/>
      <c r="D911" s="690" t="s">
        <v>1391</v>
      </c>
      <c r="E911" s="1308"/>
      <c r="F911" s="1308"/>
      <c r="G911" s="1309"/>
      <c r="H911" s="704"/>
      <c r="I911" s="665">
        <f>SUM(J911:N911)</f>
        <v>14708</v>
      </c>
      <c r="J911" s="165"/>
      <c r="K911" s="165"/>
      <c r="L911" s="165">
        <f>SUM(L909:L910)</f>
        <v>14708</v>
      </c>
      <c r="M911" s="165"/>
      <c r="N911" s="166"/>
      <c r="O911" s="1699"/>
      <c r="P911" s="1699"/>
    </row>
    <row r="912" spans="1:16" s="3" customFormat="1" ht="18" customHeight="1" x14ac:dyDescent="0.3">
      <c r="A912" s="699">
        <v>905</v>
      </c>
      <c r="B912" s="1289"/>
      <c r="C912" s="1387">
        <v>145</v>
      </c>
      <c r="D912" s="690" t="s">
        <v>590</v>
      </c>
      <c r="E912" s="198"/>
      <c r="F912" s="198"/>
      <c r="G912" s="1276">
        <v>326</v>
      </c>
      <c r="H912" s="704" t="s">
        <v>25</v>
      </c>
      <c r="I912" s="665"/>
      <c r="J912" s="197"/>
      <c r="K912" s="197"/>
      <c r="L912" s="197"/>
      <c r="M912" s="165"/>
      <c r="N912" s="166"/>
      <c r="O912" s="10"/>
      <c r="P912" s="10"/>
    </row>
    <row r="913" spans="1:16" s="3" customFormat="1" ht="18" customHeight="1" x14ac:dyDescent="0.3">
      <c r="A913" s="699">
        <v>906</v>
      </c>
      <c r="B913" s="1289"/>
      <c r="C913" s="1387"/>
      <c r="D913" s="690" t="s">
        <v>1307</v>
      </c>
      <c r="E913" s="198"/>
      <c r="F913" s="198"/>
      <c r="G913" s="1276"/>
      <c r="H913" s="704"/>
      <c r="I913" s="665">
        <f>SUM(J913:N913)</f>
        <v>10274</v>
      </c>
      <c r="J913" s="197"/>
      <c r="K913" s="197"/>
      <c r="L913" s="165">
        <v>10274</v>
      </c>
      <c r="M913" s="165"/>
      <c r="N913" s="166"/>
      <c r="O913" s="10"/>
      <c r="P913" s="10"/>
    </row>
    <row r="914" spans="1:16" s="3" customFormat="1" ht="18" customHeight="1" x14ac:dyDescent="0.3">
      <c r="A914" s="699">
        <v>907</v>
      </c>
      <c r="B914" s="1289"/>
      <c r="C914" s="1387"/>
      <c r="D914" s="1150" t="s">
        <v>834</v>
      </c>
      <c r="E914" s="198"/>
      <c r="F914" s="198"/>
      <c r="G914" s="1276"/>
      <c r="H914" s="704"/>
      <c r="I914" s="158">
        <f>SUM(J914:Q914)</f>
        <v>0</v>
      </c>
      <c r="J914" s="197"/>
      <c r="K914" s="197"/>
      <c r="L914" s="717"/>
      <c r="M914" s="165"/>
      <c r="N914" s="166"/>
      <c r="O914" s="10"/>
      <c r="P914" s="10"/>
    </row>
    <row r="915" spans="1:16" s="110" customFormat="1" ht="18" customHeight="1" x14ac:dyDescent="0.35">
      <c r="A915" s="699">
        <v>908</v>
      </c>
      <c r="B915" s="1303"/>
      <c r="C915" s="1396"/>
      <c r="D915" s="690" t="s">
        <v>1391</v>
      </c>
      <c r="E915" s="1308"/>
      <c r="F915" s="1308"/>
      <c r="G915" s="1309"/>
      <c r="H915" s="704"/>
      <c r="I915" s="665">
        <f>SUM(J915:N915)</f>
        <v>10274</v>
      </c>
      <c r="J915" s="165"/>
      <c r="K915" s="165"/>
      <c r="L915" s="165">
        <f>SUM(L913:L914)</f>
        <v>10274</v>
      </c>
      <c r="M915" s="165"/>
      <c r="N915" s="166"/>
      <c r="O915" s="1699"/>
      <c r="P915" s="1699"/>
    </row>
    <row r="916" spans="1:16" s="3" customFormat="1" ht="18" customHeight="1" x14ac:dyDescent="0.3">
      <c r="A916" s="699">
        <v>909</v>
      </c>
      <c r="B916" s="1284"/>
      <c r="C916" s="1387">
        <v>146</v>
      </c>
      <c r="D916" s="690" t="s">
        <v>612</v>
      </c>
      <c r="E916" s="164">
        <v>178</v>
      </c>
      <c r="F916" s="164"/>
      <c r="G916" s="1277">
        <v>838</v>
      </c>
      <c r="H916" s="704" t="s">
        <v>25</v>
      </c>
      <c r="I916" s="665"/>
      <c r="J916" s="197"/>
      <c r="K916" s="197"/>
      <c r="L916" s="197"/>
      <c r="M916" s="165"/>
      <c r="N916" s="166"/>
      <c r="O916" s="10"/>
      <c r="P916" s="10"/>
    </row>
    <row r="917" spans="1:16" s="3" customFormat="1" ht="18" customHeight="1" x14ac:dyDescent="0.3">
      <c r="A917" s="699">
        <v>910</v>
      </c>
      <c r="B917" s="1289"/>
      <c r="C917" s="1387"/>
      <c r="D917" s="690" t="s">
        <v>1307</v>
      </c>
      <c r="E917" s="198"/>
      <c r="F917" s="198"/>
      <c r="G917" s="1276"/>
      <c r="H917" s="704"/>
      <c r="I917" s="665">
        <f>SUM(J917:N917)</f>
        <v>14862</v>
      </c>
      <c r="J917" s="197"/>
      <c r="K917" s="197"/>
      <c r="L917" s="165">
        <v>14862</v>
      </c>
      <c r="M917" s="165"/>
      <c r="N917" s="166"/>
      <c r="O917" s="10"/>
      <c r="P917" s="10"/>
    </row>
    <row r="918" spans="1:16" s="3" customFormat="1" ht="18" customHeight="1" x14ac:dyDescent="0.3">
      <c r="A918" s="699">
        <v>911</v>
      </c>
      <c r="B918" s="1289"/>
      <c r="C918" s="1387"/>
      <c r="D918" s="1150" t="s">
        <v>1460</v>
      </c>
      <c r="E918" s="198"/>
      <c r="F918" s="198"/>
      <c r="G918" s="1276"/>
      <c r="H918" s="704"/>
      <c r="I918" s="158">
        <f>SUM(J918:Q918)</f>
        <v>2286</v>
      </c>
      <c r="J918" s="197"/>
      <c r="K918" s="717">
        <v>44</v>
      </c>
      <c r="L918" s="717">
        <f>-44+2286</f>
        <v>2242</v>
      </c>
      <c r="M918" s="165"/>
      <c r="N918" s="166"/>
      <c r="O918" s="10"/>
      <c r="P918" s="10"/>
    </row>
    <row r="919" spans="1:16" s="110" customFormat="1" ht="18" customHeight="1" x14ac:dyDescent="0.35">
      <c r="A919" s="699">
        <v>912</v>
      </c>
      <c r="B919" s="1303"/>
      <c r="C919" s="1396"/>
      <c r="D919" s="690" t="s">
        <v>1391</v>
      </c>
      <c r="E919" s="1308"/>
      <c r="F919" s="1308"/>
      <c r="G919" s="1309"/>
      <c r="H919" s="704"/>
      <c r="I919" s="665">
        <f>SUM(J919:N919)</f>
        <v>17148</v>
      </c>
      <c r="J919" s="165"/>
      <c r="K919" s="165">
        <f>SUM(K918)</f>
        <v>44</v>
      </c>
      <c r="L919" s="165">
        <f>SUM(L917:L918)</f>
        <v>17104</v>
      </c>
      <c r="M919" s="165"/>
      <c r="N919" s="166"/>
      <c r="O919" s="1699"/>
      <c r="P919" s="1699"/>
    </row>
    <row r="920" spans="1:16" s="3" customFormat="1" ht="18" customHeight="1" x14ac:dyDescent="0.3">
      <c r="A920" s="699">
        <v>913</v>
      </c>
      <c r="B920" s="1289"/>
      <c r="C920" s="1387">
        <v>147</v>
      </c>
      <c r="D920" s="690" t="s">
        <v>479</v>
      </c>
      <c r="E920" s="198">
        <v>8162</v>
      </c>
      <c r="F920" s="198"/>
      <c r="G920" s="1276">
        <v>2809</v>
      </c>
      <c r="H920" s="704" t="s">
        <v>25</v>
      </c>
      <c r="I920" s="665"/>
      <c r="J920" s="197"/>
      <c r="K920" s="197"/>
      <c r="L920" s="197"/>
      <c r="M920" s="165"/>
      <c r="N920" s="166"/>
      <c r="O920" s="10"/>
      <c r="P920" s="10"/>
    </row>
    <row r="921" spans="1:16" s="3" customFormat="1" ht="18" customHeight="1" x14ac:dyDescent="0.3">
      <c r="A921" s="699">
        <v>914</v>
      </c>
      <c r="B921" s="1289"/>
      <c r="C921" s="1387"/>
      <c r="D921" s="690" t="s">
        <v>1307</v>
      </c>
      <c r="E921" s="198"/>
      <c r="F921" s="198"/>
      <c r="G921" s="1276"/>
      <c r="H921" s="704"/>
      <c r="I921" s="665">
        <f>SUM(J921:N921)</f>
        <v>1966</v>
      </c>
      <c r="J921" s="197"/>
      <c r="K921" s="197"/>
      <c r="L921" s="165">
        <v>1966</v>
      </c>
      <c r="M921" s="165"/>
      <c r="N921" s="166"/>
      <c r="O921" s="10"/>
      <c r="P921" s="10"/>
    </row>
    <row r="922" spans="1:16" s="3" customFormat="1" ht="18" customHeight="1" x14ac:dyDescent="0.3">
      <c r="A922" s="699">
        <v>915</v>
      </c>
      <c r="B922" s="1289"/>
      <c r="C922" s="1387"/>
      <c r="D922" s="1150" t="s">
        <v>834</v>
      </c>
      <c r="E922" s="198"/>
      <c r="F922" s="198"/>
      <c r="G922" s="1276"/>
      <c r="H922" s="704"/>
      <c r="I922" s="158">
        <f>SUM(J922:Q922)</f>
        <v>0</v>
      </c>
      <c r="J922" s="197"/>
      <c r="K922" s="197"/>
      <c r="L922" s="717"/>
      <c r="M922" s="165"/>
      <c r="N922" s="166"/>
      <c r="O922" s="10"/>
      <c r="P922" s="10"/>
    </row>
    <row r="923" spans="1:16" s="110" customFormat="1" ht="18" customHeight="1" x14ac:dyDescent="0.35">
      <c r="A923" s="699">
        <v>916</v>
      </c>
      <c r="B923" s="1303"/>
      <c r="C923" s="1396"/>
      <c r="D923" s="690" t="s">
        <v>1391</v>
      </c>
      <c r="E923" s="1308"/>
      <c r="F923" s="1308"/>
      <c r="G923" s="1309"/>
      <c r="H923" s="704"/>
      <c r="I923" s="665">
        <f>SUM(J923:N923)</f>
        <v>1966</v>
      </c>
      <c r="J923" s="165"/>
      <c r="K923" s="165"/>
      <c r="L923" s="165">
        <f>SUM(L921:L922)</f>
        <v>1966</v>
      </c>
      <c r="M923" s="165"/>
      <c r="N923" s="166"/>
      <c r="O923" s="1699"/>
      <c r="P923" s="1699"/>
    </row>
    <row r="924" spans="1:16" s="3" customFormat="1" ht="29.45" customHeight="1" x14ac:dyDescent="0.3">
      <c r="A924" s="699">
        <v>917</v>
      </c>
      <c r="B924" s="1289"/>
      <c r="C924" s="1395">
        <v>148</v>
      </c>
      <c r="D924" s="690" t="s">
        <v>450</v>
      </c>
      <c r="E924" s="198"/>
      <c r="F924" s="198"/>
      <c r="G924" s="1276">
        <v>70</v>
      </c>
      <c r="H924" s="719" t="s">
        <v>25</v>
      </c>
      <c r="I924" s="665"/>
      <c r="J924" s="197"/>
      <c r="K924" s="197"/>
      <c r="L924" s="197"/>
      <c r="M924" s="165"/>
      <c r="N924" s="166"/>
      <c r="O924" s="10"/>
      <c r="P924" s="10"/>
    </row>
    <row r="925" spans="1:16" s="3" customFormat="1" ht="20.100000000000001" customHeight="1" x14ac:dyDescent="0.3">
      <c r="A925" s="699">
        <v>918</v>
      </c>
      <c r="B925" s="1289"/>
      <c r="C925" s="1387"/>
      <c r="D925" s="690" t="s">
        <v>1307</v>
      </c>
      <c r="E925" s="198"/>
      <c r="F925" s="198"/>
      <c r="G925" s="1276"/>
      <c r="H925" s="719"/>
      <c r="I925" s="665">
        <f>SUM(J925:N925)</f>
        <v>2346</v>
      </c>
      <c r="J925" s="197"/>
      <c r="K925" s="197"/>
      <c r="L925" s="165">
        <v>2346</v>
      </c>
      <c r="M925" s="165"/>
      <c r="N925" s="166"/>
      <c r="O925" s="10"/>
      <c r="P925" s="10"/>
    </row>
    <row r="926" spans="1:16" s="3" customFormat="1" ht="18" customHeight="1" x14ac:dyDescent="0.3">
      <c r="A926" s="699">
        <v>919</v>
      </c>
      <c r="B926" s="1289"/>
      <c r="C926" s="1395"/>
      <c r="D926" s="1150" t="s">
        <v>834</v>
      </c>
      <c r="E926" s="198"/>
      <c r="F926" s="198"/>
      <c r="G926" s="1276"/>
      <c r="H926" s="719"/>
      <c r="I926" s="158">
        <f>SUM(J926:Q926)</f>
        <v>0</v>
      </c>
      <c r="J926" s="197"/>
      <c r="K926" s="197"/>
      <c r="L926" s="717"/>
      <c r="M926" s="165"/>
      <c r="N926" s="166"/>
      <c r="O926" s="10"/>
      <c r="P926" s="10"/>
    </row>
    <row r="927" spans="1:16" s="110" customFormat="1" ht="18" customHeight="1" x14ac:dyDescent="0.35">
      <c r="A927" s="699">
        <v>920</v>
      </c>
      <c r="B927" s="1303"/>
      <c r="C927" s="1397"/>
      <c r="D927" s="690" t="s">
        <v>1391</v>
      </c>
      <c r="E927" s="1308"/>
      <c r="F927" s="1308"/>
      <c r="G927" s="1309"/>
      <c r="H927" s="719"/>
      <c r="I927" s="665">
        <f>SUM(J927:N927)</f>
        <v>2346</v>
      </c>
      <c r="J927" s="165"/>
      <c r="K927" s="165"/>
      <c r="L927" s="165">
        <f>SUM(L925:L926)</f>
        <v>2346</v>
      </c>
      <c r="M927" s="165"/>
      <c r="N927" s="166"/>
      <c r="O927" s="1699"/>
      <c r="P927" s="1699"/>
    </row>
    <row r="928" spans="1:16" s="3" customFormat="1" ht="18" customHeight="1" x14ac:dyDescent="0.3">
      <c r="A928" s="699">
        <v>921</v>
      </c>
      <c r="B928" s="1289"/>
      <c r="C928" s="1387">
        <v>149</v>
      </c>
      <c r="D928" s="690" t="s">
        <v>614</v>
      </c>
      <c r="E928" s="198"/>
      <c r="F928" s="198"/>
      <c r="G928" s="1276">
        <v>100</v>
      </c>
      <c r="H928" s="719" t="s">
        <v>25</v>
      </c>
      <c r="I928" s="665"/>
      <c r="J928" s="165"/>
      <c r="K928" s="165"/>
      <c r="L928" s="165"/>
      <c r="M928" s="165"/>
      <c r="N928" s="166"/>
      <c r="O928" s="10"/>
      <c r="P928" s="10"/>
    </row>
    <row r="929" spans="1:16" s="3" customFormat="1" ht="18" customHeight="1" x14ac:dyDescent="0.3">
      <c r="A929" s="699">
        <v>922</v>
      </c>
      <c r="B929" s="1289"/>
      <c r="C929" s="1387"/>
      <c r="D929" s="690" t="s">
        <v>1307</v>
      </c>
      <c r="E929" s="198"/>
      <c r="F929" s="198"/>
      <c r="G929" s="1276"/>
      <c r="H929" s="719"/>
      <c r="I929" s="665">
        <f>SUM(J929:N929)</f>
        <v>205</v>
      </c>
      <c r="J929" s="165"/>
      <c r="K929" s="165"/>
      <c r="L929" s="165">
        <v>205</v>
      </c>
      <c r="M929" s="165"/>
      <c r="N929" s="166"/>
      <c r="O929" s="10"/>
      <c r="P929" s="10"/>
    </row>
    <row r="930" spans="1:16" s="3" customFormat="1" ht="18" customHeight="1" x14ac:dyDescent="0.3">
      <c r="A930" s="699">
        <v>923</v>
      </c>
      <c r="B930" s="1289"/>
      <c r="C930" s="1387"/>
      <c r="D930" s="1150" t="s">
        <v>954</v>
      </c>
      <c r="E930" s="198"/>
      <c r="F930" s="198"/>
      <c r="G930" s="1276"/>
      <c r="H930" s="719"/>
      <c r="I930" s="158">
        <f>SUM(J930:Q930)</f>
        <v>-40</v>
      </c>
      <c r="J930" s="165"/>
      <c r="K930" s="165"/>
      <c r="L930" s="717">
        <v>-40</v>
      </c>
      <c r="M930" s="165"/>
      <c r="N930" s="166"/>
      <c r="O930" s="10"/>
      <c r="P930" s="10"/>
    </row>
    <row r="931" spans="1:16" s="110" customFormat="1" ht="18" customHeight="1" x14ac:dyDescent="0.35">
      <c r="A931" s="699">
        <v>924</v>
      </c>
      <c r="B931" s="1303"/>
      <c r="C931" s="1396"/>
      <c r="D931" s="690" t="s">
        <v>1391</v>
      </c>
      <c r="E931" s="1308"/>
      <c r="F931" s="1308"/>
      <c r="G931" s="1309"/>
      <c r="H931" s="719"/>
      <c r="I931" s="665">
        <f>SUM(J931:N931)</f>
        <v>165</v>
      </c>
      <c r="J931" s="165"/>
      <c r="K931" s="165"/>
      <c r="L931" s="165">
        <f>SUM(L929:L930)</f>
        <v>165</v>
      </c>
      <c r="M931" s="165"/>
      <c r="N931" s="166"/>
      <c r="O931" s="1699"/>
      <c r="P931" s="1699"/>
    </row>
    <row r="932" spans="1:16" s="3" customFormat="1" ht="18" customHeight="1" x14ac:dyDescent="0.3">
      <c r="A932" s="699">
        <v>925</v>
      </c>
      <c r="B932" s="1289"/>
      <c r="C932" s="1387">
        <v>150</v>
      </c>
      <c r="D932" s="690" t="s">
        <v>615</v>
      </c>
      <c r="E932" s="198"/>
      <c r="F932" s="198"/>
      <c r="G932" s="1276"/>
      <c r="H932" s="719" t="s">
        <v>25</v>
      </c>
      <c r="I932" s="665"/>
      <c r="J932" s="165"/>
      <c r="K932" s="165"/>
      <c r="L932" s="165"/>
      <c r="M932" s="165"/>
      <c r="N932" s="166"/>
      <c r="O932" s="10"/>
      <c r="P932" s="10"/>
    </row>
    <row r="933" spans="1:16" s="3" customFormat="1" ht="18" customHeight="1" x14ac:dyDescent="0.3">
      <c r="A933" s="699">
        <v>926</v>
      </c>
      <c r="B933" s="1289"/>
      <c r="C933" s="1387"/>
      <c r="D933" s="690" t="s">
        <v>1307</v>
      </c>
      <c r="E933" s="198"/>
      <c r="F933" s="198"/>
      <c r="G933" s="1276"/>
      <c r="H933" s="719"/>
      <c r="I933" s="665">
        <f>SUM(J933:N933)</f>
        <v>0</v>
      </c>
      <c r="J933" s="165"/>
      <c r="K933" s="165"/>
      <c r="L933" s="165">
        <v>0</v>
      </c>
      <c r="M933" s="165"/>
      <c r="N933" s="166"/>
      <c r="O933" s="10"/>
      <c r="P933" s="10"/>
    </row>
    <row r="934" spans="1:16" s="3" customFormat="1" ht="18" customHeight="1" x14ac:dyDescent="0.3">
      <c r="A934" s="699">
        <v>927</v>
      </c>
      <c r="B934" s="1289"/>
      <c r="C934" s="1387"/>
      <c r="D934" s="1150" t="s">
        <v>834</v>
      </c>
      <c r="E934" s="198"/>
      <c r="F934" s="198"/>
      <c r="G934" s="1276"/>
      <c r="H934" s="719"/>
      <c r="I934" s="158">
        <f>SUM(J934:Q934)</f>
        <v>0</v>
      </c>
      <c r="J934" s="165"/>
      <c r="K934" s="165"/>
      <c r="L934" s="717"/>
      <c r="M934" s="165"/>
      <c r="N934" s="166"/>
      <c r="O934" s="10"/>
      <c r="P934" s="10"/>
    </row>
    <row r="935" spans="1:16" s="110" customFormat="1" ht="18" customHeight="1" x14ac:dyDescent="0.35">
      <c r="A935" s="699">
        <v>928</v>
      </c>
      <c r="B935" s="1303"/>
      <c r="C935" s="1396"/>
      <c r="D935" s="690" t="s">
        <v>1391</v>
      </c>
      <c r="E935" s="1308"/>
      <c r="F935" s="1308"/>
      <c r="G935" s="1309"/>
      <c r="H935" s="719"/>
      <c r="I935" s="665">
        <f>SUM(J935:N935)</f>
        <v>0</v>
      </c>
      <c r="J935" s="165"/>
      <c r="K935" s="165"/>
      <c r="L935" s="165">
        <f>SUM(L933:L934)</f>
        <v>0</v>
      </c>
      <c r="M935" s="165"/>
      <c r="N935" s="166"/>
      <c r="O935" s="1699"/>
      <c r="P935" s="1699"/>
    </row>
    <row r="936" spans="1:16" s="3" customFormat="1" ht="18" customHeight="1" x14ac:dyDescent="0.3">
      <c r="A936" s="699">
        <v>929</v>
      </c>
      <c r="B936" s="1289"/>
      <c r="C936" s="1387">
        <v>151</v>
      </c>
      <c r="D936" s="690" t="s">
        <v>480</v>
      </c>
      <c r="E936" s="198"/>
      <c r="F936" s="198"/>
      <c r="G936" s="1276">
        <v>399</v>
      </c>
      <c r="H936" s="704" t="s">
        <v>25</v>
      </c>
      <c r="I936" s="665"/>
      <c r="J936" s="197"/>
      <c r="K936" s="197"/>
      <c r="L936" s="197"/>
      <c r="M936" s="165"/>
      <c r="N936" s="166"/>
      <c r="O936" s="10"/>
      <c r="P936" s="10"/>
    </row>
    <row r="937" spans="1:16" s="3" customFormat="1" ht="18" customHeight="1" x14ac:dyDescent="0.3">
      <c r="A937" s="699">
        <v>930</v>
      </c>
      <c r="B937" s="1289"/>
      <c r="C937" s="1387"/>
      <c r="D937" s="690" t="s">
        <v>1307</v>
      </c>
      <c r="E937" s="198"/>
      <c r="F937" s="198"/>
      <c r="G937" s="1276"/>
      <c r="H937" s="704"/>
      <c r="I937" s="665">
        <f>SUM(J937:N937)</f>
        <v>3101</v>
      </c>
      <c r="J937" s="197"/>
      <c r="K937" s="197"/>
      <c r="L937" s="165">
        <v>3101</v>
      </c>
      <c r="M937" s="165"/>
      <c r="N937" s="166"/>
      <c r="O937" s="10"/>
      <c r="P937" s="10"/>
    </row>
    <row r="938" spans="1:16" s="3" customFormat="1" ht="18" customHeight="1" x14ac:dyDescent="0.3">
      <c r="A938" s="699">
        <v>931</v>
      </c>
      <c r="B938" s="1289"/>
      <c r="C938" s="1387"/>
      <c r="D938" s="1150" t="s">
        <v>954</v>
      </c>
      <c r="E938" s="198"/>
      <c r="F938" s="198"/>
      <c r="G938" s="1276"/>
      <c r="H938" s="704"/>
      <c r="I938" s="158">
        <f>SUM(J938:Q938)</f>
        <v>232</v>
      </c>
      <c r="J938" s="197"/>
      <c r="K938" s="197"/>
      <c r="L938" s="717">
        <v>232</v>
      </c>
      <c r="M938" s="165"/>
      <c r="N938" s="166"/>
      <c r="O938" s="10"/>
      <c r="P938" s="10"/>
    </row>
    <row r="939" spans="1:16" s="110" customFormat="1" ht="18" customHeight="1" x14ac:dyDescent="0.35">
      <c r="A939" s="699">
        <v>932</v>
      </c>
      <c r="B939" s="1303"/>
      <c r="C939" s="1396"/>
      <c r="D939" s="690" t="s">
        <v>1391</v>
      </c>
      <c r="E939" s="1308"/>
      <c r="F939" s="1308"/>
      <c r="G939" s="1309"/>
      <c r="H939" s="704"/>
      <c r="I939" s="665">
        <f>SUM(J939:N939)</f>
        <v>3333</v>
      </c>
      <c r="J939" s="165"/>
      <c r="K939" s="165"/>
      <c r="L939" s="165">
        <f>SUM(L937:L938)</f>
        <v>3333</v>
      </c>
      <c r="M939" s="165"/>
      <c r="N939" s="166"/>
      <c r="O939" s="1699"/>
      <c r="P939" s="1699"/>
    </row>
    <row r="940" spans="1:16" s="3" customFormat="1" ht="18" customHeight="1" x14ac:dyDescent="0.3">
      <c r="A940" s="699">
        <v>933</v>
      </c>
      <c r="B940" s="1289"/>
      <c r="C940" s="1387">
        <v>152</v>
      </c>
      <c r="D940" s="690" t="s">
        <v>617</v>
      </c>
      <c r="E940" s="198"/>
      <c r="F940" s="198"/>
      <c r="G940" s="1276"/>
      <c r="H940" s="704" t="s">
        <v>25</v>
      </c>
      <c r="I940" s="665"/>
      <c r="J940" s="197"/>
      <c r="K940" s="197"/>
      <c r="L940" s="197"/>
      <c r="M940" s="165"/>
      <c r="N940" s="166"/>
      <c r="O940" s="10"/>
      <c r="P940" s="10"/>
    </row>
    <row r="941" spans="1:16" s="3" customFormat="1" ht="18" customHeight="1" x14ac:dyDescent="0.3">
      <c r="A941" s="699">
        <v>934</v>
      </c>
      <c r="B941" s="1289"/>
      <c r="C941" s="1387"/>
      <c r="D941" s="690" t="s">
        <v>1307</v>
      </c>
      <c r="E941" s="198"/>
      <c r="F941" s="198"/>
      <c r="G941" s="1276"/>
      <c r="H941" s="704"/>
      <c r="I941" s="665">
        <f>SUM(J941:N941)</f>
        <v>0</v>
      </c>
      <c r="J941" s="197"/>
      <c r="K941" s="197"/>
      <c r="L941" s="165">
        <v>0</v>
      </c>
      <c r="M941" s="165"/>
      <c r="N941" s="166"/>
      <c r="O941" s="10"/>
      <c r="P941" s="10"/>
    </row>
    <row r="942" spans="1:16" s="3" customFormat="1" ht="18" customHeight="1" x14ac:dyDescent="0.3">
      <c r="A942" s="699">
        <v>935</v>
      </c>
      <c r="B942" s="1289"/>
      <c r="C942" s="1387"/>
      <c r="D942" s="1150" t="s">
        <v>834</v>
      </c>
      <c r="E942" s="198"/>
      <c r="F942" s="198"/>
      <c r="G942" s="1276"/>
      <c r="H942" s="704"/>
      <c r="I942" s="158">
        <f>SUM(J942:Q942)</f>
        <v>0</v>
      </c>
      <c r="J942" s="197"/>
      <c r="K942" s="197"/>
      <c r="L942" s="717"/>
      <c r="M942" s="165"/>
      <c r="N942" s="166"/>
      <c r="O942" s="10"/>
      <c r="P942" s="10"/>
    </row>
    <row r="943" spans="1:16" s="110" customFormat="1" ht="18" customHeight="1" x14ac:dyDescent="0.35">
      <c r="A943" s="699">
        <v>936</v>
      </c>
      <c r="B943" s="1303"/>
      <c r="C943" s="1396"/>
      <c r="D943" s="690" t="s">
        <v>1391</v>
      </c>
      <c r="E943" s="1308"/>
      <c r="F943" s="1308"/>
      <c r="G943" s="1309"/>
      <c r="H943" s="704"/>
      <c r="I943" s="665">
        <f>SUM(J943:N943)</f>
        <v>0</v>
      </c>
      <c r="J943" s="165"/>
      <c r="K943" s="165"/>
      <c r="L943" s="165">
        <f>SUM(L941:L942)</f>
        <v>0</v>
      </c>
      <c r="M943" s="165"/>
      <c r="N943" s="166"/>
      <c r="O943" s="1699"/>
      <c r="P943" s="1699"/>
    </row>
    <row r="944" spans="1:16" s="3" customFormat="1" ht="29.45" customHeight="1" x14ac:dyDescent="0.3">
      <c r="A944" s="699">
        <v>937</v>
      </c>
      <c r="B944" s="1289"/>
      <c r="C944" s="1395">
        <v>153</v>
      </c>
      <c r="D944" s="690" t="s">
        <v>499</v>
      </c>
      <c r="E944" s="198"/>
      <c r="F944" s="198"/>
      <c r="G944" s="1276">
        <v>533</v>
      </c>
      <c r="H944" s="719" t="s">
        <v>25</v>
      </c>
      <c r="I944" s="665"/>
      <c r="J944" s="197"/>
      <c r="K944" s="197"/>
      <c r="L944" s="197"/>
      <c r="M944" s="165"/>
      <c r="N944" s="166"/>
      <c r="O944" s="10"/>
      <c r="P944" s="10"/>
    </row>
    <row r="945" spans="1:16" s="3" customFormat="1" ht="20.100000000000001" customHeight="1" x14ac:dyDescent="0.3">
      <c r="A945" s="699">
        <v>938</v>
      </c>
      <c r="B945" s="1289"/>
      <c r="C945" s="1387"/>
      <c r="D945" s="690" t="s">
        <v>1307</v>
      </c>
      <c r="E945" s="198"/>
      <c r="F945" s="198"/>
      <c r="G945" s="1276"/>
      <c r="H945" s="719"/>
      <c r="I945" s="665">
        <f>SUM(J945:N945)</f>
        <v>632</v>
      </c>
      <c r="J945" s="197"/>
      <c r="K945" s="197"/>
      <c r="L945" s="165">
        <v>632</v>
      </c>
      <c r="M945" s="165"/>
      <c r="N945" s="166"/>
      <c r="O945" s="10"/>
      <c r="P945" s="10"/>
    </row>
    <row r="946" spans="1:16" s="3" customFormat="1" ht="18" customHeight="1" x14ac:dyDescent="0.3">
      <c r="A946" s="699">
        <v>939</v>
      </c>
      <c r="B946" s="1289"/>
      <c r="C946" s="1387"/>
      <c r="D946" s="1150" t="s">
        <v>834</v>
      </c>
      <c r="E946" s="198"/>
      <c r="F946" s="198"/>
      <c r="G946" s="1276"/>
      <c r="H946" s="719"/>
      <c r="I946" s="158">
        <f>SUM(J946:Q946)</f>
        <v>0</v>
      </c>
      <c r="J946" s="197"/>
      <c r="K946" s="197"/>
      <c r="L946" s="717"/>
      <c r="M946" s="165"/>
      <c r="N946" s="166"/>
      <c r="O946" s="10"/>
      <c r="P946" s="10"/>
    </row>
    <row r="947" spans="1:16" s="110" customFormat="1" ht="18" customHeight="1" x14ac:dyDescent="0.35">
      <c r="A947" s="699">
        <v>940</v>
      </c>
      <c r="B947" s="1303"/>
      <c r="C947" s="1396"/>
      <c r="D947" s="690" t="s">
        <v>1391</v>
      </c>
      <c r="E947" s="1308"/>
      <c r="F947" s="1308"/>
      <c r="G947" s="1309"/>
      <c r="H947" s="719"/>
      <c r="I947" s="665">
        <f>SUM(J947:N947)</f>
        <v>632</v>
      </c>
      <c r="J947" s="165"/>
      <c r="K947" s="165"/>
      <c r="L947" s="165">
        <f>SUM(L945:L946)</f>
        <v>632</v>
      </c>
      <c r="M947" s="165"/>
      <c r="N947" s="166"/>
      <c r="O947" s="1699"/>
      <c r="P947" s="1699"/>
    </row>
    <row r="948" spans="1:16" s="3" customFormat="1" ht="18" customHeight="1" x14ac:dyDescent="0.3">
      <c r="A948" s="699">
        <v>941</v>
      </c>
      <c r="B948" s="1289"/>
      <c r="C948" s="1387">
        <v>154</v>
      </c>
      <c r="D948" s="690" t="s">
        <v>498</v>
      </c>
      <c r="E948" s="198"/>
      <c r="F948" s="198"/>
      <c r="G948" s="1276">
        <v>92</v>
      </c>
      <c r="H948" s="704" t="s">
        <v>25</v>
      </c>
      <c r="I948" s="665"/>
      <c r="J948" s="165"/>
      <c r="K948" s="165"/>
      <c r="L948" s="165"/>
      <c r="M948" s="165"/>
      <c r="N948" s="166"/>
      <c r="O948" s="10"/>
      <c r="P948" s="10"/>
    </row>
    <row r="949" spans="1:16" s="3" customFormat="1" ht="18" customHeight="1" x14ac:dyDescent="0.3">
      <c r="A949" s="699">
        <v>942</v>
      </c>
      <c r="B949" s="1289"/>
      <c r="C949" s="1387"/>
      <c r="D949" s="690" t="s">
        <v>1307</v>
      </c>
      <c r="E949" s="198"/>
      <c r="F949" s="198"/>
      <c r="G949" s="1276"/>
      <c r="H949" s="704"/>
      <c r="I949" s="665">
        <f>SUM(J949:N949)</f>
        <v>0</v>
      </c>
      <c r="J949" s="165"/>
      <c r="K949" s="165"/>
      <c r="L949" s="165"/>
      <c r="M949" s="165"/>
      <c r="N949" s="166"/>
      <c r="O949" s="10"/>
      <c r="P949" s="10"/>
    </row>
    <row r="950" spans="1:16" s="3" customFormat="1" ht="18" customHeight="1" x14ac:dyDescent="0.3">
      <c r="A950" s="699">
        <v>943</v>
      </c>
      <c r="B950" s="1289"/>
      <c r="C950" s="1387"/>
      <c r="D950" s="1150" t="s">
        <v>733</v>
      </c>
      <c r="E950" s="198"/>
      <c r="F950" s="198"/>
      <c r="G950" s="1276"/>
      <c r="H950" s="704"/>
      <c r="I950" s="158">
        <f>SUM(J950:Q950)</f>
        <v>200</v>
      </c>
      <c r="J950" s="165"/>
      <c r="K950" s="165"/>
      <c r="L950" s="717">
        <v>200</v>
      </c>
      <c r="M950" s="165"/>
      <c r="N950" s="166"/>
      <c r="O950" s="10"/>
      <c r="P950" s="10"/>
    </row>
    <row r="951" spans="1:16" s="110" customFormat="1" ht="18" customHeight="1" x14ac:dyDescent="0.35">
      <c r="A951" s="699">
        <v>944</v>
      </c>
      <c r="B951" s="1303"/>
      <c r="C951" s="1396"/>
      <c r="D951" s="690" t="s">
        <v>1391</v>
      </c>
      <c r="E951" s="1308"/>
      <c r="F951" s="1308"/>
      <c r="G951" s="1309"/>
      <c r="H951" s="704"/>
      <c r="I951" s="665">
        <f>SUM(J951:N951)</f>
        <v>200</v>
      </c>
      <c r="J951" s="165"/>
      <c r="K951" s="165"/>
      <c r="L951" s="165">
        <f>SUM(L950)</f>
        <v>200</v>
      </c>
      <c r="M951" s="165"/>
      <c r="N951" s="166"/>
      <c r="O951" s="1699"/>
      <c r="P951" s="1699"/>
    </row>
    <row r="952" spans="1:16" s="3" customFormat="1" ht="18" customHeight="1" x14ac:dyDescent="0.3">
      <c r="A952" s="699">
        <v>945</v>
      </c>
      <c r="B952" s="1289"/>
      <c r="C952" s="1387">
        <v>155</v>
      </c>
      <c r="D952" s="690" t="s">
        <v>720</v>
      </c>
      <c r="E952" s="198"/>
      <c r="F952" s="198"/>
      <c r="G952" s="1276"/>
      <c r="H952" s="704" t="s">
        <v>25</v>
      </c>
      <c r="I952" s="665"/>
      <c r="J952" s="165"/>
      <c r="K952" s="165"/>
      <c r="L952" s="165"/>
      <c r="M952" s="165"/>
      <c r="N952" s="166"/>
      <c r="O952" s="10"/>
      <c r="P952" s="10"/>
    </row>
    <row r="953" spans="1:16" s="3" customFormat="1" ht="18" customHeight="1" x14ac:dyDescent="0.3">
      <c r="A953" s="699">
        <v>946</v>
      </c>
      <c r="B953" s="1289"/>
      <c r="C953" s="1387"/>
      <c r="D953" s="690" t="s">
        <v>1307</v>
      </c>
      <c r="E953" s="198"/>
      <c r="F953" s="198"/>
      <c r="G953" s="1276"/>
      <c r="H953" s="704"/>
      <c r="I953" s="665">
        <f>SUM(J953:N953)</f>
        <v>500</v>
      </c>
      <c r="J953" s="165"/>
      <c r="K953" s="165"/>
      <c r="L953" s="165">
        <v>500</v>
      </c>
      <c r="M953" s="165"/>
      <c r="N953" s="166"/>
      <c r="O953" s="10"/>
      <c r="P953" s="10"/>
    </row>
    <row r="954" spans="1:16" s="3" customFormat="1" ht="18" customHeight="1" x14ac:dyDescent="0.3">
      <c r="A954" s="699">
        <v>947</v>
      </c>
      <c r="B954" s="1289"/>
      <c r="C954" s="1387"/>
      <c r="D954" s="1150" t="s">
        <v>834</v>
      </c>
      <c r="E954" s="198"/>
      <c r="F954" s="198"/>
      <c r="G954" s="1276"/>
      <c r="H954" s="704"/>
      <c r="I954" s="158">
        <f>SUM(J954:Q954)</f>
        <v>0</v>
      </c>
      <c r="J954" s="165"/>
      <c r="K954" s="165"/>
      <c r="L954" s="717"/>
      <c r="M954" s="165"/>
      <c r="N954" s="166"/>
      <c r="O954" s="10"/>
      <c r="P954" s="10"/>
    </row>
    <row r="955" spans="1:16" s="110" customFormat="1" ht="18" customHeight="1" x14ac:dyDescent="0.35">
      <c r="A955" s="699">
        <v>948</v>
      </c>
      <c r="B955" s="1303"/>
      <c r="C955" s="1396"/>
      <c r="D955" s="690" t="s">
        <v>1391</v>
      </c>
      <c r="E955" s="1308"/>
      <c r="F955" s="1308"/>
      <c r="G955" s="1309"/>
      <c r="H955" s="704"/>
      <c r="I955" s="665">
        <f>SUM(J955:N955)</f>
        <v>500</v>
      </c>
      <c r="J955" s="165"/>
      <c r="K955" s="165"/>
      <c r="L955" s="165">
        <f>SUM(L953:L954)</f>
        <v>500</v>
      </c>
      <c r="M955" s="165"/>
      <c r="N955" s="166"/>
      <c r="O955" s="1699"/>
      <c r="P955" s="1699"/>
    </row>
    <row r="956" spans="1:16" s="3" customFormat="1" ht="18" customHeight="1" x14ac:dyDescent="0.3">
      <c r="A956" s="699">
        <v>949</v>
      </c>
      <c r="B956" s="1289"/>
      <c r="C956" s="1387">
        <v>156</v>
      </c>
      <c r="D956" s="690" t="s">
        <v>618</v>
      </c>
      <c r="E956" s="198"/>
      <c r="F956" s="198"/>
      <c r="G956" s="1276"/>
      <c r="H956" s="704" t="s">
        <v>25</v>
      </c>
      <c r="I956" s="665"/>
      <c r="J956" s="165"/>
      <c r="K956" s="165"/>
      <c r="L956" s="165"/>
      <c r="M956" s="165"/>
      <c r="N956" s="166"/>
      <c r="O956" s="10"/>
      <c r="P956" s="10"/>
    </row>
    <row r="957" spans="1:16" s="3" customFormat="1" ht="18" customHeight="1" x14ac:dyDescent="0.3">
      <c r="A957" s="699">
        <v>950</v>
      </c>
      <c r="B957" s="1289"/>
      <c r="C957" s="1387"/>
      <c r="D957" s="690" t="s">
        <v>1307</v>
      </c>
      <c r="E957" s="198"/>
      <c r="F957" s="198"/>
      <c r="G957" s="1276"/>
      <c r="H957" s="704"/>
      <c r="I957" s="665">
        <f>SUM(J957:N957)</f>
        <v>635</v>
      </c>
      <c r="J957" s="165"/>
      <c r="K957" s="165"/>
      <c r="L957" s="165">
        <v>635</v>
      </c>
      <c r="M957" s="165"/>
      <c r="N957" s="166"/>
      <c r="O957" s="10"/>
      <c r="P957" s="10"/>
    </row>
    <row r="958" spans="1:16" s="3" customFormat="1" ht="18" customHeight="1" x14ac:dyDescent="0.3">
      <c r="A958" s="699">
        <v>951</v>
      </c>
      <c r="B958" s="1289"/>
      <c r="C958" s="1387"/>
      <c r="D958" s="1150" t="s">
        <v>733</v>
      </c>
      <c r="E958" s="198"/>
      <c r="F958" s="198"/>
      <c r="G958" s="1276"/>
      <c r="H958" s="704"/>
      <c r="I958" s="158">
        <f>SUM(J958:Q958)</f>
        <v>0</v>
      </c>
      <c r="J958" s="165"/>
      <c r="K958" s="165"/>
      <c r="L958" s="717"/>
      <c r="M958" s="165"/>
      <c r="N958" s="166"/>
      <c r="O958" s="10"/>
      <c r="P958" s="10"/>
    </row>
    <row r="959" spans="1:16" s="110" customFormat="1" ht="18" customHeight="1" x14ac:dyDescent="0.35">
      <c r="A959" s="699">
        <v>952</v>
      </c>
      <c r="B959" s="1303"/>
      <c r="C959" s="1396"/>
      <c r="D959" s="690" t="s">
        <v>1391</v>
      </c>
      <c r="E959" s="1308"/>
      <c r="F959" s="1308"/>
      <c r="G959" s="1309"/>
      <c r="H959" s="704"/>
      <c r="I959" s="665">
        <f>SUM(J959:N959)</f>
        <v>635</v>
      </c>
      <c r="J959" s="165"/>
      <c r="K959" s="165"/>
      <c r="L959" s="165">
        <f>SUM(L957:L958)</f>
        <v>635</v>
      </c>
      <c r="M959" s="165"/>
      <c r="N959" s="166"/>
      <c r="O959" s="1699"/>
      <c r="P959" s="1699"/>
    </row>
    <row r="960" spans="1:16" s="3" customFormat="1" ht="18" customHeight="1" x14ac:dyDescent="0.3">
      <c r="A960" s="699">
        <v>953</v>
      </c>
      <c r="B960" s="1289"/>
      <c r="C960" s="1387">
        <v>157</v>
      </c>
      <c r="D960" s="690" t="s">
        <v>620</v>
      </c>
      <c r="E960" s="198"/>
      <c r="F960" s="198"/>
      <c r="G960" s="1276"/>
      <c r="H960" s="704" t="s">
        <v>25</v>
      </c>
      <c r="I960" s="665"/>
      <c r="J960" s="165"/>
      <c r="K960" s="165"/>
      <c r="L960" s="165"/>
      <c r="M960" s="165"/>
      <c r="N960" s="166"/>
      <c r="O960" s="10"/>
      <c r="P960" s="10"/>
    </row>
    <row r="961" spans="1:16" s="3" customFormat="1" ht="18" customHeight="1" x14ac:dyDescent="0.3">
      <c r="A961" s="699">
        <v>954</v>
      </c>
      <c r="B961" s="1289"/>
      <c r="C961" s="1387"/>
      <c r="D961" s="690" t="s">
        <v>1307</v>
      </c>
      <c r="E961" s="198"/>
      <c r="F961" s="198"/>
      <c r="G961" s="1276"/>
      <c r="H961" s="704"/>
      <c r="I961" s="665">
        <f>SUM(J961:N961)</f>
        <v>1200</v>
      </c>
      <c r="J961" s="165"/>
      <c r="K961" s="165"/>
      <c r="L961" s="165">
        <v>1200</v>
      </c>
      <c r="M961" s="165"/>
      <c r="N961" s="166"/>
      <c r="O961" s="10"/>
      <c r="P961" s="10"/>
    </row>
    <row r="962" spans="1:16" s="3" customFormat="1" ht="18" customHeight="1" x14ac:dyDescent="0.3">
      <c r="A962" s="699">
        <v>955</v>
      </c>
      <c r="B962" s="1289"/>
      <c r="C962" s="1387"/>
      <c r="D962" s="1150" t="s">
        <v>834</v>
      </c>
      <c r="E962" s="198"/>
      <c r="F962" s="198"/>
      <c r="G962" s="1276"/>
      <c r="H962" s="704"/>
      <c r="I962" s="158">
        <f>SUM(J962:Q962)</f>
        <v>0</v>
      </c>
      <c r="J962" s="165"/>
      <c r="K962" s="165"/>
      <c r="L962" s="717"/>
      <c r="M962" s="165"/>
      <c r="N962" s="718"/>
      <c r="O962" s="10"/>
      <c r="P962" s="10"/>
    </row>
    <row r="963" spans="1:16" s="110" customFormat="1" ht="18" customHeight="1" x14ac:dyDescent="0.35">
      <c r="A963" s="699">
        <v>956</v>
      </c>
      <c r="B963" s="1303"/>
      <c r="C963" s="1396"/>
      <c r="D963" s="690" t="s">
        <v>1391</v>
      </c>
      <c r="E963" s="1308"/>
      <c r="F963" s="1308"/>
      <c r="G963" s="1309"/>
      <c r="H963" s="704"/>
      <c r="I963" s="665">
        <f>SUM(J963:N963)</f>
        <v>1200</v>
      </c>
      <c r="J963" s="165"/>
      <c r="K963" s="165"/>
      <c r="L963" s="165">
        <f>SUM(L961:L962)</f>
        <v>1200</v>
      </c>
      <c r="M963" s="165"/>
      <c r="N963" s="166"/>
      <c r="O963" s="1699"/>
      <c r="P963" s="1699"/>
    </row>
    <row r="964" spans="1:16" s="3" customFormat="1" ht="18" customHeight="1" x14ac:dyDescent="0.3">
      <c r="A964" s="699">
        <v>957</v>
      </c>
      <c r="B964" s="1289"/>
      <c r="C964" s="1387">
        <v>158</v>
      </c>
      <c r="D964" s="690" t="s">
        <v>622</v>
      </c>
      <c r="E964" s="198"/>
      <c r="F964" s="198"/>
      <c r="G964" s="1276">
        <v>698</v>
      </c>
      <c r="H964" s="704" t="s">
        <v>25</v>
      </c>
      <c r="I964" s="665"/>
      <c r="J964" s="165"/>
      <c r="K964" s="165"/>
      <c r="L964" s="165"/>
      <c r="M964" s="165"/>
      <c r="N964" s="166"/>
      <c r="O964" s="10"/>
      <c r="P964" s="10"/>
    </row>
    <row r="965" spans="1:16" s="3" customFormat="1" ht="18" customHeight="1" x14ac:dyDescent="0.3">
      <c r="A965" s="699">
        <v>958</v>
      </c>
      <c r="B965" s="1289"/>
      <c r="C965" s="1387"/>
      <c r="D965" s="690" t="s">
        <v>1307</v>
      </c>
      <c r="E965" s="198"/>
      <c r="F965" s="198"/>
      <c r="G965" s="1276"/>
      <c r="H965" s="704"/>
      <c r="I965" s="665">
        <f>SUM(J965:N965)</f>
        <v>102</v>
      </c>
      <c r="J965" s="165"/>
      <c r="K965" s="165"/>
      <c r="L965" s="165">
        <v>102</v>
      </c>
      <c r="M965" s="165"/>
      <c r="N965" s="166"/>
      <c r="O965" s="10"/>
      <c r="P965" s="10"/>
    </row>
    <row r="966" spans="1:16" s="3" customFormat="1" ht="18" customHeight="1" x14ac:dyDescent="0.3">
      <c r="A966" s="699">
        <v>959</v>
      </c>
      <c r="B966" s="1289"/>
      <c r="C966" s="1387"/>
      <c r="D966" s="1150" t="s">
        <v>834</v>
      </c>
      <c r="E966" s="198"/>
      <c r="F966" s="198"/>
      <c r="G966" s="1276"/>
      <c r="H966" s="704"/>
      <c r="I966" s="158">
        <f>SUM(J966:Q966)</f>
        <v>0</v>
      </c>
      <c r="J966" s="165"/>
      <c r="K966" s="165"/>
      <c r="L966" s="717"/>
      <c r="M966" s="165"/>
      <c r="N966" s="166"/>
      <c r="O966" s="10"/>
      <c r="P966" s="10"/>
    </row>
    <row r="967" spans="1:16" s="110" customFormat="1" ht="18" customHeight="1" x14ac:dyDescent="0.35">
      <c r="A967" s="699">
        <v>960</v>
      </c>
      <c r="B967" s="1303"/>
      <c r="C967" s="1396"/>
      <c r="D967" s="690" t="s">
        <v>1391</v>
      </c>
      <c r="E967" s="1308"/>
      <c r="F967" s="1308"/>
      <c r="G967" s="1309"/>
      <c r="H967" s="704"/>
      <c r="I967" s="665">
        <f>SUM(J967:N967)</f>
        <v>102</v>
      </c>
      <c r="J967" s="165"/>
      <c r="K967" s="165"/>
      <c r="L967" s="165">
        <f>SUM(L965:L966)</f>
        <v>102</v>
      </c>
      <c r="M967" s="165"/>
      <c r="N967" s="166"/>
      <c r="O967" s="1699"/>
      <c r="P967" s="1699"/>
    </row>
    <row r="968" spans="1:16" s="3" customFormat="1" ht="18" customHeight="1" x14ac:dyDescent="0.3">
      <c r="A968" s="699">
        <v>961</v>
      </c>
      <c r="B968" s="1289"/>
      <c r="C968" s="1387">
        <v>159</v>
      </c>
      <c r="D968" s="690" t="s">
        <v>623</v>
      </c>
      <c r="E968" s="198"/>
      <c r="F968" s="198"/>
      <c r="G968" s="1276"/>
      <c r="H968" s="704" t="s">
        <v>25</v>
      </c>
      <c r="I968" s="665"/>
      <c r="J968" s="165"/>
      <c r="K968" s="165"/>
      <c r="L968" s="165"/>
      <c r="M968" s="165"/>
      <c r="N968" s="166"/>
      <c r="O968" s="10"/>
      <c r="P968" s="10"/>
    </row>
    <row r="969" spans="1:16" s="3" customFormat="1" ht="18" customHeight="1" x14ac:dyDescent="0.3">
      <c r="A969" s="699">
        <v>962</v>
      </c>
      <c r="B969" s="1289"/>
      <c r="C969" s="1387"/>
      <c r="D969" s="690" t="s">
        <v>1307</v>
      </c>
      <c r="E969" s="198"/>
      <c r="F969" s="198"/>
      <c r="G969" s="1276"/>
      <c r="H969" s="704"/>
      <c r="I969" s="665">
        <f>SUM(J969:N969)</f>
        <v>14618</v>
      </c>
      <c r="J969" s="165"/>
      <c r="K969" s="165"/>
      <c r="L969" s="165">
        <v>14618</v>
      </c>
      <c r="M969" s="165"/>
      <c r="N969" s="166"/>
      <c r="O969" s="10"/>
      <c r="P969" s="10"/>
    </row>
    <row r="970" spans="1:16" s="3" customFormat="1" ht="18" customHeight="1" x14ac:dyDescent="0.3">
      <c r="A970" s="699">
        <v>963</v>
      </c>
      <c r="B970" s="1289"/>
      <c r="C970" s="1387"/>
      <c r="D970" s="1150" t="s">
        <v>834</v>
      </c>
      <c r="E970" s="198"/>
      <c r="F970" s="198"/>
      <c r="G970" s="1276"/>
      <c r="H970" s="704"/>
      <c r="I970" s="158">
        <f>SUM(J970:Q970)</f>
        <v>0</v>
      </c>
      <c r="J970" s="165"/>
      <c r="K970" s="165"/>
      <c r="L970" s="717"/>
      <c r="M970" s="165"/>
      <c r="N970" s="166"/>
      <c r="O970" s="10"/>
      <c r="P970" s="10"/>
    </row>
    <row r="971" spans="1:16" s="110" customFormat="1" ht="18" customHeight="1" x14ac:dyDescent="0.35">
      <c r="A971" s="699">
        <v>964</v>
      </c>
      <c r="B971" s="1303"/>
      <c r="C971" s="1396"/>
      <c r="D971" s="690" t="s">
        <v>1391</v>
      </c>
      <c r="E971" s="1308"/>
      <c r="F971" s="1308"/>
      <c r="G971" s="1309"/>
      <c r="H971" s="704"/>
      <c r="I971" s="665">
        <f>SUM(J971:N971)</f>
        <v>14618</v>
      </c>
      <c r="J971" s="165"/>
      <c r="K971" s="165"/>
      <c r="L971" s="165">
        <f>SUM(L969:L970)</f>
        <v>14618</v>
      </c>
      <c r="M971" s="165"/>
      <c r="N971" s="166"/>
      <c r="O971" s="1699"/>
      <c r="P971" s="1699"/>
    </row>
    <row r="972" spans="1:16" s="3" customFormat="1" ht="18" customHeight="1" x14ac:dyDescent="0.3">
      <c r="A972" s="699">
        <v>965</v>
      </c>
      <c r="B972" s="1289"/>
      <c r="C972" s="1387">
        <v>160</v>
      </c>
      <c r="D972" s="690" t="s">
        <v>921</v>
      </c>
      <c r="E972" s="198"/>
      <c r="F972" s="198"/>
      <c r="G972" s="1276">
        <v>9200</v>
      </c>
      <c r="H972" s="704" t="s">
        <v>25</v>
      </c>
      <c r="I972" s="665"/>
      <c r="J972" s="165"/>
      <c r="K972" s="165"/>
      <c r="L972" s="165"/>
      <c r="M972" s="165"/>
      <c r="N972" s="166"/>
      <c r="O972" s="10"/>
      <c r="P972" s="10"/>
    </row>
    <row r="973" spans="1:16" s="3" customFormat="1" ht="18" customHeight="1" x14ac:dyDescent="0.3">
      <c r="A973" s="699">
        <v>966</v>
      </c>
      <c r="B973" s="1289"/>
      <c r="C973" s="1387"/>
      <c r="D973" s="690" t="s">
        <v>1307</v>
      </c>
      <c r="E973" s="198"/>
      <c r="F973" s="198"/>
      <c r="G973" s="1276"/>
      <c r="H973" s="704"/>
      <c r="I973" s="665">
        <f>SUM(J973:N973)</f>
        <v>22605</v>
      </c>
      <c r="J973" s="165"/>
      <c r="K973" s="165"/>
      <c r="L973" s="165">
        <v>22605</v>
      </c>
      <c r="M973" s="165"/>
      <c r="N973" s="166"/>
      <c r="O973" s="10"/>
      <c r="P973" s="10"/>
    </row>
    <row r="974" spans="1:16" s="3" customFormat="1" ht="18" customHeight="1" x14ac:dyDescent="0.3">
      <c r="A974" s="699">
        <v>967</v>
      </c>
      <c r="B974" s="1289"/>
      <c r="C974" s="1387"/>
      <c r="D974" s="1150" t="s">
        <v>834</v>
      </c>
      <c r="E974" s="198"/>
      <c r="F974" s="198"/>
      <c r="G974" s="1276"/>
      <c r="H974" s="704"/>
      <c r="I974" s="158">
        <f>SUM(J974:Q974)</f>
        <v>0</v>
      </c>
      <c r="J974" s="165"/>
      <c r="K974" s="165"/>
      <c r="L974" s="717"/>
      <c r="M974" s="165"/>
      <c r="N974" s="166"/>
      <c r="O974" s="10"/>
      <c r="P974" s="10"/>
    </row>
    <row r="975" spans="1:16" s="110" customFormat="1" ht="18" customHeight="1" x14ac:dyDescent="0.35">
      <c r="A975" s="699">
        <v>968</v>
      </c>
      <c r="B975" s="1303"/>
      <c r="C975" s="1396"/>
      <c r="D975" s="690" t="s">
        <v>1391</v>
      </c>
      <c r="E975" s="1308"/>
      <c r="F975" s="1308"/>
      <c r="G975" s="1309"/>
      <c r="H975" s="704"/>
      <c r="I975" s="665">
        <f>SUM(J975:N975)</f>
        <v>22605</v>
      </c>
      <c r="J975" s="165"/>
      <c r="K975" s="165"/>
      <c r="L975" s="165">
        <f>SUM(L973:L974)</f>
        <v>22605</v>
      </c>
      <c r="M975" s="165"/>
      <c r="N975" s="166"/>
      <c r="O975" s="1699"/>
      <c r="P975" s="1699"/>
    </row>
    <row r="976" spans="1:16" s="3" customFormat="1" ht="20.100000000000001" customHeight="1" x14ac:dyDescent="0.3">
      <c r="A976" s="699">
        <v>969</v>
      </c>
      <c r="B976" s="1289"/>
      <c r="C976" s="1387">
        <v>161</v>
      </c>
      <c r="D976" s="690" t="s">
        <v>1140</v>
      </c>
      <c r="E976" s="198"/>
      <c r="F976" s="198"/>
      <c r="G976" s="1276">
        <v>94</v>
      </c>
      <c r="H976" s="719" t="s">
        <v>25</v>
      </c>
      <c r="I976" s="665"/>
      <c r="J976" s="165"/>
      <c r="K976" s="165"/>
      <c r="L976" s="165"/>
      <c r="M976" s="165"/>
      <c r="N976" s="166"/>
      <c r="O976" s="10"/>
      <c r="P976" s="10"/>
    </row>
    <row r="977" spans="1:16" s="3" customFormat="1" ht="20.100000000000001" customHeight="1" x14ac:dyDescent="0.3">
      <c r="A977" s="699">
        <v>970</v>
      </c>
      <c r="B977" s="1289"/>
      <c r="C977" s="1387"/>
      <c r="D977" s="690" t="s">
        <v>1307</v>
      </c>
      <c r="E977" s="198"/>
      <c r="F977" s="198"/>
      <c r="G977" s="1276"/>
      <c r="H977" s="719"/>
      <c r="I977" s="665">
        <f>SUM(J977:N977)</f>
        <v>55259</v>
      </c>
      <c r="J977" s="165"/>
      <c r="K977" s="165"/>
      <c r="L977" s="165">
        <v>55259</v>
      </c>
      <c r="M977" s="165"/>
      <c r="N977" s="166"/>
      <c r="O977" s="10"/>
      <c r="P977" s="10"/>
    </row>
    <row r="978" spans="1:16" s="3" customFormat="1" ht="18" customHeight="1" x14ac:dyDescent="0.3">
      <c r="A978" s="699">
        <v>971</v>
      </c>
      <c r="B978" s="1289"/>
      <c r="C978" s="1387"/>
      <c r="D978" s="1150" t="s">
        <v>733</v>
      </c>
      <c r="E978" s="198"/>
      <c r="F978" s="198"/>
      <c r="G978" s="1276"/>
      <c r="H978" s="719"/>
      <c r="I978" s="158">
        <f>SUM(J978:Q978)</f>
        <v>0</v>
      </c>
      <c r="J978" s="165"/>
      <c r="K978" s="165"/>
      <c r="L978" s="717"/>
      <c r="M978" s="165"/>
      <c r="N978" s="166"/>
      <c r="O978" s="10"/>
      <c r="P978" s="10"/>
    </row>
    <row r="979" spans="1:16" s="110" customFormat="1" ht="18.600000000000001" customHeight="1" x14ac:dyDescent="0.35">
      <c r="A979" s="699">
        <v>972</v>
      </c>
      <c r="B979" s="1303"/>
      <c r="C979" s="1396"/>
      <c r="D979" s="690" t="s">
        <v>1391</v>
      </c>
      <c r="E979" s="1308"/>
      <c r="F979" s="1308"/>
      <c r="G979" s="1309"/>
      <c r="H979" s="719"/>
      <c r="I979" s="665">
        <f>SUM(J979:N979)</f>
        <v>55259</v>
      </c>
      <c r="J979" s="165"/>
      <c r="K979" s="165"/>
      <c r="L979" s="165">
        <f>SUM(L977:L978)</f>
        <v>55259</v>
      </c>
      <c r="M979" s="165"/>
      <c r="N979" s="166"/>
      <c r="O979" s="1699"/>
      <c r="P979" s="1699"/>
    </row>
    <row r="980" spans="1:16" s="3" customFormat="1" ht="18.600000000000001" customHeight="1" x14ac:dyDescent="0.3">
      <c r="A980" s="699">
        <v>973</v>
      </c>
      <c r="B980" s="1289"/>
      <c r="C980" s="1387">
        <v>162</v>
      </c>
      <c r="D980" s="690" t="s">
        <v>917</v>
      </c>
      <c r="E980" s="198"/>
      <c r="F980" s="198"/>
      <c r="G980" s="1276"/>
      <c r="H980" s="719" t="s">
        <v>25</v>
      </c>
      <c r="I980" s="665"/>
      <c r="J980" s="165"/>
      <c r="K980" s="165"/>
      <c r="L980" s="165"/>
      <c r="M980" s="165"/>
      <c r="N980" s="166"/>
      <c r="O980" s="10"/>
      <c r="P980" s="10"/>
    </row>
    <row r="981" spans="1:16" s="3" customFormat="1" ht="18.600000000000001" customHeight="1" x14ac:dyDescent="0.3">
      <c r="A981" s="699">
        <v>974</v>
      </c>
      <c r="B981" s="1289"/>
      <c r="C981" s="1387"/>
      <c r="D981" s="690" t="s">
        <v>1307</v>
      </c>
      <c r="E981" s="198"/>
      <c r="F981" s="198"/>
      <c r="G981" s="1276"/>
      <c r="H981" s="719"/>
      <c r="I981" s="665">
        <f>SUM(J981:N981)</f>
        <v>270</v>
      </c>
      <c r="J981" s="165"/>
      <c r="K981" s="165"/>
      <c r="L981" s="165">
        <v>270</v>
      </c>
      <c r="M981" s="165"/>
      <c r="N981" s="166"/>
      <c r="O981" s="10"/>
      <c r="P981" s="10"/>
    </row>
    <row r="982" spans="1:16" s="3" customFormat="1" ht="18.600000000000001" customHeight="1" x14ac:dyDescent="0.3">
      <c r="A982" s="699">
        <v>975</v>
      </c>
      <c r="B982" s="1289"/>
      <c r="C982" s="1387"/>
      <c r="D982" s="1150" t="s">
        <v>834</v>
      </c>
      <c r="E982" s="198"/>
      <c r="F982" s="198"/>
      <c r="G982" s="1276"/>
      <c r="H982" s="719"/>
      <c r="I982" s="158">
        <f>SUM(J982:Q982)</f>
        <v>0</v>
      </c>
      <c r="J982" s="165"/>
      <c r="K982" s="165"/>
      <c r="L982" s="717"/>
      <c r="M982" s="165"/>
      <c r="N982" s="166"/>
      <c r="O982" s="10"/>
      <c r="P982" s="10"/>
    </row>
    <row r="983" spans="1:16" s="110" customFormat="1" ht="18.600000000000001" customHeight="1" x14ac:dyDescent="0.35">
      <c r="A983" s="699">
        <v>976</v>
      </c>
      <c r="B983" s="1303"/>
      <c r="C983" s="1396"/>
      <c r="D983" s="690" t="s">
        <v>1391</v>
      </c>
      <c r="E983" s="1308"/>
      <c r="F983" s="1308"/>
      <c r="G983" s="1309"/>
      <c r="H983" s="719"/>
      <c r="I983" s="665">
        <f>SUM(J983:N983)</f>
        <v>270</v>
      </c>
      <c r="J983" s="165"/>
      <c r="K983" s="165"/>
      <c r="L983" s="165">
        <f>SUM(L981:L982)</f>
        <v>270</v>
      </c>
      <c r="M983" s="165"/>
      <c r="N983" s="166"/>
      <c r="O983" s="1699"/>
      <c r="P983" s="1699"/>
    </row>
    <row r="984" spans="1:16" s="3" customFormat="1" ht="18.600000000000001" customHeight="1" x14ac:dyDescent="0.3">
      <c r="A984" s="699">
        <v>977</v>
      </c>
      <c r="B984" s="1289"/>
      <c r="C984" s="1387">
        <v>163</v>
      </c>
      <c r="D984" s="690" t="s">
        <v>918</v>
      </c>
      <c r="E984" s="198"/>
      <c r="F984" s="198"/>
      <c r="G984" s="1276"/>
      <c r="H984" s="719" t="s">
        <v>25</v>
      </c>
      <c r="I984" s="665"/>
      <c r="J984" s="165"/>
      <c r="K984" s="165"/>
      <c r="L984" s="165"/>
      <c r="M984" s="165"/>
      <c r="N984" s="166"/>
      <c r="O984" s="10"/>
      <c r="P984" s="10"/>
    </row>
    <row r="985" spans="1:16" s="3" customFormat="1" ht="18.600000000000001" customHeight="1" x14ac:dyDescent="0.3">
      <c r="A985" s="699">
        <v>978</v>
      </c>
      <c r="B985" s="1289"/>
      <c r="C985" s="1387"/>
      <c r="D985" s="690" t="s">
        <v>1307</v>
      </c>
      <c r="E985" s="198"/>
      <c r="F985" s="198"/>
      <c r="G985" s="1276"/>
      <c r="H985" s="719"/>
      <c r="I985" s="665">
        <f>SUM(J985:N985)</f>
        <v>270</v>
      </c>
      <c r="J985" s="165"/>
      <c r="K985" s="165"/>
      <c r="L985" s="165">
        <v>270</v>
      </c>
      <c r="M985" s="165"/>
      <c r="N985" s="166"/>
      <c r="O985" s="10"/>
      <c r="P985" s="10"/>
    </row>
    <row r="986" spans="1:16" s="3" customFormat="1" ht="18.600000000000001" customHeight="1" x14ac:dyDescent="0.3">
      <c r="A986" s="699">
        <v>979</v>
      </c>
      <c r="B986" s="1289"/>
      <c r="C986" s="1387"/>
      <c r="D986" s="1150" t="s">
        <v>834</v>
      </c>
      <c r="E986" s="198"/>
      <c r="F986" s="198"/>
      <c r="G986" s="1276"/>
      <c r="H986" s="719"/>
      <c r="I986" s="158">
        <f>SUM(J986:Q986)</f>
        <v>0</v>
      </c>
      <c r="J986" s="165"/>
      <c r="K986" s="165"/>
      <c r="L986" s="717"/>
      <c r="M986" s="165"/>
      <c r="N986" s="166"/>
      <c r="O986" s="10"/>
      <c r="P986" s="10"/>
    </row>
    <row r="987" spans="1:16" s="110" customFormat="1" ht="18.600000000000001" customHeight="1" x14ac:dyDescent="0.35">
      <c r="A987" s="699">
        <v>980</v>
      </c>
      <c r="B987" s="1303"/>
      <c r="C987" s="1396"/>
      <c r="D987" s="690" t="s">
        <v>1391</v>
      </c>
      <c r="E987" s="1308"/>
      <c r="F987" s="1308"/>
      <c r="G987" s="1309"/>
      <c r="H987" s="719"/>
      <c r="I987" s="665">
        <f>SUM(J987:N987)</f>
        <v>270</v>
      </c>
      <c r="J987" s="165"/>
      <c r="K987" s="165"/>
      <c r="L987" s="165">
        <f>SUM(L985:L986)</f>
        <v>270</v>
      </c>
      <c r="M987" s="165"/>
      <c r="N987" s="166"/>
      <c r="O987" s="1699"/>
      <c r="P987" s="1699"/>
    </row>
    <row r="988" spans="1:16" s="3" customFormat="1" ht="18.600000000000001" customHeight="1" x14ac:dyDescent="0.3">
      <c r="A988" s="699">
        <v>981</v>
      </c>
      <c r="B988" s="1289"/>
      <c r="C988" s="1387">
        <v>164</v>
      </c>
      <c r="D988" s="690" t="s">
        <v>716</v>
      </c>
      <c r="E988" s="198"/>
      <c r="F988" s="198"/>
      <c r="G988" s="1276"/>
      <c r="H988" s="719" t="s">
        <v>25</v>
      </c>
      <c r="I988" s="665"/>
      <c r="J988" s="165"/>
      <c r="K988" s="165"/>
      <c r="L988" s="165"/>
      <c r="M988" s="165"/>
      <c r="N988" s="166"/>
      <c r="O988" s="10"/>
      <c r="P988" s="10"/>
    </row>
    <row r="989" spans="1:16" s="3" customFormat="1" ht="18.600000000000001" customHeight="1" x14ac:dyDescent="0.3">
      <c r="A989" s="699">
        <v>982</v>
      </c>
      <c r="B989" s="1289"/>
      <c r="C989" s="1387"/>
      <c r="D989" s="690" t="s">
        <v>1307</v>
      </c>
      <c r="E989" s="198"/>
      <c r="F989" s="198"/>
      <c r="G989" s="1276"/>
      <c r="H989" s="719"/>
      <c r="I989" s="665">
        <f>SUM(J989:N989)</f>
        <v>378</v>
      </c>
      <c r="J989" s="165"/>
      <c r="K989" s="165"/>
      <c r="L989" s="165">
        <v>378</v>
      </c>
      <c r="M989" s="165"/>
      <c r="N989" s="166"/>
      <c r="O989" s="10"/>
      <c r="P989" s="10"/>
    </row>
    <row r="990" spans="1:16" s="3" customFormat="1" ht="18.600000000000001" customHeight="1" x14ac:dyDescent="0.3">
      <c r="A990" s="699">
        <v>983</v>
      </c>
      <c r="B990" s="1289"/>
      <c r="C990" s="1387"/>
      <c r="D990" s="1150" t="s">
        <v>834</v>
      </c>
      <c r="E990" s="198"/>
      <c r="F990" s="198"/>
      <c r="G990" s="1276"/>
      <c r="H990" s="719"/>
      <c r="I990" s="158">
        <f>SUM(J990:Q990)</f>
        <v>0</v>
      </c>
      <c r="J990" s="165"/>
      <c r="K990" s="165"/>
      <c r="L990" s="717"/>
      <c r="M990" s="165"/>
      <c r="N990" s="166"/>
      <c r="O990" s="10"/>
      <c r="P990" s="10"/>
    </row>
    <row r="991" spans="1:16" s="110" customFormat="1" ht="18.600000000000001" customHeight="1" x14ac:dyDescent="0.35">
      <c r="A991" s="699">
        <v>984</v>
      </c>
      <c r="B991" s="1303"/>
      <c r="C991" s="1396"/>
      <c r="D991" s="690" t="s">
        <v>1391</v>
      </c>
      <c r="E991" s="1308"/>
      <c r="F991" s="1308"/>
      <c r="G991" s="1309"/>
      <c r="H991" s="719"/>
      <c r="I991" s="665">
        <f>SUM(J991:N991)</f>
        <v>378</v>
      </c>
      <c r="J991" s="165"/>
      <c r="K991" s="165"/>
      <c r="L991" s="165">
        <f>SUM(L989:L990)</f>
        <v>378</v>
      </c>
      <c r="M991" s="165"/>
      <c r="N991" s="166"/>
      <c r="O991" s="1699"/>
      <c r="P991" s="1699"/>
    </row>
    <row r="992" spans="1:16" s="3" customFormat="1" ht="18.600000000000001" customHeight="1" x14ac:dyDescent="0.3">
      <c r="A992" s="699">
        <v>985</v>
      </c>
      <c r="B992" s="1289"/>
      <c r="C992" s="1387">
        <v>165</v>
      </c>
      <c r="D992" s="690" t="s">
        <v>715</v>
      </c>
      <c r="E992" s="198"/>
      <c r="F992" s="198"/>
      <c r="G992" s="1276"/>
      <c r="H992" s="719" t="s">
        <v>25</v>
      </c>
      <c r="I992" s="665"/>
      <c r="J992" s="165"/>
      <c r="K992" s="165"/>
      <c r="L992" s="165"/>
      <c r="M992" s="165"/>
      <c r="N992" s="166"/>
      <c r="O992" s="10"/>
      <c r="P992" s="10"/>
    </row>
    <row r="993" spans="1:16" s="3" customFormat="1" ht="18.600000000000001" customHeight="1" x14ac:dyDescent="0.3">
      <c r="A993" s="699">
        <v>986</v>
      </c>
      <c r="B993" s="1289"/>
      <c r="C993" s="1387"/>
      <c r="D993" s="690" t="s">
        <v>1307</v>
      </c>
      <c r="E993" s="198"/>
      <c r="F993" s="198"/>
      <c r="G993" s="1276"/>
      <c r="H993" s="719"/>
      <c r="I993" s="665">
        <f>SUM(J993:N993)</f>
        <v>0</v>
      </c>
      <c r="J993" s="165"/>
      <c r="K993" s="165"/>
      <c r="L993" s="165">
        <v>0</v>
      </c>
      <c r="M993" s="165"/>
      <c r="N993" s="166"/>
      <c r="O993" s="10"/>
      <c r="P993" s="10"/>
    </row>
    <row r="994" spans="1:16" s="3" customFormat="1" ht="18.600000000000001" customHeight="1" x14ac:dyDescent="0.3">
      <c r="A994" s="699">
        <v>987</v>
      </c>
      <c r="B994" s="1289"/>
      <c r="C994" s="1387"/>
      <c r="D994" s="1150" t="s">
        <v>834</v>
      </c>
      <c r="E994" s="198"/>
      <c r="F994" s="198"/>
      <c r="G994" s="1276"/>
      <c r="H994" s="719"/>
      <c r="I994" s="158">
        <f>SUM(J994:Q994)</f>
        <v>0</v>
      </c>
      <c r="J994" s="165"/>
      <c r="K994" s="165"/>
      <c r="L994" s="197"/>
      <c r="M994" s="165"/>
      <c r="N994" s="166"/>
      <c r="O994" s="10"/>
      <c r="P994" s="10"/>
    </row>
    <row r="995" spans="1:16" s="110" customFormat="1" ht="18.600000000000001" customHeight="1" x14ac:dyDescent="0.35">
      <c r="A995" s="699">
        <v>988</v>
      </c>
      <c r="B995" s="1303"/>
      <c r="C995" s="1396"/>
      <c r="D995" s="690" t="s">
        <v>1391</v>
      </c>
      <c r="E995" s="1308"/>
      <c r="F995" s="1308"/>
      <c r="G995" s="1309"/>
      <c r="H995" s="719"/>
      <c r="I995" s="665">
        <f>SUM(J995:N995)</f>
        <v>0</v>
      </c>
      <c r="J995" s="165"/>
      <c r="K995" s="165"/>
      <c r="L995" s="165">
        <f>SUM(L993:L994)</f>
        <v>0</v>
      </c>
      <c r="M995" s="165"/>
      <c r="N995" s="166"/>
      <c r="O995" s="1699"/>
      <c r="P995" s="1699"/>
    </row>
    <row r="996" spans="1:16" s="3" customFormat="1" ht="18.600000000000001" customHeight="1" x14ac:dyDescent="0.3">
      <c r="A996" s="699">
        <v>989</v>
      </c>
      <c r="B996" s="1289"/>
      <c r="C996" s="1387">
        <v>166</v>
      </c>
      <c r="D996" s="690" t="s">
        <v>922</v>
      </c>
      <c r="E996" s="198"/>
      <c r="F996" s="198"/>
      <c r="G996" s="1276"/>
      <c r="H996" s="719" t="s">
        <v>25</v>
      </c>
      <c r="I996" s="665"/>
      <c r="J996" s="165"/>
      <c r="K996" s="165"/>
      <c r="L996" s="165"/>
      <c r="M996" s="165"/>
      <c r="N996" s="166"/>
      <c r="O996" s="10"/>
      <c r="P996" s="10"/>
    </row>
    <row r="997" spans="1:16" s="3" customFormat="1" ht="18.600000000000001" customHeight="1" x14ac:dyDescent="0.3">
      <c r="A997" s="699">
        <v>990</v>
      </c>
      <c r="B997" s="1289"/>
      <c r="C997" s="1387"/>
      <c r="D997" s="690" t="s">
        <v>1307</v>
      </c>
      <c r="E997" s="198"/>
      <c r="F997" s="198"/>
      <c r="G997" s="1276"/>
      <c r="H997" s="719"/>
      <c r="I997" s="665">
        <f>SUM(J997:N997)</f>
        <v>278</v>
      </c>
      <c r="J997" s="165"/>
      <c r="K997" s="165"/>
      <c r="L997" s="165">
        <v>278</v>
      </c>
      <c r="M997" s="165"/>
      <c r="N997" s="166"/>
      <c r="O997" s="10"/>
      <c r="P997" s="10"/>
    </row>
    <row r="998" spans="1:16" s="3" customFormat="1" ht="18.600000000000001" customHeight="1" x14ac:dyDescent="0.3">
      <c r="A998" s="699">
        <v>991</v>
      </c>
      <c r="B998" s="1289"/>
      <c r="C998" s="1387"/>
      <c r="D998" s="1150" t="s">
        <v>834</v>
      </c>
      <c r="E998" s="198"/>
      <c r="F998" s="198"/>
      <c r="G998" s="1276"/>
      <c r="H998" s="719"/>
      <c r="I998" s="158">
        <f>SUM(J998:Q998)</f>
        <v>0</v>
      </c>
      <c r="J998" s="165"/>
      <c r="K998" s="165"/>
      <c r="L998" s="717"/>
      <c r="M998" s="165"/>
      <c r="N998" s="166"/>
      <c r="O998" s="10"/>
      <c r="P998" s="10"/>
    </row>
    <row r="999" spans="1:16" s="110" customFormat="1" ht="18.600000000000001" customHeight="1" x14ac:dyDescent="0.35">
      <c r="A999" s="699">
        <v>992</v>
      </c>
      <c r="B999" s="1303"/>
      <c r="C999" s="1396"/>
      <c r="D999" s="690" t="s">
        <v>1391</v>
      </c>
      <c r="E999" s="1308"/>
      <c r="F999" s="1308"/>
      <c r="G999" s="1309"/>
      <c r="H999" s="719"/>
      <c r="I999" s="665">
        <f>SUM(J999:N999)</f>
        <v>278</v>
      </c>
      <c r="J999" s="165"/>
      <c r="K999" s="165"/>
      <c r="L999" s="165">
        <f>SUM(L997:L998)</f>
        <v>278</v>
      </c>
      <c r="M999" s="165"/>
      <c r="N999" s="166"/>
      <c r="O999" s="1699"/>
      <c r="P999" s="1699"/>
    </row>
    <row r="1000" spans="1:16" s="182" customFormat="1" ht="18" customHeight="1" x14ac:dyDescent="0.3">
      <c r="A1000" s="699">
        <v>993</v>
      </c>
      <c r="B1000" s="1291"/>
      <c r="C1000" s="1387">
        <v>167</v>
      </c>
      <c r="D1000" s="690" t="s">
        <v>124</v>
      </c>
      <c r="E1000" s="198">
        <v>9525</v>
      </c>
      <c r="F1000" s="198"/>
      <c r="G1000" s="1276">
        <v>9377</v>
      </c>
      <c r="H1000" s="704" t="s">
        <v>25</v>
      </c>
      <c r="I1000" s="665"/>
      <c r="J1000" s="165"/>
      <c r="K1000" s="165"/>
      <c r="L1000" s="165"/>
      <c r="M1000" s="165"/>
      <c r="N1000" s="166"/>
      <c r="O1000" s="157"/>
      <c r="P1000" s="10"/>
    </row>
    <row r="1001" spans="1:16" s="182" customFormat="1" ht="18" customHeight="1" x14ac:dyDescent="0.3">
      <c r="A1001" s="699">
        <v>994</v>
      </c>
      <c r="B1001" s="1291"/>
      <c r="C1001" s="1387"/>
      <c r="D1001" s="690" t="s">
        <v>1307</v>
      </c>
      <c r="E1001" s="198"/>
      <c r="F1001" s="198"/>
      <c r="G1001" s="1276"/>
      <c r="H1001" s="704"/>
      <c r="I1001" s="665">
        <f>SUM(J1001:N1001)</f>
        <v>12857</v>
      </c>
      <c r="J1001" s="165"/>
      <c r="K1001" s="165"/>
      <c r="L1001" s="165"/>
      <c r="M1001" s="165"/>
      <c r="N1001" s="166">
        <v>12857</v>
      </c>
      <c r="O1001" s="157"/>
      <c r="P1001" s="10"/>
    </row>
    <row r="1002" spans="1:16" s="182" customFormat="1" ht="18" customHeight="1" x14ac:dyDescent="0.3">
      <c r="A1002" s="699">
        <v>995</v>
      </c>
      <c r="B1002" s="1291"/>
      <c r="C1002" s="1387"/>
      <c r="D1002" s="1150" t="s">
        <v>834</v>
      </c>
      <c r="E1002" s="198"/>
      <c r="F1002" s="198"/>
      <c r="G1002" s="1276"/>
      <c r="H1002" s="704"/>
      <c r="I1002" s="158">
        <f>SUM(J1002:Q1002)</f>
        <v>0</v>
      </c>
      <c r="J1002" s="165"/>
      <c r="K1002" s="165"/>
      <c r="L1002" s="165"/>
      <c r="M1002" s="165"/>
      <c r="N1002" s="718"/>
      <c r="O1002" s="157"/>
      <c r="P1002" s="10"/>
    </row>
    <row r="1003" spans="1:16" s="182" customFormat="1" ht="18" customHeight="1" x14ac:dyDescent="0.3">
      <c r="A1003" s="699">
        <v>996</v>
      </c>
      <c r="B1003" s="1291"/>
      <c r="C1003" s="1396"/>
      <c r="D1003" s="690" t="s">
        <v>1391</v>
      </c>
      <c r="E1003" s="1308"/>
      <c r="F1003" s="1308"/>
      <c r="G1003" s="1309"/>
      <c r="H1003" s="704"/>
      <c r="I1003" s="665">
        <f>SUM(J1003:N1003)</f>
        <v>12857</v>
      </c>
      <c r="J1003" s="165"/>
      <c r="K1003" s="165"/>
      <c r="L1003" s="165"/>
      <c r="M1003" s="165"/>
      <c r="N1003" s="166">
        <f>SUM(N1001:N1002)</f>
        <v>12857</v>
      </c>
      <c r="O1003" s="157"/>
      <c r="P1003" s="1699"/>
    </row>
    <row r="1004" spans="1:16" s="182" customFormat="1" ht="18" customHeight="1" x14ac:dyDescent="0.3">
      <c r="A1004" s="699">
        <v>997</v>
      </c>
      <c r="B1004" s="1291"/>
      <c r="C1004" s="1387">
        <v>168</v>
      </c>
      <c r="D1004" s="690" t="s">
        <v>908</v>
      </c>
      <c r="E1004" s="198"/>
      <c r="F1004" s="198"/>
      <c r="G1004" s="1276"/>
      <c r="H1004" s="704" t="s">
        <v>25</v>
      </c>
      <c r="I1004" s="665"/>
      <c r="J1004" s="165"/>
      <c r="K1004" s="165"/>
      <c r="L1004" s="165"/>
      <c r="M1004" s="165"/>
      <c r="N1004" s="166"/>
      <c r="O1004" s="157"/>
      <c r="P1004" s="10"/>
    </row>
    <row r="1005" spans="1:16" s="182" customFormat="1" ht="18" customHeight="1" x14ac:dyDescent="0.3">
      <c r="A1005" s="699">
        <v>998</v>
      </c>
      <c r="B1005" s="1291"/>
      <c r="C1005" s="1387"/>
      <c r="D1005" s="690" t="s">
        <v>1307</v>
      </c>
      <c r="E1005" s="198"/>
      <c r="F1005" s="198"/>
      <c r="G1005" s="1276"/>
      <c r="H1005" s="704"/>
      <c r="I1005" s="665">
        <f>SUM(J1005:N1005)</f>
        <v>1385</v>
      </c>
      <c r="J1005" s="165"/>
      <c r="K1005" s="165"/>
      <c r="L1005" s="165">
        <v>1385</v>
      </c>
      <c r="M1005" s="165"/>
      <c r="N1005" s="166"/>
      <c r="O1005" s="157"/>
      <c r="P1005" s="10"/>
    </row>
    <row r="1006" spans="1:16" s="182" customFormat="1" ht="18" customHeight="1" x14ac:dyDescent="0.3">
      <c r="A1006" s="699">
        <v>999</v>
      </c>
      <c r="B1006" s="1291"/>
      <c r="C1006" s="1387"/>
      <c r="D1006" s="1150" t="s">
        <v>834</v>
      </c>
      <c r="E1006" s="198"/>
      <c r="F1006" s="198"/>
      <c r="G1006" s="1276"/>
      <c r="H1006" s="704"/>
      <c r="I1006" s="158">
        <f>SUM(J1006:Q1006)</f>
        <v>0</v>
      </c>
      <c r="J1006" s="165"/>
      <c r="K1006" s="165"/>
      <c r="L1006" s="717"/>
      <c r="M1006" s="165"/>
      <c r="N1006" s="166"/>
      <c r="O1006" s="157"/>
      <c r="P1006" s="10"/>
    </row>
    <row r="1007" spans="1:16" s="182" customFormat="1" ht="18" customHeight="1" x14ac:dyDescent="0.3">
      <c r="A1007" s="699">
        <v>1000</v>
      </c>
      <c r="B1007" s="1291"/>
      <c r="C1007" s="1396"/>
      <c r="D1007" s="690" t="s">
        <v>1391</v>
      </c>
      <c r="E1007" s="1308"/>
      <c r="F1007" s="1308"/>
      <c r="G1007" s="1309"/>
      <c r="H1007" s="704"/>
      <c r="I1007" s="665">
        <f>SUM(J1007:N1007)</f>
        <v>1385</v>
      </c>
      <c r="J1007" s="165"/>
      <c r="K1007" s="165"/>
      <c r="L1007" s="165">
        <f>SUM(L1005:L1006)</f>
        <v>1385</v>
      </c>
      <c r="M1007" s="165"/>
      <c r="N1007" s="166"/>
      <c r="O1007" s="157"/>
      <c r="P1007" s="1699"/>
    </row>
    <row r="1008" spans="1:16" s="182" customFormat="1" ht="18" customHeight="1" x14ac:dyDescent="0.3">
      <c r="A1008" s="699">
        <v>1001</v>
      </c>
      <c r="B1008" s="1291"/>
      <c r="C1008" s="1387">
        <v>169</v>
      </c>
      <c r="D1008" s="690" t="s">
        <v>909</v>
      </c>
      <c r="E1008" s="198"/>
      <c r="F1008" s="198"/>
      <c r="G1008" s="1276">
        <v>660</v>
      </c>
      <c r="H1008" s="704" t="s">
        <v>25</v>
      </c>
      <c r="I1008" s="665"/>
      <c r="J1008" s="165"/>
      <c r="K1008" s="165"/>
      <c r="L1008" s="165"/>
      <c r="M1008" s="165"/>
      <c r="N1008" s="166"/>
      <c r="O1008" s="157"/>
      <c r="P1008" s="10"/>
    </row>
    <row r="1009" spans="1:16" s="182" customFormat="1" ht="18" customHeight="1" x14ac:dyDescent="0.3">
      <c r="A1009" s="699">
        <v>1002</v>
      </c>
      <c r="B1009" s="1291"/>
      <c r="C1009" s="1387"/>
      <c r="D1009" s="690" t="s">
        <v>1307</v>
      </c>
      <c r="E1009" s="198"/>
      <c r="F1009" s="198"/>
      <c r="G1009" s="1276"/>
      <c r="H1009" s="704"/>
      <c r="I1009" s="665">
        <f>SUM(J1009:N1009)</f>
        <v>14</v>
      </c>
      <c r="J1009" s="165"/>
      <c r="K1009" s="165"/>
      <c r="L1009" s="165">
        <v>14</v>
      </c>
      <c r="M1009" s="165"/>
      <c r="N1009" s="166"/>
      <c r="O1009" s="157"/>
      <c r="P1009" s="10"/>
    </row>
    <row r="1010" spans="1:16" s="182" customFormat="1" ht="18" customHeight="1" x14ac:dyDescent="0.3">
      <c r="A1010" s="699">
        <v>1003</v>
      </c>
      <c r="B1010" s="1291"/>
      <c r="C1010" s="1387"/>
      <c r="D1010" s="1150" t="s">
        <v>834</v>
      </c>
      <c r="E1010" s="198"/>
      <c r="F1010" s="198"/>
      <c r="G1010" s="1276"/>
      <c r="H1010" s="704"/>
      <c r="I1010" s="158">
        <f>SUM(J1010:Q1010)</f>
        <v>0</v>
      </c>
      <c r="J1010" s="165"/>
      <c r="K1010" s="165"/>
      <c r="L1010" s="717"/>
      <c r="M1010" s="165"/>
      <c r="N1010" s="166"/>
      <c r="O1010" s="157"/>
      <c r="P1010" s="10"/>
    </row>
    <row r="1011" spans="1:16" s="182" customFormat="1" ht="18" customHeight="1" x14ac:dyDescent="0.3">
      <c r="A1011" s="699">
        <v>1004</v>
      </c>
      <c r="B1011" s="1291"/>
      <c r="C1011" s="1396"/>
      <c r="D1011" s="690" t="s">
        <v>1391</v>
      </c>
      <c r="E1011" s="1308"/>
      <c r="F1011" s="1308"/>
      <c r="G1011" s="1309"/>
      <c r="H1011" s="704"/>
      <c r="I1011" s="665">
        <f>SUM(J1011:N1011)</f>
        <v>14</v>
      </c>
      <c r="J1011" s="165"/>
      <c r="K1011" s="165"/>
      <c r="L1011" s="165">
        <f>SUM(L1009:L1010)</f>
        <v>14</v>
      </c>
      <c r="M1011" s="165"/>
      <c r="N1011" s="166"/>
      <c r="O1011" s="157"/>
      <c r="P1011" s="1699"/>
    </row>
    <row r="1012" spans="1:16" s="182" customFormat="1" ht="18" customHeight="1" x14ac:dyDescent="0.3">
      <c r="A1012" s="699">
        <v>1005</v>
      </c>
      <c r="B1012" s="1291"/>
      <c r="C1012" s="1387">
        <v>170</v>
      </c>
      <c r="D1012" s="690" t="s">
        <v>955</v>
      </c>
      <c r="E1012" s="1308"/>
      <c r="F1012" s="1308"/>
      <c r="G1012" s="1309"/>
      <c r="H1012" s="704" t="s">
        <v>25</v>
      </c>
      <c r="I1012" s="665"/>
      <c r="J1012" s="165"/>
      <c r="K1012" s="165"/>
      <c r="L1012" s="165"/>
      <c r="M1012" s="165"/>
      <c r="N1012" s="166"/>
      <c r="O1012" s="157"/>
      <c r="P1012" s="1699"/>
    </row>
    <row r="1013" spans="1:16" s="182" customFormat="1" ht="18" customHeight="1" x14ac:dyDescent="0.3">
      <c r="A1013" s="699">
        <v>1006</v>
      </c>
      <c r="B1013" s="1291"/>
      <c r="C1013" s="1387"/>
      <c r="D1013" s="690" t="s">
        <v>1307</v>
      </c>
      <c r="E1013" s="1308"/>
      <c r="F1013" s="1308"/>
      <c r="G1013" s="1309"/>
      <c r="H1013" s="704"/>
      <c r="I1013" s="665">
        <f>SUM(J1013:N1013)</f>
        <v>4000</v>
      </c>
      <c r="J1013" s="165"/>
      <c r="K1013" s="165"/>
      <c r="L1013" s="165"/>
      <c r="M1013" s="165"/>
      <c r="N1013" s="166">
        <v>4000</v>
      </c>
      <c r="O1013" s="157"/>
      <c r="P1013" s="1699"/>
    </row>
    <row r="1014" spans="1:16" s="182" customFormat="1" ht="18" customHeight="1" x14ac:dyDescent="0.3">
      <c r="A1014" s="699">
        <v>1007</v>
      </c>
      <c r="B1014" s="1291"/>
      <c r="C1014" s="1396"/>
      <c r="D1014" s="1150" t="s">
        <v>834</v>
      </c>
      <c r="E1014" s="1308"/>
      <c r="F1014" s="1308"/>
      <c r="G1014" s="1309"/>
      <c r="H1014" s="704"/>
      <c r="I1014" s="158">
        <f>SUM(J1014:Q1014)</f>
        <v>0</v>
      </c>
      <c r="J1014" s="165"/>
      <c r="K1014" s="165"/>
      <c r="L1014" s="165"/>
      <c r="M1014" s="165"/>
      <c r="N1014" s="718"/>
      <c r="O1014" s="157"/>
      <c r="P1014" s="1699"/>
    </row>
    <row r="1015" spans="1:16" s="182" customFormat="1" ht="18" customHeight="1" x14ac:dyDescent="0.3">
      <c r="A1015" s="699">
        <v>1008</v>
      </c>
      <c r="B1015" s="1291"/>
      <c r="C1015" s="1396"/>
      <c r="D1015" s="690" t="s">
        <v>1391</v>
      </c>
      <c r="E1015" s="1308"/>
      <c r="F1015" s="1308"/>
      <c r="G1015" s="1309"/>
      <c r="H1015" s="704"/>
      <c r="I1015" s="665">
        <f>SUM(J1015:N1015)</f>
        <v>4000</v>
      </c>
      <c r="J1015" s="165"/>
      <c r="K1015" s="165"/>
      <c r="L1015" s="165"/>
      <c r="M1015" s="165"/>
      <c r="N1015" s="166">
        <f>SUM(N1013:N1014)</f>
        <v>4000</v>
      </c>
      <c r="O1015" s="157"/>
      <c r="P1015" s="1699"/>
    </row>
    <row r="1016" spans="1:16" s="182" customFormat="1" ht="18" customHeight="1" x14ac:dyDescent="0.3">
      <c r="A1016" s="699">
        <v>1009</v>
      </c>
      <c r="B1016" s="1291"/>
      <c r="C1016" s="1387">
        <v>171</v>
      </c>
      <c r="D1016" s="690" t="s">
        <v>1284</v>
      </c>
      <c r="E1016" s="1308"/>
      <c r="F1016" s="1308"/>
      <c r="G1016" s="1309"/>
      <c r="H1016" s="704" t="s">
        <v>25</v>
      </c>
      <c r="I1016" s="665"/>
      <c r="J1016" s="165"/>
      <c r="K1016" s="165"/>
      <c r="L1016" s="165"/>
      <c r="M1016" s="165"/>
      <c r="N1016" s="166"/>
      <c r="O1016" s="157"/>
      <c r="P1016" s="1699"/>
    </row>
    <row r="1017" spans="1:16" s="182" customFormat="1" ht="18" customHeight="1" x14ac:dyDescent="0.3">
      <c r="A1017" s="699">
        <v>1010</v>
      </c>
      <c r="B1017" s="1291"/>
      <c r="C1017" s="1387"/>
      <c r="D1017" s="690" t="s">
        <v>1307</v>
      </c>
      <c r="E1017" s="1308"/>
      <c r="F1017" s="1308"/>
      <c r="G1017" s="1309"/>
      <c r="H1017" s="704"/>
      <c r="I1017" s="665">
        <f>SUM(J1017:N1017)</f>
        <v>6200</v>
      </c>
      <c r="J1017" s="165"/>
      <c r="K1017" s="165"/>
      <c r="L1017" s="165">
        <v>6200</v>
      </c>
      <c r="M1017" s="165"/>
      <c r="N1017" s="166"/>
      <c r="O1017" s="157"/>
      <c r="P1017" s="1699"/>
    </row>
    <row r="1018" spans="1:16" s="182" customFormat="1" ht="18" customHeight="1" x14ac:dyDescent="0.3">
      <c r="A1018" s="699">
        <v>1011</v>
      </c>
      <c r="B1018" s="1291"/>
      <c r="C1018" s="1396"/>
      <c r="D1018" s="1150" t="s">
        <v>834</v>
      </c>
      <c r="E1018" s="1308"/>
      <c r="F1018" s="1308"/>
      <c r="G1018" s="1309"/>
      <c r="H1018" s="704"/>
      <c r="I1018" s="158">
        <f>SUM(J1018:Q1018)</f>
        <v>0</v>
      </c>
      <c r="J1018" s="165"/>
      <c r="K1018" s="165"/>
      <c r="L1018" s="197"/>
      <c r="M1018" s="165"/>
      <c r="N1018" s="166"/>
      <c r="O1018" s="157"/>
      <c r="P1018" s="1699"/>
    </row>
    <row r="1019" spans="1:16" s="182" customFormat="1" ht="18" customHeight="1" x14ac:dyDescent="0.3">
      <c r="A1019" s="699">
        <v>1012</v>
      </c>
      <c r="B1019" s="1291"/>
      <c r="C1019" s="1396"/>
      <c r="D1019" s="690" t="s">
        <v>1391</v>
      </c>
      <c r="E1019" s="1308"/>
      <c r="F1019" s="1308"/>
      <c r="G1019" s="1309"/>
      <c r="H1019" s="704"/>
      <c r="I1019" s="665">
        <f>SUM(J1019:N1019)</f>
        <v>6200</v>
      </c>
      <c r="J1019" s="165"/>
      <c r="K1019" s="165"/>
      <c r="L1019" s="165">
        <f>SUM(L1017:L1018)</f>
        <v>6200</v>
      </c>
      <c r="M1019" s="165"/>
      <c r="N1019" s="166"/>
      <c r="O1019" s="157"/>
      <c r="P1019" s="1699"/>
    </row>
    <row r="1020" spans="1:16" s="182" customFormat="1" ht="30" customHeight="1" x14ac:dyDescent="0.3">
      <c r="A1020" s="699">
        <v>1013</v>
      </c>
      <c r="B1020" s="1291"/>
      <c r="C1020" s="1395">
        <v>172</v>
      </c>
      <c r="D1020" s="690" t="s">
        <v>1342</v>
      </c>
      <c r="E1020" s="1308"/>
      <c r="F1020" s="1308"/>
      <c r="G1020" s="1309"/>
      <c r="H1020" s="704" t="s">
        <v>25</v>
      </c>
      <c r="I1020" s="665"/>
      <c r="J1020" s="165"/>
      <c r="K1020" s="165"/>
      <c r="L1020" s="165"/>
      <c r="M1020" s="165"/>
      <c r="N1020" s="166"/>
      <c r="O1020" s="157"/>
      <c r="P1020" s="1699"/>
    </row>
    <row r="1021" spans="1:16" s="182" customFormat="1" ht="18" customHeight="1" x14ac:dyDescent="0.3">
      <c r="A1021" s="699">
        <v>1014</v>
      </c>
      <c r="B1021" s="1291"/>
      <c r="C1021" s="1395"/>
      <c r="D1021" s="690" t="s">
        <v>1307</v>
      </c>
      <c r="E1021" s="1308"/>
      <c r="F1021" s="1308"/>
      <c r="G1021" s="1309"/>
      <c r="H1021" s="704"/>
      <c r="I1021" s="665">
        <f>SUM(J1021:N1021)</f>
        <v>3506</v>
      </c>
      <c r="J1021" s="165"/>
      <c r="K1021" s="165"/>
      <c r="L1021" s="165"/>
      <c r="M1021" s="165"/>
      <c r="N1021" s="166">
        <v>3506</v>
      </c>
      <c r="O1021" s="157"/>
      <c r="P1021" s="1707"/>
    </row>
    <row r="1022" spans="1:16" s="182" customFormat="1" ht="18" customHeight="1" x14ac:dyDescent="0.3">
      <c r="A1022" s="699">
        <v>1015</v>
      </c>
      <c r="B1022" s="1291"/>
      <c r="C1022" s="1396"/>
      <c r="D1022" s="1150" t="s">
        <v>954</v>
      </c>
      <c r="E1022" s="1308"/>
      <c r="F1022" s="1308"/>
      <c r="G1022" s="1309"/>
      <c r="H1022" s="704"/>
      <c r="I1022" s="158">
        <f>SUM(J1022:Q1022)</f>
        <v>500</v>
      </c>
      <c r="J1022" s="165"/>
      <c r="K1022" s="165"/>
      <c r="L1022" s="717">
        <v>500</v>
      </c>
      <c r="M1022" s="165"/>
      <c r="N1022" s="718"/>
      <c r="O1022" s="157"/>
      <c r="P1022" s="1699"/>
    </row>
    <row r="1023" spans="1:16" s="182" customFormat="1" ht="18" customHeight="1" x14ac:dyDescent="0.3">
      <c r="A1023" s="699">
        <v>1016</v>
      </c>
      <c r="B1023" s="1291"/>
      <c r="C1023" s="1396"/>
      <c r="D1023" s="690" t="s">
        <v>1391</v>
      </c>
      <c r="E1023" s="1308"/>
      <c r="F1023" s="1308"/>
      <c r="G1023" s="1309"/>
      <c r="H1023" s="704"/>
      <c r="I1023" s="665">
        <f>SUM(J1023:N1023)</f>
        <v>4006</v>
      </c>
      <c r="J1023" s="165"/>
      <c r="K1023" s="165"/>
      <c r="L1023" s="165">
        <f>SUM(L1022)</f>
        <v>500</v>
      </c>
      <c r="M1023" s="165"/>
      <c r="N1023" s="166">
        <f>SUM(N1021:N1022)</f>
        <v>3506</v>
      </c>
      <c r="O1023" s="157"/>
      <c r="P1023" s="1699"/>
    </row>
    <row r="1024" spans="1:16" s="182" customFormat="1" ht="18" customHeight="1" x14ac:dyDescent="0.3">
      <c r="A1024" s="699">
        <v>1017</v>
      </c>
      <c r="B1024" s="1291"/>
      <c r="C1024" s="1387">
        <v>173</v>
      </c>
      <c r="D1024" s="690" t="s">
        <v>1343</v>
      </c>
      <c r="E1024" s="1308"/>
      <c r="F1024" s="1308"/>
      <c r="G1024" s="1309"/>
      <c r="H1024" s="704" t="s">
        <v>25</v>
      </c>
      <c r="I1024" s="665"/>
      <c r="J1024" s="165"/>
      <c r="K1024" s="165"/>
      <c r="L1024" s="165"/>
      <c r="M1024" s="165"/>
      <c r="N1024" s="166"/>
      <c r="O1024" s="157"/>
      <c r="P1024" s="1699"/>
    </row>
    <row r="1025" spans="1:16" s="182" customFormat="1" ht="18" customHeight="1" x14ac:dyDescent="0.3">
      <c r="A1025" s="699">
        <v>1018</v>
      </c>
      <c r="B1025" s="1291"/>
      <c r="C1025" s="1387"/>
      <c r="D1025" s="690" t="s">
        <v>1307</v>
      </c>
      <c r="E1025" s="1308"/>
      <c r="F1025" s="1308"/>
      <c r="G1025" s="1309"/>
      <c r="H1025" s="704"/>
      <c r="I1025" s="665">
        <f>SUM(J1025:N1025)</f>
        <v>2628</v>
      </c>
      <c r="J1025" s="165"/>
      <c r="K1025" s="165"/>
      <c r="L1025" s="165">
        <v>2628</v>
      </c>
      <c r="M1025" s="165"/>
      <c r="N1025" s="166"/>
      <c r="O1025" s="157"/>
      <c r="P1025" s="1707"/>
    </row>
    <row r="1026" spans="1:16" s="182" customFormat="1" ht="18" customHeight="1" x14ac:dyDescent="0.3">
      <c r="A1026" s="699">
        <v>1019</v>
      </c>
      <c r="B1026" s="1291"/>
      <c r="C1026" s="1396"/>
      <c r="D1026" s="1150" t="s">
        <v>954</v>
      </c>
      <c r="E1026" s="1308"/>
      <c r="F1026" s="1308"/>
      <c r="G1026" s="1309"/>
      <c r="H1026" s="704"/>
      <c r="I1026" s="158">
        <f>SUM(J1026:Q1026)</f>
        <v>0</v>
      </c>
      <c r="J1026" s="165"/>
      <c r="K1026" s="165"/>
      <c r="L1026" s="717"/>
      <c r="M1026" s="165"/>
      <c r="N1026" s="166"/>
      <c r="O1026" s="157"/>
      <c r="P1026" s="1699"/>
    </row>
    <row r="1027" spans="1:16" s="182" customFormat="1" ht="18" customHeight="1" x14ac:dyDescent="0.3">
      <c r="A1027" s="699">
        <v>1020</v>
      </c>
      <c r="B1027" s="1291"/>
      <c r="C1027" s="1396"/>
      <c r="D1027" s="690" t="s">
        <v>1391</v>
      </c>
      <c r="E1027" s="1308"/>
      <c r="F1027" s="1308"/>
      <c r="G1027" s="1309"/>
      <c r="H1027" s="704"/>
      <c r="I1027" s="665">
        <f>SUM(J1027:N1027)</f>
        <v>2628</v>
      </c>
      <c r="J1027" s="165"/>
      <c r="K1027" s="165"/>
      <c r="L1027" s="165">
        <f>SUM(L1025:L1026)</f>
        <v>2628</v>
      </c>
      <c r="M1027" s="165"/>
      <c r="N1027" s="166"/>
      <c r="O1027" s="157"/>
      <c r="P1027" s="1699"/>
    </row>
    <row r="1028" spans="1:16" s="182" customFormat="1" ht="30.75" customHeight="1" x14ac:dyDescent="0.3">
      <c r="A1028" s="699">
        <v>1021</v>
      </c>
      <c r="B1028" s="1291"/>
      <c r="C1028" s="1395">
        <v>174</v>
      </c>
      <c r="D1028" s="690" t="s">
        <v>527</v>
      </c>
      <c r="E1028" s="1308"/>
      <c r="F1028" s="1308"/>
      <c r="G1028" s="1309"/>
      <c r="H1028" s="1711" t="s">
        <v>25</v>
      </c>
      <c r="I1028" s="665"/>
      <c r="J1028" s="165"/>
      <c r="K1028" s="165"/>
      <c r="L1028" s="165"/>
      <c r="M1028" s="165"/>
      <c r="N1028" s="166"/>
      <c r="O1028" s="157"/>
      <c r="P1028" s="1708"/>
    </row>
    <row r="1029" spans="1:16" s="182" customFormat="1" ht="18" customHeight="1" x14ac:dyDescent="0.3">
      <c r="A1029" s="699">
        <v>1022</v>
      </c>
      <c r="B1029" s="1291"/>
      <c r="C1029" s="1396"/>
      <c r="D1029" s="1150" t="s">
        <v>954</v>
      </c>
      <c r="E1029" s="1308"/>
      <c r="F1029" s="1308"/>
      <c r="G1029" s="1309"/>
      <c r="H1029" s="704"/>
      <c r="I1029" s="158">
        <f>SUM(J1029:Q1029)</f>
        <v>3039</v>
      </c>
      <c r="J1029" s="165"/>
      <c r="K1029" s="165"/>
      <c r="L1029" s="165"/>
      <c r="M1029" s="165"/>
      <c r="N1029" s="718">
        <v>3039</v>
      </c>
      <c r="O1029" s="157"/>
      <c r="P1029" s="1708"/>
    </row>
    <row r="1030" spans="1:16" s="182" customFormat="1" ht="18" customHeight="1" x14ac:dyDescent="0.3">
      <c r="A1030" s="699">
        <v>1023</v>
      </c>
      <c r="B1030" s="1291"/>
      <c r="C1030" s="1396"/>
      <c r="D1030" s="690" t="s">
        <v>1391</v>
      </c>
      <c r="E1030" s="1308"/>
      <c r="F1030" s="1308"/>
      <c r="G1030" s="1309"/>
      <c r="H1030" s="704"/>
      <c r="I1030" s="665">
        <f>SUM(J1030:N1030)</f>
        <v>3039</v>
      </c>
      <c r="J1030" s="165"/>
      <c r="K1030" s="165"/>
      <c r="L1030" s="165"/>
      <c r="M1030" s="165"/>
      <c r="N1030" s="166">
        <f>SUM(N1029)</f>
        <v>3039</v>
      </c>
      <c r="O1030" s="157"/>
      <c r="P1030" s="1708"/>
    </row>
    <row r="1031" spans="1:16" s="10" customFormat="1" ht="22.5" customHeight="1" x14ac:dyDescent="0.3">
      <c r="A1031" s="699">
        <v>1024</v>
      </c>
      <c r="B1031" s="1284"/>
      <c r="C1031" s="1387"/>
      <c r="D1031" s="180" t="s">
        <v>291</v>
      </c>
      <c r="E1031" s="164"/>
      <c r="F1031" s="164"/>
      <c r="G1031" s="1277"/>
      <c r="H1031" s="704"/>
      <c r="I1031" s="665"/>
      <c r="J1031" s="165"/>
      <c r="K1031" s="165"/>
      <c r="L1031" s="165"/>
      <c r="M1031" s="165"/>
      <c r="N1031" s="166"/>
    </row>
    <row r="1032" spans="1:16" s="3" customFormat="1" ht="18" customHeight="1" x14ac:dyDescent="0.3">
      <c r="A1032" s="699">
        <v>1025</v>
      </c>
      <c r="B1032" s="1284"/>
      <c r="C1032" s="1387">
        <v>175</v>
      </c>
      <c r="D1032" s="690" t="s">
        <v>292</v>
      </c>
      <c r="E1032" s="164">
        <v>63</v>
      </c>
      <c r="F1032" s="164"/>
      <c r="G1032" s="1277">
        <v>577</v>
      </c>
      <c r="H1032" s="702" t="s">
        <v>25</v>
      </c>
      <c r="I1032" s="666"/>
      <c r="J1032" s="171"/>
      <c r="K1032" s="171"/>
      <c r="L1032" s="171"/>
      <c r="M1032" s="171"/>
      <c r="N1032" s="172"/>
      <c r="O1032" s="10"/>
      <c r="P1032" s="10"/>
    </row>
    <row r="1033" spans="1:16" s="3" customFormat="1" ht="18" customHeight="1" x14ac:dyDescent="0.3">
      <c r="A1033" s="699">
        <v>1026</v>
      </c>
      <c r="B1033" s="1284"/>
      <c r="C1033" s="1387"/>
      <c r="D1033" s="690" t="s">
        <v>1307</v>
      </c>
      <c r="E1033" s="164"/>
      <c r="F1033" s="164"/>
      <c r="G1033" s="1277"/>
      <c r="H1033" s="702"/>
      <c r="I1033" s="665">
        <f>SUM(J1033:N1033)</f>
        <v>1210</v>
      </c>
      <c r="J1033" s="171"/>
      <c r="K1033" s="171"/>
      <c r="L1033" s="523">
        <v>1210</v>
      </c>
      <c r="M1033" s="171"/>
      <c r="N1033" s="172"/>
      <c r="O1033" s="10"/>
      <c r="P1033" s="10"/>
    </row>
    <row r="1034" spans="1:16" s="3" customFormat="1" ht="18" customHeight="1" x14ac:dyDescent="0.3">
      <c r="A1034" s="699">
        <v>1027</v>
      </c>
      <c r="B1034" s="1284"/>
      <c r="C1034" s="1387"/>
      <c r="D1034" s="1150" t="s">
        <v>834</v>
      </c>
      <c r="E1034" s="164"/>
      <c r="F1034" s="164"/>
      <c r="G1034" s="1277"/>
      <c r="H1034" s="702"/>
      <c r="I1034" s="158">
        <f>SUM(J1034:Q1034)</f>
        <v>0</v>
      </c>
      <c r="J1034" s="171"/>
      <c r="K1034" s="171"/>
      <c r="L1034" s="174"/>
      <c r="M1034" s="171"/>
      <c r="N1034" s="172"/>
      <c r="O1034" s="10"/>
      <c r="P1034" s="10"/>
    </row>
    <row r="1035" spans="1:16" s="110" customFormat="1" ht="18" customHeight="1" x14ac:dyDescent="0.35">
      <c r="A1035" s="699">
        <v>1028</v>
      </c>
      <c r="B1035" s="1295"/>
      <c r="C1035" s="1396"/>
      <c r="D1035" s="690" t="s">
        <v>1391</v>
      </c>
      <c r="E1035" s="1305"/>
      <c r="F1035" s="1305"/>
      <c r="G1035" s="1306"/>
      <c r="H1035" s="702"/>
      <c r="I1035" s="665">
        <f>SUM(J1035:N1035)</f>
        <v>1210</v>
      </c>
      <c r="J1035" s="523"/>
      <c r="K1035" s="523"/>
      <c r="L1035" s="523">
        <f>SUM(L1033:L1034)</f>
        <v>1210</v>
      </c>
      <c r="M1035" s="523"/>
      <c r="N1035" s="694"/>
      <c r="O1035" s="1699"/>
      <c r="P1035" s="1699"/>
    </row>
    <row r="1036" spans="1:16" s="3" customFormat="1" ht="18" customHeight="1" x14ac:dyDescent="0.3">
      <c r="A1036" s="699">
        <v>1029</v>
      </c>
      <c r="B1036" s="1284"/>
      <c r="C1036" s="1387">
        <v>176</v>
      </c>
      <c r="D1036" s="690" t="s">
        <v>624</v>
      </c>
      <c r="E1036" s="164"/>
      <c r="F1036" s="164"/>
      <c r="G1036" s="1277"/>
      <c r="H1036" s="702" t="s">
        <v>25</v>
      </c>
      <c r="I1036" s="666"/>
      <c r="J1036" s="171"/>
      <c r="K1036" s="171"/>
      <c r="L1036" s="171"/>
      <c r="M1036" s="171"/>
      <c r="N1036" s="172"/>
      <c r="O1036" s="10"/>
      <c r="P1036" s="10"/>
    </row>
    <row r="1037" spans="1:16" s="3" customFormat="1" ht="18" customHeight="1" x14ac:dyDescent="0.3">
      <c r="A1037" s="699">
        <v>1030</v>
      </c>
      <c r="B1037" s="1284"/>
      <c r="C1037" s="1387"/>
      <c r="D1037" s="690" t="s">
        <v>1307</v>
      </c>
      <c r="E1037" s="164"/>
      <c r="F1037" s="164"/>
      <c r="G1037" s="1277"/>
      <c r="H1037" s="702"/>
      <c r="I1037" s="665">
        <f>SUM(J1037:N1037)</f>
        <v>568</v>
      </c>
      <c r="J1037" s="171"/>
      <c r="K1037" s="171"/>
      <c r="L1037" s="523">
        <v>568</v>
      </c>
      <c r="M1037" s="171"/>
      <c r="N1037" s="172"/>
      <c r="O1037" s="10"/>
      <c r="P1037" s="10"/>
    </row>
    <row r="1038" spans="1:16" s="3" customFormat="1" ht="18" customHeight="1" x14ac:dyDescent="0.3">
      <c r="A1038" s="699">
        <v>1031</v>
      </c>
      <c r="B1038" s="1284"/>
      <c r="C1038" s="1387"/>
      <c r="D1038" s="1150" t="s">
        <v>834</v>
      </c>
      <c r="E1038" s="164"/>
      <c r="F1038" s="164"/>
      <c r="G1038" s="1277"/>
      <c r="H1038" s="702"/>
      <c r="I1038" s="158">
        <f>SUM(J1038:Q1038)</f>
        <v>0</v>
      </c>
      <c r="J1038" s="171"/>
      <c r="K1038" s="171"/>
      <c r="L1038" s="174"/>
      <c r="M1038" s="171"/>
      <c r="N1038" s="172"/>
      <c r="O1038" s="10"/>
      <c r="P1038" s="10"/>
    </row>
    <row r="1039" spans="1:16" s="110" customFormat="1" ht="18" customHeight="1" x14ac:dyDescent="0.35">
      <c r="A1039" s="699">
        <v>1032</v>
      </c>
      <c r="B1039" s="1295"/>
      <c r="C1039" s="1396"/>
      <c r="D1039" s="690" t="s">
        <v>1391</v>
      </c>
      <c r="E1039" s="1305"/>
      <c r="F1039" s="1305"/>
      <c r="G1039" s="1306"/>
      <c r="H1039" s="702"/>
      <c r="I1039" s="665">
        <f>SUM(J1039:N1039)</f>
        <v>568</v>
      </c>
      <c r="J1039" s="523"/>
      <c r="K1039" s="523"/>
      <c r="L1039" s="523">
        <f>SUM(L1037:L1038)</f>
        <v>568</v>
      </c>
      <c r="M1039" s="523"/>
      <c r="N1039" s="694"/>
      <c r="O1039" s="1699"/>
      <c r="P1039" s="1699"/>
    </row>
    <row r="1040" spans="1:16" s="3" customFormat="1" ht="18" customHeight="1" x14ac:dyDescent="0.3">
      <c r="A1040" s="699">
        <v>1033</v>
      </c>
      <c r="B1040" s="1284"/>
      <c r="C1040" s="1387">
        <v>177</v>
      </c>
      <c r="D1040" s="690" t="s">
        <v>294</v>
      </c>
      <c r="E1040" s="164"/>
      <c r="F1040" s="164"/>
      <c r="G1040" s="1277"/>
      <c r="H1040" s="702" t="s">
        <v>25</v>
      </c>
      <c r="I1040" s="666"/>
      <c r="J1040" s="171"/>
      <c r="K1040" s="171"/>
      <c r="L1040" s="171"/>
      <c r="M1040" s="171"/>
      <c r="N1040" s="172"/>
      <c r="O1040" s="10"/>
      <c r="P1040" s="10"/>
    </row>
    <row r="1041" spans="1:16" s="3" customFormat="1" ht="18" customHeight="1" x14ac:dyDescent="0.3">
      <c r="A1041" s="699">
        <v>1034</v>
      </c>
      <c r="B1041" s="1284"/>
      <c r="C1041" s="1387"/>
      <c r="D1041" s="690" t="s">
        <v>1307</v>
      </c>
      <c r="E1041" s="164"/>
      <c r="F1041" s="164"/>
      <c r="G1041" s="1277"/>
      <c r="H1041" s="702"/>
      <c r="I1041" s="665">
        <f>SUM(J1041:N1041)</f>
        <v>41</v>
      </c>
      <c r="J1041" s="171"/>
      <c r="K1041" s="171"/>
      <c r="L1041" s="171">
        <v>41</v>
      </c>
      <c r="M1041" s="171"/>
      <c r="N1041" s="172"/>
      <c r="O1041" s="10"/>
      <c r="P1041" s="10"/>
    </row>
    <row r="1042" spans="1:16" s="3" customFormat="1" ht="18" customHeight="1" x14ac:dyDescent="0.3">
      <c r="A1042" s="699">
        <v>1035</v>
      </c>
      <c r="B1042" s="1284"/>
      <c r="C1042" s="1387"/>
      <c r="D1042" s="1150" t="s">
        <v>834</v>
      </c>
      <c r="E1042" s="164"/>
      <c r="F1042" s="164"/>
      <c r="G1042" s="1277"/>
      <c r="H1042" s="702"/>
      <c r="I1042" s="158">
        <f>SUM(J1042:Q1042)</f>
        <v>0</v>
      </c>
      <c r="J1042" s="171"/>
      <c r="K1042" s="171"/>
      <c r="L1042" s="174"/>
      <c r="M1042" s="171"/>
      <c r="N1042" s="172"/>
      <c r="O1042" s="10"/>
      <c r="P1042" s="10"/>
    </row>
    <row r="1043" spans="1:16" s="110" customFormat="1" ht="18" customHeight="1" x14ac:dyDescent="0.35">
      <c r="A1043" s="699">
        <v>1036</v>
      </c>
      <c r="B1043" s="1295"/>
      <c r="C1043" s="1396"/>
      <c r="D1043" s="690" t="s">
        <v>1391</v>
      </c>
      <c r="E1043" s="1305"/>
      <c r="F1043" s="1305"/>
      <c r="G1043" s="1306"/>
      <c r="H1043" s="702"/>
      <c r="I1043" s="665">
        <f>SUM(J1043:N1043)</f>
        <v>41</v>
      </c>
      <c r="J1043" s="523"/>
      <c r="K1043" s="523"/>
      <c r="L1043" s="523">
        <f>SUM(L1041:L1042)</f>
        <v>41</v>
      </c>
      <c r="M1043" s="523"/>
      <c r="N1043" s="694"/>
      <c r="O1043" s="1699"/>
      <c r="P1043" s="1699"/>
    </row>
    <row r="1044" spans="1:16" s="3" customFormat="1" ht="18" customHeight="1" x14ac:dyDescent="0.3">
      <c r="A1044" s="699">
        <v>1037</v>
      </c>
      <c r="B1044" s="1284"/>
      <c r="C1044" s="1387">
        <v>178</v>
      </c>
      <c r="D1044" s="690" t="s">
        <v>888</v>
      </c>
      <c r="E1044" s="164">
        <v>255</v>
      </c>
      <c r="F1044" s="164"/>
      <c r="G1044" s="1277"/>
      <c r="H1044" s="702" t="s">
        <v>25</v>
      </c>
      <c r="I1044" s="666"/>
      <c r="J1044" s="171"/>
      <c r="K1044" s="171"/>
      <c r="L1044" s="171"/>
      <c r="M1044" s="171"/>
      <c r="N1044" s="172"/>
      <c r="O1044" s="10"/>
      <c r="P1044" s="10"/>
    </row>
    <row r="1045" spans="1:16" s="3" customFormat="1" ht="18" customHeight="1" x14ac:dyDescent="0.3">
      <c r="A1045" s="699">
        <v>1038</v>
      </c>
      <c r="B1045" s="1284"/>
      <c r="C1045" s="1387"/>
      <c r="D1045" s="690" t="s">
        <v>1307</v>
      </c>
      <c r="E1045" s="164"/>
      <c r="F1045" s="164"/>
      <c r="G1045" s="1277"/>
      <c r="H1045" s="702"/>
      <c r="I1045" s="665">
        <f>SUM(J1045:N1045)</f>
        <v>249</v>
      </c>
      <c r="J1045" s="171"/>
      <c r="K1045" s="171"/>
      <c r="L1045" s="523">
        <v>249</v>
      </c>
      <c r="M1045" s="171"/>
      <c r="N1045" s="172"/>
      <c r="O1045" s="10"/>
      <c r="P1045" s="10"/>
    </row>
    <row r="1046" spans="1:16" s="3" customFormat="1" ht="18" customHeight="1" x14ac:dyDescent="0.3">
      <c r="A1046" s="699">
        <v>1039</v>
      </c>
      <c r="B1046" s="1284"/>
      <c r="C1046" s="1387"/>
      <c r="D1046" s="1150" t="s">
        <v>834</v>
      </c>
      <c r="E1046" s="164"/>
      <c r="F1046" s="164"/>
      <c r="G1046" s="1277"/>
      <c r="H1046" s="702"/>
      <c r="I1046" s="158">
        <f>SUM(J1046:Q1046)</f>
        <v>0</v>
      </c>
      <c r="J1046" s="171"/>
      <c r="K1046" s="171"/>
      <c r="L1046" s="174"/>
      <c r="M1046" s="171"/>
      <c r="N1046" s="172"/>
      <c r="O1046" s="10"/>
      <c r="P1046" s="10"/>
    </row>
    <row r="1047" spans="1:16" s="110" customFormat="1" ht="18" customHeight="1" x14ac:dyDescent="0.35">
      <c r="A1047" s="699">
        <v>1040</v>
      </c>
      <c r="B1047" s="1295"/>
      <c r="C1047" s="1396"/>
      <c r="D1047" s="690" t="s">
        <v>1391</v>
      </c>
      <c r="E1047" s="1305"/>
      <c r="F1047" s="1305"/>
      <c r="G1047" s="1306"/>
      <c r="H1047" s="702"/>
      <c r="I1047" s="665">
        <f>SUM(J1047:N1047)</f>
        <v>249</v>
      </c>
      <c r="J1047" s="523"/>
      <c r="K1047" s="523"/>
      <c r="L1047" s="523">
        <f>SUM(L1045:L1046)</f>
        <v>249</v>
      </c>
      <c r="M1047" s="523"/>
      <c r="N1047" s="694"/>
      <c r="O1047" s="1699"/>
      <c r="P1047" s="1699"/>
    </row>
    <row r="1048" spans="1:16" s="3" customFormat="1" ht="18" customHeight="1" x14ac:dyDescent="0.3">
      <c r="A1048" s="699">
        <v>1041</v>
      </c>
      <c r="B1048" s="1284"/>
      <c r="C1048" s="1387">
        <v>179</v>
      </c>
      <c r="D1048" s="690" t="s">
        <v>486</v>
      </c>
      <c r="E1048" s="164">
        <v>144</v>
      </c>
      <c r="F1048" s="164"/>
      <c r="G1048" s="1277">
        <v>277</v>
      </c>
      <c r="H1048" s="702" t="s">
        <v>25</v>
      </c>
      <c r="I1048" s="666"/>
      <c r="J1048" s="171"/>
      <c r="K1048" s="171"/>
      <c r="L1048" s="171"/>
      <c r="M1048" s="171"/>
      <c r="N1048" s="172"/>
      <c r="O1048" s="10"/>
      <c r="P1048" s="10"/>
    </row>
    <row r="1049" spans="1:16" s="3" customFormat="1" ht="18" customHeight="1" x14ac:dyDescent="0.3">
      <c r="A1049" s="699">
        <v>1042</v>
      </c>
      <c r="B1049" s="1284"/>
      <c r="C1049" s="1387"/>
      <c r="D1049" s="690" t="s">
        <v>1307</v>
      </c>
      <c r="E1049" s="164"/>
      <c r="F1049" s="164"/>
      <c r="G1049" s="1277"/>
      <c r="H1049" s="702"/>
      <c r="I1049" s="665">
        <f>SUM(J1049:N1049)</f>
        <v>570</v>
      </c>
      <c r="J1049" s="171"/>
      <c r="K1049" s="171"/>
      <c r="L1049" s="523">
        <v>570</v>
      </c>
      <c r="M1049" s="171"/>
      <c r="N1049" s="172"/>
      <c r="O1049" s="10"/>
      <c r="P1049" s="10"/>
    </row>
    <row r="1050" spans="1:16" s="3" customFormat="1" ht="18" customHeight="1" x14ac:dyDescent="0.3">
      <c r="A1050" s="699">
        <v>1043</v>
      </c>
      <c r="B1050" s="1284"/>
      <c r="C1050" s="1387"/>
      <c r="D1050" s="1150" t="s">
        <v>834</v>
      </c>
      <c r="E1050" s="164"/>
      <c r="F1050" s="164"/>
      <c r="G1050" s="1277"/>
      <c r="H1050" s="702"/>
      <c r="I1050" s="158">
        <f>SUM(J1050:Q1050)</f>
        <v>0</v>
      </c>
      <c r="J1050" s="171"/>
      <c r="K1050" s="171"/>
      <c r="L1050" s="174"/>
      <c r="M1050" s="171"/>
      <c r="N1050" s="172"/>
      <c r="O1050" s="10"/>
      <c r="P1050" s="10"/>
    </row>
    <row r="1051" spans="1:16" s="110" customFormat="1" ht="18" customHeight="1" x14ac:dyDescent="0.35">
      <c r="A1051" s="699">
        <v>1044</v>
      </c>
      <c r="B1051" s="1295"/>
      <c r="C1051" s="1396"/>
      <c r="D1051" s="690" t="s">
        <v>1391</v>
      </c>
      <c r="E1051" s="1305"/>
      <c r="F1051" s="1305"/>
      <c r="G1051" s="1306"/>
      <c r="H1051" s="702"/>
      <c r="I1051" s="665">
        <f>SUM(J1051:N1051)</f>
        <v>570</v>
      </c>
      <c r="J1051" s="523"/>
      <c r="K1051" s="523"/>
      <c r="L1051" s="523">
        <f>SUM(L1049:L1050)</f>
        <v>570</v>
      </c>
      <c r="M1051" s="523"/>
      <c r="N1051" s="694"/>
      <c r="O1051" s="1699"/>
      <c r="P1051" s="1699"/>
    </row>
    <row r="1052" spans="1:16" s="3" customFormat="1" ht="18" customHeight="1" x14ac:dyDescent="0.3">
      <c r="A1052" s="699">
        <v>1045</v>
      </c>
      <c r="B1052" s="1284"/>
      <c r="C1052" s="1387">
        <v>180</v>
      </c>
      <c r="D1052" s="690" t="s">
        <v>501</v>
      </c>
      <c r="E1052" s="164"/>
      <c r="F1052" s="164"/>
      <c r="G1052" s="1277">
        <v>193</v>
      </c>
      <c r="H1052" s="702" t="s">
        <v>25</v>
      </c>
      <c r="I1052" s="666"/>
      <c r="J1052" s="171"/>
      <c r="K1052" s="171"/>
      <c r="L1052" s="171"/>
      <c r="M1052" s="171"/>
      <c r="N1052" s="172"/>
      <c r="O1052" s="10"/>
      <c r="P1052" s="10"/>
    </row>
    <row r="1053" spans="1:16" s="3" customFormat="1" ht="18" customHeight="1" x14ac:dyDescent="0.3">
      <c r="A1053" s="699">
        <v>1046</v>
      </c>
      <c r="B1053" s="1284"/>
      <c r="C1053" s="1387"/>
      <c r="D1053" s="690" t="s">
        <v>1307</v>
      </c>
      <c r="E1053" s="164"/>
      <c r="F1053" s="164"/>
      <c r="G1053" s="1277"/>
      <c r="H1053" s="702"/>
      <c r="I1053" s="665">
        <f>SUM(J1053:N1053)</f>
        <v>451</v>
      </c>
      <c r="J1053" s="171"/>
      <c r="K1053" s="171"/>
      <c r="L1053" s="523">
        <v>451</v>
      </c>
      <c r="M1053" s="171"/>
      <c r="N1053" s="172"/>
      <c r="O1053" s="10"/>
      <c r="P1053" s="10"/>
    </row>
    <row r="1054" spans="1:16" s="3" customFormat="1" ht="18" customHeight="1" x14ac:dyDescent="0.3">
      <c r="A1054" s="699">
        <v>1047</v>
      </c>
      <c r="B1054" s="1284"/>
      <c r="C1054" s="1387"/>
      <c r="D1054" s="1150" t="s">
        <v>834</v>
      </c>
      <c r="E1054" s="164"/>
      <c r="F1054" s="164"/>
      <c r="G1054" s="1277"/>
      <c r="H1054" s="702"/>
      <c r="I1054" s="158">
        <f>SUM(J1054:Q1054)</f>
        <v>0</v>
      </c>
      <c r="J1054" s="171"/>
      <c r="K1054" s="171"/>
      <c r="L1054" s="174"/>
      <c r="M1054" s="171"/>
      <c r="N1054" s="172"/>
      <c r="O1054" s="10"/>
      <c r="P1054" s="10"/>
    </row>
    <row r="1055" spans="1:16" s="110" customFormat="1" ht="18" customHeight="1" x14ac:dyDescent="0.35">
      <c r="A1055" s="699">
        <v>1048</v>
      </c>
      <c r="B1055" s="1295"/>
      <c r="C1055" s="1396"/>
      <c r="D1055" s="690" t="s">
        <v>1391</v>
      </c>
      <c r="E1055" s="1305"/>
      <c r="F1055" s="1305"/>
      <c r="G1055" s="1306"/>
      <c r="H1055" s="702"/>
      <c r="I1055" s="665">
        <f>SUM(J1055:N1055)</f>
        <v>451</v>
      </c>
      <c r="J1055" s="523"/>
      <c r="K1055" s="523"/>
      <c r="L1055" s="523">
        <f>SUM(L1053:L1054)</f>
        <v>451</v>
      </c>
      <c r="M1055" s="523"/>
      <c r="N1055" s="694"/>
      <c r="O1055" s="1699"/>
      <c r="P1055" s="1699"/>
    </row>
    <row r="1056" spans="1:16" s="3" customFormat="1" ht="18" customHeight="1" x14ac:dyDescent="0.3">
      <c r="A1056" s="699">
        <v>1049</v>
      </c>
      <c r="B1056" s="1284"/>
      <c r="C1056" s="1387">
        <v>181</v>
      </c>
      <c r="D1056" s="690" t="s">
        <v>516</v>
      </c>
      <c r="E1056" s="164"/>
      <c r="F1056" s="164"/>
      <c r="G1056" s="1277">
        <v>237</v>
      </c>
      <c r="H1056" s="702" t="s">
        <v>25</v>
      </c>
      <c r="I1056" s="666"/>
      <c r="J1056" s="171"/>
      <c r="K1056" s="171"/>
      <c r="L1056" s="171"/>
      <c r="M1056" s="171"/>
      <c r="N1056" s="172"/>
      <c r="O1056" s="10"/>
      <c r="P1056" s="10"/>
    </row>
    <row r="1057" spans="1:16" s="3" customFormat="1" ht="18" customHeight="1" x14ac:dyDescent="0.3">
      <c r="A1057" s="699">
        <v>1050</v>
      </c>
      <c r="B1057" s="1284"/>
      <c r="C1057" s="1387"/>
      <c r="D1057" s="690" t="s">
        <v>1307</v>
      </c>
      <c r="E1057" s="164"/>
      <c r="F1057" s="164"/>
      <c r="G1057" s="1277"/>
      <c r="H1057" s="702"/>
      <c r="I1057" s="665">
        <f>SUM(J1057:N1057)</f>
        <v>263</v>
      </c>
      <c r="J1057" s="171"/>
      <c r="K1057" s="171"/>
      <c r="L1057" s="523">
        <v>263</v>
      </c>
      <c r="M1057" s="171"/>
      <c r="N1057" s="172"/>
      <c r="O1057" s="10"/>
      <c r="P1057" s="10"/>
    </row>
    <row r="1058" spans="1:16" s="3" customFormat="1" ht="18" customHeight="1" x14ac:dyDescent="0.3">
      <c r="A1058" s="699">
        <v>1051</v>
      </c>
      <c r="B1058" s="1284"/>
      <c r="C1058" s="1387"/>
      <c r="D1058" s="1150" t="s">
        <v>834</v>
      </c>
      <c r="E1058" s="164"/>
      <c r="F1058" s="164"/>
      <c r="G1058" s="1277"/>
      <c r="H1058" s="702"/>
      <c r="I1058" s="158">
        <f>SUM(J1058:Q1058)</f>
        <v>0</v>
      </c>
      <c r="J1058" s="171"/>
      <c r="K1058" s="171"/>
      <c r="L1058" s="174"/>
      <c r="M1058" s="171"/>
      <c r="N1058" s="172"/>
      <c r="O1058" s="10"/>
      <c r="P1058" s="10"/>
    </row>
    <row r="1059" spans="1:16" s="110" customFormat="1" ht="18" customHeight="1" x14ac:dyDescent="0.35">
      <c r="A1059" s="699">
        <v>1052</v>
      </c>
      <c r="B1059" s="1295"/>
      <c r="C1059" s="1396"/>
      <c r="D1059" s="690" t="s">
        <v>1391</v>
      </c>
      <c r="E1059" s="1305"/>
      <c r="F1059" s="1305"/>
      <c r="G1059" s="1306"/>
      <c r="H1059" s="702"/>
      <c r="I1059" s="665">
        <f>SUM(J1059:N1059)</f>
        <v>263</v>
      </c>
      <c r="J1059" s="523"/>
      <c r="K1059" s="523"/>
      <c r="L1059" s="523">
        <f>SUM(L1057:L1058)</f>
        <v>263</v>
      </c>
      <c r="M1059" s="523"/>
      <c r="N1059" s="694"/>
      <c r="O1059" s="1699"/>
      <c r="P1059" s="1699"/>
    </row>
    <row r="1060" spans="1:16" s="3" customFormat="1" ht="18" customHeight="1" x14ac:dyDescent="0.3">
      <c r="A1060" s="699">
        <v>1053</v>
      </c>
      <c r="B1060" s="1284"/>
      <c r="C1060" s="1387">
        <v>182</v>
      </c>
      <c r="D1060" s="690" t="s">
        <v>627</v>
      </c>
      <c r="E1060" s="164"/>
      <c r="F1060" s="164"/>
      <c r="G1060" s="1277">
        <v>187</v>
      </c>
      <c r="H1060" s="702" t="s">
        <v>25</v>
      </c>
      <c r="I1060" s="666"/>
      <c r="J1060" s="171"/>
      <c r="K1060" s="171"/>
      <c r="L1060" s="171"/>
      <c r="M1060" s="171"/>
      <c r="N1060" s="172"/>
      <c r="O1060" s="10"/>
      <c r="P1060" s="10"/>
    </row>
    <row r="1061" spans="1:16" s="3" customFormat="1" ht="18" customHeight="1" x14ac:dyDescent="0.3">
      <c r="A1061" s="699">
        <v>1054</v>
      </c>
      <c r="B1061" s="1284"/>
      <c r="C1061" s="1387"/>
      <c r="D1061" s="690" t="s">
        <v>1307</v>
      </c>
      <c r="E1061" s="164"/>
      <c r="F1061" s="164"/>
      <c r="G1061" s="1277"/>
      <c r="H1061" s="702"/>
      <c r="I1061" s="665">
        <f>SUM(J1061:N1061)</f>
        <v>100</v>
      </c>
      <c r="J1061" s="171"/>
      <c r="K1061" s="171"/>
      <c r="L1061" s="523">
        <v>100</v>
      </c>
      <c r="M1061" s="171"/>
      <c r="N1061" s="172"/>
      <c r="O1061" s="10"/>
      <c r="P1061" s="10"/>
    </row>
    <row r="1062" spans="1:16" s="3" customFormat="1" ht="18" customHeight="1" x14ac:dyDescent="0.3">
      <c r="A1062" s="699">
        <v>1055</v>
      </c>
      <c r="B1062" s="1284"/>
      <c r="C1062" s="1387"/>
      <c r="D1062" s="1150" t="s">
        <v>834</v>
      </c>
      <c r="E1062" s="164"/>
      <c r="F1062" s="164"/>
      <c r="G1062" s="1277"/>
      <c r="H1062" s="702"/>
      <c r="I1062" s="158">
        <f>SUM(J1062:Q1062)</f>
        <v>0</v>
      </c>
      <c r="J1062" s="171"/>
      <c r="K1062" s="171"/>
      <c r="L1062" s="174"/>
      <c r="M1062" s="171"/>
      <c r="N1062" s="172"/>
      <c r="O1062" s="10"/>
      <c r="P1062" s="10"/>
    </row>
    <row r="1063" spans="1:16" s="110" customFormat="1" ht="18" customHeight="1" x14ac:dyDescent="0.35">
      <c r="A1063" s="699">
        <v>1056</v>
      </c>
      <c r="B1063" s="1295"/>
      <c r="C1063" s="1396"/>
      <c r="D1063" s="690" t="s">
        <v>1391</v>
      </c>
      <c r="E1063" s="1305"/>
      <c r="F1063" s="1305"/>
      <c r="G1063" s="1306"/>
      <c r="H1063" s="702"/>
      <c r="I1063" s="665">
        <f>SUM(J1063:N1063)</f>
        <v>100</v>
      </c>
      <c r="J1063" s="523"/>
      <c r="K1063" s="523"/>
      <c r="L1063" s="523">
        <f>SUM(L1061:L1062)</f>
        <v>100</v>
      </c>
      <c r="M1063" s="523"/>
      <c r="N1063" s="694"/>
      <c r="O1063" s="1699"/>
      <c r="P1063" s="1699"/>
    </row>
    <row r="1064" spans="1:16" s="3" customFormat="1" ht="18" customHeight="1" x14ac:dyDescent="0.3">
      <c r="A1064" s="699">
        <v>1057</v>
      </c>
      <c r="B1064" s="1284"/>
      <c r="C1064" s="1387">
        <v>183</v>
      </c>
      <c r="D1064" s="690" t="s">
        <v>878</v>
      </c>
      <c r="E1064" s="164"/>
      <c r="F1064" s="164"/>
      <c r="G1064" s="1277"/>
      <c r="H1064" s="702"/>
      <c r="I1064" s="665"/>
      <c r="J1064" s="171"/>
      <c r="K1064" s="171"/>
      <c r="L1064" s="523"/>
      <c r="M1064" s="171"/>
      <c r="N1064" s="172"/>
      <c r="O1064" s="10"/>
      <c r="P1064" s="10"/>
    </row>
    <row r="1065" spans="1:16" s="3" customFormat="1" ht="18" customHeight="1" x14ac:dyDescent="0.3">
      <c r="A1065" s="699">
        <v>1058</v>
      </c>
      <c r="B1065" s="1284"/>
      <c r="C1065" s="1387"/>
      <c r="D1065" s="690" t="s">
        <v>1307</v>
      </c>
      <c r="E1065" s="164"/>
      <c r="F1065" s="164"/>
      <c r="G1065" s="1277"/>
      <c r="H1065" s="702" t="s">
        <v>25</v>
      </c>
      <c r="I1065" s="665">
        <f>SUM(J1065:N1065)</f>
        <v>50</v>
      </c>
      <c r="J1065" s="171"/>
      <c r="K1065" s="171"/>
      <c r="L1065" s="523">
        <v>50</v>
      </c>
      <c r="M1065" s="171"/>
      <c r="N1065" s="172"/>
      <c r="O1065" s="10"/>
      <c r="P1065" s="10"/>
    </row>
    <row r="1066" spans="1:16" s="3" customFormat="1" ht="18" customHeight="1" x14ac:dyDescent="0.3">
      <c r="A1066" s="699">
        <v>1059</v>
      </c>
      <c r="B1066" s="1284"/>
      <c r="C1066" s="1387"/>
      <c r="D1066" s="1150" t="s">
        <v>834</v>
      </c>
      <c r="E1066" s="164"/>
      <c r="F1066" s="164"/>
      <c r="G1066" s="1277"/>
      <c r="H1066" s="702"/>
      <c r="I1066" s="158">
        <f>SUM(J1066:Q1066)</f>
        <v>0</v>
      </c>
      <c r="J1066" s="171"/>
      <c r="K1066" s="171"/>
      <c r="L1066" s="174"/>
      <c r="M1066" s="171"/>
      <c r="N1066" s="172"/>
      <c r="O1066" s="10"/>
      <c r="P1066" s="10"/>
    </row>
    <row r="1067" spans="1:16" s="110" customFormat="1" ht="18" customHeight="1" x14ac:dyDescent="0.35">
      <c r="A1067" s="699">
        <v>1060</v>
      </c>
      <c r="B1067" s="1295"/>
      <c r="C1067" s="1396"/>
      <c r="D1067" s="690" t="s">
        <v>1391</v>
      </c>
      <c r="E1067" s="1305"/>
      <c r="F1067" s="1305"/>
      <c r="G1067" s="1306"/>
      <c r="H1067" s="702"/>
      <c r="I1067" s="665">
        <f>SUM(J1067:N1067)</f>
        <v>50</v>
      </c>
      <c r="J1067" s="523"/>
      <c r="K1067" s="523"/>
      <c r="L1067" s="523">
        <f>SUM(L1065:L1066)</f>
        <v>50</v>
      </c>
      <c r="M1067" s="523"/>
      <c r="N1067" s="694"/>
      <c r="O1067" s="1699"/>
      <c r="P1067" s="1699"/>
    </row>
    <row r="1068" spans="1:16" s="110" customFormat="1" ht="18" customHeight="1" x14ac:dyDescent="0.35">
      <c r="A1068" s="699">
        <v>1061</v>
      </c>
      <c r="B1068" s="1295"/>
      <c r="C1068" s="1387">
        <v>184</v>
      </c>
      <c r="D1068" s="690" t="s">
        <v>692</v>
      </c>
      <c r="E1068" s="1305"/>
      <c r="F1068" s="1305"/>
      <c r="G1068" s="1306"/>
      <c r="H1068" s="702" t="s">
        <v>25</v>
      </c>
      <c r="I1068" s="665"/>
      <c r="J1068" s="523"/>
      <c r="K1068" s="523"/>
      <c r="L1068" s="523"/>
      <c r="M1068" s="523"/>
      <c r="N1068" s="694"/>
      <c r="O1068" s="1699"/>
      <c r="P1068" s="1699"/>
    </row>
    <row r="1069" spans="1:16" s="110" customFormat="1" ht="18" customHeight="1" x14ac:dyDescent="0.35">
      <c r="A1069" s="699">
        <v>1062</v>
      </c>
      <c r="B1069" s="1295"/>
      <c r="C1069" s="1387"/>
      <c r="D1069" s="690" t="s">
        <v>1307</v>
      </c>
      <c r="E1069" s="1305"/>
      <c r="F1069" s="1305"/>
      <c r="G1069" s="1306"/>
      <c r="H1069" s="702"/>
      <c r="I1069" s="665">
        <f>SUM(J1069:N1069)</f>
        <v>109</v>
      </c>
      <c r="J1069" s="523"/>
      <c r="K1069" s="523"/>
      <c r="L1069" s="523">
        <v>109</v>
      </c>
      <c r="M1069" s="523"/>
      <c r="N1069" s="694"/>
      <c r="O1069" s="1699"/>
      <c r="P1069" s="1699"/>
    </row>
    <row r="1070" spans="1:16" s="110" customFormat="1" ht="18" customHeight="1" x14ac:dyDescent="0.35">
      <c r="A1070" s="699">
        <v>1063</v>
      </c>
      <c r="B1070" s="1295"/>
      <c r="C1070" s="1396"/>
      <c r="D1070" s="1150" t="s">
        <v>834</v>
      </c>
      <c r="E1070" s="1305"/>
      <c r="F1070" s="1305"/>
      <c r="G1070" s="1306"/>
      <c r="H1070" s="702"/>
      <c r="I1070" s="158">
        <f>SUM(J1070:Q1070)</f>
        <v>0</v>
      </c>
      <c r="J1070" s="523"/>
      <c r="K1070" s="523"/>
      <c r="L1070" s="174"/>
      <c r="M1070" s="523"/>
      <c r="N1070" s="694"/>
      <c r="O1070" s="1699"/>
      <c r="P1070" s="1699"/>
    </row>
    <row r="1071" spans="1:16" s="110" customFormat="1" ht="18" customHeight="1" x14ac:dyDescent="0.35">
      <c r="A1071" s="699">
        <v>1064</v>
      </c>
      <c r="B1071" s="1295"/>
      <c r="C1071" s="1396"/>
      <c r="D1071" s="690" t="s">
        <v>1391</v>
      </c>
      <c r="E1071" s="1305"/>
      <c r="F1071" s="1305"/>
      <c r="G1071" s="1306"/>
      <c r="H1071" s="702"/>
      <c r="I1071" s="665">
        <f>SUM(J1071:N1071)</f>
        <v>109</v>
      </c>
      <c r="J1071" s="523"/>
      <c r="K1071" s="523"/>
      <c r="L1071" s="523">
        <f>SUM(L1069:L1070)</f>
        <v>109</v>
      </c>
      <c r="M1071" s="523"/>
      <c r="N1071" s="694"/>
      <c r="O1071" s="1699"/>
      <c r="P1071" s="1699"/>
    </row>
    <row r="1072" spans="1:16" s="110" customFormat="1" ht="18" customHeight="1" x14ac:dyDescent="0.35">
      <c r="A1072" s="699">
        <v>1065</v>
      </c>
      <c r="B1072" s="1295"/>
      <c r="C1072" s="1387">
        <v>185</v>
      </c>
      <c r="D1072" s="690" t="s">
        <v>880</v>
      </c>
      <c r="E1072" s="1305"/>
      <c r="F1072" s="1305"/>
      <c r="G1072" s="1306"/>
      <c r="H1072" s="702" t="s">
        <v>25</v>
      </c>
      <c r="I1072" s="665"/>
      <c r="J1072" s="523"/>
      <c r="K1072" s="523"/>
      <c r="L1072" s="523"/>
      <c r="M1072" s="523"/>
      <c r="N1072" s="694"/>
      <c r="O1072" s="1699"/>
      <c r="P1072" s="1699"/>
    </row>
    <row r="1073" spans="1:16" s="110" customFormat="1" ht="18" customHeight="1" x14ac:dyDescent="0.35">
      <c r="A1073" s="699">
        <v>1066</v>
      </c>
      <c r="B1073" s="1295"/>
      <c r="C1073" s="1387"/>
      <c r="D1073" s="690" t="s">
        <v>1307</v>
      </c>
      <c r="E1073" s="1305"/>
      <c r="F1073" s="1305"/>
      <c r="G1073" s="1306"/>
      <c r="H1073" s="702"/>
      <c r="I1073" s="665">
        <f>SUM(J1073:N1073)</f>
        <v>64</v>
      </c>
      <c r="J1073" s="523"/>
      <c r="K1073" s="523"/>
      <c r="L1073" s="523">
        <v>64</v>
      </c>
      <c r="M1073" s="523"/>
      <c r="N1073" s="694"/>
      <c r="O1073" s="1699"/>
      <c r="P1073" s="1699"/>
    </row>
    <row r="1074" spans="1:16" s="110" customFormat="1" ht="18" customHeight="1" x14ac:dyDescent="0.35">
      <c r="A1074" s="699">
        <v>1067</v>
      </c>
      <c r="B1074" s="1295"/>
      <c r="C1074" s="1387"/>
      <c r="D1074" s="1150" t="s">
        <v>834</v>
      </c>
      <c r="E1074" s="1305"/>
      <c r="F1074" s="1305"/>
      <c r="G1074" s="1306"/>
      <c r="H1074" s="702"/>
      <c r="I1074" s="158">
        <f>SUM(J1074:Q1074)</f>
        <v>0</v>
      </c>
      <c r="J1074" s="523"/>
      <c r="K1074" s="523"/>
      <c r="L1074" s="174"/>
      <c r="M1074" s="523"/>
      <c r="N1074" s="694"/>
      <c r="O1074" s="1699"/>
      <c r="P1074" s="1699"/>
    </row>
    <row r="1075" spans="1:16" s="110" customFormat="1" ht="18" customHeight="1" x14ac:dyDescent="0.35">
      <c r="A1075" s="699">
        <v>1068</v>
      </c>
      <c r="B1075" s="1295"/>
      <c r="C1075" s="1387"/>
      <c r="D1075" s="690" t="s">
        <v>1391</v>
      </c>
      <c r="E1075" s="1305"/>
      <c r="F1075" s="1305"/>
      <c r="G1075" s="1306"/>
      <c r="H1075" s="702"/>
      <c r="I1075" s="665">
        <f>SUM(J1075:N1075)</f>
        <v>64</v>
      </c>
      <c r="J1075" s="523"/>
      <c r="K1075" s="523"/>
      <c r="L1075" s="523">
        <f>SUM(L1073:L1074)</f>
        <v>64</v>
      </c>
      <c r="M1075" s="523"/>
      <c r="N1075" s="694"/>
      <c r="O1075" s="1699"/>
      <c r="P1075" s="1699"/>
    </row>
    <row r="1076" spans="1:16" s="110" customFormat="1" ht="18" customHeight="1" x14ac:dyDescent="0.35">
      <c r="A1076" s="699">
        <v>1069</v>
      </c>
      <c r="B1076" s="1295"/>
      <c r="C1076" s="1387">
        <v>186</v>
      </c>
      <c r="D1076" s="690" t="s">
        <v>500</v>
      </c>
      <c r="E1076" s="1305"/>
      <c r="F1076" s="1305"/>
      <c r="G1076" s="1306"/>
      <c r="H1076" s="702" t="s">
        <v>25</v>
      </c>
      <c r="I1076" s="665"/>
      <c r="J1076" s="523"/>
      <c r="K1076" s="523"/>
      <c r="L1076" s="523"/>
      <c r="M1076" s="523"/>
      <c r="N1076" s="694"/>
      <c r="O1076" s="1699"/>
      <c r="P1076" s="1699"/>
    </row>
    <row r="1077" spans="1:16" s="110" customFormat="1" ht="18" customHeight="1" x14ac:dyDescent="0.35">
      <c r="A1077" s="699">
        <v>1070</v>
      </c>
      <c r="B1077" s="1295"/>
      <c r="C1077" s="1387"/>
      <c r="D1077" s="690" t="s">
        <v>1307</v>
      </c>
      <c r="E1077" s="1305"/>
      <c r="F1077" s="1305"/>
      <c r="G1077" s="1306"/>
      <c r="H1077" s="702"/>
      <c r="I1077" s="665">
        <f>SUM(J1077:N1077)</f>
        <v>3</v>
      </c>
      <c r="J1077" s="523"/>
      <c r="K1077" s="523"/>
      <c r="L1077" s="523">
        <v>3</v>
      </c>
      <c r="M1077" s="523"/>
      <c r="N1077" s="694"/>
      <c r="O1077" s="1699"/>
      <c r="P1077" s="1699"/>
    </row>
    <row r="1078" spans="1:16" s="110" customFormat="1" ht="18" customHeight="1" x14ac:dyDescent="0.35">
      <c r="A1078" s="699">
        <v>1071</v>
      </c>
      <c r="B1078" s="1295"/>
      <c r="C1078" s="1396"/>
      <c r="D1078" s="1150" t="s">
        <v>834</v>
      </c>
      <c r="E1078" s="1305"/>
      <c r="F1078" s="1305"/>
      <c r="G1078" s="1306"/>
      <c r="H1078" s="702"/>
      <c r="I1078" s="158">
        <f>SUM(J1078:Q1078)</f>
        <v>0</v>
      </c>
      <c r="J1078" s="523"/>
      <c r="K1078" s="523"/>
      <c r="L1078" s="174"/>
      <c r="M1078" s="523"/>
      <c r="N1078" s="694"/>
      <c r="O1078" s="1699"/>
      <c r="P1078" s="1699"/>
    </row>
    <row r="1079" spans="1:16" s="110" customFormat="1" ht="18" customHeight="1" x14ac:dyDescent="0.35">
      <c r="A1079" s="699">
        <v>1072</v>
      </c>
      <c r="B1079" s="1295"/>
      <c r="C1079" s="1396"/>
      <c r="D1079" s="690" t="s">
        <v>1391</v>
      </c>
      <c r="E1079" s="1305"/>
      <c r="F1079" s="1305"/>
      <c r="G1079" s="1306"/>
      <c r="H1079" s="702"/>
      <c r="I1079" s="665">
        <f>SUM(J1079:N1079)</f>
        <v>3</v>
      </c>
      <c r="J1079" s="523"/>
      <c r="K1079" s="523"/>
      <c r="L1079" s="523">
        <f>SUM(L1077:L1078)</f>
        <v>3</v>
      </c>
      <c r="M1079" s="523"/>
      <c r="N1079" s="694"/>
      <c r="O1079" s="1699"/>
      <c r="P1079" s="1699"/>
    </row>
    <row r="1080" spans="1:16" s="110" customFormat="1" ht="18" customHeight="1" x14ac:dyDescent="0.35">
      <c r="A1080" s="699">
        <v>1073</v>
      </c>
      <c r="B1080" s="1295"/>
      <c r="C1080" s="1387">
        <v>187</v>
      </c>
      <c r="D1080" s="690" t="s">
        <v>1309</v>
      </c>
      <c r="E1080" s="1305"/>
      <c r="F1080" s="1305"/>
      <c r="G1080" s="1306"/>
      <c r="H1080" s="702" t="s">
        <v>25</v>
      </c>
      <c r="I1080" s="665"/>
      <c r="J1080" s="523"/>
      <c r="K1080" s="523"/>
      <c r="L1080" s="523"/>
      <c r="M1080" s="523"/>
      <c r="N1080" s="694"/>
      <c r="O1080" s="1699"/>
      <c r="P1080" s="1699"/>
    </row>
    <row r="1081" spans="1:16" s="110" customFormat="1" ht="18" customHeight="1" x14ac:dyDescent="0.35">
      <c r="A1081" s="699">
        <v>1074</v>
      </c>
      <c r="B1081" s="1295"/>
      <c r="C1081" s="1387"/>
      <c r="D1081" s="690" t="s">
        <v>1307</v>
      </c>
      <c r="E1081" s="1305"/>
      <c r="F1081" s="1305"/>
      <c r="G1081" s="1306"/>
      <c r="H1081" s="702"/>
      <c r="I1081" s="665">
        <f>SUM(J1081:N1081)</f>
        <v>766</v>
      </c>
      <c r="J1081" s="523"/>
      <c r="K1081" s="523"/>
      <c r="L1081" s="523">
        <v>766</v>
      </c>
      <c r="M1081" s="523"/>
      <c r="N1081" s="694"/>
      <c r="O1081" s="1707"/>
      <c r="P1081" s="1707"/>
    </row>
    <row r="1082" spans="1:16" s="110" customFormat="1" ht="18" customHeight="1" x14ac:dyDescent="0.35">
      <c r="A1082" s="699">
        <v>1075</v>
      </c>
      <c r="B1082" s="1295"/>
      <c r="C1082" s="1396"/>
      <c r="D1082" s="1150" t="s">
        <v>834</v>
      </c>
      <c r="E1082" s="1305"/>
      <c r="F1082" s="1305"/>
      <c r="G1082" s="1306"/>
      <c r="H1082" s="702"/>
      <c r="I1082" s="158">
        <f>SUM(J1082:Q1082)</f>
        <v>0</v>
      </c>
      <c r="J1082" s="523"/>
      <c r="K1082" s="523"/>
      <c r="L1082" s="174"/>
      <c r="M1082" s="523"/>
      <c r="N1082" s="694"/>
      <c r="O1082" s="1699"/>
      <c r="P1082" s="1699"/>
    </row>
    <row r="1083" spans="1:16" s="110" customFormat="1" ht="18" customHeight="1" x14ac:dyDescent="0.35">
      <c r="A1083" s="699">
        <v>1076</v>
      </c>
      <c r="B1083" s="1295"/>
      <c r="C1083" s="1396"/>
      <c r="D1083" s="690" t="s">
        <v>1391</v>
      </c>
      <c r="E1083" s="1305"/>
      <c r="F1083" s="1305"/>
      <c r="G1083" s="1306"/>
      <c r="H1083" s="702"/>
      <c r="I1083" s="665">
        <f>SUM(J1083:N1083)</f>
        <v>766</v>
      </c>
      <c r="J1083" s="523"/>
      <c r="K1083" s="523"/>
      <c r="L1083" s="523">
        <f>SUM(L1081:L1082)</f>
        <v>766</v>
      </c>
      <c r="M1083" s="523"/>
      <c r="N1083" s="694"/>
      <c r="O1083" s="1699"/>
      <c r="P1083" s="1699"/>
    </row>
    <row r="1084" spans="1:16" s="110" customFormat="1" ht="18" customHeight="1" x14ac:dyDescent="0.35">
      <c r="A1084" s="699">
        <v>1077</v>
      </c>
      <c r="B1084" s="1295"/>
      <c r="C1084" s="1387">
        <v>188</v>
      </c>
      <c r="D1084" s="690" t="s">
        <v>1350</v>
      </c>
      <c r="E1084" s="164">
        <v>104</v>
      </c>
      <c r="F1084" s="1305"/>
      <c r="G1084" s="1277">
        <v>40</v>
      </c>
      <c r="H1084" s="702" t="s">
        <v>25</v>
      </c>
      <c r="I1084" s="665"/>
      <c r="J1084" s="523"/>
      <c r="K1084" s="523"/>
      <c r="L1084" s="523"/>
      <c r="M1084" s="523"/>
      <c r="N1084" s="694"/>
      <c r="O1084" s="1699"/>
      <c r="P1084" s="1699"/>
    </row>
    <row r="1085" spans="1:16" s="110" customFormat="1" ht="18" customHeight="1" x14ac:dyDescent="0.35">
      <c r="A1085" s="699">
        <v>1078</v>
      </c>
      <c r="B1085" s="1295"/>
      <c r="C1085" s="1387"/>
      <c r="D1085" s="690" t="s">
        <v>1307</v>
      </c>
      <c r="E1085" s="164"/>
      <c r="F1085" s="1305"/>
      <c r="G1085" s="1277"/>
      <c r="H1085" s="702"/>
      <c r="I1085" s="665">
        <f>SUM(J1085:N1085)</f>
        <v>500</v>
      </c>
      <c r="J1085" s="523"/>
      <c r="K1085" s="523"/>
      <c r="L1085" s="523">
        <v>500</v>
      </c>
      <c r="M1085" s="523"/>
      <c r="N1085" s="694"/>
      <c r="O1085" s="1707"/>
      <c r="P1085" s="1707"/>
    </row>
    <row r="1086" spans="1:16" s="110" customFormat="1" ht="18" customHeight="1" x14ac:dyDescent="0.35">
      <c r="A1086" s="699">
        <v>1079</v>
      </c>
      <c r="B1086" s="1295"/>
      <c r="C1086" s="1387"/>
      <c r="D1086" s="1150" t="s">
        <v>954</v>
      </c>
      <c r="E1086" s="1305"/>
      <c r="F1086" s="1305"/>
      <c r="G1086" s="1306"/>
      <c r="H1086" s="702"/>
      <c r="I1086" s="158">
        <f>SUM(J1086:Q1086)</f>
        <v>0</v>
      </c>
      <c r="J1086" s="523"/>
      <c r="K1086" s="523"/>
      <c r="L1086" s="174"/>
      <c r="M1086" s="523"/>
      <c r="N1086" s="694"/>
      <c r="O1086" s="1699"/>
      <c r="P1086" s="1699"/>
    </row>
    <row r="1087" spans="1:16" s="110" customFormat="1" ht="18" customHeight="1" x14ac:dyDescent="0.35">
      <c r="A1087" s="699">
        <v>1080</v>
      </c>
      <c r="B1087" s="1295"/>
      <c r="C1087" s="1387"/>
      <c r="D1087" s="690" t="s">
        <v>1391</v>
      </c>
      <c r="E1087" s="1305"/>
      <c r="F1087" s="1305"/>
      <c r="G1087" s="1306"/>
      <c r="H1087" s="702"/>
      <c r="I1087" s="665">
        <f>SUM(J1087:N1087)</f>
        <v>500</v>
      </c>
      <c r="J1087" s="523"/>
      <c r="K1087" s="523"/>
      <c r="L1087" s="523">
        <f>SUM(L1085:L1086)</f>
        <v>500</v>
      </c>
      <c r="M1087" s="523"/>
      <c r="N1087" s="694"/>
      <c r="O1087" s="1699"/>
      <c r="P1087" s="1699"/>
    </row>
    <row r="1088" spans="1:16" s="110" customFormat="1" ht="18" customHeight="1" x14ac:dyDescent="0.35">
      <c r="A1088" s="699">
        <v>1081</v>
      </c>
      <c r="B1088" s="1295"/>
      <c r="C1088" s="1387">
        <v>189</v>
      </c>
      <c r="D1088" s="690" t="s">
        <v>905</v>
      </c>
      <c r="E1088" s="1305"/>
      <c r="F1088" s="1305"/>
      <c r="G1088" s="1306"/>
      <c r="H1088" s="702" t="s">
        <v>25</v>
      </c>
      <c r="I1088" s="665"/>
      <c r="J1088" s="523"/>
      <c r="K1088" s="523"/>
      <c r="L1088" s="523"/>
      <c r="M1088" s="523"/>
      <c r="N1088" s="694"/>
      <c r="O1088" s="1699"/>
      <c r="P1088" s="1699"/>
    </row>
    <row r="1089" spans="1:16" s="110" customFormat="1" ht="18" customHeight="1" x14ac:dyDescent="0.35">
      <c r="A1089" s="699">
        <v>1082</v>
      </c>
      <c r="B1089" s="1295"/>
      <c r="C1089" s="1387"/>
      <c r="D1089" s="690" t="s">
        <v>1307</v>
      </c>
      <c r="E1089" s="1305"/>
      <c r="F1089" s="1305"/>
      <c r="G1089" s="1306"/>
      <c r="H1089" s="702"/>
      <c r="I1089" s="665">
        <f>SUM(J1089:N1089)</f>
        <v>480</v>
      </c>
      <c r="J1089" s="523"/>
      <c r="K1089" s="523"/>
      <c r="L1089" s="523">
        <v>480</v>
      </c>
      <c r="M1089" s="523"/>
      <c r="N1089" s="694"/>
      <c r="O1089" s="1707"/>
      <c r="P1089" s="1707"/>
    </row>
    <row r="1090" spans="1:16" s="110" customFormat="1" ht="18" customHeight="1" x14ac:dyDescent="0.35">
      <c r="A1090" s="699">
        <v>1083</v>
      </c>
      <c r="B1090" s="1295"/>
      <c r="C1090" s="1396"/>
      <c r="D1090" s="1150" t="s">
        <v>954</v>
      </c>
      <c r="E1090" s="1305"/>
      <c r="F1090" s="1305"/>
      <c r="G1090" s="1306"/>
      <c r="H1090" s="702"/>
      <c r="I1090" s="158">
        <f>SUM(J1090:Q1090)</f>
        <v>0</v>
      </c>
      <c r="J1090" s="523"/>
      <c r="K1090" s="523"/>
      <c r="L1090" s="174"/>
      <c r="M1090" s="523"/>
      <c r="N1090" s="694"/>
      <c r="O1090" s="1699"/>
      <c r="P1090" s="1699"/>
    </row>
    <row r="1091" spans="1:16" s="110" customFormat="1" ht="18" customHeight="1" x14ac:dyDescent="0.35">
      <c r="A1091" s="699">
        <v>1084</v>
      </c>
      <c r="B1091" s="1295"/>
      <c r="C1091" s="1396"/>
      <c r="D1091" s="690" t="s">
        <v>1391</v>
      </c>
      <c r="E1091" s="1305"/>
      <c r="F1091" s="1305"/>
      <c r="G1091" s="1306"/>
      <c r="H1091" s="702"/>
      <c r="I1091" s="665">
        <f>SUM(J1091:N1091)</f>
        <v>480</v>
      </c>
      <c r="J1091" s="523"/>
      <c r="K1091" s="523"/>
      <c r="L1091" s="523">
        <f>SUM(L1089:L1090)</f>
        <v>480</v>
      </c>
      <c r="M1091" s="523"/>
      <c r="N1091" s="694"/>
      <c r="O1091" s="1699"/>
      <c r="P1091" s="1699"/>
    </row>
    <row r="1092" spans="1:16" s="110" customFormat="1" ht="18" customHeight="1" x14ac:dyDescent="0.35">
      <c r="A1092" s="699">
        <v>1085</v>
      </c>
      <c r="B1092" s="1295"/>
      <c r="C1092" s="1387">
        <v>190</v>
      </c>
      <c r="D1092" s="690" t="s">
        <v>1481</v>
      </c>
      <c r="E1092" s="1305"/>
      <c r="F1092" s="1305"/>
      <c r="G1092" s="1306"/>
      <c r="H1092" s="702" t="s">
        <v>25</v>
      </c>
      <c r="I1092" s="665"/>
      <c r="J1092" s="523"/>
      <c r="K1092" s="523"/>
      <c r="L1092" s="523"/>
      <c r="M1092" s="523"/>
      <c r="N1092" s="694"/>
      <c r="O1092" s="1717"/>
      <c r="P1092" s="1717"/>
    </row>
    <row r="1093" spans="1:16" s="110" customFormat="1" ht="18" customHeight="1" x14ac:dyDescent="0.35">
      <c r="A1093" s="699">
        <v>1086</v>
      </c>
      <c r="B1093" s="1295"/>
      <c r="C1093" s="1387"/>
      <c r="D1093" s="1150" t="s">
        <v>954</v>
      </c>
      <c r="E1093" s="1305"/>
      <c r="F1093" s="1305"/>
      <c r="G1093" s="1306"/>
      <c r="H1093" s="702"/>
      <c r="I1093" s="158">
        <f>SUM(J1093:Q1093)</f>
        <v>362</v>
      </c>
      <c r="J1093" s="523"/>
      <c r="K1093" s="523"/>
      <c r="L1093" s="174">
        <v>362</v>
      </c>
      <c r="M1093" s="523"/>
      <c r="N1093" s="694"/>
      <c r="O1093" s="1717"/>
      <c r="P1093" s="1717"/>
    </row>
    <row r="1094" spans="1:16" s="110" customFormat="1" ht="18" customHeight="1" x14ac:dyDescent="0.35">
      <c r="A1094" s="699">
        <v>1087</v>
      </c>
      <c r="B1094" s="1295"/>
      <c r="C1094" s="1387"/>
      <c r="D1094" s="690" t="s">
        <v>1391</v>
      </c>
      <c r="E1094" s="1305"/>
      <c r="F1094" s="1305"/>
      <c r="G1094" s="1306"/>
      <c r="H1094" s="702"/>
      <c r="I1094" s="665">
        <f>SUM(J1094:N1094)</f>
        <v>362</v>
      </c>
      <c r="J1094" s="523"/>
      <c r="K1094" s="523"/>
      <c r="L1094" s="523">
        <f>SUM(L1093)</f>
        <v>362</v>
      </c>
      <c r="M1094" s="523"/>
      <c r="N1094" s="694"/>
      <c r="O1094" s="1717"/>
      <c r="P1094" s="1717"/>
    </row>
    <row r="1095" spans="1:16" s="110" customFormat="1" ht="18" customHeight="1" x14ac:dyDescent="0.35">
      <c r="A1095" s="699">
        <v>1088</v>
      </c>
      <c r="B1095" s="1295"/>
      <c r="C1095" s="1387">
        <v>191</v>
      </c>
      <c r="D1095" s="690" t="s">
        <v>1261</v>
      </c>
      <c r="E1095" s="1305"/>
      <c r="F1095" s="1305"/>
      <c r="G1095" s="1306"/>
      <c r="H1095" s="702" t="s">
        <v>25</v>
      </c>
      <c r="I1095" s="665"/>
      <c r="J1095" s="523"/>
      <c r="K1095" s="523"/>
      <c r="L1095" s="523"/>
      <c r="M1095" s="523"/>
      <c r="N1095" s="694"/>
      <c r="O1095" s="1717"/>
      <c r="P1095" s="1717"/>
    </row>
    <row r="1096" spans="1:16" s="110" customFormat="1" ht="18" customHeight="1" x14ac:dyDescent="0.35">
      <c r="A1096" s="699">
        <v>1089</v>
      </c>
      <c r="B1096" s="1295"/>
      <c r="C1096" s="1396"/>
      <c r="D1096" s="1150" t="s">
        <v>954</v>
      </c>
      <c r="E1096" s="1305"/>
      <c r="F1096" s="1305"/>
      <c r="G1096" s="1306"/>
      <c r="H1096" s="702"/>
      <c r="I1096" s="158">
        <f>SUM(J1096:Q1096)</f>
        <v>2000</v>
      </c>
      <c r="J1096" s="523"/>
      <c r="K1096" s="523"/>
      <c r="L1096" s="174">
        <v>2000</v>
      </c>
      <c r="M1096" s="523"/>
      <c r="N1096" s="694"/>
      <c r="O1096" s="1717"/>
      <c r="P1096" s="1717"/>
    </row>
    <row r="1097" spans="1:16" s="110" customFormat="1" ht="18" customHeight="1" x14ac:dyDescent="0.35">
      <c r="A1097" s="699">
        <v>1090</v>
      </c>
      <c r="B1097" s="1295"/>
      <c r="C1097" s="1396"/>
      <c r="D1097" s="690" t="s">
        <v>1391</v>
      </c>
      <c r="E1097" s="1305"/>
      <c r="F1097" s="1305"/>
      <c r="G1097" s="1306"/>
      <c r="H1097" s="702"/>
      <c r="I1097" s="665">
        <f>SUM(J1097:N1097)</f>
        <v>2000</v>
      </c>
      <c r="J1097" s="523"/>
      <c r="K1097" s="523"/>
      <c r="L1097" s="523">
        <f>SUM(L1096)</f>
        <v>2000</v>
      </c>
      <c r="M1097" s="523"/>
      <c r="N1097" s="694"/>
      <c r="O1097" s="1717"/>
      <c r="P1097" s="1717"/>
    </row>
    <row r="1098" spans="1:16" s="3" customFormat="1" ht="22.5" customHeight="1" x14ac:dyDescent="0.3">
      <c r="A1098" s="699">
        <v>1091</v>
      </c>
      <c r="B1098" s="1284"/>
      <c r="C1098" s="1387"/>
      <c r="D1098" s="180" t="s">
        <v>296</v>
      </c>
      <c r="E1098" s="164"/>
      <c r="F1098" s="164"/>
      <c r="G1098" s="1277"/>
      <c r="H1098" s="702"/>
      <c r="I1098" s="666"/>
      <c r="J1098" s="171"/>
      <c r="K1098" s="171"/>
      <c r="L1098" s="171"/>
      <c r="M1098" s="171"/>
      <c r="N1098" s="172"/>
      <c r="O1098" s="10"/>
      <c r="P1098" s="10"/>
    </row>
    <row r="1099" spans="1:16" s="3" customFormat="1" ht="18" customHeight="1" x14ac:dyDescent="0.3">
      <c r="A1099" s="699">
        <v>1092</v>
      </c>
      <c r="B1099" s="1284"/>
      <c r="C1099" s="1387">
        <v>192</v>
      </c>
      <c r="D1099" s="690" t="s">
        <v>628</v>
      </c>
      <c r="E1099" s="164"/>
      <c r="F1099" s="164"/>
      <c r="G1099" s="1277"/>
      <c r="H1099" s="702" t="s">
        <v>25</v>
      </c>
      <c r="I1099" s="666"/>
      <c r="J1099" s="171"/>
      <c r="K1099" s="171"/>
      <c r="L1099" s="171"/>
      <c r="M1099" s="171"/>
      <c r="N1099" s="172"/>
      <c r="O1099" s="10"/>
      <c r="P1099" s="10"/>
    </row>
    <row r="1100" spans="1:16" s="3" customFormat="1" ht="18" customHeight="1" x14ac:dyDescent="0.3">
      <c r="A1100" s="699">
        <v>1093</v>
      </c>
      <c r="B1100" s="1284"/>
      <c r="C1100" s="1387"/>
      <c r="D1100" s="690" t="s">
        <v>1307</v>
      </c>
      <c r="E1100" s="164"/>
      <c r="F1100" s="164"/>
      <c r="G1100" s="1277"/>
      <c r="H1100" s="702"/>
      <c r="I1100" s="665">
        <f>SUM(J1100:N1100)</f>
        <v>0</v>
      </c>
      <c r="J1100" s="171"/>
      <c r="K1100" s="171"/>
      <c r="L1100" s="523">
        <v>0</v>
      </c>
      <c r="M1100" s="171"/>
      <c r="N1100" s="172"/>
      <c r="O1100" s="10"/>
      <c r="P1100" s="10"/>
    </row>
    <row r="1101" spans="1:16" s="3" customFormat="1" ht="18" customHeight="1" x14ac:dyDescent="0.3">
      <c r="A1101" s="699">
        <v>1094</v>
      </c>
      <c r="B1101" s="1284"/>
      <c r="C1101" s="1387"/>
      <c r="D1101" s="1150" t="s">
        <v>834</v>
      </c>
      <c r="E1101" s="164"/>
      <c r="F1101" s="164"/>
      <c r="G1101" s="1277"/>
      <c r="H1101" s="702"/>
      <c r="I1101" s="158">
        <f>SUM(J1101:Q1101)</f>
        <v>0</v>
      </c>
      <c r="J1101" s="171"/>
      <c r="K1101" s="171"/>
      <c r="L1101" s="174"/>
      <c r="M1101" s="171"/>
      <c r="N1101" s="172"/>
      <c r="O1101" s="10"/>
      <c r="P1101" s="10"/>
    </row>
    <row r="1102" spans="1:16" s="110" customFormat="1" ht="18" customHeight="1" x14ac:dyDescent="0.35">
      <c r="A1102" s="699">
        <v>1095</v>
      </c>
      <c r="B1102" s="1295"/>
      <c r="C1102" s="1396"/>
      <c r="D1102" s="690" t="s">
        <v>1391</v>
      </c>
      <c r="E1102" s="1305"/>
      <c r="F1102" s="1305"/>
      <c r="G1102" s="1306"/>
      <c r="H1102" s="702"/>
      <c r="I1102" s="665">
        <f>SUM(J1102:N1102)</f>
        <v>0</v>
      </c>
      <c r="J1102" s="523"/>
      <c r="K1102" s="523"/>
      <c r="L1102" s="523">
        <f>SUM(L1100:L1101)</f>
        <v>0</v>
      </c>
      <c r="M1102" s="523"/>
      <c r="N1102" s="694"/>
      <c r="O1102" s="1699"/>
      <c r="P1102" s="1699"/>
    </row>
    <row r="1103" spans="1:16" s="3" customFormat="1" ht="18" customHeight="1" x14ac:dyDescent="0.3">
      <c r="A1103" s="699">
        <v>1096</v>
      </c>
      <c r="B1103" s="1284"/>
      <c r="C1103" s="1387">
        <v>193</v>
      </c>
      <c r="D1103" s="690" t="s">
        <v>339</v>
      </c>
      <c r="E1103" s="164"/>
      <c r="F1103" s="164"/>
      <c r="G1103" s="1277"/>
      <c r="H1103" s="702" t="s">
        <v>25</v>
      </c>
      <c r="I1103" s="666"/>
      <c r="J1103" s="171"/>
      <c r="K1103" s="171"/>
      <c r="L1103" s="171"/>
      <c r="M1103" s="171"/>
      <c r="N1103" s="172"/>
      <c r="O1103" s="10"/>
      <c r="P1103" s="10"/>
    </row>
    <row r="1104" spans="1:16" s="3" customFormat="1" ht="18" customHeight="1" x14ac:dyDescent="0.3">
      <c r="A1104" s="699">
        <v>1097</v>
      </c>
      <c r="B1104" s="1284"/>
      <c r="C1104" s="1387"/>
      <c r="D1104" s="690" t="s">
        <v>1307</v>
      </c>
      <c r="E1104" s="164"/>
      <c r="F1104" s="164"/>
      <c r="G1104" s="1277"/>
      <c r="H1104" s="702"/>
      <c r="I1104" s="665">
        <f>SUM(J1104:N1104)</f>
        <v>300</v>
      </c>
      <c r="J1104" s="171"/>
      <c r="K1104" s="171"/>
      <c r="L1104" s="523">
        <v>300</v>
      </c>
      <c r="M1104" s="171"/>
      <c r="N1104" s="172"/>
      <c r="O1104" s="10"/>
      <c r="P1104" s="10"/>
    </row>
    <row r="1105" spans="1:16" s="3" customFormat="1" ht="18" customHeight="1" x14ac:dyDescent="0.3">
      <c r="A1105" s="699">
        <v>1098</v>
      </c>
      <c r="B1105" s="1284"/>
      <c r="C1105" s="1387"/>
      <c r="D1105" s="1150" t="s">
        <v>834</v>
      </c>
      <c r="E1105" s="164"/>
      <c r="F1105" s="164"/>
      <c r="G1105" s="1277"/>
      <c r="H1105" s="702"/>
      <c r="I1105" s="158">
        <f>SUM(J1105:Q1105)</f>
        <v>0</v>
      </c>
      <c r="J1105" s="171"/>
      <c r="K1105" s="171"/>
      <c r="L1105" s="174"/>
      <c r="M1105" s="171"/>
      <c r="N1105" s="172"/>
      <c r="O1105" s="10"/>
      <c r="P1105" s="10"/>
    </row>
    <row r="1106" spans="1:16" s="110" customFormat="1" ht="18" customHeight="1" x14ac:dyDescent="0.35">
      <c r="A1106" s="699">
        <v>1099</v>
      </c>
      <c r="B1106" s="1295"/>
      <c r="C1106" s="1396"/>
      <c r="D1106" s="690" t="s">
        <v>1391</v>
      </c>
      <c r="E1106" s="1305"/>
      <c r="F1106" s="1305"/>
      <c r="G1106" s="1306"/>
      <c r="H1106" s="702"/>
      <c r="I1106" s="665">
        <f>SUM(J1106:N1106)</f>
        <v>300</v>
      </c>
      <c r="J1106" s="523"/>
      <c r="K1106" s="523"/>
      <c r="L1106" s="523">
        <f>SUM(L1104:L1105)</f>
        <v>300</v>
      </c>
      <c r="M1106" s="523"/>
      <c r="N1106" s="694"/>
      <c r="O1106" s="1699"/>
      <c r="P1106" s="1699"/>
    </row>
    <row r="1107" spans="1:16" s="3" customFormat="1" ht="18" customHeight="1" x14ac:dyDescent="0.3">
      <c r="A1107" s="699">
        <v>1100</v>
      </c>
      <c r="B1107" s="1284"/>
      <c r="C1107" s="1387">
        <v>194</v>
      </c>
      <c r="D1107" s="690" t="s">
        <v>630</v>
      </c>
      <c r="E1107" s="164"/>
      <c r="F1107" s="164"/>
      <c r="G1107" s="1277"/>
      <c r="H1107" s="702" t="s">
        <v>25</v>
      </c>
      <c r="I1107" s="666"/>
      <c r="J1107" s="171"/>
      <c r="K1107" s="171"/>
      <c r="L1107" s="171"/>
      <c r="M1107" s="171"/>
      <c r="N1107" s="172"/>
      <c r="O1107" s="10"/>
      <c r="P1107" s="10"/>
    </row>
    <row r="1108" spans="1:16" s="10" customFormat="1" ht="19.5" hidden="1" customHeight="1" x14ac:dyDescent="0.3">
      <c r="A1108" s="699">
        <v>1101</v>
      </c>
      <c r="B1108" s="1299"/>
      <c r="C1108" s="1387">
        <v>227</v>
      </c>
      <c r="D1108" s="690"/>
      <c r="E1108" s="758"/>
      <c r="F1108" s="758"/>
      <c r="G1108" s="1278"/>
      <c r="H1108" s="769" t="s">
        <v>25</v>
      </c>
      <c r="I1108" s="528"/>
      <c r="J1108" s="529"/>
      <c r="K1108" s="529"/>
      <c r="L1108" s="529"/>
      <c r="M1108" s="529"/>
      <c r="N1108" s="642"/>
    </row>
    <row r="1109" spans="1:16" s="10" customFormat="1" ht="19.5" customHeight="1" x14ac:dyDescent="0.3">
      <c r="A1109" s="699">
        <v>1102</v>
      </c>
      <c r="B1109" s="1299"/>
      <c r="C1109" s="1387"/>
      <c r="D1109" s="690" t="s">
        <v>1307</v>
      </c>
      <c r="E1109" s="758"/>
      <c r="F1109" s="758"/>
      <c r="G1109" s="1278"/>
      <c r="H1109" s="769"/>
      <c r="I1109" s="665">
        <f>SUM(J1109:N1109)</f>
        <v>18</v>
      </c>
      <c r="J1109" s="529"/>
      <c r="K1109" s="529"/>
      <c r="L1109" s="529">
        <v>18</v>
      </c>
      <c r="M1109" s="529"/>
      <c r="N1109" s="642"/>
    </row>
    <row r="1110" spans="1:16" s="10" customFormat="1" ht="19.5" customHeight="1" x14ac:dyDescent="0.3">
      <c r="A1110" s="699">
        <v>1103</v>
      </c>
      <c r="B1110" s="1284"/>
      <c r="C1110" s="1387"/>
      <c r="D1110" s="1150" t="s">
        <v>834</v>
      </c>
      <c r="E1110" s="164"/>
      <c r="F1110" s="164"/>
      <c r="G1110" s="1277"/>
      <c r="H1110" s="702"/>
      <c r="I1110" s="158">
        <f>SUM(J1110:Q1110)</f>
        <v>0</v>
      </c>
      <c r="J1110" s="171"/>
      <c r="K1110" s="171"/>
      <c r="L1110" s="174"/>
      <c r="M1110" s="171"/>
      <c r="N1110" s="172"/>
    </row>
    <row r="1111" spans="1:16" s="1699" customFormat="1" ht="19.5" customHeight="1" x14ac:dyDescent="0.3">
      <c r="A1111" s="699">
        <v>1104</v>
      </c>
      <c r="B1111" s="1295"/>
      <c r="C1111" s="1396"/>
      <c r="D1111" s="690" t="s">
        <v>1391</v>
      </c>
      <c r="E1111" s="1305"/>
      <c r="F1111" s="1305"/>
      <c r="G1111" s="1306"/>
      <c r="H1111" s="702"/>
      <c r="I1111" s="665">
        <f>SUM(J1111:N1111)</f>
        <v>18</v>
      </c>
      <c r="J1111" s="523"/>
      <c r="K1111" s="523"/>
      <c r="L1111" s="523">
        <f>SUM(L1109:L1110)</f>
        <v>18</v>
      </c>
      <c r="M1111" s="523"/>
      <c r="N1111" s="694"/>
    </row>
    <row r="1112" spans="1:16" s="10" customFormat="1" ht="19.5" customHeight="1" x14ac:dyDescent="0.3">
      <c r="A1112" s="699">
        <v>1105</v>
      </c>
      <c r="B1112" s="1284"/>
      <c r="C1112" s="1387">
        <v>195</v>
      </c>
      <c r="D1112" s="690" t="s">
        <v>648</v>
      </c>
      <c r="E1112" s="164"/>
      <c r="F1112" s="164"/>
      <c r="G1112" s="1277"/>
      <c r="H1112" s="702"/>
      <c r="I1112" s="665"/>
      <c r="J1112" s="171"/>
      <c r="K1112" s="171"/>
      <c r="L1112" s="523"/>
      <c r="M1112" s="171"/>
      <c r="N1112" s="172"/>
    </row>
    <row r="1113" spans="1:16" s="10" customFormat="1" ht="19.5" customHeight="1" x14ac:dyDescent="0.3">
      <c r="A1113" s="699">
        <v>1106</v>
      </c>
      <c r="B1113" s="1284"/>
      <c r="C1113" s="1387"/>
      <c r="D1113" s="690" t="s">
        <v>1307</v>
      </c>
      <c r="E1113" s="164"/>
      <c r="F1113" s="164"/>
      <c r="G1113" s="1277"/>
      <c r="H1113" s="702" t="s">
        <v>25</v>
      </c>
      <c r="I1113" s="665">
        <f>SUM(J1113:N1113)</f>
        <v>362</v>
      </c>
      <c r="J1113" s="171"/>
      <c r="K1113" s="171"/>
      <c r="L1113" s="523">
        <v>362</v>
      </c>
      <c r="M1113" s="171"/>
      <c r="N1113" s="172"/>
    </row>
    <row r="1114" spans="1:16" s="10" customFormat="1" ht="19.5" customHeight="1" x14ac:dyDescent="0.3">
      <c r="A1114" s="699">
        <v>1107</v>
      </c>
      <c r="B1114" s="1284"/>
      <c r="C1114" s="1387"/>
      <c r="D1114" s="1150" t="s">
        <v>954</v>
      </c>
      <c r="E1114" s="164"/>
      <c r="F1114" s="164"/>
      <c r="G1114" s="1277"/>
      <c r="H1114" s="702"/>
      <c r="I1114" s="158">
        <f>SUM(J1114:Q1114)</f>
        <v>-362</v>
      </c>
      <c r="J1114" s="171"/>
      <c r="K1114" s="171"/>
      <c r="L1114" s="174">
        <v>-362</v>
      </c>
      <c r="M1114" s="171"/>
      <c r="N1114" s="172"/>
    </row>
    <row r="1115" spans="1:16" s="1699" customFormat="1" ht="19.5" customHeight="1" x14ac:dyDescent="0.3">
      <c r="A1115" s="699">
        <v>1108</v>
      </c>
      <c r="B1115" s="1295"/>
      <c r="C1115" s="1396"/>
      <c r="D1115" s="690" t="s">
        <v>1391</v>
      </c>
      <c r="E1115" s="1305"/>
      <c r="F1115" s="1305"/>
      <c r="G1115" s="1306"/>
      <c r="H1115" s="702"/>
      <c r="I1115" s="665">
        <f>SUM(J1115:N1115)</f>
        <v>0</v>
      </c>
      <c r="J1115" s="523"/>
      <c r="K1115" s="523"/>
      <c r="L1115" s="523">
        <f>SUM(L1113:L1114)</f>
        <v>0</v>
      </c>
      <c r="M1115" s="523"/>
      <c r="N1115" s="694"/>
    </row>
    <row r="1116" spans="1:16" s="1699" customFormat="1" ht="19.5" customHeight="1" x14ac:dyDescent="0.3">
      <c r="A1116" s="699">
        <v>1109</v>
      </c>
      <c r="B1116" s="1303"/>
      <c r="C1116" s="1387">
        <v>196</v>
      </c>
      <c r="D1116" s="690" t="s">
        <v>1366</v>
      </c>
      <c r="E1116" s="1308"/>
      <c r="F1116" s="1308"/>
      <c r="G1116" s="1309"/>
      <c r="H1116" s="704" t="s">
        <v>25</v>
      </c>
      <c r="I1116" s="665"/>
      <c r="J1116" s="1559"/>
      <c r="K1116" s="1559"/>
      <c r="L1116" s="1559"/>
      <c r="M1116" s="1559"/>
      <c r="N1116" s="1560"/>
    </row>
    <row r="1117" spans="1:16" s="1699" customFormat="1" ht="19.5" customHeight="1" x14ac:dyDescent="0.3">
      <c r="A1117" s="699">
        <v>1110</v>
      </c>
      <c r="B1117" s="1303"/>
      <c r="C1117" s="1387"/>
      <c r="D1117" s="690" t="s">
        <v>1307</v>
      </c>
      <c r="E1117" s="1308"/>
      <c r="F1117" s="1308"/>
      <c r="G1117" s="1309"/>
      <c r="H1117" s="704"/>
      <c r="I1117" s="665">
        <f>SUM(J1117:N1117)</f>
        <v>151823</v>
      </c>
      <c r="J1117" s="1559"/>
      <c r="K1117" s="1559"/>
      <c r="L1117" s="1559">
        <f>1700+123</f>
        <v>1823</v>
      </c>
      <c r="M1117" s="1559"/>
      <c r="N1117" s="1560">
        <v>150000</v>
      </c>
    </row>
    <row r="1118" spans="1:16" s="1699" customFormat="1" ht="19.5" customHeight="1" x14ac:dyDescent="0.3">
      <c r="A1118" s="699">
        <v>1111</v>
      </c>
      <c r="B1118" s="1303"/>
      <c r="C1118" s="1396"/>
      <c r="D1118" s="1150" t="s">
        <v>834</v>
      </c>
      <c r="E1118" s="1308"/>
      <c r="F1118" s="1308"/>
      <c r="G1118" s="1309"/>
      <c r="H1118" s="704"/>
      <c r="I1118" s="158">
        <f>SUM(J1118:Q1118)</f>
        <v>0</v>
      </c>
      <c r="J1118" s="1559"/>
      <c r="K1118" s="1559"/>
      <c r="L1118" s="1561"/>
      <c r="M1118" s="1559"/>
      <c r="N1118" s="1675"/>
    </row>
    <row r="1119" spans="1:16" s="1699" customFormat="1" ht="19.5" customHeight="1" x14ac:dyDescent="0.3">
      <c r="A1119" s="699">
        <v>1112</v>
      </c>
      <c r="B1119" s="1303"/>
      <c r="C1119" s="1396"/>
      <c r="D1119" s="690" t="s">
        <v>1391</v>
      </c>
      <c r="E1119" s="1308"/>
      <c r="F1119" s="1308"/>
      <c r="G1119" s="1309"/>
      <c r="H1119" s="704"/>
      <c r="I1119" s="665">
        <f>SUM(J1119:N1119)</f>
        <v>151823</v>
      </c>
      <c r="J1119" s="1559"/>
      <c r="K1119" s="1559"/>
      <c r="L1119" s="1559">
        <f>SUM(L1117:L1118)</f>
        <v>1823</v>
      </c>
      <c r="M1119" s="1559"/>
      <c r="N1119" s="1560">
        <f>SUM(N1117:N1118)</f>
        <v>150000</v>
      </c>
    </row>
    <row r="1120" spans="1:16" s="10" customFormat="1" ht="19.5" customHeight="1" x14ac:dyDescent="0.3">
      <c r="A1120" s="699">
        <v>1113</v>
      </c>
      <c r="B1120" s="1284"/>
      <c r="C1120" s="1387">
        <v>197</v>
      </c>
      <c r="D1120" s="691" t="s">
        <v>939</v>
      </c>
      <c r="E1120" s="164"/>
      <c r="F1120" s="164"/>
      <c r="G1120" s="1277"/>
      <c r="H1120" s="702" t="s">
        <v>25</v>
      </c>
      <c r="I1120" s="665"/>
      <c r="J1120" s="168"/>
      <c r="K1120" s="168"/>
      <c r="L1120" s="168"/>
      <c r="M1120" s="168"/>
      <c r="N1120" s="169"/>
    </row>
    <row r="1121" spans="1:16" s="10" customFormat="1" ht="19.5" customHeight="1" x14ac:dyDescent="0.3">
      <c r="A1121" s="699">
        <v>1114</v>
      </c>
      <c r="B1121" s="1284"/>
      <c r="C1121" s="1395"/>
      <c r="D1121" s="690" t="s">
        <v>1307</v>
      </c>
      <c r="E1121" s="164"/>
      <c r="F1121" s="164"/>
      <c r="G1121" s="1277"/>
      <c r="H1121" s="702"/>
      <c r="I1121" s="665">
        <f>SUM(J1121:N1121)</f>
        <v>3</v>
      </c>
      <c r="J1121" s="168"/>
      <c r="K1121" s="168"/>
      <c r="L1121" s="527">
        <v>3</v>
      </c>
      <c r="M1121" s="168"/>
      <c r="N1121" s="169"/>
    </row>
    <row r="1122" spans="1:16" s="10" customFormat="1" ht="16.5" x14ac:dyDescent="0.3">
      <c r="A1122" s="699">
        <v>1115</v>
      </c>
      <c r="B1122" s="1284"/>
      <c r="C1122" s="1395"/>
      <c r="D1122" s="1150" t="s">
        <v>834</v>
      </c>
      <c r="E1122" s="164"/>
      <c r="F1122" s="164"/>
      <c r="G1122" s="1277"/>
      <c r="H1122" s="702"/>
      <c r="I1122" s="158">
        <f>SUM(J1122:Q1122)</f>
        <v>0</v>
      </c>
      <c r="J1122" s="168"/>
      <c r="K1122" s="168"/>
      <c r="L1122" s="183"/>
      <c r="M1122" s="168"/>
      <c r="N1122" s="169"/>
    </row>
    <row r="1123" spans="1:16" s="10" customFormat="1" ht="16.5" x14ac:dyDescent="0.3">
      <c r="A1123" s="699">
        <v>1116</v>
      </c>
      <c r="B1123" s="1284"/>
      <c r="C1123" s="1395"/>
      <c r="D1123" s="690" t="s">
        <v>1391</v>
      </c>
      <c r="E1123" s="164"/>
      <c r="F1123" s="164"/>
      <c r="G1123" s="1277"/>
      <c r="H1123" s="702"/>
      <c r="I1123" s="665">
        <f>SUM(J1123:N1123)</f>
        <v>3</v>
      </c>
      <c r="J1123" s="168"/>
      <c r="K1123" s="168"/>
      <c r="L1123" s="527">
        <f>SUM(L1121:L1122)</f>
        <v>3</v>
      </c>
      <c r="M1123" s="168"/>
      <c r="N1123" s="169"/>
    </row>
    <row r="1124" spans="1:16" s="3" customFormat="1" ht="22.5" customHeight="1" x14ac:dyDescent="0.3">
      <c r="A1124" s="699">
        <v>1117</v>
      </c>
      <c r="B1124" s="1282"/>
      <c r="C1124" s="1387">
        <v>198</v>
      </c>
      <c r="D1124" s="163" t="s">
        <v>94</v>
      </c>
      <c r="E1124" s="164">
        <v>2107</v>
      </c>
      <c r="F1124" s="164">
        <v>3000</v>
      </c>
      <c r="G1124" s="1277">
        <v>1897</v>
      </c>
      <c r="H1124" s="702"/>
      <c r="I1124" s="665"/>
      <c r="J1124" s="168"/>
      <c r="K1124" s="168"/>
      <c r="L1124" s="168"/>
      <c r="M1124" s="168"/>
      <c r="N1124" s="169"/>
      <c r="P1124" s="10"/>
    </row>
    <row r="1125" spans="1:16" s="10" customFormat="1" ht="30" x14ac:dyDescent="0.3">
      <c r="A1125" s="699">
        <v>1118</v>
      </c>
      <c r="B1125" s="1284"/>
      <c r="C1125" s="1395">
        <v>199</v>
      </c>
      <c r="D1125" s="167" t="s">
        <v>545</v>
      </c>
      <c r="E1125" s="164"/>
      <c r="F1125" s="164">
        <v>6000</v>
      </c>
      <c r="G1125" s="1277">
        <v>6000</v>
      </c>
      <c r="H1125" s="702"/>
      <c r="I1125" s="665"/>
      <c r="J1125" s="168"/>
      <c r="K1125" s="168"/>
      <c r="L1125" s="168"/>
      <c r="M1125" s="168"/>
      <c r="N1125" s="169"/>
    </row>
    <row r="1126" spans="1:16" s="10" customFormat="1" ht="18" customHeight="1" x14ac:dyDescent="0.3">
      <c r="A1126" s="699">
        <v>1119</v>
      </c>
      <c r="B1126" s="1284"/>
      <c r="C1126" s="1387">
        <v>200</v>
      </c>
      <c r="D1126" s="167" t="s">
        <v>469</v>
      </c>
      <c r="E1126" s="164"/>
      <c r="F1126" s="164">
        <v>3000</v>
      </c>
      <c r="G1126" s="1277">
        <v>2555</v>
      </c>
      <c r="H1126" s="702"/>
      <c r="I1126" s="665"/>
      <c r="J1126" s="168"/>
      <c r="K1126" s="168"/>
      <c r="L1126" s="168"/>
      <c r="M1126" s="168"/>
      <c r="N1126" s="169"/>
    </row>
    <row r="1127" spans="1:16" s="10" customFormat="1" ht="18" customHeight="1" x14ac:dyDescent="0.3">
      <c r="A1127" s="699">
        <v>1120</v>
      </c>
      <c r="B1127" s="1284"/>
      <c r="C1127" s="1387">
        <v>201</v>
      </c>
      <c r="D1127" s="167" t="s">
        <v>467</v>
      </c>
      <c r="E1127" s="164"/>
      <c r="F1127" s="164">
        <v>20000</v>
      </c>
      <c r="G1127" s="1277">
        <v>22506</v>
      </c>
      <c r="H1127" s="704"/>
      <c r="I1127" s="666"/>
      <c r="J1127" s="171"/>
      <c r="K1127" s="171"/>
      <c r="L1127" s="171"/>
      <c r="M1127" s="171"/>
      <c r="N1127" s="172"/>
    </row>
    <row r="1128" spans="1:16" s="182" customFormat="1" ht="17.25" customHeight="1" x14ac:dyDescent="0.3">
      <c r="A1128" s="699">
        <v>1121</v>
      </c>
      <c r="B1128" s="1291"/>
      <c r="C1128" s="1395">
        <v>202</v>
      </c>
      <c r="D1128" s="167" t="s">
        <v>925</v>
      </c>
      <c r="E1128" s="198">
        <v>300</v>
      </c>
      <c r="F1128" s="198"/>
      <c r="G1128" s="1276">
        <v>600</v>
      </c>
      <c r="H1128" s="704"/>
      <c r="I1128" s="665"/>
      <c r="J1128" s="165"/>
      <c r="K1128" s="165"/>
      <c r="L1128" s="165"/>
      <c r="M1128" s="165"/>
      <c r="N1128" s="166"/>
      <c r="O1128" s="157"/>
      <c r="P1128" s="10"/>
    </row>
    <row r="1129" spans="1:16" s="10" customFormat="1" ht="17.25" customHeight="1" x14ac:dyDescent="0.3">
      <c r="A1129" s="699">
        <v>1122</v>
      </c>
      <c r="B1129" s="1284"/>
      <c r="C1129" s="1387">
        <v>203</v>
      </c>
      <c r="D1129" s="1412" t="s">
        <v>734</v>
      </c>
      <c r="E1129" s="164"/>
      <c r="F1129" s="164"/>
      <c r="G1129" s="1277">
        <v>100</v>
      </c>
      <c r="H1129" s="702"/>
      <c r="I1129" s="665"/>
      <c r="J1129" s="168"/>
      <c r="K1129" s="168"/>
      <c r="L1129" s="168"/>
      <c r="M1129" s="168"/>
      <c r="N1129" s="169"/>
    </row>
    <row r="1130" spans="1:16" s="110" customFormat="1" ht="17.25" customHeight="1" x14ac:dyDescent="0.35">
      <c r="A1130" s="699">
        <v>1123</v>
      </c>
      <c r="B1130" s="1293"/>
      <c r="C1130" s="1387">
        <v>204</v>
      </c>
      <c r="D1130" s="163" t="s">
        <v>84</v>
      </c>
      <c r="E1130" s="164">
        <v>200934</v>
      </c>
      <c r="F1130" s="164">
        <v>166585</v>
      </c>
      <c r="G1130" s="1277">
        <v>228272</v>
      </c>
      <c r="H1130" s="702"/>
      <c r="I1130" s="665"/>
      <c r="J1130" s="527"/>
      <c r="K1130" s="527"/>
      <c r="L1130" s="527"/>
      <c r="M1130" s="527"/>
      <c r="N1130" s="520"/>
      <c r="P1130" s="1699"/>
    </row>
    <row r="1131" spans="1:16" s="182" customFormat="1" ht="17.25" customHeight="1" x14ac:dyDescent="0.3">
      <c r="A1131" s="699">
        <v>1124</v>
      </c>
      <c r="B1131" s="1291"/>
      <c r="C1131" s="1395">
        <v>205</v>
      </c>
      <c r="D1131" s="167" t="s">
        <v>365</v>
      </c>
      <c r="E1131" s="198">
        <v>243</v>
      </c>
      <c r="F1131" s="198"/>
      <c r="G1131" s="1276">
        <v>15060</v>
      </c>
      <c r="H1131" s="704"/>
      <c r="I1131" s="665"/>
      <c r="J1131" s="165"/>
      <c r="K1131" s="165"/>
      <c r="L1131" s="165"/>
      <c r="M1131" s="165"/>
      <c r="N1131" s="166"/>
      <c r="P1131" s="10"/>
    </row>
    <row r="1132" spans="1:16" s="3" customFormat="1" ht="17.25" customHeight="1" x14ac:dyDescent="0.3">
      <c r="A1132" s="699">
        <v>1125</v>
      </c>
      <c r="B1132" s="1289"/>
      <c r="C1132" s="1387">
        <v>206</v>
      </c>
      <c r="D1132" s="167" t="s">
        <v>366</v>
      </c>
      <c r="E1132" s="198">
        <v>3096</v>
      </c>
      <c r="F1132" s="198"/>
      <c r="G1132" s="1276">
        <v>4295</v>
      </c>
      <c r="H1132" s="704"/>
      <c r="I1132" s="665"/>
      <c r="J1132" s="197"/>
      <c r="K1132" s="197"/>
      <c r="L1132" s="197"/>
      <c r="M1132" s="165"/>
      <c r="N1132" s="166"/>
      <c r="O1132" s="10"/>
      <c r="P1132" s="10"/>
    </row>
    <row r="1133" spans="1:16" s="11" customFormat="1" ht="17.25" customHeight="1" x14ac:dyDescent="0.3">
      <c r="A1133" s="699">
        <v>1126</v>
      </c>
      <c r="B1133" s="1285"/>
      <c r="C1133" s="1387">
        <v>207</v>
      </c>
      <c r="D1133" s="163" t="s">
        <v>522</v>
      </c>
      <c r="E1133" s="164"/>
      <c r="F1133" s="164">
        <v>1000</v>
      </c>
      <c r="G1133" s="1277"/>
      <c r="H1133" s="702"/>
      <c r="I1133" s="665"/>
      <c r="J1133" s="168"/>
      <c r="K1133" s="168"/>
      <c r="L1133" s="168"/>
      <c r="M1133" s="168"/>
      <c r="N1133" s="169"/>
      <c r="P1133" s="10"/>
    </row>
    <row r="1134" spans="1:16" s="10" customFormat="1" ht="17.25" customHeight="1" x14ac:dyDescent="0.3">
      <c r="A1134" s="699">
        <v>1127</v>
      </c>
      <c r="B1134" s="1284"/>
      <c r="C1134" s="1395">
        <v>208</v>
      </c>
      <c r="D1134" s="167" t="s">
        <v>474</v>
      </c>
      <c r="E1134" s="164">
        <v>1000</v>
      </c>
      <c r="F1134" s="164"/>
      <c r="G1134" s="1277"/>
      <c r="H1134" s="702"/>
      <c r="I1134" s="665"/>
      <c r="J1134" s="171"/>
      <c r="K1134" s="171"/>
      <c r="L1134" s="523"/>
      <c r="M1134" s="171"/>
      <c r="N1134" s="172"/>
    </row>
    <row r="1135" spans="1:16" s="10" customFormat="1" ht="17.25" customHeight="1" x14ac:dyDescent="0.3">
      <c r="A1135" s="699">
        <v>1128</v>
      </c>
      <c r="B1135" s="1284"/>
      <c r="C1135" s="1387">
        <v>209</v>
      </c>
      <c r="D1135" s="167" t="s">
        <v>289</v>
      </c>
      <c r="E1135" s="164">
        <v>3000</v>
      </c>
      <c r="F1135" s="164"/>
      <c r="G1135" s="1277"/>
      <c r="H1135" s="702"/>
      <c r="I1135" s="665"/>
      <c r="J1135" s="171"/>
      <c r="K1135" s="171"/>
      <c r="L1135" s="523"/>
      <c r="M1135" s="171"/>
      <c r="N1135" s="172"/>
    </row>
    <row r="1136" spans="1:16" s="10" customFormat="1" ht="17.25" customHeight="1" x14ac:dyDescent="0.3">
      <c r="A1136" s="699">
        <v>1129</v>
      </c>
      <c r="B1136" s="1284"/>
      <c r="C1136" s="1387">
        <v>210</v>
      </c>
      <c r="D1136" s="167" t="s">
        <v>300</v>
      </c>
      <c r="E1136" s="164">
        <v>743</v>
      </c>
      <c r="F1136" s="164"/>
      <c r="G1136" s="1277"/>
      <c r="H1136" s="702"/>
      <c r="I1136" s="665"/>
      <c r="J1136" s="171"/>
      <c r="K1136" s="171"/>
      <c r="L1136" s="523"/>
      <c r="M1136" s="171"/>
      <c r="N1136" s="172"/>
    </row>
    <row r="1137" spans="1:16" s="10" customFormat="1" ht="17.25" customHeight="1" x14ac:dyDescent="0.3">
      <c r="A1137" s="699">
        <v>1130</v>
      </c>
      <c r="B1137" s="1284"/>
      <c r="C1137" s="1395">
        <v>211</v>
      </c>
      <c r="D1137" s="167" t="s">
        <v>301</v>
      </c>
      <c r="E1137" s="164">
        <v>5000</v>
      </c>
      <c r="F1137" s="164"/>
      <c r="G1137" s="1277"/>
      <c r="H1137" s="702"/>
      <c r="I1137" s="665"/>
      <c r="J1137" s="171"/>
      <c r="K1137" s="171"/>
      <c r="L1137" s="523"/>
      <c r="M1137" s="171"/>
      <c r="N1137" s="172"/>
    </row>
    <row r="1138" spans="1:16" s="10" customFormat="1" ht="17.25" customHeight="1" x14ac:dyDescent="0.3">
      <c r="A1138" s="699">
        <v>1131</v>
      </c>
      <c r="B1138" s="1284"/>
      <c r="C1138" s="1387">
        <v>212</v>
      </c>
      <c r="D1138" s="167" t="s">
        <v>604</v>
      </c>
      <c r="E1138" s="164"/>
      <c r="F1138" s="164"/>
      <c r="G1138" s="1277">
        <v>23</v>
      </c>
      <c r="H1138" s="702"/>
      <c r="I1138" s="665"/>
      <c r="J1138" s="171"/>
      <c r="K1138" s="171"/>
      <c r="L1138" s="523"/>
      <c r="M1138" s="171"/>
      <c r="N1138" s="172"/>
    </row>
    <row r="1139" spans="1:16" s="10" customFormat="1" ht="17.25" customHeight="1" x14ac:dyDescent="0.3">
      <c r="A1139" s="699">
        <v>1132</v>
      </c>
      <c r="B1139" s="1284"/>
      <c r="C1139" s="1387">
        <v>213</v>
      </c>
      <c r="D1139" s="167" t="s">
        <v>929</v>
      </c>
      <c r="E1139" s="164"/>
      <c r="F1139" s="164"/>
      <c r="G1139" s="1277">
        <v>4014</v>
      </c>
      <c r="H1139" s="702"/>
      <c r="I1139" s="665"/>
      <c r="J1139" s="171"/>
      <c r="K1139" s="171"/>
      <c r="L1139" s="523"/>
      <c r="M1139" s="171"/>
      <c r="N1139" s="172"/>
    </row>
    <row r="1140" spans="1:16" s="10" customFormat="1" ht="17.25" customHeight="1" x14ac:dyDescent="0.3">
      <c r="A1140" s="699">
        <v>1133</v>
      </c>
      <c r="B1140" s="1296"/>
      <c r="C1140" s="1395">
        <v>214</v>
      </c>
      <c r="D1140" s="163" t="s">
        <v>117</v>
      </c>
      <c r="E1140" s="164">
        <v>3292</v>
      </c>
      <c r="F1140" s="164">
        <v>3000</v>
      </c>
      <c r="G1140" s="1277">
        <v>1808</v>
      </c>
      <c r="H1140" s="702"/>
      <c r="I1140" s="666"/>
      <c r="J1140" s="171"/>
      <c r="K1140" s="171"/>
      <c r="L1140" s="171"/>
      <c r="M1140" s="171"/>
      <c r="N1140" s="172"/>
    </row>
    <row r="1141" spans="1:16" s="10" customFormat="1" ht="17.25" customHeight="1" x14ac:dyDescent="0.3">
      <c r="A1141" s="699">
        <v>1134</v>
      </c>
      <c r="B1141" s="1296"/>
      <c r="C1141" s="1387">
        <v>215</v>
      </c>
      <c r="D1141" s="163" t="s">
        <v>432</v>
      </c>
      <c r="E1141" s="164"/>
      <c r="F1141" s="164"/>
      <c r="G1141" s="1277">
        <v>229</v>
      </c>
      <c r="H1141" s="702"/>
      <c r="I1141" s="666"/>
      <c r="J1141" s="171"/>
      <c r="K1141" s="171"/>
      <c r="L1141" s="171"/>
      <c r="M1141" s="171"/>
      <c r="N1141" s="172"/>
    </row>
    <row r="1142" spans="1:16" s="10" customFormat="1" ht="17.25" customHeight="1" x14ac:dyDescent="0.3">
      <c r="A1142" s="699">
        <v>1135</v>
      </c>
      <c r="B1142" s="1296"/>
      <c r="C1142" s="1387">
        <v>216</v>
      </c>
      <c r="D1142" s="163" t="s">
        <v>433</v>
      </c>
      <c r="E1142" s="164"/>
      <c r="F1142" s="164"/>
      <c r="G1142" s="1277">
        <v>813</v>
      </c>
      <c r="H1142" s="702"/>
      <c r="I1142" s="666"/>
      <c r="J1142" s="171"/>
      <c r="K1142" s="171"/>
      <c r="L1142" s="171"/>
      <c r="M1142" s="171"/>
      <c r="N1142" s="172"/>
    </row>
    <row r="1143" spans="1:16" s="10" customFormat="1" ht="17.25" customHeight="1" x14ac:dyDescent="0.3">
      <c r="A1143" s="699">
        <v>1136</v>
      </c>
      <c r="B1143" s="1284"/>
      <c r="C1143" s="1395">
        <v>217</v>
      </c>
      <c r="D1143" s="167" t="s">
        <v>439</v>
      </c>
      <c r="E1143" s="164"/>
      <c r="F1143" s="164">
        <v>1270</v>
      </c>
      <c r="G1143" s="1277">
        <v>610</v>
      </c>
      <c r="H1143" s="702"/>
      <c r="I1143" s="665"/>
      <c r="J1143" s="168"/>
      <c r="K1143" s="168"/>
      <c r="L1143" s="168"/>
      <c r="M1143" s="168"/>
      <c r="N1143" s="169"/>
    </row>
    <row r="1144" spans="1:16" s="10" customFormat="1" ht="31.5" customHeight="1" x14ac:dyDescent="0.3">
      <c r="A1144" s="699">
        <v>1137</v>
      </c>
      <c r="B1144" s="1284"/>
      <c r="C1144" s="1395">
        <v>218</v>
      </c>
      <c r="D1144" s="167" t="s">
        <v>472</v>
      </c>
      <c r="E1144" s="164"/>
      <c r="F1144" s="164">
        <v>7600</v>
      </c>
      <c r="G1144" s="1277">
        <v>7600</v>
      </c>
      <c r="H1144" s="702"/>
      <c r="I1144" s="665"/>
      <c r="J1144" s="168"/>
      <c r="K1144" s="168"/>
      <c r="L1144" s="168"/>
      <c r="M1144" s="168"/>
      <c r="N1144" s="169"/>
    </row>
    <row r="1145" spans="1:16" s="10" customFormat="1" ht="17.25" customHeight="1" x14ac:dyDescent="0.3">
      <c r="A1145" s="699">
        <v>1138</v>
      </c>
      <c r="B1145" s="1291"/>
      <c r="C1145" s="1387">
        <v>219</v>
      </c>
      <c r="D1145" s="167" t="s">
        <v>608</v>
      </c>
      <c r="E1145" s="198"/>
      <c r="F1145" s="170"/>
      <c r="G1145" s="1276">
        <v>0</v>
      </c>
      <c r="H1145" s="702"/>
      <c r="I1145" s="665"/>
      <c r="J1145" s="165"/>
      <c r="K1145" s="165"/>
      <c r="L1145" s="165"/>
      <c r="M1145" s="165"/>
      <c r="N1145" s="166"/>
    </row>
    <row r="1146" spans="1:16" s="10" customFormat="1" ht="17.25" customHeight="1" x14ac:dyDescent="0.3">
      <c r="A1146" s="699">
        <v>1139</v>
      </c>
      <c r="B1146" s="1291"/>
      <c r="C1146" s="1395">
        <v>220</v>
      </c>
      <c r="D1146" s="167" t="s">
        <v>542</v>
      </c>
      <c r="E1146" s="198"/>
      <c r="F1146" s="170"/>
      <c r="G1146" s="1276">
        <v>120</v>
      </c>
      <c r="H1146" s="702"/>
      <c r="I1146" s="665"/>
      <c r="J1146" s="165"/>
      <c r="K1146" s="165"/>
      <c r="L1146" s="165"/>
      <c r="M1146" s="165"/>
      <c r="N1146" s="166"/>
    </row>
    <row r="1147" spans="1:16" s="11" customFormat="1" ht="17.25" customHeight="1" x14ac:dyDescent="0.3">
      <c r="A1147" s="699">
        <v>1140</v>
      </c>
      <c r="B1147" s="1285"/>
      <c r="C1147" s="1387">
        <v>221</v>
      </c>
      <c r="D1147" s="167" t="s">
        <v>605</v>
      </c>
      <c r="E1147" s="164"/>
      <c r="F1147" s="173">
        <v>1500</v>
      </c>
      <c r="G1147" s="1264">
        <v>1500</v>
      </c>
      <c r="H1147" s="702"/>
      <c r="I1147" s="667"/>
      <c r="J1147" s="183"/>
      <c r="K1147" s="183"/>
      <c r="L1147" s="183"/>
      <c r="M1147" s="183"/>
      <c r="N1147" s="184"/>
      <c r="P1147" s="10"/>
    </row>
    <row r="1148" spans="1:16" s="11" customFormat="1" ht="17.25" customHeight="1" x14ac:dyDescent="0.3">
      <c r="A1148" s="699">
        <v>1141</v>
      </c>
      <c r="B1148" s="1285"/>
      <c r="C1148" s="1387">
        <v>222</v>
      </c>
      <c r="D1148" s="167" t="s">
        <v>473</v>
      </c>
      <c r="E1148" s="164"/>
      <c r="F1148" s="164">
        <v>70000</v>
      </c>
      <c r="G1148" s="1264"/>
      <c r="H1148" s="702"/>
      <c r="I1148" s="667"/>
      <c r="J1148" s="183"/>
      <c r="K1148" s="183"/>
      <c r="L1148" s="183"/>
      <c r="M1148" s="183"/>
      <c r="N1148" s="184"/>
      <c r="P1148" s="10"/>
    </row>
    <row r="1149" spans="1:16" s="10" customFormat="1" ht="30" customHeight="1" x14ac:dyDescent="0.3">
      <c r="A1149" s="699">
        <v>1142</v>
      </c>
      <c r="B1149" s="1291"/>
      <c r="C1149" s="1395">
        <v>223</v>
      </c>
      <c r="D1149" s="167" t="s">
        <v>541</v>
      </c>
      <c r="E1149" s="198"/>
      <c r="F1149" s="170"/>
      <c r="G1149" s="1276">
        <v>50</v>
      </c>
      <c r="H1149" s="702"/>
      <c r="I1149" s="665"/>
      <c r="J1149" s="165"/>
      <c r="K1149" s="165"/>
      <c r="L1149" s="165"/>
      <c r="M1149" s="165"/>
      <c r="N1149" s="166"/>
    </row>
    <row r="1150" spans="1:16" s="10" customFormat="1" ht="17.25" customHeight="1" x14ac:dyDescent="0.3">
      <c r="A1150" s="699">
        <v>1143</v>
      </c>
      <c r="B1150" s="1291"/>
      <c r="C1150" s="1387">
        <v>224</v>
      </c>
      <c r="D1150" s="167" t="s">
        <v>435</v>
      </c>
      <c r="E1150" s="198"/>
      <c r="F1150" s="170"/>
      <c r="G1150" s="1276">
        <v>0</v>
      </c>
      <c r="H1150" s="702"/>
      <c r="I1150" s="665"/>
      <c r="J1150" s="165"/>
      <c r="K1150" s="165"/>
      <c r="L1150" s="165"/>
      <c r="M1150" s="165"/>
      <c r="N1150" s="166"/>
    </row>
    <row r="1151" spans="1:16" s="10" customFormat="1" ht="17.25" customHeight="1" x14ac:dyDescent="0.3">
      <c r="A1151" s="699">
        <v>1144</v>
      </c>
      <c r="B1151" s="1284"/>
      <c r="C1151" s="1387">
        <v>225</v>
      </c>
      <c r="D1151" s="167" t="s">
        <v>377</v>
      </c>
      <c r="E1151" s="164">
        <v>469</v>
      </c>
      <c r="F1151" s="164"/>
      <c r="G1151" s="1277">
        <v>5</v>
      </c>
      <c r="H1151" s="704"/>
      <c r="I1151" s="665"/>
      <c r="J1151" s="165"/>
      <c r="K1151" s="165"/>
      <c r="L1151" s="165"/>
      <c r="M1151" s="165"/>
      <c r="N1151" s="166"/>
    </row>
    <row r="1152" spans="1:16" s="3" customFormat="1" ht="17.25" customHeight="1" x14ac:dyDescent="0.3">
      <c r="A1152" s="699">
        <v>1145</v>
      </c>
      <c r="B1152" s="1284"/>
      <c r="C1152" s="1395">
        <v>226</v>
      </c>
      <c r="D1152" s="167" t="s">
        <v>376</v>
      </c>
      <c r="E1152" s="164">
        <v>220</v>
      </c>
      <c r="F1152" s="164"/>
      <c r="G1152" s="1277">
        <v>208</v>
      </c>
      <c r="H1152" s="704"/>
      <c r="I1152" s="665"/>
      <c r="J1152" s="165"/>
      <c r="K1152" s="165"/>
      <c r="L1152" s="165"/>
      <c r="M1152" s="165"/>
      <c r="N1152" s="166"/>
      <c r="O1152" s="10"/>
      <c r="P1152" s="10"/>
    </row>
    <row r="1153" spans="1:16" s="3" customFormat="1" ht="29.45" customHeight="1" x14ac:dyDescent="0.3">
      <c r="A1153" s="699">
        <v>1146</v>
      </c>
      <c r="B1153" s="1289"/>
      <c r="C1153" s="1395">
        <v>227</v>
      </c>
      <c r="D1153" s="167" t="s">
        <v>613</v>
      </c>
      <c r="E1153" s="198"/>
      <c r="F1153" s="198"/>
      <c r="G1153" s="1276">
        <v>116</v>
      </c>
      <c r="H1153" s="719"/>
      <c r="I1153" s="665"/>
      <c r="J1153" s="165"/>
      <c r="K1153" s="165"/>
      <c r="L1153" s="165"/>
      <c r="M1153" s="165"/>
      <c r="N1153" s="166"/>
      <c r="O1153" s="10"/>
      <c r="P1153" s="10"/>
    </row>
    <row r="1154" spans="1:16" s="3" customFormat="1" ht="17.25" customHeight="1" x14ac:dyDescent="0.3">
      <c r="A1154" s="699">
        <v>1147</v>
      </c>
      <c r="B1154" s="1289"/>
      <c r="C1154" s="1387">
        <v>228</v>
      </c>
      <c r="D1154" s="167" t="s">
        <v>616</v>
      </c>
      <c r="E1154" s="198"/>
      <c r="F1154" s="198"/>
      <c r="G1154" s="1276">
        <v>0</v>
      </c>
      <c r="H1154" s="719"/>
      <c r="I1154" s="665"/>
      <c r="J1154" s="165"/>
      <c r="K1154" s="165"/>
      <c r="L1154" s="165"/>
      <c r="M1154" s="165"/>
      <c r="N1154" s="166"/>
      <c r="O1154" s="10"/>
      <c r="P1154" s="10"/>
    </row>
    <row r="1155" spans="1:16" s="3" customFormat="1" ht="17.25" customHeight="1" x14ac:dyDescent="0.3">
      <c r="A1155" s="699">
        <v>1148</v>
      </c>
      <c r="B1155" s="1289"/>
      <c r="C1155" s="1395">
        <v>229</v>
      </c>
      <c r="D1155" s="167" t="s">
        <v>619</v>
      </c>
      <c r="E1155" s="198"/>
      <c r="F1155" s="198"/>
      <c r="G1155" s="1276">
        <v>7557</v>
      </c>
      <c r="H1155" s="704"/>
      <c r="I1155" s="665"/>
      <c r="J1155" s="165"/>
      <c r="K1155" s="165"/>
      <c r="L1155" s="165"/>
      <c r="M1155" s="165"/>
      <c r="N1155" s="166"/>
      <c r="O1155" s="10"/>
      <c r="P1155" s="10"/>
    </row>
    <row r="1156" spans="1:16" s="3" customFormat="1" ht="17.25" customHeight="1" x14ac:dyDescent="0.3">
      <c r="A1156" s="699">
        <v>1149</v>
      </c>
      <c r="B1156" s="1289"/>
      <c r="C1156" s="1387">
        <v>230</v>
      </c>
      <c r="D1156" s="167" t="s">
        <v>621</v>
      </c>
      <c r="E1156" s="198"/>
      <c r="F1156" s="198"/>
      <c r="G1156" s="1276">
        <v>500</v>
      </c>
      <c r="H1156" s="704"/>
      <c r="I1156" s="665"/>
      <c r="J1156" s="165"/>
      <c r="K1156" s="165"/>
      <c r="L1156" s="165"/>
      <c r="M1156" s="165"/>
      <c r="N1156" s="166"/>
      <c r="O1156" s="10"/>
      <c r="P1156" s="10"/>
    </row>
    <row r="1157" spans="1:16" s="182" customFormat="1" ht="17.25" customHeight="1" x14ac:dyDescent="0.3">
      <c r="A1157" s="699">
        <v>1150</v>
      </c>
      <c r="B1157" s="1291"/>
      <c r="C1157" s="1387">
        <v>231</v>
      </c>
      <c r="D1157" s="167" t="s">
        <v>631</v>
      </c>
      <c r="E1157" s="198"/>
      <c r="F1157" s="198"/>
      <c r="G1157" s="1276">
        <v>500</v>
      </c>
      <c r="H1157" s="704"/>
      <c r="I1157" s="665"/>
      <c r="J1157" s="165"/>
      <c r="K1157" s="165"/>
      <c r="L1157" s="165"/>
      <c r="M1157" s="165"/>
      <c r="N1157" s="166"/>
      <c r="O1157" s="157"/>
      <c r="P1157" s="10"/>
    </row>
    <row r="1158" spans="1:16" s="182" customFormat="1" ht="17.25" customHeight="1" x14ac:dyDescent="0.3">
      <c r="A1158" s="699">
        <v>1151</v>
      </c>
      <c r="B1158" s="1291"/>
      <c r="C1158" s="1395">
        <v>232</v>
      </c>
      <c r="D1158" s="167" t="s">
        <v>632</v>
      </c>
      <c r="E1158" s="198"/>
      <c r="F1158" s="198"/>
      <c r="G1158" s="1276">
        <v>150</v>
      </c>
      <c r="H1158" s="704"/>
      <c r="I1158" s="665"/>
      <c r="J1158" s="165"/>
      <c r="K1158" s="165"/>
      <c r="L1158" s="165"/>
      <c r="M1158" s="165"/>
      <c r="N1158" s="166"/>
      <c r="O1158" s="157"/>
      <c r="P1158" s="10"/>
    </row>
    <row r="1159" spans="1:16" s="3" customFormat="1" ht="17.25" customHeight="1" x14ac:dyDescent="0.3">
      <c r="A1159" s="699">
        <v>1152</v>
      </c>
      <c r="B1159" s="1284"/>
      <c r="C1159" s="1387">
        <v>233</v>
      </c>
      <c r="D1159" s="167" t="s">
        <v>625</v>
      </c>
      <c r="E1159" s="164"/>
      <c r="F1159" s="164"/>
      <c r="G1159" s="1277">
        <v>0</v>
      </c>
      <c r="H1159" s="702"/>
      <c r="I1159" s="666"/>
      <c r="J1159" s="171"/>
      <c r="K1159" s="171"/>
      <c r="L1159" s="171"/>
      <c r="M1159" s="171"/>
      <c r="N1159" s="172"/>
      <c r="O1159" s="10"/>
      <c r="P1159" s="10"/>
    </row>
    <row r="1160" spans="1:16" s="3" customFormat="1" ht="17.25" customHeight="1" x14ac:dyDescent="0.3">
      <c r="A1160" s="699">
        <v>1153</v>
      </c>
      <c r="B1160" s="1284"/>
      <c r="C1160" s="1387">
        <v>234</v>
      </c>
      <c r="D1160" s="167" t="s">
        <v>33</v>
      </c>
      <c r="E1160" s="164">
        <v>30</v>
      </c>
      <c r="F1160" s="164"/>
      <c r="G1160" s="1277">
        <v>15</v>
      </c>
      <c r="H1160" s="702"/>
      <c r="I1160" s="666"/>
      <c r="J1160" s="171"/>
      <c r="K1160" s="171"/>
      <c r="L1160" s="171"/>
      <c r="M1160" s="171"/>
      <c r="N1160" s="172"/>
      <c r="O1160" s="10"/>
      <c r="P1160" s="10"/>
    </row>
    <row r="1161" spans="1:16" s="3" customFormat="1" ht="17.25" customHeight="1" x14ac:dyDescent="0.3">
      <c r="A1161" s="699">
        <v>1154</v>
      </c>
      <c r="B1161" s="1284"/>
      <c r="C1161" s="1395">
        <v>235</v>
      </c>
      <c r="D1161" s="167" t="s">
        <v>483</v>
      </c>
      <c r="E1161" s="164">
        <v>25</v>
      </c>
      <c r="F1161" s="164"/>
      <c r="G1161" s="1277">
        <v>344</v>
      </c>
      <c r="H1161" s="702"/>
      <c r="I1161" s="666"/>
      <c r="J1161" s="171"/>
      <c r="K1161" s="171"/>
      <c r="L1161" s="171"/>
      <c r="M1161" s="171"/>
      <c r="N1161" s="172"/>
      <c r="O1161" s="10"/>
      <c r="P1161" s="10"/>
    </row>
    <row r="1162" spans="1:16" s="3" customFormat="1" ht="17.25" customHeight="1" x14ac:dyDescent="0.3">
      <c r="A1162" s="699">
        <v>1155</v>
      </c>
      <c r="B1162" s="1284"/>
      <c r="C1162" s="1387">
        <v>236</v>
      </c>
      <c r="D1162" s="167" t="s">
        <v>484</v>
      </c>
      <c r="E1162" s="164"/>
      <c r="F1162" s="164"/>
      <c r="G1162" s="1277">
        <v>244</v>
      </c>
      <c r="H1162" s="702"/>
      <c r="I1162" s="666"/>
      <c r="J1162" s="171"/>
      <c r="K1162" s="171"/>
      <c r="L1162" s="171"/>
      <c r="M1162" s="171"/>
      <c r="N1162" s="172"/>
      <c r="O1162" s="10"/>
      <c r="P1162" s="10"/>
    </row>
    <row r="1163" spans="1:16" s="3" customFormat="1" ht="17.25" customHeight="1" x14ac:dyDescent="0.3">
      <c r="A1163" s="699">
        <v>1156</v>
      </c>
      <c r="B1163" s="1284"/>
      <c r="C1163" s="1387">
        <v>237</v>
      </c>
      <c r="D1163" s="167" t="s">
        <v>485</v>
      </c>
      <c r="E1163" s="164">
        <v>14</v>
      </c>
      <c r="F1163" s="164"/>
      <c r="G1163" s="1277">
        <v>0</v>
      </c>
      <c r="H1163" s="702"/>
      <c r="I1163" s="666"/>
      <c r="J1163" s="171"/>
      <c r="K1163" s="171"/>
      <c r="L1163" s="171"/>
      <c r="M1163" s="171"/>
      <c r="N1163" s="172"/>
      <c r="O1163" s="10"/>
      <c r="P1163" s="10"/>
    </row>
    <row r="1164" spans="1:16" s="3" customFormat="1" ht="17.25" customHeight="1" x14ac:dyDescent="0.3">
      <c r="A1164" s="699">
        <v>1157</v>
      </c>
      <c r="B1164" s="1284"/>
      <c r="C1164" s="1395">
        <v>238</v>
      </c>
      <c r="D1164" s="167" t="s">
        <v>626</v>
      </c>
      <c r="E1164" s="164"/>
      <c r="F1164" s="164"/>
      <c r="G1164" s="1277">
        <v>57</v>
      </c>
      <c r="H1164" s="702"/>
      <c r="I1164" s="666"/>
      <c r="J1164" s="171"/>
      <c r="K1164" s="171"/>
      <c r="L1164" s="171"/>
      <c r="M1164" s="171"/>
      <c r="N1164" s="172"/>
      <c r="O1164" s="10"/>
      <c r="P1164" s="10"/>
    </row>
    <row r="1165" spans="1:16" s="3" customFormat="1" ht="17.25" customHeight="1" x14ac:dyDescent="0.3">
      <c r="A1165" s="699">
        <v>1158</v>
      </c>
      <c r="B1165" s="1284"/>
      <c r="C1165" s="1387">
        <v>239</v>
      </c>
      <c r="D1165" s="167" t="s">
        <v>310</v>
      </c>
      <c r="E1165" s="164"/>
      <c r="F1165" s="164"/>
      <c r="G1165" s="1277">
        <v>0</v>
      </c>
      <c r="H1165" s="702"/>
      <c r="I1165" s="666"/>
      <c r="J1165" s="171"/>
      <c r="K1165" s="171"/>
      <c r="L1165" s="171"/>
      <c r="M1165" s="171"/>
      <c r="N1165" s="172"/>
      <c r="O1165" s="10"/>
      <c r="P1165" s="10"/>
    </row>
    <row r="1166" spans="1:16" s="3" customFormat="1" ht="17.25" customHeight="1" x14ac:dyDescent="0.3">
      <c r="A1166" s="699">
        <v>1159</v>
      </c>
      <c r="B1166" s="1284"/>
      <c r="C1166" s="1387">
        <v>240</v>
      </c>
      <c r="D1166" s="167" t="s">
        <v>629</v>
      </c>
      <c r="E1166" s="164"/>
      <c r="F1166" s="164"/>
      <c r="G1166" s="1277">
        <v>2559</v>
      </c>
      <c r="H1166" s="702"/>
      <c r="I1166" s="666"/>
      <c r="J1166" s="171"/>
      <c r="K1166" s="171"/>
      <c r="L1166" s="171"/>
      <c r="M1166" s="171"/>
      <c r="N1166" s="172"/>
      <c r="O1166" s="10"/>
      <c r="P1166" s="10"/>
    </row>
    <row r="1167" spans="1:16" s="10" customFormat="1" ht="18" customHeight="1" x14ac:dyDescent="0.3">
      <c r="A1167" s="699">
        <v>1160</v>
      </c>
      <c r="B1167" s="1284"/>
      <c r="C1167" s="1395">
        <v>241</v>
      </c>
      <c r="D1167" s="1592" t="s">
        <v>438</v>
      </c>
      <c r="E1167" s="164">
        <v>48985</v>
      </c>
      <c r="F1167" s="164"/>
      <c r="G1167" s="1277"/>
      <c r="H1167" s="702"/>
      <c r="I1167" s="720"/>
      <c r="J1167" s="171"/>
      <c r="K1167" s="171"/>
      <c r="L1167" s="171"/>
      <c r="M1167" s="171"/>
      <c r="N1167" s="172"/>
    </row>
    <row r="1168" spans="1:16" s="10" customFormat="1" ht="17.25" customHeight="1" x14ac:dyDescent="0.3">
      <c r="A1168" s="699">
        <v>1161</v>
      </c>
      <c r="B1168" s="1284"/>
      <c r="C1168" s="1387">
        <v>242</v>
      </c>
      <c r="D1168" s="167" t="s">
        <v>475</v>
      </c>
      <c r="E1168" s="164">
        <v>100</v>
      </c>
      <c r="F1168" s="164"/>
      <c r="G1168" s="1277"/>
      <c r="H1168" s="702"/>
      <c r="I1168" s="720"/>
      <c r="J1168" s="171"/>
      <c r="K1168" s="171"/>
      <c r="L1168" s="171"/>
      <c r="M1168" s="171"/>
      <c r="N1168" s="172"/>
    </row>
    <row r="1169" spans="1:14" s="10" customFormat="1" ht="17.25" customHeight="1" x14ac:dyDescent="0.3">
      <c r="A1169" s="699">
        <v>1162</v>
      </c>
      <c r="B1169" s="1284"/>
      <c r="C1169" s="1387">
        <v>243</v>
      </c>
      <c r="D1169" s="167" t="s">
        <v>476</v>
      </c>
      <c r="E1169" s="164">
        <v>360</v>
      </c>
      <c r="F1169" s="164"/>
      <c r="G1169" s="1277"/>
      <c r="H1169" s="702"/>
      <c r="I1169" s="720"/>
      <c r="J1169" s="171"/>
      <c r="K1169" s="171"/>
      <c r="L1169" s="171"/>
      <c r="M1169" s="171"/>
      <c r="N1169" s="172"/>
    </row>
    <row r="1170" spans="1:14" s="10" customFormat="1" ht="17.25" customHeight="1" x14ac:dyDescent="0.3">
      <c r="A1170" s="699">
        <v>1163</v>
      </c>
      <c r="B1170" s="1284"/>
      <c r="C1170" s="1395">
        <v>244</v>
      </c>
      <c r="D1170" s="167" t="s">
        <v>477</v>
      </c>
      <c r="E1170" s="164">
        <v>2500</v>
      </c>
      <c r="F1170" s="164"/>
      <c r="G1170" s="1277"/>
      <c r="H1170" s="702"/>
      <c r="I1170" s="720"/>
      <c r="J1170" s="171"/>
      <c r="K1170" s="171"/>
      <c r="L1170" s="171"/>
      <c r="M1170" s="171"/>
      <c r="N1170" s="172"/>
    </row>
    <row r="1171" spans="1:14" s="10" customFormat="1" ht="17.25" customHeight="1" x14ac:dyDescent="0.3">
      <c r="A1171" s="699">
        <v>1164</v>
      </c>
      <c r="B1171" s="1284"/>
      <c r="C1171" s="1387">
        <v>245</v>
      </c>
      <c r="D1171" s="167" t="s">
        <v>367</v>
      </c>
      <c r="E1171" s="164">
        <v>206</v>
      </c>
      <c r="F1171" s="164"/>
      <c r="G1171" s="1277"/>
      <c r="H1171" s="702"/>
      <c r="I1171" s="720"/>
      <c r="J1171" s="171"/>
      <c r="K1171" s="171"/>
      <c r="L1171" s="171"/>
      <c r="M1171" s="171"/>
      <c r="N1171" s="172"/>
    </row>
    <row r="1172" spans="1:14" s="10" customFormat="1" ht="17.25" customHeight="1" x14ac:dyDescent="0.3">
      <c r="A1172" s="699">
        <v>1165</v>
      </c>
      <c r="B1172" s="1284"/>
      <c r="C1172" s="1387">
        <v>246</v>
      </c>
      <c r="D1172" s="167" t="s">
        <v>325</v>
      </c>
      <c r="E1172" s="164">
        <v>9875</v>
      </c>
      <c r="F1172" s="164"/>
      <c r="G1172" s="1277"/>
      <c r="H1172" s="702"/>
      <c r="I1172" s="720"/>
      <c r="J1172" s="171"/>
      <c r="K1172" s="171"/>
      <c r="L1172" s="171"/>
      <c r="M1172" s="171"/>
      <c r="N1172" s="172"/>
    </row>
    <row r="1173" spans="1:14" s="10" customFormat="1" ht="29.45" customHeight="1" x14ac:dyDescent="0.3">
      <c r="A1173" s="699">
        <v>1166</v>
      </c>
      <c r="B1173" s="1284"/>
      <c r="C1173" s="1395">
        <v>247</v>
      </c>
      <c r="D1173" s="167" t="s">
        <v>378</v>
      </c>
      <c r="E1173" s="164">
        <v>120</v>
      </c>
      <c r="F1173" s="164"/>
      <c r="G1173" s="1277"/>
      <c r="H1173" s="702"/>
      <c r="I1173" s="720"/>
      <c r="J1173" s="171"/>
      <c r="K1173" s="171"/>
      <c r="L1173" s="171"/>
      <c r="M1173" s="171"/>
      <c r="N1173" s="172"/>
    </row>
    <row r="1174" spans="1:14" s="10" customFormat="1" ht="29.45" customHeight="1" x14ac:dyDescent="0.3">
      <c r="A1174" s="699">
        <v>1167</v>
      </c>
      <c r="B1174" s="1284"/>
      <c r="C1174" s="1395">
        <v>248</v>
      </c>
      <c r="D1174" s="167" t="s">
        <v>481</v>
      </c>
      <c r="E1174" s="164">
        <v>366</v>
      </c>
      <c r="F1174" s="164"/>
      <c r="G1174" s="1277"/>
      <c r="H1174" s="702"/>
      <c r="I1174" s="720"/>
      <c r="J1174" s="171"/>
      <c r="K1174" s="171"/>
      <c r="L1174" s="171"/>
      <c r="M1174" s="171"/>
      <c r="N1174" s="172"/>
    </row>
    <row r="1175" spans="1:14" s="10" customFormat="1" ht="17.25" customHeight="1" x14ac:dyDescent="0.3">
      <c r="A1175" s="699">
        <v>1168</v>
      </c>
      <c r="B1175" s="1284"/>
      <c r="C1175" s="1387">
        <v>249</v>
      </c>
      <c r="D1175" s="167" t="s">
        <v>293</v>
      </c>
      <c r="E1175" s="164">
        <v>920</v>
      </c>
      <c r="F1175" s="164"/>
      <c r="G1175" s="1277"/>
      <c r="H1175" s="702"/>
      <c r="I1175" s="720"/>
      <c r="J1175" s="171"/>
      <c r="K1175" s="171"/>
      <c r="L1175" s="171"/>
      <c r="M1175" s="171"/>
      <c r="N1175" s="172"/>
    </row>
    <row r="1176" spans="1:14" s="10" customFormat="1" ht="17.25" customHeight="1" x14ac:dyDescent="0.3">
      <c r="A1176" s="699">
        <v>1169</v>
      </c>
      <c r="B1176" s="1284"/>
      <c r="C1176" s="1395">
        <v>250</v>
      </c>
      <c r="D1176" s="167" t="s">
        <v>295</v>
      </c>
      <c r="E1176" s="164">
        <v>246</v>
      </c>
      <c r="F1176" s="164"/>
      <c r="G1176" s="1277"/>
      <c r="H1176" s="702"/>
      <c r="I1176" s="720"/>
      <c r="J1176" s="171"/>
      <c r="K1176" s="171"/>
      <c r="L1176" s="171"/>
      <c r="M1176" s="171"/>
      <c r="N1176" s="172"/>
    </row>
    <row r="1177" spans="1:14" s="10" customFormat="1" ht="17.25" customHeight="1" x14ac:dyDescent="0.3">
      <c r="A1177" s="699">
        <v>1170</v>
      </c>
      <c r="B1177" s="1284"/>
      <c r="C1177" s="1387">
        <v>251</v>
      </c>
      <c r="D1177" s="167" t="s">
        <v>633</v>
      </c>
      <c r="E1177" s="164">
        <v>4000</v>
      </c>
      <c r="F1177" s="164"/>
      <c r="G1177" s="1277"/>
      <c r="H1177" s="702"/>
      <c r="I1177" s="720"/>
      <c r="J1177" s="171"/>
      <c r="K1177" s="171"/>
      <c r="L1177" s="171"/>
      <c r="M1177" s="171"/>
      <c r="N1177" s="172"/>
    </row>
    <row r="1178" spans="1:14" s="10" customFormat="1" ht="17.25" customHeight="1" x14ac:dyDescent="0.3">
      <c r="A1178" s="699">
        <v>1171</v>
      </c>
      <c r="B1178" s="1284"/>
      <c r="C1178" s="1387">
        <v>252</v>
      </c>
      <c r="D1178" s="167" t="s">
        <v>322</v>
      </c>
      <c r="E1178" s="164">
        <v>175</v>
      </c>
      <c r="F1178" s="164"/>
      <c r="G1178" s="1277"/>
      <c r="H1178" s="702"/>
      <c r="I1178" s="720"/>
      <c r="J1178" s="171"/>
      <c r="K1178" s="171"/>
      <c r="L1178" s="171"/>
      <c r="M1178" s="171"/>
      <c r="N1178" s="172"/>
    </row>
    <row r="1179" spans="1:14" s="10" customFormat="1" ht="17.25" customHeight="1" x14ac:dyDescent="0.3">
      <c r="A1179" s="699">
        <v>1172</v>
      </c>
      <c r="B1179" s="1284"/>
      <c r="C1179" s="1395">
        <v>253</v>
      </c>
      <c r="D1179" s="167" t="s">
        <v>401</v>
      </c>
      <c r="E1179" s="164">
        <v>295</v>
      </c>
      <c r="F1179" s="164"/>
      <c r="G1179" s="1277"/>
      <c r="H1179" s="702"/>
      <c r="I1179" s="720"/>
      <c r="J1179" s="171"/>
      <c r="K1179" s="171"/>
      <c r="L1179" s="171"/>
      <c r="M1179" s="171"/>
      <c r="N1179" s="172"/>
    </row>
    <row r="1180" spans="1:14" s="10" customFormat="1" ht="17.25" customHeight="1" x14ac:dyDescent="0.3">
      <c r="A1180" s="699">
        <v>1173</v>
      </c>
      <c r="B1180" s="1284"/>
      <c r="C1180" s="1387">
        <v>254</v>
      </c>
      <c r="D1180" s="167" t="s">
        <v>34</v>
      </c>
      <c r="E1180" s="164">
        <v>236</v>
      </c>
      <c r="F1180" s="164"/>
      <c r="G1180" s="1277"/>
      <c r="H1180" s="702"/>
      <c r="I1180" s="720"/>
      <c r="J1180" s="171"/>
      <c r="K1180" s="171"/>
      <c r="L1180" s="171"/>
      <c r="M1180" s="171"/>
      <c r="N1180" s="172"/>
    </row>
    <row r="1181" spans="1:14" s="10" customFormat="1" ht="17.25" customHeight="1" x14ac:dyDescent="0.3">
      <c r="A1181" s="699">
        <v>1174</v>
      </c>
      <c r="B1181" s="1284"/>
      <c r="C1181" s="1387">
        <v>255</v>
      </c>
      <c r="D1181" s="167" t="s">
        <v>482</v>
      </c>
      <c r="E1181" s="164">
        <v>300</v>
      </c>
      <c r="F1181" s="164"/>
      <c r="G1181" s="1277"/>
      <c r="H1181" s="702"/>
      <c r="I1181" s="720"/>
      <c r="J1181" s="171"/>
      <c r="K1181" s="171"/>
      <c r="L1181" s="171"/>
      <c r="M1181" s="171"/>
      <c r="N1181" s="172"/>
    </row>
    <row r="1182" spans="1:14" s="10" customFormat="1" ht="17.25" customHeight="1" x14ac:dyDescent="0.3">
      <c r="A1182" s="699">
        <v>1175</v>
      </c>
      <c r="B1182" s="1284"/>
      <c r="C1182" s="1395">
        <v>256</v>
      </c>
      <c r="D1182" s="167" t="s">
        <v>402</v>
      </c>
      <c r="E1182" s="164">
        <v>15</v>
      </c>
      <c r="F1182" s="164"/>
      <c r="G1182" s="1277"/>
      <c r="H1182" s="702"/>
      <c r="I1182" s="720"/>
      <c r="J1182" s="171"/>
      <c r="K1182" s="171"/>
      <c r="L1182" s="171"/>
      <c r="M1182" s="171"/>
      <c r="N1182" s="172"/>
    </row>
    <row r="1183" spans="1:14" s="10" customFormat="1" ht="17.25" customHeight="1" x14ac:dyDescent="0.3">
      <c r="A1183" s="699">
        <v>1176</v>
      </c>
      <c r="B1183" s="1284"/>
      <c r="C1183" s="1387">
        <v>257</v>
      </c>
      <c r="D1183" s="167" t="s">
        <v>403</v>
      </c>
      <c r="E1183" s="164">
        <v>3</v>
      </c>
      <c r="F1183" s="164"/>
      <c r="G1183" s="1277"/>
      <c r="H1183" s="702"/>
      <c r="I1183" s="720"/>
      <c r="J1183" s="171"/>
      <c r="K1183" s="171"/>
      <c r="L1183" s="171"/>
      <c r="M1183" s="171"/>
      <c r="N1183" s="172"/>
    </row>
    <row r="1184" spans="1:14" s="10" customFormat="1" ht="29.45" customHeight="1" x14ac:dyDescent="0.3">
      <c r="A1184" s="699">
        <v>1177</v>
      </c>
      <c r="B1184" s="1284"/>
      <c r="C1184" s="1395">
        <v>258</v>
      </c>
      <c r="D1184" s="167" t="s">
        <v>487</v>
      </c>
      <c r="E1184" s="164">
        <v>100</v>
      </c>
      <c r="F1184" s="164"/>
      <c r="G1184" s="1277"/>
      <c r="H1184" s="721"/>
      <c r="I1184" s="720"/>
      <c r="J1184" s="171"/>
      <c r="K1184" s="171"/>
      <c r="L1184" s="171"/>
      <c r="M1184" s="171"/>
      <c r="N1184" s="172"/>
    </row>
    <row r="1185" spans="1:16" s="10" customFormat="1" ht="17.25" customHeight="1" x14ac:dyDescent="0.3">
      <c r="A1185" s="699">
        <v>1178</v>
      </c>
      <c r="B1185" s="1284"/>
      <c r="C1185" s="1395">
        <v>259</v>
      </c>
      <c r="D1185" s="167" t="s">
        <v>629</v>
      </c>
      <c r="E1185" s="164">
        <v>70</v>
      </c>
      <c r="F1185" s="164"/>
      <c r="G1185" s="1277"/>
      <c r="H1185" s="702"/>
      <c r="I1185" s="720"/>
      <c r="J1185" s="171"/>
      <c r="K1185" s="171"/>
      <c r="L1185" s="171"/>
      <c r="M1185" s="171"/>
      <c r="N1185" s="172"/>
    </row>
    <row r="1186" spans="1:16" s="10" customFormat="1" ht="17.25" customHeight="1" thickBot="1" x14ac:dyDescent="0.35">
      <c r="A1186" s="699">
        <v>1179</v>
      </c>
      <c r="B1186" s="1300"/>
      <c r="C1186" s="1387">
        <v>260</v>
      </c>
      <c r="D1186" s="167" t="s">
        <v>936</v>
      </c>
      <c r="E1186" s="770">
        <v>620</v>
      </c>
      <c r="F1186" s="771"/>
      <c r="G1186" s="771"/>
      <c r="H1186" s="769"/>
      <c r="I1186" s="772"/>
      <c r="J1186" s="773"/>
      <c r="K1186" s="773"/>
      <c r="L1186" s="773"/>
      <c r="M1186" s="773"/>
      <c r="N1186" s="774"/>
    </row>
    <row r="1187" spans="1:16" s="110" customFormat="1" ht="20.100000000000001" customHeight="1" thickTop="1" x14ac:dyDescent="0.35">
      <c r="A1187" s="699">
        <v>1180</v>
      </c>
      <c r="B1187" s="1301"/>
      <c r="C1187" s="1398"/>
      <c r="D1187" s="928" t="s">
        <v>736</v>
      </c>
      <c r="E1187" s="925">
        <f>SUM(E8:E1186)-E744-E329-E284-E259-E149-E95-E38</f>
        <v>4573500</v>
      </c>
      <c r="F1187" s="925">
        <f>SUM(F8:F1186)-F744-F329-F284-F259-F149-F95-F38</f>
        <v>4616792</v>
      </c>
      <c r="G1187" s="925">
        <f>SUM(G8:G1186)-G744-G329-G284-G259-G149-G95-G38</f>
        <v>4718378</v>
      </c>
      <c r="H1187" s="926"/>
      <c r="I1187" s="923"/>
      <c r="J1187" s="873"/>
      <c r="K1187" s="873"/>
      <c r="L1187" s="873"/>
      <c r="M1187" s="873"/>
      <c r="N1187" s="927"/>
      <c r="O1187" s="1699"/>
      <c r="P1187" s="10"/>
    </row>
    <row r="1188" spans="1:16" s="110" customFormat="1" ht="18" customHeight="1" x14ac:dyDescent="0.35">
      <c r="A1188" s="699">
        <v>1181</v>
      </c>
      <c r="B1188" s="1295"/>
      <c r="C1188" s="1516"/>
      <c r="D1188" s="1515" t="s">
        <v>334</v>
      </c>
      <c r="E1188" s="720"/>
      <c r="F1188" s="720"/>
      <c r="G1188" s="1512"/>
      <c r="H1188" s="702"/>
      <c r="I1188" s="386">
        <f>SUM(J1188:N1188)</f>
        <v>5579739</v>
      </c>
      <c r="J1188" s="1513">
        <f>J840+J835+J830+J825+J820+J815+J810+J805+J800+J795+J790+J785+J780+J775+J745+J740+J731+J726+J721+J716+J711+J706+J701+J696+J691+J686+J681+J676+J670+J665+J660+J655+J642+J637+J631+J626+J621+J616+J610+J605+J600+J595+J590+J581+J576+J571+J566+J561+J556+J551+J546+J537+J532+J523+J518+J513+J508+J503+J498+J493+J488+J483+J478+J473+J468+J463+J458+J453+J448+J443+J438+J433+J428+J419+J414+J409+J404+J395+J390+J385+J380+J330+J325+J320+J315+J310+J285+J260+J255+J250+J245+J240+J235+J230+J225+J220+J215+J210+J205+J200+J195+J190+J185+J180+J150+J145+J140+J135+J96+J91+J86+J79+J74+J39+J34+J29+J24+J19+J14+J9</f>
        <v>151487</v>
      </c>
      <c r="K1188" s="1513">
        <f>K840+K835+K830+K825+K820+K815+K810+K805+K800+K795+K790+K785+K780+K775+K745+K740+K731+K726+K721+K716+K711+K706+K701+K696+K691+K686+K681+K676+K670+K665+K660+K655+K642+K637+K631+K626+K621+K616+K610+K605+K600+K595+K590+K581+K576+K571+K566+K561+K556+K551+K546+K537+K532+K523+K518+K513+K508+K503+K498+K493+K488+K483+K478+K473+K468+K463+K458+K453+K448+K443+K438+K433+K428+K419+K414+K409+K404+K395+K390+K385+K380+K330+K325+K320+K315+K310+K285+K260+K255+K250+K245+K240+K235+K230+K225+K220+K215+K210+K205+K200+K195+K190+K185+K180+K150+K145+K140+K135+K96+K91+K86+K79+K74+K39+K34+K29+K24+K19+K14+K9</f>
        <v>28866</v>
      </c>
      <c r="L1188" s="1513">
        <f>L840+L835+L830+L825+L820+L815+L810+L805+L800+L795+L790+L785+L780+L775+L745+L740+L731+L726+L721+L716+L711+L706+L701+L696+L691+L686+L681+L676+L670+L665+L660+L655+L642+L637+L631+L626+L621+L616+L610+L605+L600+L595+L590+L581+L576+L571+L566+L561+L556+L551+L546+L537+L532+L523+L518+L513+L508+L503+L498+L493+L488+L483+L478+L473+L468+L463+L458+L453+L448+L443+L438+L433+L428+L419+L414+L409+L404+L395+L390+L385+L380+L330+L325+L320+L315+L310+L285+L260+L255+L250+L245+L240+L235+L230+L225+L220+L215+L210+L205+L200+L195+L190+L185+L180+L150+L145+L140+L135+L96+L91+L86+L79+L74+L39+L34+L29+L24+L19+L14+L9</f>
        <v>2760325</v>
      </c>
      <c r="M1188" s="1513">
        <f>M840+M835+M830+M825+M820+M815+M810+M805+M800+M795+M790+M785+M780+M775+M745+M740+M731+M726+M721+M716+M711+M706+M701+M696+M691+M686+M681+M676+M670+M665+M660+M655+M642+M637+M631+M626+M621+M616+M610+M605+M600+M595+M590+M581+M576+M571+M566+M561+M556+M551+M546+M537+M532+M523+M518+M513+M508+M503+M498+M493+M488+M483+M478+M473+M468+M463+M458+M453+M448+M443+M438+M433+M428+M419+M414+M409+M404+M395+M390+M385+M380+M330+M325+M320+M315+M310+M285+M260+M255+M250+M245+M240+M235+M230+M225+M220+M215+M210+M205+M200+M195+M190+M185+M180+M150+M145+M140+M135+M96+M91+M86+M79+M74+M39+M34+M29+M24+M19+M14+M9</f>
        <v>34350</v>
      </c>
      <c r="N1188" s="1514">
        <f>N840+N835+N830+N825+N820+N815+N810+N805+N800+N795+N790+N785+N780+N775+N745+N740+N731+N726+N721+N716+N711+N706+N701+N696+N691+N686+N681+N676+N670+N665+N660+N655+N642+N637+N631+N626+N621+N616+N610+N605+N600+N595+N590+N581+N576+N571+N566+N561+N556+N551+N546+N537+N532+N523+N518+N513+N508+N503+N498+N493+N488+N483+N478+N473+N468+N463+N458+N453+N448+N443+N438+N433+N428+N419+N414+N409+N404+N395+N390+N385+N380+N330+N325+N320+N315+N310+N285+N260+N255+N250+N245+N240+N235+N230+N225+N220+N215+N210+N205+N200+N195+N190+N185+N180+N150+N145+N140+N135+N96+N91+N86+N79+N74+N39+N34+N29+N24+N19+N14+N9</f>
        <v>2604711</v>
      </c>
      <c r="O1188" s="1699"/>
      <c r="P1188" s="10"/>
    </row>
    <row r="1189" spans="1:16" s="110" customFormat="1" ht="18" customHeight="1" x14ac:dyDescent="0.35">
      <c r="A1189" s="699">
        <v>1182</v>
      </c>
      <c r="B1189" s="1302"/>
      <c r="C1189" s="1399"/>
      <c r="D1189" s="690" t="s">
        <v>1307</v>
      </c>
      <c r="E1189" s="921"/>
      <c r="F1189" s="921"/>
      <c r="G1189" s="1279"/>
      <c r="H1189" s="922"/>
      <c r="I1189" s="386">
        <f>SUM(J1189:N1189)</f>
        <v>7686451</v>
      </c>
      <c r="J1189" s="924">
        <f>J1113+J1109+J1104+J1100+J1065+J1061+J1057+J1053+J1049+J1045+J1041+J1037+J1033+J1009+J1005+J1001+J997+J993+J989+J985+J981+J977+J973+J969+J965+J961+J957+J953+J949+J945+J941+J937+J933+J929+J925+J921+J917+J913+J909+J905+J901+J897+J893+J889+J885+J881+J877+J873+J869+J865+J861+J857+J849+J845+J841+J836+J831+J826+J821+J816+J811+J806+J801+J796+J791+J786+J781+J776+J771+J766+J761+J756+J751+J741+J736+J732+J727+J722+J717+J712+J707+J702+J697+J692+J687+J682+J677+J671+J666+J661+J656+J651+J647+J643+J638+J632+J627+J622+J617+J611+J606+J601+J596+J591+J586+J582+J577+J572+J567+J562+J557+J552+J547+J542+J538+J533+J528+J524+J519+J514+J509+J504+J499+J494+J489+J484+J479+J474+J469+J464+J459+J454+J449+J444+J439+J434+J429+J420+J415+J410+J405+J400+J396+J391+J386+J381+J376+J371+J366+J361+J356+J351+J346+J341+J336+J326+J321+J316+J311+J306+J301+J296+J291+J281+J276+J271+J266+J256+J251+J246+J241+J236+J231+J226+J221+J216+J211+J206+J201+J196+J191+J186+J181+J176+J171+J166+J161+J156+J146+J141+J136+J131+J127+J122+J117+J112+J107+J102+J92+J87+J80+J75+J70+J65+J60+J55+J50+J45++J35+J30+J25+J20+J15+J10+J1121+J1117+J1069+J1013+J853+J1077+J1073+J1017+J1089+J1085+J1081+J1025+J1021</f>
        <v>163543</v>
      </c>
      <c r="K1189" s="924">
        <f>K1113+K1109+K1104+K1100+K1065+K1061+K1057+K1053+K1049+K1045+K1041+K1037+K1033+K1009+K1005+K1001+K997+K993+K989+K985+K981+K977+K973+K969+K965+K961+K957+K953+K949+K945+K941+K937+K933+K929+K925+K921+K917+K913+K909+K905+K901+K897+K893+K889+K885+K881+K877+K873+K869+K865+K861+K857+K849+K845+K841+K836+K831+K826+K821+K816+K811+K806+K801+K796+K791+K786+K781+K776+K771+K766+K761+K756+K751+K741+K736+K732+K727+K722+K717+K712+K707+K702+K697+K692+K687+K682+K677+K671+K666+K661+K656+K651+K647+K643+K638+K632+K627+K622+K617+K611+K606+K601+K596+K591+K586+K582+K577+K572+K567+K562+K557+K552+K547+K542+K538+K533+K528+K524+K519+K514+K509+K504+K499+K494+K489+K484+K479+K474+K469+K464+K459+K454+K449+K444+K439+K434+K429+K420+K415+K410+K405+K400+K396+K391+K386+K381+K376+K371+K366+K361+K356+K351+K346+K341+K336+K326+K321+K316+K311+K306+K301+K296+K291+K281+K276+K271+K266+K256+K251+K246+K241+K236+K231+K226+K221+K216+K211+K206+K201+K196+K191+K186+K181+K176+K171+K166+K161+K156+K146+K141+K136+K131+K127+K122+K117+K112+K107+K102+K92+K87+K80+K75+K70+K65+K60+K55+K50+K45++K35+K30+K25+K20+K15+K10+K1121+K1117+K1069+K1013+K853+K1077+K1073+K1017+K1089+K1085+K1081+K1025+K1021</f>
        <v>34506</v>
      </c>
      <c r="L1189" s="924">
        <f>L1113+L1109+L1104+L1100+L1065+L1061+L1057+L1053+L1049+L1045+L1041+L1037+L1033+L1009+L1005+L1001+L997+L993+L989+L985+L981+L977+L973+L969+L965+L961+L957+L953+L949+L945+L941+L937+L933+L929+L925+L921+L917+L913+L909+L905+L901+L897+L893+L889+L885+L881+L877+L873+L869+L865+L861+L857+L849+L845+L841+L836+L831+L826+L821+L816+L811+L806+L801+L796+L791+L786+L781+L776+L771+L766+L761+L756+L751+L741+L736+L732+L727+L722+L717+L712+L707+L702+L697+L692+L687+L682+L677+L671+L666+L661+L656+L651+L647+L643+L638+L632+L627+L622+L617+L611+L606+L601+L596+L591+L586+L582+L577+L572+L567+L562+L557+L552+L547+L542+L538+L533+L528+L524+L519+L514+L509+L504+L499+L494+L489+L484+L479+L474+L469+L464+L459+L454+L449+L444+L439+L434+L429+L420+L415+L410+L405+L400+L396+L391+L386+L381+L376+L371+L366+L361+L356+L351+L346+L341+L336+L326+L321+L316+L311+L306+L301+L296+L291+L281+L276+L271+L266+L256+L251+L246+L241+L236+L231+L226+L221+L216+L211+L206+L201+L196+L191+L186+L181+L176+L171+L166+L161+L156+L146+L141+L136+L131+L127+L122+L117+L112+L107+L102+L92+L87+L80+L75+L70+L65+L60+L55+L50+L45++L35+L30+L25+L20+L15+L10+L1121+L1117+L1069+L1013+L853+L1077+L1073+L1017+L1089+L1085+L1081+L1025+L1021</f>
        <v>3029574</v>
      </c>
      <c r="M1189" s="924">
        <f>M1113+M1109+M1104+M1100+M1065+M1061+M1057+M1053+M1049+M1045+M1041+M1037+M1033+M1009+M1005+M1001+M997+M993+M989+M985+M981+M977+M973+M969+M965+M961+M957+M953+M949+M945+M941+M937+M933+M929+M925+M921+M917+M913+M909+M905+M901+M897+M893+M889+M885+M881+M877+M873+M869+M865+M861+M857+M849+M845+M841+M836+M831+M826+M821+M816+M811+M806+M801+M796+M791+M786+M781+M776+M771+M766+M761+M756+M751+M741+M736+M732+M727+M722+M717+M712+M707+M702+M697+M692+M687+M682+M677+M671+M666+M661+M656+M651+M647+M643+M638+M632+M627+M622+M617+M611+M606+M601+M596+M591+M586+M582+M577+M572+M567+M562+M557+M552+M547+M542+M538+M533+M528+M524+M519+M514+M509+M504+M499+M494+M489+M484+M479+M474+M469+M464+M459+M454+M449+M444+M439+M434+M429+M420+M415+M410+M405+M400+M396+M391+M386+M381+M376+M371+M366+M361+M356+M351+M346+M341+M336+M326+M321+M316+M311+M306+M301+M296+M291+M281+M276+M271+M266+M256+M251+M246+M241+M236+M231+M226+M221+M216+M211+M206+M201+M196+M191+M186+M181+M176+M171+M166+M161+M156+M146+M141+M136+M131+M127+M122+M117+M112+M107+M102+M92+M87+M80+M75+M70+M65+M60+M55+M50+M45++M35+M30+M25+M20+M15+M10+M1121+M1117+M1069+M1013+M853+M1077+M1073+M1017+M1089+M1085+M1081+M1025+M1021</f>
        <v>35178</v>
      </c>
      <c r="N1189" s="1720">
        <f>N1113+N1109+N1104+N1100+N1065+N1061+N1057+N1053+N1049+N1045+N1041+N1037+N1033+N1009+N1005+N1001+N997+N993+N989+N985+N981+N977+N973+N969+N965+N961+N957+N953+N949+N945+N941+N937+N933+N929+N925+N921+N917+N913+N909+N905+N901+N897+N893+N889+N885+N881+N877+N873+N869+N865+N861+N857+N849+N845+N841+N836+N831+N826+N821+N816+N811+N806+N801+N796+N791+N786+N781+N776+N771+N766+N761+N756+N751+N741+N736+N732+N727+N722+N717+N712+N707+N702+N697+N692+N687+N682+N677+N671+N666+N661+N656+N651+N647+N643+N638+N632+N627+N622+N617+N611+N606+N601+N596+N591+N586+N582+N577+N572+N567+N562+N557+N552+N547+N542+N538+N533+N528+N524+N519+N514+N509+N504+N499+N494+N489+N484+N479+N474+N469+N464+N459+N454+N449+N444+N439+N434+N429+N420+N415+N410+N405+N400+N396+N391+N386+N381+N376+N371+N366+N361+N356+N351+N346+N341+N336+N326+N321+N316+N311+N306+N301+N296+N291+N281+N276+N271+N266+N256+N251+N246+N241+N236+N231+N226+N221+N216+N211+N206+N201+N196+N191+N186+N181+N176+N171+N166+N161+N156+N146+N141+N136+N131+N127+N122+N117+N112+N107+N102+N92+N87+N80+N75+N70+N65+N60+N55+N50+N45++N35+N30+N25+N20+N15+N10+N1121+N1117+N1069+N1013+N853+N1077+N1073+N1017+N1089+N1085+N1081+N1025+N1021</f>
        <v>4423650</v>
      </c>
      <c r="O1189" s="1699"/>
      <c r="P1189" s="10"/>
    </row>
    <row r="1190" spans="1:16" s="933" customFormat="1" ht="18" customHeight="1" x14ac:dyDescent="0.3">
      <c r="A1190" s="699">
        <v>1183</v>
      </c>
      <c r="B1190" s="1294"/>
      <c r="C1190" s="1400"/>
      <c r="D1190" s="929" t="s">
        <v>733</v>
      </c>
      <c r="E1190" s="930"/>
      <c r="F1190" s="930"/>
      <c r="G1190" s="1280"/>
      <c r="H1190" s="703"/>
      <c r="I1190" s="893">
        <f>SUM(J1190:N1190)</f>
        <v>9545</v>
      </c>
      <c r="J1190" s="931">
        <f>J1114+J1110+J1105+J1101+J1066+J1062+J1058+J1054+J1050+J1046+J1042+J1038+J1034+J1010+J1006+J1002+J998+J994+J990+J986+J982+J978+J974+J970+J966+J962+J958+J954+J950+J946+J942+J938+J934+J930+J926+J922+J918+J914+J910+J906+J902+J898+J894+J890+J886+J882+J878+J874+J870+J862+J858+J850+J846+J842+J837+J832+J827+J822+J817+J812+J807+J802+J797+J792+J787+J782+J777+J772+J767+J762+J757+J752+J742+J737+J733+J728+J723+J718+J713+J708+J703+J698+J693+J688+J683+J678+J672+J667+J662+J657+J652+J648+J644+J639+J633+J628+J623+J618+J612+J607+J602+J597+J592+J587+J583+J578+J573+J568+J563+J558+J553+J548+J543+J539+J534+J529+J525+J520+J515+J510+J505+J500+J495+J490+J485+J480+J475+J470+J465+J460+J455+J450+J445+J440+J435+J430+J423+J422+J421+J416+J411+J406+J401+J397+J392+J387+J382+J377+J372+J367+J362+J357+J352+J347+J342+J337+J327+J322+J317+J312+J307+J302+J297+J292+J282+J277+J272+J267+J257+J252+J247+J242+J237+J232+J227+J222+J217+J212+J207+J202+J197+J192+J187+J182+J177+J172+J167+J162+J157+J147+J142+J137+J128+J123+J118+J113+J108+J103+J93+J88+J81+J76+J71+J66+J61+J56+J51+J46+J36+J31+J26+J21+J16+J11+J866+J82+J132+J1014+J1118+J854+J1070+J1122+J1018+J1078+J1074+J1082+J1022+J83+J1026+J1090+J1086+J424+J425+J1029+J1093+J1096+J673</f>
        <v>1743</v>
      </c>
      <c r="K1190" s="931">
        <f t="shared" ref="K1190:N1190" si="37">K1114+K1110+K1105+K1101+K1066+K1062+K1058+K1054+K1050+K1046+K1042+K1038+K1034+K1010+K1006+K1002+K998+K994+K990+K986+K982+K978+K974+K970+K966+K962+K958+K954+K950+K946+K942+K938+K934+K930+K926+K922+K918+K914+K910+K906+K902+K898+K894+K890+K886+K882+K878+K874+K870+K862+K858+K850+K846+K842+K837+K832+K827+K822+K817+K812+K807+K802+K797+K792+K787+K782+K777+K772+K767+K762+K757+K752+K742+K737+K733+K728+K723+K718+K713+K708+K703+K698+K693+K688+K683+K678+K672+K667+K662+K657+K652+K648+K644+K639+K633+K628+K623+K618+K612+K607+K602+K597+K592+K587+K583+K578+K573+K568+K563+K558+K553+K548+K543+K539+K534+K529+K525+K520+K515+K510+K505+K500+K495+K490+K485+K480+K475+K470+K465+K460+K455+K450+K445+K440+K435+K430+K423+K422+K421+K416+K411+K406+K401+K397+K392+K387+K382+K377+K372+K367+K362+K357+K352+K347+K342+K337+K327+K322+K317+K312+K307+K302+K297+K292+K282+K277+K272+K267+K257+K252+K247+K242+K237+K232+K227+K222+K217+K212+K207+K202+K197+K192+K187+K182+K177+K172+K167+K162+K157+K147+K142+K137+K128+K123+K118+K113+K108+K103+K93+K88+K81+K76+K71+K66+K61+K56+K51+K46+K36+K31+K26+K21+K16+K11+K866+K82+K132+K1014+K1118+K854+K1070+K1122+K1018+K1078+K1074+K1082+K1022+K83+K1026+K1090+K1086+K424+K425+K1029+K1093+K1096+K673</f>
        <v>730</v>
      </c>
      <c r="L1190" s="931">
        <f t="shared" si="37"/>
        <v>-405</v>
      </c>
      <c r="M1190" s="931">
        <f t="shared" si="37"/>
        <v>0</v>
      </c>
      <c r="N1190" s="1729">
        <f t="shared" si="37"/>
        <v>7477</v>
      </c>
      <c r="O1190" s="932"/>
      <c r="P1190" s="932"/>
    </row>
    <row r="1191" spans="1:16" s="110" customFormat="1" ht="18" customHeight="1" thickBot="1" x14ac:dyDescent="0.4">
      <c r="A1191" s="699">
        <v>1184</v>
      </c>
      <c r="B1191" s="1376"/>
      <c r="C1191" s="1401"/>
      <c r="D1191" s="1377" t="s">
        <v>1391</v>
      </c>
      <c r="E1191" s="1378"/>
      <c r="F1191" s="1378"/>
      <c r="G1191" s="1379"/>
      <c r="H1191" s="1380"/>
      <c r="I1191" s="1381">
        <f>SUM(J1191:N1191)</f>
        <v>7695996</v>
      </c>
      <c r="J1191" s="1382">
        <f>SUM(J1189:J1190)</f>
        <v>165286</v>
      </c>
      <c r="K1191" s="1382">
        <f t="shared" ref="K1191:N1191" si="38">SUM(K1189:K1190)</f>
        <v>35236</v>
      </c>
      <c r="L1191" s="1382">
        <f t="shared" si="38"/>
        <v>3029169</v>
      </c>
      <c r="M1191" s="1382">
        <f t="shared" si="38"/>
        <v>35178</v>
      </c>
      <c r="N1191" s="1567">
        <f t="shared" si="38"/>
        <v>4431127</v>
      </c>
      <c r="O1191" s="1699"/>
      <c r="P1191" s="10"/>
    </row>
    <row r="1192" spans="1:16" s="110" customFormat="1" ht="18" customHeight="1" thickTop="1" x14ac:dyDescent="0.35">
      <c r="A1192" s="699">
        <v>1185</v>
      </c>
      <c r="B1192" s="1301"/>
      <c r="C1192" s="1398"/>
      <c r="D1192" s="1384" t="s">
        <v>125</v>
      </c>
      <c r="E1192" s="328">
        <v>3343511</v>
      </c>
      <c r="F1192" s="328">
        <v>3232854</v>
      </c>
      <c r="G1192" s="1181">
        <v>3385438</v>
      </c>
      <c r="H1192" s="926"/>
      <c r="I1192" s="1386"/>
      <c r="J1192" s="873"/>
      <c r="K1192" s="873"/>
      <c r="L1192" s="873"/>
      <c r="M1192" s="873"/>
      <c r="N1192" s="927"/>
      <c r="O1192" s="1699"/>
      <c r="P1192" s="10"/>
    </row>
    <row r="1193" spans="1:16" s="110" customFormat="1" ht="18" customHeight="1" x14ac:dyDescent="0.35">
      <c r="A1193" s="699">
        <v>1186</v>
      </c>
      <c r="B1193" s="1383"/>
      <c r="C1193" s="1402"/>
      <c r="D1193" s="1231" t="s">
        <v>334</v>
      </c>
      <c r="E1193" s="328"/>
      <c r="F1193" s="328"/>
      <c r="G1193" s="1181"/>
      <c r="H1193" s="1385"/>
      <c r="I1193" s="1511">
        <f>SUM(J1193:N1193)</f>
        <v>4114122</v>
      </c>
      <c r="J1193" s="1238">
        <f>J745+J731+J726+J711+J706+J701+J696+J691+J686+J681+J676+J670+J665+J660+J655+J642+J637+J631+J626+J621+J616+J600+J595+J590+J581+J576+J513+J503+J493+J488+J483+J478+J463+J428+J419+J414+J409+J404+J380+J335+J325+J320+J315+J245+J240+J235+J230+J9+J605+J468+J458</f>
        <v>127820</v>
      </c>
      <c r="K1193" s="1238">
        <f>K745+K731+K726+K711+K706+K701+K696+K691+K686+K681+K676+K670+K665+K660+K655+K642+K637+K631+K626+K621+K616+K600+K595+K590+K581+K576+K513+K503+K493+K488+K483+K478+K463+K428+K419+K414+K409+K404+K380+K335+K325+K320+K315+K245+K240+K235+K230+K9+K605+K468+K458</f>
        <v>24895</v>
      </c>
      <c r="L1193" s="1238">
        <f>L745+L731+L726+L711+L706+L701+L696+L691+L686+L681+L676+L670+L665+L660+L655+L642+L637+L631+L626+L621+L616+L600+L595+L590+L581+L576+L513+L503+L493+L488+L483+L478+L463+L428+L419+L414+L409+L404+L380+L335+L325+L320+L315+L245+L240+L235+L230+L9+L605+L468+L458</f>
        <v>2092886</v>
      </c>
      <c r="M1193" s="1238">
        <f>M745+M731+M726+M711+M706+M701+M696+M691+M686+M681+M676+M670+M665+M660+M655+M642+M637+M631+M626+M621+M616+M600+M595+M590+M581+M576+M513+M503+M493+M488+M483+M478+M463+M428+M419+M414+M409+M404+M380+M335+M325+M320+M315+M245+M240+M235+M230+M9+M605+M468+M458</f>
        <v>9100</v>
      </c>
      <c r="N1193" s="1239">
        <f>N745+N731+N726+N711+N706+N701+N696+N691+N686+N681+N676+N670+N665+N660+N655+N642+N637+N631+N626+N621+N616+N600+N595+N590+N581+N576+N513+N503+N493+N488+N483+N478+N463+N428+N419+N414+N409+N404+N380+N335+N325+N320+N315+N245+N240+N235+N230+N9+N605+N468+N458</f>
        <v>1859421</v>
      </c>
      <c r="O1193" s="1699"/>
      <c r="P1193" s="10"/>
    </row>
    <row r="1194" spans="1:16" s="110" customFormat="1" ht="18" customHeight="1" x14ac:dyDescent="0.35">
      <c r="A1194" s="699">
        <v>1187</v>
      </c>
      <c r="B1194" s="1383"/>
      <c r="C1194" s="1402"/>
      <c r="D1194" s="690" t="s">
        <v>1307</v>
      </c>
      <c r="E1194" s="328"/>
      <c r="F1194" s="328"/>
      <c r="G1194" s="1181"/>
      <c r="H1194" s="1385"/>
      <c r="I1194" s="386">
        <f t="shared" ref="I1194" si="39">SUM(J1194:N1194)</f>
        <v>5415340</v>
      </c>
      <c r="J1194" s="165">
        <f>J771+J766+J761+J756+J751+J732+J727+J712+J707+J702+J697+J692+J687+J682+J677+J671+J666+J661+J656+J647+J643+J638+J632+J627+J622+J617+J606+J601+J596+J591+J582+J577+J514+J504+J494+J489+J484+J479+J469+J464+J459+J429+J420+J415+J410+J405+J381+J336+J326+J321+J316+J246+J241+J236+J231+J10</f>
        <v>136982</v>
      </c>
      <c r="K1194" s="165">
        <f>K771+K766+K761+K756+K751+K732+K727+K712+K707+K702+K697+K692+K687+K682+K677+K671+K666+K661+K656+K647+K643+K638+K632+K627+K622+K617+K606+K601+K596+K591+K582+K577+K514+K504+K494+K489+K484+K479+K469+K464+K459+K429+K420+K415+K410+K405+K381+K336+K326+K321+K316+K246+K241+K236+K231+K10</f>
        <v>29257</v>
      </c>
      <c r="L1194" s="165">
        <f>L771+L766+L761+L756+L751+L732+L727+L712+L707+L702+L697+L692+L687+L682+L677+L671+L666+L661+L656+L647+L643+L638+L632+L627+L622+L617+L606+L601+L596+L591+L582+L577+L514+L504+L494+L489+L484+L479+L469+L464+L459+L429+L420+L415+L410+L405+L381+L336+L326+L321+L316+L246+L241+L236+L231+L10</f>
        <v>1731724</v>
      </c>
      <c r="M1194" s="165">
        <f>M771+M766+M761+M756+M751+M732+M727+M712+M707+M702+M697+M692+M687+M682+M677+M671+M666+M661+M656+M647+M643+M638+M632+M627+M622+M617+M606+M601+M596+M591+M582+M577+M514+M504+M494+M489+M484+M479+M469+M464+M459+M429+M420+M415+M410+M405+M381+M336+M326+M321+M316+M246+M241+M236+M231+M10</f>
        <v>9278</v>
      </c>
      <c r="N1194" s="166">
        <f>N771+N766+N761+N756+N751+N732+N727+N712+N707+N702+N697+N692+N687+N682+N677+N671+N666+N661+N656+N647+N643+N638+N632+N627+N622+N617+N606+N601+N596+N591+N582+N577+N514+N504+N494+N489+N484+N479+N469+N464+N459+N429+N420+N415+N410+N405+N381+N336+N326+N321+N316+N246+N241+N236+N231+N10</f>
        <v>3508099</v>
      </c>
      <c r="O1194" s="1699"/>
      <c r="P1194" s="10"/>
    </row>
    <row r="1195" spans="1:16" s="1323" customFormat="1" ht="18" customHeight="1" x14ac:dyDescent="0.3">
      <c r="A1195" s="699">
        <v>1188</v>
      </c>
      <c r="B1195" s="1283"/>
      <c r="C1195" s="1388"/>
      <c r="D1195" s="1150" t="s">
        <v>733</v>
      </c>
      <c r="E1195" s="1053"/>
      <c r="F1195" s="1053"/>
      <c r="G1195" s="1322"/>
      <c r="H1195" s="1233"/>
      <c r="I1195" s="893">
        <f t="shared" ref="I1195" si="40">SUM(J1195:N1195)</f>
        <v>4416</v>
      </c>
      <c r="J1195" s="183">
        <f>J772+J767+J762+J757+J752+J733+J728+J713+J708+J703+J698+J693+J688+J683+J678+J672+J667+J662+J657+J648+J644+J639+J633+J628+J623+J618+J607+J602+J597+J592+J583+J578+J515+J505+J495+J490+J485+J480+J470+J465+J460+J430+J423+J422+J421+J416+J411+J406+J382+J337+J327+J322+J317+J247+J242+J237+J232+J11+J673</f>
        <v>40</v>
      </c>
      <c r="K1195" s="183">
        <f t="shared" ref="K1195:N1195" si="41">K772+K767+K762+K757+K752+K733+K728+K713+K708+K703+K698+K693+K688+K683+K678+K672+K667+K662+K657+K648+K644+K639+K633+K628+K623+K618+K607+K602+K597+K592+K583+K578+K515+K505+K495+K490+K485+K480+K470+K465+K460+K430+K423+K422+K421+K416+K411+K406+K382+K337+K327+K322+K317+K247+K242+K237+K232+K11+K673</f>
        <v>19</v>
      </c>
      <c r="L1195" s="183">
        <f t="shared" si="41"/>
        <v>-81</v>
      </c>
      <c r="M1195" s="183">
        <f t="shared" si="41"/>
        <v>0</v>
      </c>
      <c r="N1195" s="184">
        <f t="shared" si="41"/>
        <v>4438</v>
      </c>
      <c r="O1195" s="1237"/>
      <c r="P1195" s="1237"/>
    </row>
    <row r="1196" spans="1:16" s="1319" customFormat="1" ht="18" customHeight="1" x14ac:dyDescent="0.35">
      <c r="A1196" s="699">
        <v>1189</v>
      </c>
      <c r="B1196" s="1285"/>
      <c r="C1196" s="1393"/>
      <c r="D1196" s="690" t="s">
        <v>1391</v>
      </c>
      <c r="E1196" s="158"/>
      <c r="F1196" s="158"/>
      <c r="G1196" s="1318"/>
      <c r="H1196" s="703"/>
      <c r="I1196" s="1647">
        <f>SUM(J1196:N1196)</f>
        <v>5419756</v>
      </c>
      <c r="J1196" s="527">
        <f>SUM(J1194:J1195)</f>
        <v>137022</v>
      </c>
      <c r="K1196" s="527">
        <f t="shared" ref="K1196:N1196" si="42">SUM(K1194:K1195)</f>
        <v>29276</v>
      </c>
      <c r="L1196" s="527">
        <f t="shared" si="42"/>
        <v>1731643</v>
      </c>
      <c r="M1196" s="527">
        <f t="shared" si="42"/>
        <v>9278</v>
      </c>
      <c r="N1196" s="520">
        <f t="shared" si="42"/>
        <v>3512537</v>
      </c>
      <c r="O1196" s="11"/>
      <c r="P1196" s="11"/>
    </row>
    <row r="1197" spans="1:16" s="405" customFormat="1" ht="18" customHeight="1" x14ac:dyDescent="0.35">
      <c r="A1197" s="699">
        <v>1190</v>
      </c>
      <c r="B1197" s="1295"/>
      <c r="C1197" s="1390"/>
      <c r="D1197" s="115" t="s">
        <v>126</v>
      </c>
      <c r="E1197" s="116">
        <v>1229989</v>
      </c>
      <c r="F1197" s="116">
        <v>1383938</v>
      </c>
      <c r="G1197" s="1172">
        <v>1332940</v>
      </c>
      <c r="H1197" s="702"/>
      <c r="I1197" s="1324"/>
      <c r="J1197" s="527"/>
      <c r="K1197" s="527"/>
      <c r="L1197" s="527"/>
      <c r="M1197" s="527"/>
      <c r="N1197" s="520"/>
      <c r="O1197" s="1699"/>
      <c r="P1197" s="1699"/>
    </row>
    <row r="1198" spans="1:16" s="110" customFormat="1" ht="18" customHeight="1" x14ac:dyDescent="0.35">
      <c r="A1198" s="699">
        <v>1191</v>
      </c>
      <c r="B1198" s="1304"/>
      <c r="C1198" s="1403"/>
      <c r="D1198" s="1231" t="s">
        <v>334</v>
      </c>
      <c r="E1198" s="116"/>
      <c r="F1198" s="116"/>
      <c r="G1198" s="1172"/>
      <c r="H1198" s="705"/>
      <c r="I1198" s="1511">
        <f>SUM(J1198:N1198)</f>
        <v>1465617</v>
      </c>
      <c r="J1198" s="1238">
        <f>+J740+J716+J571+J566+J561+J556+J551+J546+J537+J532+J523+J518+J508+J473+J453+J448+J443+J438+J433+J395+J390+J385+J375+J370+J365+J360+J355+J350+J345+J310+J285+J260+J255+J250+J225+J220+J205+J200+J195+J190+J185+J180+J150+J145+J140+J96+J91+J86+J79+J74+J39+J34+J29+J24+J19+J498+J815+J810+J805+J800+J795+J790+J785+J780+J775+J721+J610+J215+J210+J14+J135+J840+J835+J830+J825+J820+J340</f>
        <v>23667</v>
      </c>
      <c r="K1198" s="1238">
        <f>+K740+K716+K571+K566+K561+K556+K551+K546+K537+K532+K523+K518+K508+K473+K453+K448+K443+K438+K433+K395+K390+K385+K375+K370+K365+K360+K355+K350+K345+K310+K285+K260+K255+K250+K225+K220+K205+K200+K195+K190+K185+K180+K150+K145+K140+K96+K91+K86+K79+K74+K39+K34+K29+K24+K19+K498+K815+K810+K805+K800+K795+K790+K785+K780+K775+K721+K610+K215+K210+K14+K135+K840+K835+K830+K825+K820+K340</f>
        <v>3971</v>
      </c>
      <c r="L1198" s="1238">
        <f>+L740+L716+L571+L566+L561+L556+L551+L546+L537+L532+L523+L518+L508+L473+L453+L448+L443+L438+L433+L395+L390+L385+L375+L370+L365+L360+L355+L350+L345+L310+L285+L260+L255+L250+L225+L220+L205+L200+L195+L190+L185+L180+L150+L145+L140+L96+L91+L86+L79+L74+L39+L34+L29+L24+L19+L498+L815+L810+L805+L800+L795+L790+L785+L780+L775+L721+L610+L215+L210+L14+L135+L840+L835+L830+L825+L820+L340</f>
        <v>667439</v>
      </c>
      <c r="M1198" s="1238">
        <f>+M740+M716+M571+M566+M561+M556+M551+M546+M537+M532+M523+M518+M508+M473+M453+M448+M443+M438+M433+M395+M390+M385+M375+M370+M365+M360+M355+M350+M345+M310+M285+M260+M255+M250+M225+M220+M205+M200+M195+M190+M185+M180+M150+M145+M140+M96+M91+M86+M79+M74+M39+M34+M29+M24+M19+M498+M815+M810+M805+M800+M795+M790+M785+M780+M775+M721+M610+M215+M210+M14+M135+M840+M835+M830+M825+M820+M340</f>
        <v>25250</v>
      </c>
      <c r="N1198" s="1239">
        <f>+N740+N716+N571+N566+N561+N556+N551+N546+N537+N532+N523+N518+N508+N473+N453+N448+N443+N438+N433+N395+N390+N385+N375+N370+N365+N360+N355+N350+N345+N310+N285+N260+N255+N250+N225+N220+N205+N200+N195+N190+N185+N180+N150+N145+N140+N96+N91+N86+N79+N74+N39+N34+N29+N24+N19+N498+N815+N810+N805+N800+N795+N790+N785+N780+N775+N721+N610+N215+N210+N14+N135+N840+N835+N830+N825+N820+N340</f>
        <v>745290</v>
      </c>
      <c r="O1198" s="1699"/>
      <c r="P1198" s="10"/>
    </row>
    <row r="1199" spans="1:16" s="110" customFormat="1" ht="18" customHeight="1" x14ac:dyDescent="0.35">
      <c r="A1199" s="699">
        <v>1192</v>
      </c>
      <c r="B1199" s="1506"/>
      <c r="C1199" s="1507"/>
      <c r="D1199" s="690" t="s">
        <v>1307</v>
      </c>
      <c r="E1199" s="1508"/>
      <c r="F1199" s="1508"/>
      <c r="G1199" s="1509"/>
      <c r="H1199" s="1510"/>
      <c r="I1199" s="386">
        <f t="shared" ref="I1199:I1201" si="43">SUM(J1199:N1199)</f>
        <v>2271111</v>
      </c>
      <c r="J1199" s="1563">
        <f>J1113+J1109+J1104+J1100+J1065+J1061+J1057+J1053+J1049+J1045+J1041+J1037+J1033+J1009+J1005+J1001+J997+J993+J989+J985+J981+J977+J969+J973+J965+J961+J957+J953+J949+J945+J941+J937+J933+J929+J925+J921+J917+J913+J909+J905+J901+J897+J893+J889+J885+J881+J877+J873+J869+J865+J861+J857+J849+J845+J841+J836+J831+J826+J821+J816+J811+J806+J801+J796+J791+J786+J781+J776+J741+J736+J722+J717+J651+J611+J586+J572+J567+J562+J557+J552+J547+J542+J538+J533+J528+J524+J519+J509+J499+J474+J454+J449+J444+J439+J434+J400+J396+J391+J386+J376+J371+J366+J361+J356+J351+J346+J341+J311+J306+J301+J296+J291+J281+J276+J271+J266+J256+J251+J226+J221+J216+J211+J206+J201+J196+J191+J186+J181+J176+J171+J166+J161+J156+J146+J141+J136+J131+J127+J122+J117+J112+J107+J102+J92+J87+J80+J75+J70+J65+J60+J55+J50+J45+J35+J30+J25+J20+J15+J1121+J1117+J1069+J1013+J853+J1077+J1073+J1017+J1089+J1085+J1081+J1025+J1021</f>
        <v>26561</v>
      </c>
      <c r="K1199" s="1563">
        <f>K1113+K1109+K1104+K1100+K1065+K1061+K1057+K1053+K1049+K1045+K1041+K1037+K1033+K1009+K1005+K1001+K997+K993+K989+K985+K981+K977+K969+K973+K965+K961+K957+K953+K949+K945+K941+K937+K933+K929+K925+K921+K917+K913+K909+K905+K901+K897+K893+K889+K885+K881+K877+K873+K869+K865+K861+K857+K849+K845+K841+K836+K831+K826+K821+K816+K811+K806+K801+K796+K791+K786+K781+K776+K741+K736+K722+K717+K651+K611+K586+K572+K567+K562+K557+K552+K547+K542+K538+K533+K528+K524+K519+K509+K499+K474+K454+K449+K444+K439+K434+K400+K396+K391+K386+K376+K371+K366+K361+K356+K351+K346+K341+K311+K306+K301+K296+K291+K281+K276+K271+K266+K256+K251+K226+K221+K216+K211+K206+K201+K196+K191+K186+K181+K176+K171+K166+K161+K156+K146+K141+K136+K131+K127+K122+K117+K112+K107+K102+K92+K87+K80+K75+K70+K65+K60+K55+K50+K45+K35+K30+K25+K20+K15+K1121+K1117+K1069+K1013+K853+K1077+K1073+K1017+K1089+K1085+K1081+K1025+K1021</f>
        <v>5249</v>
      </c>
      <c r="L1199" s="1563">
        <f>L1113+L1109+L1104+L1100+L1065+L1061+L1057+L1053+L1049+L1045+L1041+L1037+L1033+L1009+L1005+L1001+L997+L993+L989+L985+L981+L977+L969+L973+L965+L961+L957+L953+L949+L945+L941+L937+L933+L929+L925+L921+L917+L913+L909+L905+L901+L897+L893+L889+L885+L881+L877+L873+L869+L865+L861+L857+L849+L845+L841+L836+L831+L826+L821+L816+L811+L806+L801+L796+L791+L786+L781+L776+L741+L736+L722+L717+L651+L611+L586+L572+L567+L562+L557+L552+L547+L542+L538+L533+L528+L524+L519+L509+L499+L474+L454+L449+L444+L439+L434+L400+L396+L391+L386+L376+L371+L366+L361+L356+L351+L346+L341+L311+L306+L301+L296+L291+L281+L276+L271+L266+L256+L251+L226+L221+L216+L211+L206+L201+L196+L191+L186+L181+L176+L171+L166+L161+L156+L146+L141+L136+L131+L127+L122+L117+L112+L107+L102+L92+L87+L80+L75+L70+L65+L60+L55+L50+L45+L35+L30+L25+L20+L15+L1121+L1117+L1069+L1013+L853+L1077+L1073+L1017+L1089+L1085+L1081+L1025+L1021</f>
        <v>1297850</v>
      </c>
      <c r="M1199" s="1563">
        <f>M1113+M1109+M1104+M1100+M1065+M1061+M1057+M1053+M1049+M1045+M1041+M1037+M1033+M1009+M1005+M1001+M997+M993+M989+M985+M981+M977+M969+M973+M965+M961+M957+M953+M949+M945+M941+M937+M933+M929+M925+M921+M917+M913+M909+M905+M901+M897+M893+M889+M885+M881+M877+M873+M869+M865+M861+M857+M849+M845+M841+M836+M831+M826+M821+M816+M811+M806+M801+M796+M791+M786+M781+M776+M741+M736+M722+M717+M651+M611+M586+M572+M567+M562+M557+M552+M547+M542+M538+M533+M528+M524+M519+M509+M499+M474+M454+M449+M444+M439+M434+M400+M396+M391+M386+M376+M371+M366+M361+M356+M351+M346+M341+M311+M306+M301+M296+M291+M281+M276+M271+M266+M256+M251+M226+M221+M216+M211+M206+M201+M196+M191+M186+M181+M176+M171+M166+M161+M156+M146+M141+M136+M131+M127+M122+M117+M112+M107+M102+M92+M87+M80+M75+M70+M65+M60+M55+M50+M45+M35+M30+M25+M20+M15+M1121+M1117+M1069+M1013+M853+M1077+M1073+M1017+M1089+M1085+M1081+M1025+M1021</f>
        <v>25900</v>
      </c>
      <c r="N1199" s="1721">
        <f>N1113+N1109+N1104+N1100+N1065+N1061+N1057+N1053+N1049+N1045+N1041+N1037+N1033+N1009+N1005+N1001+N997+N993+N989+N985+N981+N977+N969+N973+N965+N961+N957+N953+N949+N945+N941+N937+N933+N929+N925+N921+N917+N913+N909+N905+N901+N897+N893+N889+N885+N881+N877+N873+N869+N865+N861+N857+N849+N845+N841+N836+N831+N826+N821+N816+N811+N806+N801+N796+N791+N786+N781+N776+N741+N736+N722+N717+N651+N611+N586+N572+N567+N562+N557+N552+N547+N542+N538+N533+N528+N524+N519+N509+N499+N474+N454+N449+N444+N439+N434+N400+N396+N391+N386+N376+N371+N366+N361+N356+N351+N346+N341+N311+N306+N301+N296+N291+N281+N276+N271+N266+N256+N251+N226+N221+N216+N211+N206+N201+N196+N191+N186+N181+N176+N171+N166+N161+N156+N146+N141+N136+N131+N127+N122+N117+N112+N107+N102+N92+N87+N80+N75+N70+N65+N60+N55+N50+N45+N35+N30+N25+N20+N15+N1121+N1117+N1069+N1013+N853+N1077+N1073+N1017+N1089+N1085+N1081+N1025+N1021</f>
        <v>915551</v>
      </c>
      <c r="O1199" s="1562"/>
      <c r="P1199" s="1562"/>
    </row>
    <row r="1200" spans="1:16" s="1411" customFormat="1" ht="18" customHeight="1" x14ac:dyDescent="0.3">
      <c r="A1200" s="699">
        <v>1193</v>
      </c>
      <c r="B1200" s="1404"/>
      <c r="C1200" s="1405"/>
      <c r="D1200" s="1150" t="s">
        <v>733</v>
      </c>
      <c r="E1200" s="1406"/>
      <c r="F1200" s="1406"/>
      <c r="G1200" s="1407"/>
      <c r="H1200" s="1408"/>
      <c r="I1200" s="893">
        <f t="shared" si="43"/>
        <v>5129</v>
      </c>
      <c r="J1200" s="1409">
        <f>J1114+J1110+J1105+J1101+J1066+J1062+J1058+J1054+J1050+J1046+J1042+J1038+J1034+J1010+J1006+J1002+J998+J994+J990+J986+J982+J978+J974+J970+J966+J962+J958+J954+J950+J946+J942+J938+J934+J930+J926+J922+J918+J914+J910+J906+J902+J898+J894+J890+J886+J882+J878+J874+J870+J866+J862+J858+J850+J846+J842+J837+J832+J827+J822+J817+J812+J807+J802+J797+J792+J787+J782+J777+J742+J737+J723+J718+J652+J612+J587+J573+J568+J563+J558+J553+J548+J543+J539+J534+J529+J525+J520+J510+J500+J475+J455+J450+J445+J440+J435+J401+J397+J392+J387+J377+J372+J367+J362+J357+J352+J347+J342+J312+J307+J302+J297+J292+J282+J277+J272+J267+J257+J252+J227+J222+J217+J212+J207+J202+J197+J192+J187+J182+J177+J172+J167+J162+J157+J147+J142+J137+J132+J128+J123+J118+J113+J108+J103+J93+J88+J82+J81+J76+J71+J66+J61+J56+J51+J46+J36+J31+J26+J21+J16+J1014+J1118+J854+J1070+J1122+J1018+J1078+J1074+J1082+J1022+J83+J1026+J1086+J1090+J1029+J1093+J1096</f>
        <v>1703</v>
      </c>
      <c r="K1200" s="1409">
        <f t="shared" ref="K1200:N1200" si="44">K1114+K1110+K1105+K1101+K1066+K1062+K1058+K1054+K1050+K1046+K1042+K1038+K1034+K1010+K1006+K1002+K998+K994+K990+K986+K982+K978+K974+K970+K966+K962+K958+K954+K950+K946+K942+K938+K934+K930+K926+K922+K918+K914+K910+K906+K902+K898+K894+K890+K886+K882+K878+K874+K870+K866+K862+K858+K850+K846+K842+K837+K832+K827+K822+K817+K812+K807+K802+K797+K792+K787+K782+K777+K742+K737+K723+K718+K652+K612+K587+K573+K568+K563+K558+K553+K548+K543+K539+K534+K529+K525+K520+K510+K500+K475+K455+K450+K445+K440+K435+K401+K397+K392+K387+K377+K372+K367+K362+K357+K352+K347+K342+K312+K307+K302+K297+K292+K282+K277+K272+K267+K257+K252+K227+K222+K217+K212+K207+K202+K197+K192+K187+K182+K177+K172+K167+K162+K157+K147+K142+K137+K132+K128+K123+K118+K113+K108+K103+K93+K88+K82+K81+K76+K71+K66+K61+K56+K51+K46+K36+K31+K26+K21+K16+K1014+K1118+K854+K1070+K1122+K1018+K1078+K1074+K1082+K1022+K83+K1026+K1086+K1090+K1029+K1093+K1096</f>
        <v>711</v>
      </c>
      <c r="L1200" s="1409">
        <f t="shared" si="44"/>
        <v>-324</v>
      </c>
      <c r="M1200" s="1409">
        <f t="shared" si="44"/>
        <v>0</v>
      </c>
      <c r="N1200" s="1722">
        <f t="shared" si="44"/>
        <v>3039</v>
      </c>
      <c r="O1200" s="1410"/>
      <c r="P1200" s="1246"/>
    </row>
    <row r="1201" spans="1:16" s="1321" customFormat="1" ht="18" customHeight="1" thickBot="1" x14ac:dyDescent="0.35">
      <c r="A1201" s="699">
        <v>1194</v>
      </c>
      <c r="B1201" s="1413"/>
      <c r="C1201" s="1414"/>
      <c r="D1201" s="1325" t="s">
        <v>1391</v>
      </c>
      <c r="E1201" s="1415"/>
      <c r="F1201" s="1415"/>
      <c r="G1201" s="1416"/>
      <c r="H1201" s="1417"/>
      <c r="I1201" s="1648">
        <f t="shared" si="43"/>
        <v>2276240</v>
      </c>
      <c r="J1201" s="1649">
        <f>SUM(J1199:J1200)</f>
        <v>28264</v>
      </c>
      <c r="K1201" s="1649">
        <f t="shared" ref="K1201:N1201" si="45">SUM(K1199:K1200)</f>
        <v>5960</v>
      </c>
      <c r="L1201" s="1649">
        <f t="shared" si="45"/>
        <v>1297526</v>
      </c>
      <c r="M1201" s="1649">
        <f t="shared" si="45"/>
        <v>25900</v>
      </c>
      <c r="N1201" s="1678">
        <f t="shared" si="45"/>
        <v>918590</v>
      </c>
      <c r="O1201" s="1320"/>
      <c r="P1201" s="11"/>
    </row>
    <row r="1202" spans="1:16" ht="18" customHeight="1" x14ac:dyDescent="0.3">
      <c r="A1202" s="700"/>
      <c r="B1202" s="1809" t="s">
        <v>28</v>
      </c>
      <c r="C1202" s="1809"/>
      <c r="D1202" s="1809"/>
      <c r="E1202" s="159"/>
      <c r="F1202" s="159"/>
      <c r="G1202" s="159"/>
      <c r="H1202" s="689"/>
      <c r="I1202" s="160"/>
      <c r="J1202" s="159"/>
      <c r="K1202" s="159"/>
      <c r="L1202" s="159"/>
      <c r="M1202" s="159"/>
      <c r="N1202" s="159"/>
    </row>
    <row r="1203" spans="1:16" ht="18" customHeight="1" x14ac:dyDescent="0.3">
      <c r="A1203" s="700"/>
      <c r="B1203" s="722" t="s">
        <v>29</v>
      </c>
      <c r="C1203" s="722"/>
      <c r="D1203" s="722"/>
      <c r="E1203" s="159"/>
      <c r="F1203" s="159"/>
      <c r="G1203" s="159"/>
      <c r="H1203" s="689"/>
      <c r="I1203" s="160"/>
      <c r="J1203" s="159"/>
      <c r="K1203" s="159"/>
      <c r="L1203" s="159"/>
      <c r="M1203" s="159"/>
      <c r="N1203" s="159"/>
    </row>
    <row r="1204" spans="1:16" ht="18" customHeight="1" x14ac:dyDescent="0.3">
      <c r="A1204" s="700"/>
      <c r="B1204" s="1809" t="s">
        <v>30</v>
      </c>
      <c r="C1204" s="1809"/>
      <c r="D1204" s="1809"/>
      <c r="E1204" s="159"/>
      <c r="F1204" s="159"/>
      <c r="G1204" s="159"/>
      <c r="H1204" s="689"/>
      <c r="I1204" s="160"/>
      <c r="J1204" s="159"/>
      <c r="K1204" s="159"/>
      <c r="L1204" s="159"/>
      <c r="M1204" s="159"/>
      <c r="N1204" s="159"/>
    </row>
    <row r="1205" spans="1:16" ht="18" customHeight="1" x14ac:dyDescent="0.3">
      <c r="D1205" s="13"/>
      <c r="E1205" s="1665">
        <f>E1187-E1192-E1197</f>
        <v>0</v>
      </c>
      <c r="F1205" s="1665">
        <f t="shared" ref="F1205:G1205" si="46">F1187-F1192-F1197</f>
        <v>0</v>
      </c>
      <c r="G1205" s="1665">
        <f t="shared" si="46"/>
        <v>0</v>
      </c>
      <c r="H1205" s="1666"/>
      <c r="I1205" s="1665">
        <f>I1188-I1193-I1198</f>
        <v>0</v>
      </c>
      <c r="J1205" s="1665">
        <f t="shared" ref="J1205:N1205" si="47">J1188-J1193-J1198</f>
        <v>0</v>
      </c>
      <c r="K1205" s="1665">
        <f t="shared" si="47"/>
        <v>0</v>
      </c>
      <c r="L1205" s="1665">
        <f t="shared" si="47"/>
        <v>0</v>
      </c>
      <c r="M1205" s="1665">
        <f t="shared" si="47"/>
        <v>0</v>
      </c>
      <c r="N1205" s="1665">
        <f t="shared" si="47"/>
        <v>0</v>
      </c>
    </row>
    <row r="1206" spans="1:16" ht="18" customHeight="1" x14ac:dyDescent="0.3">
      <c r="D1206" s="13"/>
      <c r="E1206" s="1665"/>
      <c r="F1206" s="1665"/>
      <c r="G1206" s="1665"/>
      <c r="H1206" s="1666"/>
      <c r="I1206" s="1665">
        <f>I1189-I1194-I1199</f>
        <v>0</v>
      </c>
      <c r="J1206" s="1665">
        <f t="shared" ref="J1206:N1206" si="48">J1189-J1194-J1199</f>
        <v>0</v>
      </c>
      <c r="K1206" s="1665">
        <f t="shared" si="48"/>
        <v>0</v>
      </c>
      <c r="L1206" s="1665">
        <f t="shared" si="48"/>
        <v>0</v>
      </c>
      <c r="M1206" s="1665">
        <f t="shared" si="48"/>
        <v>0</v>
      </c>
      <c r="N1206" s="1665">
        <f t="shared" si="48"/>
        <v>0</v>
      </c>
    </row>
    <row r="1207" spans="1:16" ht="18" customHeight="1" x14ac:dyDescent="0.3">
      <c r="D1207" s="13"/>
      <c r="E1207" s="1665"/>
      <c r="F1207" s="1665"/>
      <c r="G1207" s="1665"/>
      <c r="H1207" s="1666"/>
      <c r="I1207" s="1665">
        <f>I1190-I1195-I1200</f>
        <v>0</v>
      </c>
      <c r="J1207" s="1665">
        <f t="shared" ref="J1207:N1207" si="49">J1190-J1195-J1200</f>
        <v>0</v>
      </c>
      <c r="K1207" s="1665">
        <f t="shared" si="49"/>
        <v>0</v>
      </c>
      <c r="L1207" s="1665">
        <f t="shared" si="49"/>
        <v>0</v>
      </c>
      <c r="M1207" s="1665">
        <f t="shared" si="49"/>
        <v>0</v>
      </c>
      <c r="N1207" s="1665">
        <f t="shared" si="49"/>
        <v>0</v>
      </c>
    </row>
    <row r="1208" spans="1:16" s="15" customFormat="1" ht="18" customHeight="1" x14ac:dyDescent="0.35">
      <c r="A1208" s="699"/>
      <c r="B1208" s="3"/>
      <c r="C1208" s="7"/>
      <c r="D1208" s="13"/>
      <c r="E1208" s="1665"/>
      <c r="F1208" s="1665"/>
      <c r="G1208" s="1665"/>
      <c r="H1208" s="1666"/>
      <c r="I1208" s="1665">
        <f>I1191-I1196-I1201</f>
        <v>0</v>
      </c>
      <c r="J1208" s="1665">
        <f t="shared" ref="J1208:N1208" si="50">J1191-J1196-J1201</f>
        <v>0</v>
      </c>
      <c r="K1208" s="1665">
        <f t="shared" si="50"/>
        <v>0</v>
      </c>
      <c r="L1208" s="1665">
        <f t="shared" si="50"/>
        <v>0</v>
      </c>
      <c r="M1208" s="1665">
        <f t="shared" si="50"/>
        <v>0</v>
      </c>
      <c r="N1208" s="1665">
        <f t="shared" si="50"/>
        <v>0</v>
      </c>
      <c r="O1208" s="4"/>
    </row>
    <row r="1209" spans="1:16" s="15" customFormat="1" ht="18" customHeight="1" x14ac:dyDescent="0.35">
      <c r="A1209" s="699"/>
      <c r="B1209" s="3"/>
      <c r="C1209" s="7"/>
      <c r="D1209" s="13"/>
      <c r="E1209" s="1665"/>
      <c r="F1209" s="1665"/>
      <c r="G1209" s="1665"/>
      <c r="H1209" s="1666"/>
      <c r="I1209" s="1665"/>
      <c r="J1209" s="1665"/>
      <c r="K1209" s="1665"/>
      <c r="L1209" s="1665"/>
      <c r="M1209" s="1665"/>
      <c r="N1209" s="1665"/>
      <c r="O1209" s="4"/>
    </row>
    <row r="1210" spans="1:16" s="15" customFormat="1" ht="18" customHeight="1" x14ac:dyDescent="0.35">
      <c r="A1210" s="699"/>
      <c r="B1210" s="3"/>
      <c r="C1210" s="7"/>
      <c r="D1210" s="13"/>
      <c r="E1210" s="406"/>
      <c r="F1210" s="406"/>
      <c r="G1210" s="406"/>
      <c r="H1210" s="14"/>
      <c r="O1210" s="4"/>
    </row>
    <row r="1211" spans="1:16" s="15" customFormat="1" ht="18" customHeight="1" x14ac:dyDescent="0.35">
      <c r="A1211" s="699"/>
      <c r="B1211" s="3"/>
      <c r="C1211" s="7"/>
      <c r="D1211" s="13"/>
      <c r="E1211" s="406"/>
      <c r="F1211" s="406"/>
      <c r="G1211" s="406"/>
      <c r="H1211" s="14"/>
      <c r="O1211" s="4"/>
    </row>
    <row r="1212" spans="1:16" s="15" customFormat="1" ht="18" customHeight="1" x14ac:dyDescent="0.35">
      <c r="A1212" s="699"/>
      <c r="B1212" s="3"/>
      <c r="C1212" s="7"/>
      <c r="D1212" s="13"/>
      <c r="E1212" s="406"/>
      <c r="F1212" s="406"/>
      <c r="G1212" s="406"/>
      <c r="H1212" s="14"/>
      <c r="O1212" s="4"/>
    </row>
    <row r="1213" spans="1:16" s="15" customFormat="1" ht="18" customHeight="1" x14ac:dyDescent="0.35">
      <c r="A1213" s="699"/>
      <c r="B1213" s="3"/>
      <c r="C1213" s="7"/>
      <c r="D1213" s="16"/>
      <c r="E1213" s="406"/>
      <c r="F1213" s="406"/>
      <c r="G1213" s="406"/>
      <c r="H1213" s="14"/>
      <c r="O1213" s="4"/>
    </row>
    <row r="1214" spans="1:16" s="15" customFormat="1" ht="18" customHeight="1" x14ac:dyDescent="0.35">
      <c r="A1214" s="699"/>
      <c r="B1214" s="3"/>
      <c r="C1214" s="7"/>
      <c r="D1214" s="16"/>
      <c r="E1214" s="406"/>
      <c r="F1214" s="406"/>
      <c r="G1214" s="406"/>
      <c r="H1214" s="14"/>
      <c r="O1214" s="4"/>
    </row>
    <row r="1215" spans="1:16" s="15" customFormat="1" ht="18" customHeight="1" x14ac:dyDescent="0.35">
      <c r="A1215" s="699"/>
      <c r="B1215" s="3"/>
      <c r="C1215" s="7"/>
      <c r="D1215" s="13"/>
      <c r="E1215" s="406"/>
      <c r="F1215" s="406"/>
      <c r="G1215" s="406"/>
      <c r="H1215" s="14"/>
      <c r="O1215" s="4"/>
    </row>
    <row r="1216" spans="1:16" s="15" customFormat="1" ht="18" customHeight="1" x14ac:dyDescent="0.35">
      <c r="A1216" s="699"/>
      <c r="B1216" s="3"/>
      <c r="C1216" s="7"/>
      <c r="D1216" s="13"/>
      <c r="E1216" s="406"/>
      <c r="F1216" s="406"/>
      <c r="G1216" s="406"/>
      <c r="H1216" s="14"/>
      <c r="O1216" s="4"/>
    </row>
    <row r="1217" spans="1:15" s="15" customFormat="1" ht="18" customHeight="1" x14ac:dyDescent="0.35">
      <c r="A1217" s="699"/>
      <c r="B1217" s="3"/>
      <c r="C1217" s="7"/>
      <c r="D1217" s="18"/>
      <c r="E1217" s="4"/>
      <c r="F1217" s="4"/>
      <c r="G1217" s="4"/>
      <c r="H1217" s="3"/>
      <c r="O1217" s="4"/>
    </row>
    <row r="1218" spans="1:15" s="15" customFormat="1" ht="18" customHeight="1" x14ac:dyDescent="0.35">
      <c r="A1218" s="699"/>
      <c r="B1218" s="3"/>
      <c r="C1218" s="7"/>
      <c r="D1218" s="18"/>
      <c r="E1218" s="4"/>
      <c r="F1218" s="4"/>
      <c r="G1218" s="4"/>
      <c r="H1218" s="3"/>
      <c r="O1218" s="4"/>
    </row>
    <row r="1219" spans="1:15" s="15" customFormat="1" ht="18" customHeight="1" x14ac:dyDescent="0.35">
      <c r="A1219" s="699"/>
      <c r="B1219" s="3"/>
      <c r="C1219" s="7"/>
      <c r="D1219" s="18"/>
      <c r="E1219" s="4"/>
      <c r="F1219" s="4"/>
      <c r="G1219" s="4"/>
      <c r="H1219" s="3"/>
      <c r="O1219" s="4"/>
    </row>
    <row r="1220" spans="1:15" s="15" customFormat="1" ht="18" customHeight="1" x14ac:dyDescent="0.35">
      <c r="A1220" s="699"/>
      <c r="B1220" s="3"/>
      <c r="C1220" s="7"/>
      <c r="D1220" s="18"/>
      <c r="E1220" s="4"/>
      <c r="F1220" s="4"/>
      <c r="G1220" s="4"/>
      <c r="H1220" s="3"/>
      <c r="O1220" s="4"/>
    </row>
    <row r="1221" spans="1:15" s="15" customFormat="1" ht="18" customHeight="1" x14ac:dyDescent="0.35">
      <c r="A1221" s="699"/>
      <c r="B1221" s="3"/>
      <c r="C1221" s="7"/>
      <c r="D1221" s="18"/>
      <c r="E1221" s="4"/>
      <c r="F1221" s="4"/>
      <c r="G1221" s="4"/>
      <c r="H1221" s="3"/>
      <c r="O1221" s="4"/>
    </row>
    <row r="1222" spans="1:15" s="15" customFormat="1" ht="18" customHeight="1" x14ac:dyDescent="0.35">
      <c r="A1222" s="699"/>
      <c r="B1222" s="3"/>
      <c r="C1222" s="7"/>
      <c r="D1222" s="18"/>
      <c r="E1222" s="4"/>
      <c r="F1222" s="4"/>
      <c r="G1222" s="4"/>
      <c r="H1222" s="3"/>
      <c r="O1222" s="4"/>
    </row>
    <row r="1223" spans="1:15" s="15" customFormat="1" ht="18" customHeight="1" x14ac:dyDescent="0.35">
      <c r="A1223" s="699"/>
      <c r="B1223" s="3"/>
      <c r="C1223" s="7"/>
      <c r="D1223" s="18"/>
      <c r="E1223" s="4"/>
      <c r="F1223" s="4"/>
      <c r="G1223" s="4"/>
      <c r="H1223" s="3"/>
      <c r="O1223" s="4"/>
    </row>
    <row r="1224" spans="1:15" ht="18" customHeight="1" x14ac:dyDescent="0.35"/>
    <row r="1225" spans="1:15" ht="18" customHeight="1" x14ac:dyDescent="0.35"/>
    <row r="1226" spans="1:15" ht="18" customHeight="1" x14ac:dyDescent="0.35"/>
    <row r="1227" spans="1:15" ht="18" customHeight="1" x14ac:dyDescent="0.35"/>
    <row r="1228" spans="1:15" ht="18" customHeight="1" x14ac:dyDescent="0.35"/>
    <row r="1229" spans="1:15" ht="18" customHeight="1" x14ac:dyDescent="0.35"/>
    <row r="1230" spans="1:15" ht="18" customHeight="1" x14ac:dyDescent="0.35"/>
    <row r="1231" spans="1:15" ht="18" customHeight="1" x14ac:dyDescent="0.35"/>
    <row r="1232" spans="1:15" ht="18" customHeight="1" x14ac:dyDescent="0.35"/>
    <row r="1233" spans="4:14" ht="18" customHeight="1" x14ac:dyDescent="0.35"/>
    <row r="1234" spans="4:14" ht="18" customHeight="1" x14ac:dyDescent="0.35"/>
    <row r="1235" spans="4:14" ht="18" customHeight="1" x14ac:dyDescent="0.35"/>
    <row r="1236" spans="4:14" ht="18" customHeight="1" x14ac:dyDescent="0.35">
      <c r="D1236" s="13"/>
      <c r="E1236" s="406"/>
      <c r="F1236" s="406"/>
      <c r="G1236" s="406"/>
      <c r="H1236" s="14"/>
    </row>
    <row r="1237" spans="4:14" ht="18" customHeight="1" x14ac:dyDescent="0.35">
      <c r="D1237" s="13"/>
      <c r="E1237" s="406"/>
      <c r="F1237" s="406"/>
      <c r="G1237" s="406"/>
      <c r="H1237" s="14"/>
    </row>
    <row r="1238" spans="4:14" ht="18" customHeight="1" x14ac:dyDescent="0.35">
      <c r="D1238" s="13"/>
      <c r="E1238" s="406"/>
      <c r="F1238" s="406"/>
      <c r="G1238" s="406"/>
      <c r="H1238" s="14"/>
    </row>
    <row r="1239" spans="4:14" ht="18" customHeight="1" x14ac:dyDescent="0.35">
      <c r="D1239" s="19"/>
      <c r="E1239" s="14"/>
      <c r="F1239" s="14"/>
      <c r="G1239" s="14"/>
      <c r="H1239" s="14"/>
      <c r="I1239" s="17"/>
      <c r="J1239" s="17"/>
      <c r="K1239" s="17"/>
      <c r="L1239" s="17"/>
      <c r="M1239" s="17"/>
      <c r="N1239" s="17"/>
    </row>
    <row r="1240" spans="4:14" ht="18" customHeight="1" x14ac:dyDescent="0.35">
      <c r="D1240" s="19"/>
      <c r="E1240" s="14"/>
      <c r="F1240" s="14"/>
      <c r="G1240" s="14"/>
      <c r="H1240" s="14"/>
      <c r="I1240" s="17"/>
      <c r="J1240" s="17"/>
      <c r="K1240" s="17"/>
      <c r="L1240" s="17"/>
      <c r="M1240" s="17"/>
      <c r="N1240" s="17"/>
    </row>
    <row r="1241" spans="4:14" ht="18" customHeight="1" x14ac:dyDescent="0.35">
      <c r="D1241" s="19"/>
      <c r="E1241" s="14"/>
      <c r="F1241" s="14"/>
      <c r="G1241" s="14"/>
      <c r="H1241" s="14"/>
      <c r="I1241" s="17"/>
      <c r="J1241" s="17"/>
      <c r="K1241" s="17"/>
      <c r="L1241" s="17"/>
      <c r="M1241" s="17"/>
      <c r="N1241" s="17"/>
    </row>
    <row r="1242" spans="4:14" ht="18" customHeight="1" x14ac:dyDescent="0.35">
      <c r="D1242" s="19"/>
      <c r="E1242" s="14"/>
      <c r="F1242" s="14"/>
      <c r="G1242" s="14"/>
      <c r="H1242" s="14"/>
      <c r="I1242" s="17"/>
      <c r="J1242" s="17"/>
      <c r="K1242" s="17"/>
      <c r="L1242" s="17"/>
      <c r="M1242" s="17"/>
      <c r="N1242" s="17"/>
    </row>
    <row r="1243" spans="4:14" ht="18" customHeight="1" x14ac:dyDescent="0.35">
      <c r="D1243" s="13"/>
      <c r="E1243" s="406"/>
      <c r="F1243" s="406"/>
      <c r="G1243" s="406"/>
      <c r="H1243" s="14"/>
    </row>
    <row r="1244" spans="4:14" ht="18" customHeight="1" x14ac:dyDescent="0.35">
      <c r="D1244" s="13"/>
      <c r="E1244" s="406"/>
      <c r="F1244" s="406"/>
      <c r="G1244" s="406"/>
      <c r="H1244" s="14"/>
    </row>
    <row r="1245" spans="4:14" ht="18" customHeight="1" x14ac:dyDescent="0.35">
      <c r="D1245" s="13"/>
      <c r="E1245" s="406"/>
      <c r="F1245" s="406"/>
      <c r="G1245" s="406"/>
      <c r="H1245" s="14"/>
    </row>
    <row r="1246" spans="4:14" ht="18" customHeight="1" x14ac:dyDescent="0.35">
      <c r="D1246" s="13"/>
      <c r="E1246" s="406"/>
      <c r="F1246" s="406"/>
      <c r="G1246" s="406"/>
      <c r="H1246" s="14"/>
    </row>
    <row r="1247" spans="4:14" ht="18" customHeight="1" x14ac:dyDescent="0.35">
      <c r="D1247" s="13"/>
      <c r="E1247" s="406"/>
      <c r="F1247" s="406"/>
      <c r="G1247" s="406"/>
      <c r="H1247" s="14"/>
    </row>
    <row r="1248" spans="4:14" ht="18" customHeight="1" x14ac:dyDescent="0.35">
      <c r="D1248" s="16"/>
      <c r="E1248" s="406"/>
      <c r="F1248" s="406"/>
      <c r="G1248" s="406"/>
      <c r="H1248" s="14"/>
    </row>
    <row r="1249" spans="1:14" ht="18" customHeight="1" x14ac:dyDescent="0.35">
      <c r="D1249" s="16"/>
      <c r="E1249" s="406"/>
      <c r="F1249" s="406"/>
      <c r="G1249" s="406"/>
      <c r="H1249" s="14"/>
    </row>
    <row r="1250" spans="1:14" s="5" customFormat="1" ht="18" customHeight="1" x14ac:dyDescent="0.35">
      <c r="A1250" s="699"/>
      <c r="B1250" s="3"/>
      <c r="C1250" s="7"/>
      <c r="D1250" s="20"/>
      <c r="E1250" s="4"/>
      <c r="F1250" s="4"/>
      <c r="G1250" s="4"/>
      <c r="H1250" s="3"/>
      <c r="I1250" s="15"/>
      <c r="J1250" s="15"/>
      <c r="K1250" s="15"/>
      <c r="L1250" s="15"/>
      <c r="M1250" s="15"/>
      <c r="N1250" s="15"/>
    </row>
    <row r="1251" spans="1:14" s="5" customFormat="1" ht="18" customHeight="1" x14ac:dyDescent="0.35">
      <c r="A1251" s="699"/>
      <c r="B1251" s="3"/>
      <c r="C1251" s="7"/>
      <c r="D1251" s="20"/>
      <c r="E1251" s="4"/>
      <c r="F1251" s="4"/>
      <c r="G1251" s="4"/>
      <c r="H1251" s="3"/>
      <c r="I1251" s="15"/>
      <c r="J1251" s="15"/>
      <c r="K1251" s="15"/>
      <c r="L1251" s="15"/>
      <c r="M1251" s="15"/>
      <c r="N1251" s="15"/>
    </row>
    <row r="1252" spans="1:14" s="5" customFormat="1" ht="18" customHeight="1" x14ac:dyDescent="0.35">
      <c r="A1252" s="699"/>
      <c r="B1252" s="3"/>
      <c r="C1252" s="7"/>
      <c r="D1252" s="16"/>
      <c r="E1252" s="406"/>
      <c r="F1252" s="406"/>
      <c r="G1252" s="406"/>
      <c r="H1252" s="14"/>
      <c r="I1252" s="15"/>
      <c r="J1252" s="15"/>
      <c r="K1252" s="15"/>
      <c r="L1252" s="15"/>
      <c r="M1252" s="15"/>
      <c r="N1252" s="15"/>
    </row>
    <row r="1253" spans="1:14" s="5" customFormat="1" ht="18" customHeight="1" x14ac:dyDescent="0.35">
      <c r="A1253" s="699"/>
      <c r="B1253" s="3"/>
      <c r="C1253" s="7"/>
      <c r="D1253" s="16"/>
      <c r="E1253" s="406"/>
      <c r="F1253" s="406"/>
      <c r="G1253" s="406"/>
      <c r="H1253" s="14"/>
      <c r="I1253" s="15"/>
      <c r="J1253" s="15"/>
      <c r="K1253" s="15"/>
      <c r="L1253" s="15"/>
      <c r="M1253" s="15"/>
      <c r="N1253" s="15"/>
    </row>
    <row r="1254" spans="1:14" s="5" customFormat="1" ht="18" customHeight="1" x14ac:dyDescent="0.35">
      <c r="A1254" s="699"/>
      <c r="B1254" s="3"/>
      <c r="C1254" s="7"/>
      <c r="D1254" s="16"/>
      <c r="E1254" s="406"/>
      <c r="F1254" s="406"/>
      <c r="G1254" s="406"/>
      <c r="H1254" s="14"/>
      <c r="I1254" s="15"/>
      <c r="J1254" s="15"/>
      <c r="K1254" s="15"/>
      <c r="L1254" s="15"/>
      <c r="M1254" s="15"/>
      <c r="N1254" s="15"/>
    </row>
    <row r="1255" spans="1:14" s="5" customFormat="1" ht="18" customHeight="1" x14ac:dyDescent="0.35">
      <c r="A1255" s="699"/>
      <c r="B1255" s="3"/>
      <c r="C1255" s="7"/>
      <c r="D1255" s="16"/>
      <c r="E1255" s="406"/>
      <c r="F1255" s="406"/>
      <c r="G1255" s="406"/>
      <c r="H1255" s="14"/>
      <c r="I1255" s="15"/>
      <c r="J1255" s="15"/>
      <c r="K1255" s="15"/>
      <c r="L1255" s="15"/>
      <c r="M1255" s="15"/>
      <c r="N1255" s="15"/>
    </row>
    <row r="1256" spans="1:14" s="5" customFormat="1" ht="18" customHeight="1" x14ac:dyDescent="0.35">
      <c r="A1256" s="699"/>
      <c r="B1256" s="3"/>
      <c r="C1256" s="7"/>
      <c r="D1256" s="16"/>
      <c r="E1256" s="406"/>
      <c r="F1256" s="406"/>
      <c r="G1256" s="406"/>
      <c r="H1256" s="14"/>
      <c r="I1256" s="15"/>
      <c r="J1256" s="15"/>
      <c r="K1256" s="15"/>
      <c r="L1256" s="15"/>
      <c r="M1256" s="15"/>
      <c r="N1256" s="15"/>
    </row>
    <row r="1257" spans="1:14" ht="18" customHeight="1" x14ac:dyDescent="0.35">
      <c r="D1257" s="13"/>
      <c r="E1257" s="406"/>
      <c r="F1257" s="406"/>
      <c r="G1257" s="406"/>
      <c r="H1257" s="14"/>
    </row>
    <row r="1258" spans="1:14" ht="18" customHeight="1" x14ac:dyDescent="0.35">
      <c r="D1258" s="13"/>
      <c r="E1258" s="406"/>
      <c r="F1258" s="406"/>
      <c r="G1258" s="406"/>
      <c r="H1258" s="14"/>
    </row>
    <row r="1259" spans="1:14" ht="18" customHeight="1" x14ac:dyDescent="0.35">
      <c r="D1259" s="13"/>
      <c r="E1259" s="406"/>
      <c r="F1259" s="406"/>
      <c r="G1259" s="406"/>
      <c r="H1259" s="14"/>
    </row>
    <row r="1260" spans="1:14" ht="18" customHeight="1" x14ac:dyDescent="0.35">
      <c r="D1260" s="13"/>
      <c r="E1260" s="406"/>
      <c r="F1260" s="406"/>
      <c r="G1260" s="406"/>
      <c r="H1260" s="14"/>
    </row>
    <row r="1261" spans="1:14" ht="18" customHeight="1" x14ac:dyDescent="0.35">
      <c r="D1261" s="13"/>
      <c r="E1261" s="406"/>
      <c r="F1261" s="406"/>
      <c r="G1261" s="406"/>
      <c r="H1261" s="14"/>
    </row>
    <row r="1262" spans="1:14" ht="18" customHeight="1" x14ac:dyDescent="0.35">
      <c r="D1262" s="13"/>
      <c r="E1262" s="406"/>
      <c r="F1262" s="406"/>
      <c r="G1262" s="406"/>
      <c r="H1262" s="14"/>
    </row>
    <row r="1263" spans="1:14" ht="18" customHeight="1" x14ac:dyDescent="0.35">
      <c r="D1263" s="13"/>
      <c r="E1263" s="406"/>
      <c r="F1263" s="406"/>
      <c r="G1263" s="406"/>
      <c r="H1263" s="14"/>
    </row>
    <row r="1264" spans="1:14" ht="18" customHeight="1" x14ac:dyDescent="0.35">
      <c r="D1264" s="13"/>
      <c r="E1264" s="406"/>
      <c r="F1264" s="406"/>
      <c r="G1264" s="406"/>
      <c r="H1264" s="14"/>
    </row>
    <row r="1265" spans="1:15" ht="18" customHeight="1" x14ac:dyDescent="0.35">
      <c r="D1265" s="13"/>
      <c r="E1265" s="406"/>
      <c r="F1265" s="406"/>
      <c r="G1265" s="406"/>
      <c r="H1265" s="14"/>
    </row>
    <row r="1266" spans="1:15" ht="18" customHeight="1" x14ac:dyDescent="0.35">
      <c r="D1266" s="13"/>
      <c r="E1266" s="406"/>
      <c r="F1266" s="406"/>
      <c r="G1266" s="406"/>
      <c r="H1266" s="14"/>
    </row>
    <row r="1267" spans="1:15" ht="18" customHeight="1" x14ac:dyDescent="0.35">
      <c r="D1267" s="13"/>
      <c r="E1267" s="406"/>
      <c r="F1267" s="406"/>
      <c r="G1267" s="406"/>
      <c r="H1267" s="14"/>
    </row>
    <row r="1268" spans="1:15" ht="18" customHeight="1" x14ac:dyDescent="0.35">
      <c r="D1268" s="13"/>
      <c r="E1268" s="406"/>
      <c r="F1268" s="406"/>
      <c r="G1268" s="406"/>
      <c r="H1268" s="14"/>
    </row>
    <row r="1269" spans="1:15" ht="18" customHeight="1" x14ac:dyDescent="0.35">
      <c r="D1269" s="13"/>
      <c r="E1269" s="406"/>
      <c r="F1269" s="406"/>
      <c r="G1269" s="406"/>
      <c r="H1269" s="14"/>
    </row>
    <row r="1270" spans="1:15" s="5" customFormat="1" ht="18" customHeight="1" x14ac:dyDescent="0.35">
      <c r="A1270" s="699"/>
      <c r="B1270" s="3"/>
      <c r="C1270" s="7"/>
      <c r="D1270" s="16"/>
      <c r="E1270" s="406"/>
      <c r="F1270" s="406"/>
      <c r="G1270" s="406"/>
      <c r="H1270" s="14"/>
      <c r="I1270" s="15"/>
      <c r="J1270" s="15"/>
      <c r="K1270" s="15"/>
      <c r="L1270" s="15"/>
      <c r="M1270" s="15"/>
      <c r="N1270" s="15"/>
    </row>
    <row r="1271" spans="1:15" ht="18" customHeight="1" x14ac:dyDescent="0.35">
      <c r="D1271" s="13"/>
      <c r="E1271" s="406"/>
      <c r="F1271" s="406"/>
      <c r="G1271" s="406"/>
      <c r="H1271" s="14"/>
    </row>
    <row r="1272" spans="1:15" s="15" customFormat="1" ht="18" customHeight="1" x14ac:dyDescent="0.35">
      <c r="A1272" s="699"/>
      <c r="B1272" s="3"/>
      <c r="C1272" s="7"/>
      <c r="D1272" s="13"/>
      <c r="E1272" s="406"/>
      <c r="F1272" s="406"/>
      <c r="G1272" s="406"/>
      <c r="H1272" s="14"/>
      <c r="O1272" s="4"/>
    </row>
    <row r="1273" spans="1:15" s="15" customFormat="1" ht="18" customHeight="1" x14ac:dyDescent="0.35">
      <c r="A1273" s="699"/>
      <c r="B1273" s="3"/>
      <c r="C1273" s="7"/>
      <c r="D1273" s="13"/>
      <c r="E1273" s="406"/>
      <c r="F1273" s="406"/>
      <c r="G1273" s="406"/>
      <c r="H1273" s="14"/>
      <c r="O1273" s="4"/>
    </row>
    <row r="1274" spans="1:15" s="15" customFormat="1" x14ac:dyDescent="0.35">
      <c r="A1274" s="699"/>
      <c r="B1274" s="3"/>
      <c r="C1274" s="7"/>
      <c r="D1274" s="13"/>
      <c r="E1274" s="406"/>
      <c r="F1274" s="406"/>
      <c r="G1274" s="406"/>
      <c r="H1274" s="14"/>
      <c r="O1274" s="4"/>
    </row>
    <row r="1275" spans="1:15" s="15" customFormat="1" x14ac:dyDescent="0.35">
      <c r="A1275" s="699"/>
      <c r="B1275" s="3"/>
      <c r="C1275" s="7"/>
      <c r="D1275" s="13"/>
      <c r="E1275" s="406"/>
      <c r="F1275" s="406"/>
      <c r="G1275" s="406"/>
      <c r="H1275" s="14"/>
      <c r="O1275" s="4"/>
    </row>
    <row r="1276" spans="1:15" s="15" customFormat="1" x14ac:dyDescent="0.35">
      <c r="A1276" s="699"/>
      <c r="B1276" s="3"/>
      <c r="C1276" s="7"/>
      <c r="D1276" s="13"/>
      <c r="E1276" s="406"/>
      <c r="F1276" s="406"/>
      <c r="G1276" s="406"/>
      <c r="H1276" s="14"/>
      <c r="O1276" s="4"/>
    </row>
    <row r="1277" spans="1:15" s="15" customFormat="1" x14ac:dyDescent="0.35">
      <c r="A1277" s="699"/>
      <c r="B1277" s="3"/>
      <c r="C1277" s="7"/>
      <c r="D1277" s="13"/>
      <c r="E1277" s="406"/>
      <c r="F1277" s="406"/>
      <c r="G1277" s="406"/>
      <c r="H1277" s="14"/>
      <c r="O1277" s="4"/>
    </row>
    <row r="1278" spans="1:15" s="15" customFormat="1" x14ac:dyDescent="0.35">
      <c r="A1278" s="699"/>
      <c r="B1278" s="3"/>
      <c r="C1278" s="7"/>
      <c r="D1278" s="13"/>
      <c r="E1278" s="406"/>
      <c r="F1278" s="406"/>
      <c r="G1278" s="406"/>
      <c r="H1278" s="14"/>
      <c r="O1278" s="4"/>
    </row>
    <row r="1279" spans="1:15" s="15" customFormat="1" x14ac:dyDescent="0.35">
      <c r="A1279" s="699"/>
      <c r="B1279" s="3"/>
      <c r="C1279" s="7"/>
      <c r="D1279" s="13"/>
      <c r="E1279" s="406"/>
      <c r="F1279" s="406"/>
      <c r="G1279" s="406"/>
      <c r="H1279" s="14"/>
      <c r="O1279" s="4"/>
    </row>
    <row r="1280" spans="1:15" s="15" customFormat="1" x14ac:dyDescent="0.35">
      <c r="A1280" s="699"/>
      <c r="B1280" s="3"/>
      <c r="C1280" s="7"/>
      <c r="D1280" s="13"/>
      <c r="E1280" s="406"/>
      <c r="F1280" s="406"/>
      <c r="G1280" s="406"/>
      <c r="H1280" s="14"/>
      <c r="O1280" s="4"/>
    </row>
    <row r="1281" spans="1:15" s="15" customFormat="1" x14ac:dyDescent="0.35">
      <c r="A1281" s="699"/>
      <c r="B1281" s="3"/>
      <c r="C1281" s="7"/>
      <c r="D1281" s="13"/>
      <c r="E1281" s="406"/>
      <c r="F1281" s="406"/>
      <c r="G1281" s="406"/>
      <c r="H1281" s="14"/>
      <c r="O1281" s="4"/>
    </row>
    <row r="1282" spans="1:15" s="15" customFormat="1" x14ac:dyDescent="0.35">
      <c r="A1282" s="699"/>
      <c r="B1282" s="3"/>
      <c r="C1282" s="7"/>
      <c r="D1282" s="13"/>
      <c r="E1282" s="406"/>
      <c r="F1282" s="406"/>
      <c r="G1282" s="406"/>
      <c r="H1282" s="14"/>
      <c r="O1282" s="4"/>
    </row>
    <row r="1283" spans="1:15" s="15" customFormat="1" x14ac:dyDescent="0.35">
      <c r="A1283" s="699"/>
      <c r="B1283" s="3"/>
      <c r="C1283" s="7"/>
      <c r="D1283" s="13"/>
      <c r="E1283" s="406"/>
      <c r="F1283" s="406"/>
      <c r="G1283" s="406"/>
      <c r="H1283" s="14"/>
      <c r="O1283" s="4"/>
    </row>
    <row r="1284" spans="1:15" s="15" customFormat="1" x14ac:dyDescent="0.35">
      <c r="A1284" s="699"/>
      <c r="B1284" s="3"/>
      <c r="C1284" s="7"/>
      <c r="D1284" s="13"/>
      <c r="E1284" s="406"/>
      <c r="F1284" s="406"/>
      <c r="G1284" s="406"/>
      <c r="H1284" s="14"/>
      <c r="O1284" s="4"/>
    </row>
    <row r="1285" spans="1:15" s="15" customFormat="1" x14ac:dyDescent="0.35">
      <c r="A1285" s="699"/>
      <c r="B1285" s="3"/>
      <c r="C1285" s="7"/>
      <c r="D1285" s="13"/>
      <c r="E1285" s="406"/>
      <c r="F1285" s="406"/>
      <c r="G1285" s="406"/>
      <c r="H1285" s="14"/>
      <c r="O1285" s="4"/>
    </row>
    <row r="1286" spans="1:15" s="15" customFormat="1" x14ac:dyDescent="0.35">
      <c r="A1286" s="699"/>
      <c r="B1286" s="3"/>
      <c r="C1286" s="7"/>
      <c r="D1286" s="13"/>
      <c r="E1286" s="406"/>
      <c r="F1286" s="406"/>
      <c r="G1286" s="406"/>
      <c r="H1286" s="14"/>
      <c r="O1286" s="4"/>
    </row>
    <row r="1287" spans="1:15" s="15" customFormat="1" x14ac:dyDescent="0.35">
      <c r="A1287" s="699"/>
      <c r="B1287" s="3"/>
      <c r="C1287" s="7"/>
      <c r="D1287" s="13"/>
      <c r="E1287" s="406"/>
      <c r="F1287" s="406"/>
      <c r="G1287" s="406"/>
      <c r="H1287" s="14"/>
      <c r="O1287" s="4"/>
    </row>
    <row r="1288" spans="1:15" s="15" customFormat="1" x14ac:dyDescent="0.35">
      <c r="A1288" s="699"/>
      <c r="B1288" s="3"/>
      <c r="C1288" s="7"/>
      <c r="D1288" s="13"/>
      <c r="E1288" s="406"/>
      <c r="F1288" s="406"/>
      <c r="G1288" s="406"/>
      <c r="H1288" s="14"/>
      <c r="O1288" s="4"/>
    </row>
    <row r="1289" spans="1:15" s="15" customFormat="1" x14ac:dyDescent="0.35">
      <c r="A1289" s="699"/>
      <c r="B1289" s="3"/>
      <c r="C1289" s="7"/>
      <c r="D1289" s="13"/>
      <c r="E1289" s="406"/>
      <c r="F1289" s="406"/>
      <c r="G1289" s="406"/>
      <c r="H1289" s="14"/>
      <c r="O1289" s="4"/>
    </row>
    <row r="1290" spans="1:15" s="15" customFormat="1" x14ac:dyDescent="0.35">
      <c r="A1290" s="699"/>
      <c r="B1290" s="3"/>
      <c r="C1290" s="7"/>
      <c r="D1290" s="13"/>
      <c r="E1290" s="406"/>
      <c r="F1290" s="406"/>
      <c r="G1290" s="406"/>
      <c r="H1290" s="14"/>
      <c r="O1290" s="4"/>
    </row>
    <row r="1291" spans="1:15" s="15" customFormat="1" x14ac:dyDescent="0.35">
      <c r="A1291" s="699"/>
      <c r="B1291" s="3"/>
      <c r="C1291" s="7"/>
      <c r="D1291" s="13"/>
      <c r="E1291" s="406"/>
      <c r="F1291" s="406"/>
      <c r="G1291" s="406"/>
      <c r="H1291" s="14"/>
      <c r="O1291" s="4"/>
    </row>
    <row r="1292" spans="1:15" s="15" customFormat="1" x14ac:dyDescent="0.35">
      <c r="A1292" s="699"/>
      <c r="B1292" s="3"/>
      <c r="C1292" s="7"/>
      <c r="D1292" s="13"/>
      <c r="E1292" s="406"/>
      <c r="F1292" s="406"/>
      <c r="G1292" s="406"/>
      <c r="H1292" s="14"/>
      <c r="O1292" s="4"/>
    </row>
    <row r="1293" spans="1:15" s="15" customFormat="1" x14ac:dyDescent="0.35">
      <c r="A1293" s="699"/>
      <c r="B1293" s="3"/>
      <c r="C1293" s="7"/>
      <c r="D1293" s="13"/>
      <c r="E1293" s="406"/>
      <c r="F1293" s="406"/>
      <c r="G1293" s="406"/>
      <c r="H1293" s="14"/>
      <c r="O1293" s="4"/>
    </row>
    <row r="1294" spans="1:15" s="15" customFormat="1" x14ac:dyDescent="0.35">
      <c r="A1294" s="699"/>
      <c r="B1294" s="3"/>
      <c r="C1294" s="7"/>
      <c r="D1294" s="13"/>
      <c r="E1294" s="406"/>
      <c r="F1294" s="406"/>
      <c r="G1294" s="406"/>
      <c r="H1294" s="14"/>
      <c r="O1294" s="4"/>
    </row>
    <row r="1295" spans="1:15" s="15" customFormat="1" x14ac:dyDescent="0.35">
      <c r="A1295" s="699"/>
      <c r="B1295" s="3"/>
      <c r="C1295" s="7"/>
      <c r="D1295" s="13"/>
      <c r="E1295" s="406"/>
      <c r="F1295" s="406"/>
      <c r="G1295" s="406"/>
      <c r="H1295" s="14"/>
      <c r="O1295" s="4"/>
    </row>
    <row r="1296" spans="1:15" s="15" customFormat="1" x14ac:dyDescent="0.35">
      <c r="A1296" s="699"/>
      <c r="B1296" s="3"/>
      <c r="C1296" s="7"/>
      <c r="D1296" s="13"/>
      <c r="E1296" s="406"/>
      <c r="F1296" s="406"/>
      <c r="G1296" s="406"/>
      <c r="H1296" s="14"/>
      <c r="O1296" s="4"/>
    </row>
    <row r="1297" spans="1:15" s="15" customFormat="1" x14ac:dyDescent="0.35">
      <c r="A1297" s="699"/>
      <c r="B1297" s="3"/>
      <c r="C1297" s="7"/>
      <c r="D1297" s="13"/>
      <c r="E1297" s="406"/>
      <c r="F1297" s="406"/>
      <c r="G1297" s="406"/>
      <c r="H1297" s="14"/>
      <c r="O1297" s="4"/>
    </row>
    <row r="1298" spans="1:15" s="15" customFormat="1" x14ac:dyDescent="0.35">
      <c r="A1298" s="699"/>
      <c r="B1298" s="3"/>
      <c r="C1298" s="7"/>
      <c r="D1298" s="13"/>
      <c r="E1298" s="406"/>
      <c r="F1298" s="406"/>
      <c r="G1298" s="406"/>
      <c r="H1298" s="14"/>
      <c r="O1298" s="4"/>
    </row>
    <row r="1299" spans="1:15" s="15" customFormat="1" x14ac:dyDescent="0.35">
      <c r="A1299" s="699"/>
      <c r="B1299" s="3"/>
      <c r="C1299" s="7"/>
      <c r="D1299" s="13"/>
      <c r="E1299" s="406"/>
      <c r="F1299" s="406"/>
      <c r="G1299" s="406"/>
      <c r="H1299" s="14"/>
      <c r="O1299" s="4"/>
    </row>
    <row r="1300" spans="1:15" s="15" customFormat="1" x14ac:dyDescent="0.35">
      <c r="A1300" s="699"/>
      <c r="B1300" s="3"/>
      <c r="C1300" s="7"/>
      <c r="D1300" s="13"/>
      <c r="E1300" s="406"/>
      <c r="F1300" s="406"/>
      <c r="G1300" s="406"/>
      <c r="H1300" s="14"/>
      <c r="O1300" s="4"/>
    </row>
    <row r="1301" spans="1:15" s="15" customFormat="1" x14ac:dyDescent="0.35">
      <c r="A1301" s="699"/>
      <c r="B1301" s="3"/>
      <c r="C1301" s="7"/>
      <c r="D1301" s="13"/>
      <c r="E1301" s="406"/>
      <c r="F1301" s="406"/>
      <c r="G1301" s="406"/>
      <c r="H1301" s="14"/>
      <c r="O1301" s="4"/>
    </row>
    <row r="1302" spans="1:15" s="15" customFormat="1" x14ac:dyDescent="0.35">
      <c r="A1302" s="699"/>
      <c r="B1302" s="3"/>
      <c r="C1302" s="7"/>
      <c r="D1302" s="13"/>
      <c r="E1302" s="406"/>
      <c r="F1302" s="406"/>
      <c r="G1302" s="406"/>
      <c r="H1302" s="14"/>
      <c r="O1302" s="4"/>
    </row>
    <row r="1303" spans="1:15" s="15" customFormat="1" x14ac:dyDescent="0.35">
      <c r="A1303" s="699"/>
      <c r="B1303" s="3"/>
      <c r="C1303" s="7"/>
      <c r="D1303" s="13"/>
      <c r="E1303" s="406"/>
      <c r="F1303" s="406"/>
      <c r="G1303" s="406"/>
      <c r="H1303" s="14"/>
      <c r="O1303" s="4"/>
    </row>
    <row r="1304" spans="1:15" s="15" customFormat="1" x14ac:dyDescent="0.35">
      <c r="A1304" s="699"/>
      <c r="B1304" s="3"/>
      <c r="C1304" s="7"/>
      <c r="D1304" s="13"/>
      <c r="E1304" s="406"/>
      <c r="F1304" s="406"/>
      <c r="G1304" s="406"/>
      <c r="H1304" s="14"/>
      <c r="O1304" s="4"/>
    </row>
    <row r="1305" spans="1:15" s="15" customFormat="1" x14ac:dyDescent="0.35">
      <c r="A1305" s="699"/>
      <c r="B1305" s="3"/>
      <c r="C1305" s="7"/>
      <c r="D1305" s="13"/>
      <c r="E1305" s="406"/>
      <c r="F1305" s="406"/>
      <c r="G1305" s="406"/>
      <c r="H1305" s="14"/>
      <c r="O1305" s="4"/>
    </row>
    <row r="1306" spans="1:15" s="15" customFormat="1" x14ac:dyDescent="0.35">
      <c r="A1306" s="699"/>
      <c r="B1306" s="3"/>
      <c r="C1306" s="7"/>
      <c r="D1306" s="13"/>
      <c r="E1306" s="406"/>
      <c r="F1306" s="406"/>
      <c r="G1306" s="406"/>
      <c r="H1306" s="14"/>
      <c r="O1306" s="4"/>
    </row>
    <row r="1307" spans="1:15" s="15" customFormat="1" x14ac:dyDescent="0.35">
      <c r="A1307" s="699"/>
      <c r="B1307" s="3"/>
      <c r="C1307" s="7"/>
      <c r="D1307" s="13"/>
      <c r="E1307" s="406"/>
      <c r="F1307" s="406"/>
      <c r="G1307" s="406"/>
      <c r="H1307" s="14"/>
      <c r="O1307" s="4"/>
    </row>
    <row r="1308" spans="1:15" s="15" customFormat="1" x14ac:dyDescent="0.35">
      <c r="A1308" s="699"/>
      <c r="B1308" s="3"/>
      <c r="C1308" s="7"/>
      <c r="D1308" s="13"/>
      <c r="E1308" s="406"/>
      <c r="F1308" s="406"/>
      <c r="G1308" s="406"/>
      <c r="H1308" s="14"/>
      <c r="O1308" s="4"/>
    </row>
    <row r="1309" spans="1:15" s="15" customFormat="1" x14ac:dyDescent="0.35">
      <c r="A1309" s="699"/>
      <c r="B1309" s="3"/>
      <c r="C1309" s="7"/>
      <c r="D1309" s="13"/>
      <c r="E1309" s="406"/>
      <c r="F1309" s="406"/>
      <c r="G1309" s="406"/>
      <c r="H1309" s="14"/>
      <c r="O1309" s="4"/>
    </row>
    <row r="1310" spans="1:15" s="15" customFormat="1" x14ac:dyDescent="0.35">
      <c r="A1310" s="699"/>
      <c r="B1310" s="3"/>
      <c r="C1310" s="7"/>
      <c r="D1310" s="13"/>
      <c r="E1310" s="406"/>
      <c r="F1310" s="406"/>
      <c r="G1310" s="406"/>
      <c r="H1310" s="14"/>
      <c r="O1310" s="4"/>
    </row>
    <row r="1311" spans="1:15" s="15" customFormat="1" x14ac:dyDescent="0.35">
      <c r="A1311" s="699"/>
      <c r="B1311" s="3"/>
      <c r="C1311" s="7"/>
      <c r="D1311" s="13"/>
      <c r="E1311" s="406"/>
      <c r="F1311" s="406"/>
      <c r="G1311" s="406"/>
      <c r="H1311" s="14"/>
      <c r="O1311" s="4"/>
    </row>
    <row r="1312" spans="1:15" s="15" customFormat="1" x14ac:dyDescent="0.35">
      <c r="A1312" s="699"/>
      <c r="B1312" s="3"/>
      <c r="C1312" s="7"/>
      <c r="D1312" s="13"/>
      <c r="E1312" s="406"/>
      <c r="F1312" s="406"/>
      <c r="G1312" s="406"/>
      <c r="H1312" s="14"/>
      <c r="O1312" s="4"/>
    </row>
    <row r="1313" spans="1:15" s="15" customFormat="1" x14ac:dyDescent="0.35">
      <c r="A1313" s="699"/>
      <c r="B1313" s="3"/>
      <c r="C1313" s="7"/>
      <c r="D1313" s="13"/>
      <c r="E1313" s="406"/>
      <c r="F1313" s="406"/>
      <c r="G1313" s="406"/>
      <c r="H1313" s="14"/>
      <c r="O1313" s="4"/>
    </row>
    <row r="1314" spans="1:15" s="15" customFormat="1" x14ac:dyDescent="0.35">
      <c r="A1314" s="699"/>
      <c r="B1314" s="3"/>
      <c r="C1314" s="7"/>
      <c r="D1314" s="13"/>
      <c r="E1314" s="406"/>
      <c r="F1314" s="406"/>
      <c r="G1314" s="406"/>
      <c r="H1314" s="14"/>
      <c r="O1314" s="4"/>
    </row>
    <row r="1315" spans="1:15" s="15" customFormat="1" x14ac:dyDescent="0.35">
      <c r="A1315" s="699"/>
      <c r="B1315" s="3"/>
      <c r="C1315" s="7"/>
      <c r="D1315" s="18"/>
      <c r="E1315" s="4"/>
      <c r="F1315" s="4"/>
      <c r="G1315" s="4"/>
      <c r="H1315" s="3"/>
      <c r="O1315" s="4"/>
    </row>
    <row r="1316" spans="1:15" s="15" customFormat="1" x14ac:dyDescent="0.35">
      <c r="A1316" s="699"/>
      <c r="B1316" s="3"/>
      <c r="C1316" s="7"/>
      <c r="D1316" s="18"/>
      <c r="E1316" s="4"/>
      <c r="F1316" s="4"/>
      <c r="G1316" s="4"/>
      <c r="H1316" s="3"/>
      <c r="O1316" s="4"/>
    </row>
    <row r="1317" spans="1:15" s="15" customFormat="1" x14ac:dyDescent="0.35">
      <c r="A1317" s="699"/>
      <c r="B1317" s="3"/>
      <c r="C1317" s="7"/>
      <c r="D1317" s="18"/>
      <c r="E1317" s="4"/>
      <c r="F1317" s="4"/>
      <c r="G1317" s="4"/>
      <c r="H1317" s="3"/>
      <c r="O1317" s="4"/>
    </row>
    <row r="1318" spans="1:15" s="15" customFormat="1" x14ac:dyDescent="0.35">
      <c r="A1318" s="699"/>
      <c r="B1318" s="3"/>
      <c r="C1318" s="7"/>
      <c r="D1318" s="18"/>
      <c r="E1318" s="4"/>
      <c r="F1318" s="4"/>
      <c r="G1318" s="4"/>
      <c r="H1318" s="3"/>
      <c r="O1318" s="4"/>
    </row>
    <row r="1319" spans="1:15" s="15" customFormat="1" x14ac:dyDescent="0.35">
      <c r="A1319" s="699"/>
      <c r="B1319" s="3"/>
      <c r="C1319" s="7"/>
      <c r="D1319" s="18"/>
      <c r="E1319" s="4"/>
      <c r="F1319" s="4"/>
      <c r="G1319" s="4"/>
      <c r="H1319" s="3"/>
      <c r="O1319" s="4"/>
    </row>
    <row r="1320" spans="1:15" s="15" customFormat="1" x14ac:dyDescent="0.35">
      <c r="A1320" s="699"/>
      <c r="B1320" s="3"/>
      <c r="C1320" s="7"/>
      <c r="D1320" s="18"/>
      <c r="E1320" s="4"/>
      <c r="F1320" s="4"/>
      <c r="G1320" s="4"/>
      <c r="H1320" s="3"/>
      <c r="O1320" s="4"/>
    </row>
    <row r="1321" spans="1:15" s="15" customFormat="1" x14ac:dyDescent="0.35">
      <c r="A1321" s="699"/>
      <c r="B1321" s="3"/>
      <c r="C1321" s="7"/>
      <c r="D1321" s="18"/>
      <c r="E1321" s="4"/>
      <c r="F1321" s="4"/>
      <c r="G1321" s="4"/>
      <c r="H1321" s="3"/>
      <c r="O1321" s="4"/>
    </row>
    <row r="1322" spans="1:15" s="15" customFormat="1" x14ac:dyDescent="0.35">
      <c r="A1322" s="699"/>
      <c r="B1322" s="3"/>
      <c r="C1322" s="7"/>
      <c r="D1322" s="18"/>
      <c r="E1322" s="4"/>
      <c r="F1322" s="4"/>
      <c r="G1322" s="4"/>
      <c r="H1322" s="3"/>
      <c r="O1322" s="4"/>
    </row>
    <row r="1323" spans="1:15" s="15" customFormat="1" x14ac:dyDescent="0.35">
      <c r="A1323" s="699"/>
      <c r="B1323" s="3"/>
      <c r="C1323" s="7"/>
      <c r="D1323" s="18"/>
      <c r="E1323" s="4"/>
      <c r="F1323" s="4"/>
      <c r="G1323" s="4"/>
      <c r="H1323" s="3"/>
      <c r="O1323" s="4"/>
    </row>
    <row r="1324" spans="1:15" s="15" customFormat="1" x14ac:dyDescent="0.35">
      <c r="A1324" s="699"/>
      <c r="B1324" s="3"/>
      <c r="C1324" s="7"/>
      <c r="D1324" s="18"/>
      <c r="E1324" s="4"/>
      <c r="F1324" s="4"/>
      <c r="G1324" s="4"/>
      <c r="H1324" s="3"/>
      <c r="O1324" s="4"/>
    </row>
  </sheetData>
  <mergeCells count="17">
    <mergeCell ref="B1:D1"/>
    <mergeCell ref="G1:I1"/>
    <mergeCell ref="B2:N2"/>
    <mergeCell ref="B3:N3"/>
    <mergeCell ref="M4:N4"/>
    <mergeCell ref="B1202:D1202"/>
    <mergeCell ref="D93:F93"/>
    <mergeCell ref="B1204:D1204"/>
    <mergeCell ref="I6:I7"/>
    <mergeCell ref="J6:N6"/>
    <mergeCell ref="E6:E7"/>
    <mergeCell ref="B6:B7"/>
    <mergeCell ref="C6:C7"/>
    <mergeCell ref="G6:G7"/>
    <mergeCell ref="D6:D7"/>
    <mergeCell ref="F6:F7"/>
    <mergeCell ref="H6:H7"/>
  </mergeCells>
  <printOptions horizontalCentered="1"/>
  <pageMargins left="0.19685039370078741" right="0.19685039370078741" top="0.39370078740157483" bottom="0.39370078740157483" header="0.23622047244094491" footer="0.23622047244094491"/>
  <pageSetup paperSize="9" scale="65" orientation="landscape" r:id="rId1"/>
  <headerFooter alignWithMargins="0">
    <oddFooter>&amp;C-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3"/>
  <sheetViews>
    <sheetView view="pageBreakPreview" zoomScaleNormal="100" zoomScaleSheetLayoutView="100" workbookViewId="0">
      <selection activeCell="B1" sqref="B1"/>
    </sheetView>
  </sheetViews>
  <sheetFormatPr defaultColWidth="9.140625" defaultRowHeight="14.25" x14ac:dyDescent="0.2"/>
  <cols>
    <col min="1" max="1" width="3.7109375" style="754" customWidth="1"/>
    <col min="2" max="2" width="79.85546875" style="265" bestFit="1" customWidth="1"/>
    <col min="3" max="3" width="12.7109375" style="265" customWidth="1"/>
    <col min="4" max="4" width="9.140625" style="265"/>
    <col min="5" max="5" width="90.42578125" style="265" customWidth="1"/>
    <col min="6" max="16384" width="9.140625" style="265"/>
  </cols>
  <sheetData>
    <row r="1" spans="1:5" s="264" customFormat="1" x14ac:dyDescent="0.2">
      <c r="A1" s="753"/>
      <c r="B1" s="195" t="s">
        <v>1499</v>
      </c>
      <c r="C1" s="201"/>
    </row>
    <row r="2" spans="1:5" ht="19.899999999999999" customHeight="1" x14ac:dyDescent="0.2">
      <c r="A2" s="199"/>
      <c r="B2" s="1834" t="s">
        <v>127</v>
      </c>
      <c r="C2" s="1834"/>
    </row>
    <row r="3" spans="1:5" ht="19.899999999999999" customHeight="1" x14ac:dyDescent="0.2">
      <c r="A3" s="199"/>
      <c r="B3" s="1834" t="s">
        <v>344</v>
      </c>
      <c r="C3" s="1834"/>
    </row>
    <row r="4" spans="1:5" ht="33.75" customHeight="1" x14ac:dyDescent="0.2">
      <c r="A4" s="199"/>
      <c r="B4" s="1835" t="s">
        <v>1388</v>
      </c>
      <c r="C4" s="1835"/>
    </row>
    <row r="5" spans="1:5" s="202" customFormat="1" ht="19.899999999999999" customHeight="1" x14ac:dyDescent="0.3">
      <c r="A5" s="753"/>
      <c r="B5" s="1836" t="s">
        <v>0</v>
      </c>
      <c r="C5" s="1836"/>
    </row>
    <row r="6" spans="1:5" s="141" customFormat="1" thickBot="1" x14ac:dyDescent="0.25">
      <c r="A6" s="199"/>
      <c r="B6" s="185" t="s">
        <v>1</v>
      </c>
      <c r="C6" s="155" t="s">
        <v>3</v>
      </c>
    </row>
    <row r="7" spans="1:5" ht="19.899999999999999" customHeight="1" x14ac:dyDescent="0.2">
      <c r="A7" s="200"/>
      <c r="B7" s="1837" t="s">
        <v>350</v>
      </c>
      <c r="C7" s="1839" t="s">
        <v>345</v>
      </c>
    </row>
    <row r="8" spans="1:5" ht="19.899999999999999" customHeight="1" thickBot="1" x14ac:dyDescent="0.25">
      <c r="A8" s="200"/>
      <c r="B8" s="1838"/>
      <c r="C8" s="1840"/>
    </row>
    <row r="9" spans="1:5" s="266" customFormat="1" ht="18" customHeight="1" thickTop="1" x14ac:dyDescent="0.2">
      <c r="A9" s="199">
        <v>1</v>
      </c>
      <c r="B9" s="191" t="s">
        <v>445</v>
      </c>
      <c r="C9" s="192">
        <f>2000+846</f>
        <v>2846</v>
      </c>
      <c r="D9" s="267"/>
      <c r="E9" s="268"/>
    </row>
    <row r="10" spans="1:5" s="266" customFormat="1" ht="18" customHeight="1" x14ac:dyDescent="0.2">
      <c r="A10" s="199">
        <v>2</v>
      </c>
      <c r="B10" s="191" t="s">
        <v>446</v>
      </c>
      <c r="C10" s="192">
        <v>2000</v>
      </c>
      <c r="D10" s="267"/>
      <c r="E10" s="268"/>
    </row>
    <row r="11" spans="1:5" s="266" customFormat="1" ht="18" customHeight="1" x14ac:dyDescent="0.2">
      <c r="A11" s="199">
        <v>3</v>
      </c>
      <c r="B11" s="191" t="s">
        <v>447</v>
      </c>
      <c r="C11" s="192">
        <v>500</v>
      </c>
      <c r="D11" s="267"/>
      <c r="E11" s="268"/>
    </row>
    <row r="12" spans="1:5" s="266" customFormat="1" ht="18" customHeight="1" x14ac:dyDescent="0.2">
      <c r="A12" s="199">
        <v>4</v>
      </c>
      <c r="B12" s="191" t="s">
        <v>634</v>
      </c>
      <c r="C12" s="192">
        <v>650</v>
      </c>
      <c r="D12" s="267"/>
      <c r="E12" s="268"/>
    </row>
    <row r="13" spans="1:5" s="266" customFormat="1" ht="18" customHeight="1" x14ac:dyDescent="0.2">
      <c r="A13" s="199">
        <v>5</v>
      </c>
      <c r="B13" s="191" t="s">
        <v>61</v>
      </c>
      <c r="C13" s="192">
        <v>1000</v>
      </c>
      <c r="D13" s="267"/>
      <c r="E13" s="268"/>
    </row>
    <row r="14" spans="1:5" s="266" customFormat="1" ht="18" customHeight="1" x14ac:dyDescent="0.2">
      <c r="A14" s="199">
        <v>6</v>
      </c>
      <c r="B14" s="191" t="s">
        <v>369</v>
      </c>
      <c r="C14" s="192">
        <v>83500</v>
      </c>
      <c r="D14" s="267"/>
      <c r="E14" s="268"/>
    </row>
    <row r="15" spans="1:5" s="266" customFormat="1" ht="18" customHeight="1" x14ac:dyDescent="0.2">
      <c r="A15" s="199">
        <v>7</v>
      </c>
      <c r="B15" s="191" t="s">
        <v>1253</v>
      </c>
      <c r="C15" s="192">
        <v>5600</v>
      </c>
      <c r="D15" s="267"/>
      <c r="E15" s="268"/>
    </row>
    <row r="16" spans="1:5" s="266" customFormat="1" ht="18" customHeight="1" x14ac:dyDescent="0.2">
      <c r="A16" s="199">
        <v>8</v>
      </c>
      <c r="B16" s="191" t="s">
        <v>1367</v>
      </c>
      <c r="C16" s="192">
        <v>2000</v>
      </c>
      <c r="D16" s="267"/>
      <c r="E16" s="268"/>
    </row>
    <row r="17" spans="1:5" s="266" customFormat="1" ht="18" customHeight="1" x14ac:dyDescent="0.2">
      <c r="A17" s="199">
        <v>9</v>
      </c>
      <c r="B17" s="191" t="s">
        <v>346</v>
      </c>
      <c r="C17" s="192">
        <v>4500</v>
      </c>
      <c r="D17" s="646"/>
      <c r="E17" s="268"/>
    </row>
    <row r="18" spans="1:5" s="266" customFormat="1" ht="18" customHeight="1" x14ac:dyDescent="0.2">
      <c r="A18" s="199">
        <v>10</v>
      </c>
      <c r="B18" s="191" t="s">
        <v>440</v>
      </c>
      <c r="C18" s="192">
        <v>3000</v>
      </c>
      <c r="D18" s="646"/>
      <c r="E18" s="268"/>
    </row>
    <row r="19" spans="1:5" s="266" customFormat="1" ht="18" customHeight="1" x14ac:dyDescent="0.2">
      <c r="A19" s="199">
        <v>11</v>
      </c>
      <c r="B19" s="191" t="s">
        <v>451</v>
      </c>
      <c r="C19" s="192">
        <v>1000</v>
      </c>
      <c r="D19" s="646"/>
      <c r="E19" s="268"/>
    </row>
    <row r="20" spans="1:5" s="266" customFormat="1" ht="18" customHeight="1" x14ac:dyDescent="0.2">
      <c r="A20" s="199">
        <v>12</v>
      </c>
      <c r="B20" s="191" t="s">
        <v>707</v>
      </c>
      <c r="C20" s="192">
        <v>600</v>
      </c>
      <c r="D20" s="646"/>
      <c r="E20" s="268"/>
    </row>
    <row r="21" spans="1:5" s="266" customFormat="1" ht="18" customHeight="1" x14ac:dyDescent="0.2">
      <c r="A21" s="199">
        <v>13</v>
      </c>
      <c r="B21" s="191" t="s">
        <v>347</v>
      </c>
      <c r="C21" s="192">
        <f>14000-5000-3900</f>
        <v>5100</v>
      </c>
      <c r="D21" s="646"/>
      <c r="E21" s="268"/>
    </row>
    <row r="22" spans="1:5" s="266" customFormat="1" ht="18" customHeight="1" x14ac:dyDescent="0.2">
      <c r="A22" s="199">
        <v>14</v>
      </c>
      <c r="B22" s="191" t="s">
        <v>521</v>
      </c>
      <c r="C22" s="192">
        <v>60000</v>
      </c>
      <c r="D22" s="646"/>
      <c r="E22" s="268"/>
    </row>
    <row r="23" spans="1:5" s="266" customFormat="1" ht="18" customHeight="1" x14ac:dyDescent="0.2">
      <c r="A23" s="199">
        <v>15</v>
      </c>
      <c r="B23" s="191" t="s">
        <v>1254</v>
      </c>
      <c r="C23" s="192">
        <v>12000</v>
      </c>
      <c r="D23" s="646"/>
      <c r="E23" s="268"/>
    </row>
    <row r="24" spans="1:5" s="266" customFormat="1" ht="18" customHeight="1" x14ac:dyDescent="0.2">
      <c r="A24" s="199">
        <v>16</v>
      </c>
      <c r="B24" s="191" t="s">
        <v>717</v>
      </c>
      <c r="C24" s="192">
        <v>300</v>
      </c>
      <c r="D24" s="646"/>
      <c r="E24" s="268"/>
    </row>
    <row r="25" spans="1:5" s="266" customFormat="1" ht="18" customHeight="1" x14ac:dyDescent="0.2">
      <c r="A25" s="199">
        <v>17</v>
      </c>
      <c r="B25" s="191" t="s">
        <v>932</v>
      </c>
      <c r="C25" s="192">
        <v>300</v>
      </c>
      <c r="D25" s="646"/>
      <c r="E25" s="268"/>
    </row>
    <row r="26" spans="1:5" s="266" customFormat="1" ht="18" customHeight="1" x14ac:dyDescent="0.2">
      <c r="A26" s="199">
        <v>18</v>
      </c>
      <c r="B26" s="191" t="s">
        <v>1047</v>
      </c>
      <c r="C26" s="192">
        <v>100</v>
      </c>
      <c r="D26" s="646"/>
      <c r="E26" s="268"/>
    </row>
    <row r="27" spans="1:5" s="266" customFormat="1" ht="20.100000000000001" customHeight="1" x14ac:dyDescent="0.2">
      <c r="A27" s="199">
        <v>19</v>
      </c>
      <c r="B27" s="191" t="s">
        <v>1048</v>
      </c>
      <c r="C27" s="1420">
        <v>80</v>
      </c>
      <c r="D27" s="646"/>
      <c r="E27" s="268"/>
    </row>
    <row r="28" spans="1:5" s="266" customFormat="1" ht="20.100000000000001" customHeight="1" x14ac:dyDescent="0.2">
      <c r="A28" s="199">
        <v>20</v>
      </c>
      <c r="B28" s="191" t="s">
        <v>1256</v>
      </c>
      <c r="C28" s="1420">
        <v>100</v>
      </c>
      <c r="D28" s="646"/>
      <c r="E28" s="268"/>
    </row>
    <row r="29" spans="1:5" s="266" customFormat="1" ht="32.25" customHeight="1" x14ac:dyDescent="0.2">
      <c r="A29" s="199">
        <v>21</v>
      </c>
      <c r="B29" s="191" t="s">
        <v>1040</v>
      </c>
      <c r="C29" s="1420">
        <v>100</v>
      </c>
      <c r="D29" s="646"/>
      <c r="E29" s="268"/>
    </row>
    <row r="30" spans="1:5" s="266" customFormat="1" ht="20.100000000000001" customHeight="1" x14ac:dyDescent="0.2">
      <c r="A30" s="199">
        <v>22</v>
      </c>
      <c r="B30" s="191" t="s">
        <v>1037</v>
      </c>
      <c r="C30" s="1420">
        <v>100</v>
      </c>
      <c r="D30" s="646"/>
      <c r="E30" s="268"/>
    </row>
    <row r="31" spans="1:5" s="266" customFormat="1" ht="20.100000000000001" customHeight="1" x14ac:dyDescent="0.2">
      <c r="A31" s="199">
        <v>23</v>
      </c>
      <c r="B31" s="191" t="s">
        <v>1038</v>
      </c>
      <c r="C31" s="1420">
        <v>50</v>
      </c>
      <c r="D31" s="646"/>
      <c r="E31" s="268"/>
    </row>
    <row r="32" spans="1:5" s="266" customFormat="1" ht="20.100000000000001" customHeight="1" x14ac:dyDescent="0.2">
      <c r="A32" s="199">
        <v>24</v>
      </c>
      <c r="B32" s="191" t="s">
        <v>1039</v>
      </c>
      <c r="C32" s="1420">
        <v>130</v>
      </c>
      <c r="D32" s="646"/>
      <c r="E32" s="268"/>
    </row>
    <row r="33" spans="1:5" s="266" customFormat="1" ht="20.100000000000001" customHeight="1" x14ac:dyDescent="0.2">
      <c r="A33" s="199">
        <v>25</v>
      </c>
      <c r="B33" s="191" t="s">
        <v>1041</v>
      </c>
      <c r="C33" s="1420">
        <v>100</v>
      </c>
      <c r="D33" s="646"/>
      <c r="E33" s="268"/>
    </row>
    <row r="34" spans="1:5" s="266" customFormat="1" ht="20.100000000000001" customHeight="1" x14ac:dyDescent="0.2">
      <c r="A34" s="199">
        <v>26</v>
      </c>
      <c r="B34" s="191" t="s">
        <v>1042</v>
      </c>
      <c r="C34" s="1420">
        <v>170</v>
      </c>
      <c r="D34" s="646"/>
      <c r="E34" s="268"/>
    </row>
    <row r="35" spans="1:5" s="266" customFormat="1" ht="20.100000000000001" customHeight="1" x14ac:dyDescent="0.2">
      <c r="A35" s="199">
        <v>27</v>
      </c>
      <c r="B35" s="191" t="s">
        <v>1043</v>
      </c>
      <c r="C35" s="1420">
        <v>100</v>
      </c>
      <c r="D35" s="646"/>
      <c r="E35" s="268"/>
    </row>
    <row r="36" spans="1:5" s="266" customFormat="1" ht="20.100000000000001" customHeight="1" x14ac:dyDescent="0.2">
      <c r="A36" s="199">
        <v>28</v>
      </c>
      <c r="B36" s="191" t="s">
        <v>1044</v>
      </c>
      <c r="C36" s="1420">
        <v>800</v>
      </c>
      <c r="D36" s="646"/>
      <c r="E36" s="268"/>
    </row>
    <row r="37" spans="1:5" s="266" customFormat="1" ht="20.100000000000001" customHeight="1" x14ac:dyDescent="0.2">
      <c r="A37" s="199">
        <v>29</v>
      </c>
      <c r="B37" s="191" t="s">
        <v>1045</v>
      </c>
      <c r="C37" s="1420">
        <v>100</v>
      </c>
      <c r="D37" s="646"/>
      <c r="E37" s="268"/>
    </row>
    <row r="38" spans="1:5" s="266" customFormat="1" ht="20.100000000000001" customHeight="1" x14ac:dyDescent="0.2">
      <c r="A38" s="199">
        <v>30</v>
      </c>
      <c r="B38" s="191" t="s">
        <v>1046</v>
      </c>
      <c r="C38" s="1420">
        <v>100</v>
      </c>
      <c r="D38" s="646"/>
      <c r="E38" s="268"/>
    </row>
    <row r="39" spans="1:5" s="266" customFormat="1" ht="33" customHeight="1" x14ac:dyDescent="0.2">
      <c r="A39" s="199">
        <v>31</v>
      </c>
      <c r="B39" s="191" t="s">
        <v>953</v>
      </c>
      <c r="C39" s="1555">
        <v>400</v>
      </c>
      <c r="D39" s="646"/>
      <c r="E39" s="268"/>
    </row>
    <row r="40" spans="1:5" s="266" customFormat="1" ht="20.100000000000001" customHeight="1" x14ac:dyDescent="0.2">
      <c r="A40" s="199">
        <v>32</v>
      </c>
      <c r="B40" s="191" t="s">
        <v>1255</v>
      </c>
      <c r="C40" s="1555">
        <v>1000</v>
      </c>
      <c r="D40" s="646"/>
      <c r="E40" s="268"/>
    </row>
    <row r="41" spans="1:5" s="266" customFormat="1" ht="20.100000000000001" customHeight="1" x14ac:dyDescent="0.2">
      <c r="A41" s="199">
        <v>33</v>
      </c>
      <c r="B41" s="191" t="s">
        <v>1260</v>
      </c>
      <c r="C41" s="1555">
        <v>200</v>
      </c>
      <c r="D41" s="646"/>
      <c r="E41" s="268"/>
    </row>
    <row r="42" spans="1:5" s="266" customFormat="1" ht="19.5" customHeight="1" x14ac:dyDescent="0.35">
      <c r="A42" s="199">
        <v>34</v>
      </c>
      <c r="B42" s="1521" t="s">
        <v>957</v>
      </c>
      <c r="C42" s="1556"/>
      <c r="D42" s="646"/>
      <c r="E42" s="268"/>
    </row>
    <row r="43" spans="1:5" s="266" customFormat="1" ht="18" customHeight="1" x14ac:dyDescent="0.2">
      <c r="A43" s="199">
        <v>35</v>
      </c>
      <c r="B43" s="191" t="s">
        <v>511</v>
      </c>
      <c r="C43" s="192">
        <v>17000</v>
      </c>
      <c r="D43" s="646"/>
      <c r="E43" s="268"/>
    </row>
    <row r="44" spans="1:5" s="266" customFormat="1" ht="18" customHeight="1" x14ac:dyDescent="0.2">
      <c r="A44" s="199">
        <v>36</v>
      </c>
      <c r="B44" s="191" t="s">
        <v>512</v>
      </c>
      <c r="C44" s="192">
        <v>25000</v>
      </c>
      <c r="D44" s="646"/>
      <c r="E44" s="268"/>
    </row>
    <row r="45" spans="1:5" s="266" customFormat="1" ht="18" customHeight="1" x14ac:dyDescent="0.2">
      <c r="A45" s="199">
        <v>37</v>
      </c>
      <c r="B45" s="191" t="s">
        <v>356</v>
      </c>
      <c r="C45" s="192">
        <v>30000</v>
      </c>
      <c r="D45" s="646"/>
      <c r="E45" s="268"/>
    </row>
    <row r="46" spans="1:5" s="266" customFormat="1" ht="18" customHeight="1" x14ac:dyDescent="0.2">
      <c r="A46" s="199">
        <v>38</v>
      </c>
      <c r="B46" s="191" t="s">
        <v>958</v>
      </c>
      <c r="C46" s="1557">
        <v>6000</v>
      </c>
      <c r="D46" s="646"/>
      <c r="E46" s="268"/>
    </row>
    <row r="47" spans="1:5" s="266" customFormat="1" ht="18" customHeight="1" x14ac:dyDescent="0.2">
      <c r="A47" s="199">
        <v>39</v>
      </c>
      <c r="B47" s="191" t="s">
        <v>959</v>
      </c>
      <c r="C47" s="1557">
        <v>3000</v>
      </c>
      <c r="D47" s="646"/>
      <c r="E47" s="268"/>
    </row>
    <row r="48" spans="1:5" s="266" customFormat="1" ht="18" customHeight="1" x14ac:dyDescent="0.2">
      <c r="A48" s="199">
        <v>40</v>
      </c>
      <c r="B48" s="191" t="s">
        <v>960</v>
      </c>
      <c r="C48" s="1557">
        <v>3500</v>
      </c>
      <c r="D48" s="646"/>
      <c r="E48" s="268"/>
    </row>
    <row r="49" spans="1:5" s="266" customFormat="1" ht="18" customHeight="1" x14ac:dyDescent="0.2">
      <c r="A49" s="199">
        <v>41</v>
      </c>
      <c r="B49" s="191" t="s">
        <v>961</v>
      </c>
      <c r="C49" s="1557">
        <v>6000</v>
      </c>
      <c r="D49" s="646"/>
      <c r="E49" s="268"/>
    </row>
    <row r="50" spans="1:5" s="266" customFormat="1" ht="18" customHeight="1" x14ac:dyDescent="0.2">
      <c r="A50" s="199">
        <v>42</v>
      </c>
      <c r="B50" s="191" t="s">
        <v>962</v>
      </c>
      <c r="C50" s="1557">
        <v>5000</v>
      </c>
      <c r="D50" s="646"/>
      <c r="E50" s="268"/>
    </row>
    <row r="51" spans="1:5" s="266" customFormat="1" ht="18" customHeight="1" x14ac:dyDescent="0.2">
      <c r="A51" s="199">
        <v>43</v>
      </c>
      <c r="B51" s="191" t="s">
        <v>963</v>
      </c>
      <c r="C51" s="1557">
        <v>3200</v>
      </c>
      <c r="D51" s="646"/>
      <c r="E51" s="268"/>
    </row>
    <row r="52" spans="1:5" s="266" customFormat="1" ht="18" customHeight="1" x14ac:dyDescent="0.2">
      <c r="A52" s="199">
        <v>44</v>
      </c>
      <c r="B52" s="191" t="s">
        <v>964</v>
      </c>
      <c r="C52" s="1557">
        <v>1000</v>
      </c>
      <c r="D52" s="646"/>
      <c r="E52" s="268"/>
    </row>
    <row r="53" spans="1:5" s="266" customFormat="1" ht="18" customHeight="1" x14ac:dyDescent="0.2">
      <c r="A53" s="199">
        <v>45</v>
      </c>
      <c r="B53" s="191" t="s">
        <v>965</v>
      </c>
      <c r="C53" s="1557">
        <v>1600</v>
      </c>
      <c r="D53" s="646"/>
      <c r="E53" s="268"/>
    </row>
    <row r="54" spans="1:5" s="266" customFormat="1" ht="18" customHeight="1" x14ac:dyDescent="0.2">
      <c r="A54" s="199">
        <v>46</v>
      </c>
      <c r="B54" s="191" t="s">
        <v>966</v>
      </c>
      <c r="C54" s="1557">
        <v>250</v>
      </c>
      <c r="D54" s="646"/>
      <c r="E54" s="268"/>
    </row>
    <row r="55" spans="1:5" s="266" customFormat="1" ht="18" customHeight="1" x14ac:dyDescent="0.2">
      <c r="A55" s="199">
        <v>47</v>
      </c>
      <c r="B55" s="191" t="s">
        <v>967</v>
      </c>
      <c r="C55" s="1557">
        <v>400</v>
      </c>
      <c r="D55" s="646"/>
      <c r="E55" s="268"/>
    </row>
    <row r="56" spans="1:5" s="266" customFormat="1" ht="18" customHeight="1" x14ac:dyDescent="0.2">
      <c r="A56" s="199">
        <v>48</v>
      </c>
      <c r="B56" s="191" t="s">
        <v>968</v>
      </c>
      <c r="C56" s="1557">
        <v>550</v>
      </c>
      <c r="D56" s="646"/>
      <c r="E56" s="268"/>
    </row>
    <row r="57" spans="1:5" s="266" customFormat="1" ht="18" customHeight="1" x14ac:dyDescent="0.2">
      <c r="A57" s="199">
        <v>49</v>
      </c>
      <c r="B57" s="191" t="s">
        <v>969</v>
      </c>
      <c r="C57" s="1557">
        <v>550</v>
      </c>
      <c r="D57" s="646"/>
      <c r="E57" s="268"/>
    </row>
    <row r="58" spans="1:5" s="266" customFormat="1" ht="18" customHeight="1" x14ac:dyDescent="0.2">
      <c r="A58" s="199">
        <v>50</v>
      </c>
      <c r="B58" s="191" t="s">
        <v>970</v>
      </c>
      <c r="C58" s="1557">
        <v>200</v>
      </c>
      <c r="D58" s="646"/>
      <c r="E58" s="268"/>
    </row>
    <row r="59" spans="1:5" s="266" customFormat="1" ht="18" customHeight="1" x14ac:dyDescent="0.2">
      <c r="A59" s="199">
        <v>51</v>
      </c>
      <c r="B59" s="191" t="s">
        <v>971</v>
      </c>
      <c r="C59" s="1557">
        <v>350</v>
      </c>
      <c r="D59" s="646"/>
      <c r="E59" s="268"/>
    </row>
    <row r="60" spans="1:5" s="266" customFormat="1" ht="18" customHeight="1" x14ac:dyDescent="0.2">
      <c r="A60" s="199">
        <v>52</v>
      </c>
      <c r="B60" s="191" t="s">
        <v>972</v>
      </c>
      <c r="C60" s="1557">
        <v>350</v>
      </c>
      <c r="D60" s="646"/>
      <c r="E60" s="268"/>
    </row>
    <row r="61" spans="1:5" s="266" customFormat="1" ht="18" customHeight="1" x14ac:dyDescent="0.2">
      <c r="A61" s="199">
        <v>53</v>
      </c>
      <c r="B61" s="191" t="s">
        <v>973</v>
      </c>
      <c r="C61" s="1557">
        <v>800</v>
      </c>
      <c r="D61" s="646"/>
      <c r="E61" s="268"/>
    </row>
    <row r="62" spans="1:5" s="266" customFormat="1" ht="18" customHeight="1" x14ac:dyDescent="0.2">
      <c r="A62" s="199">
        <v>54</v>
      </c>
      <c r="B62" s="191" t="s">
        <v>974</v>
      </c>
      <c r="C62" s="1557">
        <v>400</v>
      </c>
      <c r="D62" s="646"/>
      <c r="E62" s="268"/>
    </row>
    <row r="63" spans="1:5" s="266" customFormat="1" ht="18" customHeight="1" x14ac:dyDescent="0.2">
      <c r="A63" s="199">
        <v>55</v>
      </c>
      <c r="B63" s="191" t="s">
        <v>975</v>
      </c>
      <c r="C63" s="1557">
        <v>350</v>
      </c>
      <c r="D63" s="646"/>
      <c r="E63" s="268"/>
    </row>
    <row r="64" spans="1:5" s="266" customFormat="1" ht="18" customHeight="1" x14ac:dyDescent="0.2">
      <c r="A64" s="199">
        <v>56</v>
      </c>
      <c r="B64" s="191" t="s">
        <v>976</v>
      </c>
      <c r="C64" s="1557">
        <v>300</v>
      </c>
      <c r="D64" s="646"/>
      <c r="E64" s="268"/>
    </row>
    <row r="65" spans="1:5" s="266" customFormat="1" ht="18" customHeight="1" x14ac:dyDescent="0.2">
      <c r="A65" s="199">
        <v>57</v>
      </c>
      <c r="B65" s="191" t="s">
        <v>977</v>
      </c>
      <c r="C65" s="1557">
        <v>300</v>
      </c>
      <c r="D65" s="646"/>
      <c r="E65" s="268"/>
    </row>
    <row r="66" spans="1:5" s="266" customFormat="1" ht="18" customHeight="1" x14ac:dyDescent="0.2">
      <c r="A66" s="199">
        <v>58</v>
      </c>
      <c r="B66" s="191" t="s">
        <v>978</v>
      </c>
      <c r="C66" s="1557">
        <v>400</v>
      </c>
      <c r="D66" s="646"/>
      <c r="E66" s="268"/>
    </row>
    <row r="67" spans="1:5" s="266" customFormat="1" ht="18" customHeight="1" x14ac:dyDescent="0.2">
      <c r="A67" s="199">
        <v>59</v>
      </c>
      <c r="B67" s="191" t="s">
        <v>979</v>
      </c>
      <c r="C67" s="1557">
        <v>200</v>
      </c>
      <c r="D67" s="646"/>
      <c r="E67" s="268"/>
    </row>
    <row r="68" spans="1:5" s="266" customFormat="1" ht="18" customHeight="1" x14ac:dyDescent="0.2">
      <c r="A68" s="199">
        <v>60</v>
      </c>
      <c r="B68" s="191" t="s">
        <v>980</v>
      </c>
      <c r="C68" s="1557">
        <v>200</v>
      </c>
      <c r="D68" s="646"/>
      <c r="E68" s="268"/>
    </row>
    <row r="69" spans="1:5" s="266" customFormat="1" ht="18" customHeight="1" x14ac:dyDescent="0.2">
      <c r="A69" s="199">
        <v>61</v>
      </c>
      <c r="B69" s="191" t="s">
        <v>981</v>
      </c>
      <c r="C69" s="1557">
        <v>350</v>
      </c>
      <c r="D69" s="646"/>
      <c r="E69" s="268"/>
    </row>
    <row r="70" spans="1:5" s="266" customFormat="1" ht="18" customHeight="1" x14ac:dyDescent="0.2">
      <c r="A70" s="199">
        <v>62</v>
      </c>
      <c r="B70" s="191" t="s">
        <v>982</v>
      </c>
      <c r="C70" s="1557">
        <v>200</v>
      </c>
      <c r="D70" s="646"/>
      <c r="E70" s="268"/>
    </row>
    <row r="71" spans="1:5" s="266" customFormat="1" ht="18" customHeight="1" x14ac:dyDescent="0.2">
      <c r="A71" s="199">
        <v>63</v>
      </c>
      <c r="B71" s="191" t="s">
        <v>983</v>
      </c>
      <c r="C71" s="1557">
        <v>350</v>
      </c>
      <c r="D71" s="646"/>
      <c r="E71" s="268"/>
    </row>
    <row r="72" spans="1:5" s="266" customFormat="1" ht="18" customHeight="1" x14ac:dyDescent="0.2">
      <c r="A72" s="199">
        <v>64</v>
      </c>
      <c r="B72" s="191" t="s">
        <v>984</v>
      </c>
      <c r="C72" s="1557">
        <v>400</v>
      </c>
      <c r="D72" s="646"/>
      <c r="E72" s="268"/>
    </row>
    <row r="73" spans="1:5" s="266" customFormat="1" ht="18" customHeight="1" x14ac:dyDescent="0.2">
      <c r="A73" s="199">
        <v>65</v>
      </c>
      <c r="B73" s="191" t="s">
        <v>985</v>
      </c>
      <c r="C73" s="1557">
        <v>200</v>
      </c>
      <c r="D73" s="646"/>
      <c r="E73" s="268"/>
    </row>
    <row r="74" spans="1:5" s="266" customFormat="1" ht="18" customHeight="1" x14ac:dyDescent="0.2">
      <c r="A74" s="199">
        <v>66</v>
      </c>
      <c r="B74" s="191" t="s">
        <v>986</v>
      </c>
      <c r="C74" s="1557">
        <v>200</v>
      </c>
      <c r="D74" s="646"/>
      <c r="E74" s="268"/>
    </row>
    <row r="75" spans="1:5" s="266" customFormat="1" ht="18" customHeight="1" x14ac:dyDescent="0.2">
      <c r="A75" s="199">
        <v>67</v>
      </c>
      <c r="B75" s="191" t="s">
        <v>987</v>
      </c>
      <c r="C75" s="1557">
        <v>200</v>
      </c>
      <c r="D75" s="646"/>
      <c r="E75" s="268"/>
    </row>
    <row r="76" spans="1:5" s="266" customFormat="1" ht="18" customHeight="1" x14ac:dyDescent="0.2">
      <c r="A76" s="199">
        <v>68</v>
      </c>
      <c r="B76" s="191" t="s">
        <v>988</v>
      </c>
      <c r="C76" s="1557">
        <v>250</v>
      </c>
      <c r="D76" s="646"/>
      <c r="E76" s="268"/>
    </row>
    <row r="77" spans="1:5" s="266" customFormat="1" ht="18" customHeight="1" x14ac:dyDescent="0.2">
      <c r="A77" s="199">
        <v>69</v>
      </c>
      <c r="B77" s="191" t="s">
        <v>989</v>
      </c>
      <c r="C77" s="1557">
        <v>700</v>
      </c>
      <c r="D77" s="646"/>
      <c r="E77" s="268"/>
    </row>
    <row r="78" spans="1:5" s="266" customFormat="1" ht="18" customHeight="1" x14ac:dyDescent="0.2">
      <c r="A78" s="199">
        <v>70</v>
      </c>
      <c r="B78" s="191" t="s">
        <v>990</v>
      </c>
      <c r="C78" s="1557">
        <v>200</v>
      </c>
      <c r="D78" s="646"/>
      <c r="E78" s="268"/>
    </row>
    <row r="79" spans="1:5" s="266" customFormat="1" ht="18" customHeight="1" x14ac:dyDescent="0.2">
      <c r="A79" s="199">
        <v>71</v>
      </c>
      <c r="B79" s="191" t="s">
        <v>991</v>
      </c>
      <c r="C79" s="1557">
        <v>200</v>
      </c>
      <c r="D79" s="646"/>
      <c r="E79" s="268"/>
    </row>
    <row r="80" spans="1:5" s="266" customFormat="1" ht="18" customHeight="1" x14ac:dyDescent="0.2">
      <c r="A80" s="199">
        <v>72</v>
      </c>
      <c r="B80" s="191" t="s">
        <v>992</v>
      </c>
      <c r="C80" s="1557">
        <v>200</v>
      </c>
      <c r="D80" s="646"/>
      <c r="E80" s="268"/>
    </row>
    <row r="81" spans="1:5" s="266" customFormat="1" ht="18" customHeight="1" x14ac:dyDescent="0.2">
      <c r="A81" s="199">
        <v>73</v>
      </c>
      <c r="B81" s="191" t="s">
        <v>993</v>
      </c>
      <c r="C81" s="1557">
        <v>750</v>
      </c>
      <c r="D81" s="646"/>
      <c r="E81" s="268"/>
    </row>
    <row r="82" spans="1:5" s="266" customFormat="1" ht="18" customHeight="1" x14ac:dyDescent="0.2">
      <c r="A82" s="199">
        <v>74</v>
      </c>
      <c r="B82" s="191" t="s">
        <v>994</v>
      </c>
      <c r="C82" s="1557">
        <v>200</v>
      </c>
      <c r="D82" s="646"/>
      <c r="E82" s="268"/>
    </row>
    <row r="83" spans="1:5" s="266" customFormat="1" ht="18" customHeight="1" x14ac:dyDescent="0.2">
      <c r="A83" s="199">
        <v>75</v>
      </c>
      <c r="B83" s="191" t="s">
        <v>995</v>
      </c>
      <c r="C83" s="1557">
        <v>200</v>
      </c>
      <c r="D83" s="646"/>
      <c r="E83" s="268"/>
    </row>
    <row r="84" spans="1:5" s="266" customFormat="1" ht="18" customHeight="1" x14ac:dyDescent="0.2">
      <c r="A84" s="199">
        <v>76</v>
      </c>
      <c r="B84" s="191" t="s">
        <v>996</v>
      </c>
      <c r="C84" s="1557">
        <v>200</v>
      </c>
      <c r="D84" s="646"/>
      <c r="E84" s="268"/>
    </row>
    <row r="85" spans="1:5" s="266" customFormat="1" ht="18" customHeight="1" x14ac:dyDescent="0.2">
      <c r="A85" s="199">
        <v>77</v>
      </c>
      <c r="B85" s="191" t="s">
        <v>997</v>
      </c>
      <c r="C85" s="1557">
        <v>200</v>
      </c>
      <c r="D85" s="646"/>
      <c r="E85" s="268"/>
    </row>
    <row r="86" spans="1:5" s="266" customFormat="1" ht="18" customHeight="1" x14ac:dyDescent="0.2">
      <c r="A86" s="199">
        <v>78</v>
      </c>
      <c r="B86" s="191" t="s">
        <v>998</v>
      </c>
      <c r="C86" s="1557">
        <v>300</v>
      </c>
      <c r="D86" s="646"/>
      <c r="E86" s="268"/>
    </row>
    <row r="87" spans="1:5" s="266" customFormat="1" ht="18" customHeight="1" x14ac:dyDescent="0.2">
      <c r="A87" s="199">
        <v>79</v>
      </c>
      <c r="B87" s="191" t="s">
        <v>1009</v>
      </c>
      <c r="C87" s="1557">
        <v>250</v>
      </c>
      <c r="D87" s="646"/>
      <c r="E87" s="268"/>
    </row>
    <row r="88" spans="1:5" s="266" customFormat="1" ht="18" customHeight="1" x14ac:dyDescent="0.2">
      <c r="A88" s="199">
        <v>80</v>
      </c>
      <c r="B88" s="191" t="s">
        <v>999</v>
      </c>
      <c r="C88" s="1557">
        <v>200</v>
      </c>
      <c r="D88" s="646"/>
      <c r="E88" s="268"/>
    </row>
    <row r="89" spans="1:5" s="266" customFormat="1" ht="18" customHeight="1" x14ac:dyDescent="0.2">
      <c r="A89" s="199">
        <v>81</v>
      </c>
      <c r="B89" s="191" t="s">
        <v>1000</v>
      </c>
      <c r="C89" s="1557">
        <v>850</v>
      </c>
      <c r="D89" s="646"/>
      <c r="E89" s="268"/>
    </row>
    <row r="90" spans="1:5" s="266" customFormat="1" ht="18" customHeight="1" x14ac:dyDescent="0.2">
      <c r="A90" s="199">
        <v>82</v>
      </c>
      <c r="B90" s="191" t="s">
        <v>1001</v>
      </c>
      <c r="C90" s="1557">
        <v>200</v>
      </c>
      <c r="D90" s="646"/>
      <c r="E90" s="268"/>
    </row>
    <row r="91" spans="1:5" s="266" customFormat="1" ht="18" customHeight="1" x14ac:dyDescent="0.2">
      <c r="A91" s="199">
        <v>83</v>
      </c>
      <c r="B91" s="191" t="s">
        <v>1002</v>
      </c>
      <c r="C91" s="1557">
        <v>200</v>
      </c>
      <c r="D91" s="646"/>
      <c r="E91" s="268"/>
    </row>
    <row r="92" spans="1:5" s="266" customFormat="1" ht="18" customHeight="1" x14ac:dyDescent="0.2">
      <c r="A92" s="199">
        <v>84</v>
      </c>
      <c r="B92" s="191" t="s">
        <v>1003</v>
      </c>
      <c r="C92" s="1557">
        <v>200</v>
      </c>
      <c r="D92" s="646"/>
      <c r="E92" s="268"/>
    </row>
    <row r="93" spans="1:5" s="266" customFormat="1" ht="18" customHeight="1" x14ac:dyDescent="0.2">
      <c r="A93" s="199">
        <v>85</v>
      </c>
      <c r="B93" s="191" t="s">
        <v>1004</v>
      </c>
      <c r="C93" s="1557">
        <v>9500</v>
      </c>
      <c r="D93" s="646"/>
      <c r="E93" s="268"/>
    </row>
    <row r="94" spans="1:5" s="266" customFormat="1" ht="18" customHeight="1" x14ac:dyDescent="0.2">
      <c r="A94" s="199">
        <v>86</v>
      </c>
      <c r="B94" s="191" t="s">
        <v>1005</v>
      </c>
      <c r="C94" s="1557">
        <v>3000</v>
      </c>
      <c r="D94" s="646"/>
      <c r="E94" s="268"/>
    </row>
    <row r="95" spans="1:5" s="266" customFormat="1" ht="18" customHeight="1" x14ac:dyDescent="0.2">
      <c r="A95" s="199">
        <v>87</v>
      </c>
      <c r="B95" s="191" t="s">
        <v>477</v>
      </c>
      <c r="C95" s="1557">
        <v>500</v>
      </c>
      <c r="D95" s="646"/>
      <c r="E95" s="268"/>
    </row>
    <row r="96" spans="1:5" s="266" customFormat="1" ht="18" customHeight="1" x14ac:dyDescent="0.2">
      <c r="A96" s="199">
        <v>88</v>
      </c>
      <c r="B96" s="191" t="s">
        <v>1006</v>
      </c>
      <c r="C96" s="1557">
        <v>200</v>
      </c>
      <c r="D96" s="646"/>
      <c r="E96" s="268"/>
    </row>
    <row r="97" spans="1:5" s="266" customFormat="1" ht="18" customHeight="1" x14ac:dyDescent="0.2">
      <c r="A97" s="199">
        <v>89</v>
      </c>
      <c r="B97" s="191" t="s">
        <v>1007</v>
      </c>
      <c r="C97" s="1557">
        <v>300</v>
      </c>
      <c r="D97" s="646"/>
      <c r="E97" s="268"/>
    </row>
    <row r="98" spans="1:5" s="266" customFormat="1" ht="18" customHeight="1" x14ac:dyDescent="0.2">
      <c r="A98" s="199">
        <v>90</v>
      </c>
      <c r="B98" s="191" t="s">
        <v>1008</v>
      </c>
      <c r="C98" s="1557">
        <v>200</v>
      </c>
      <c r="D98" s="646"/>
      <c r="E98" s="268"/>
    </row>
    <row r="99" spans="1:5" s="266" customFormat="1" ht="18" customHeight="1" x14ac:dyDescent="0.2">
      <c r="A99" s="199">
        <v>91</v>
      </c>
      <c r="B99" s="191" t="s">
        <v>1010</v>
      </c>
      <c r="C99" s="1557">
        <v>100</v>
      </c>
      <c r="D99" s="646"/>
      <c r="E99" s="268"/>
    </row>
    <row r="100" spans="1:5" s="266" customFormat="1" ht="18" customHeight="1" x14ac:dyDescent="0.2">
      <c r="A100" s="199">
        <v>92</v>
      </c>
      <c r="B100" s="191" t="s">
        <v>1011</v>
      </c>
      <c r="C100" s="1557">
        <v>150</v>
      </c>
      <c r="D100" s="646"/>
      <c r="E100" s="268"/>
    </row>
    <row r="101" spans="1:5" s="266" customFormat="1" ht="18" customHeight="1" x14ac:dyDescent="0.2">
      <c r="A101" s="199">
        <v>93</v>
      </c>
      <c r="B101" s="191" t="s">
        <v>1012</v>
      </c>
      <c r="C101" s="1557">
        <v>150</v>
      </c>
      <c r="D101" s="646"/>
      <c r="E101" s="268"/>
    </row>
    <row r="102" spans="1:5" s="266" customFormat="1" ht="18" customHeight="1" x14ac:dyDescent="0.2">
      <c r="A102" s="199">
        <v>94</v>
      </c>
      <c r="B102" s="191" t="s">
        <v>1013</v>
      </c>
      <c r="C102" s="1557">
        <v>200</v>
      </c>
      <c r="D102" s="646"/>
      <c r="E102" s="268"/>
    </row>
    <row r="103" spans="1:5" s="266" customFormat="1" ht="18" customHeight="1" x14ac:dyDescent="0.2">
      <c r="A103" s="199">
        <v>95</v>
      </c>
      <c r="B103" s="191" t="s">
        <v>988</v>
      </c>
      <c r="C103" s="1557">
        <v>70</v>
      </c>
      <c r="D103" s="646"/>
      <c r="E103" s="268"/>
    </row>
    <row r="104" spans="1:5" s="266" customFormat="1" ht="18" customHeight="1" x14ac:dyDescent="0.2">
      <c r="A104" s="199">
        <v>96</v>
      </c>
      <c r="B104" s="191" t="s">
        <v>1014</v>
      </c>
      <c r="C104" s="1557">
        <v>200</v>
      </c>
      <c r="D104" s="646"/>
      <c r="E104" s="268"/>
    </row>
    <row r="105" spans="1:5" s="266" customFormat="1" ht="18" customHeight="1" x14ac:dyDescent="0.2">
      <c r="A105" s="199">
        <v>97</v>
      </c>
      <c r="B105" s="191" t="s">
        <v>1015</v>
      </c>
      <c r="C105" s="1557">
        <v>3000</v>
      </c>
      <c r="D105" s="646"/>
      <c r="E105" s="268"/>
    </row>
    <row r="106" spans="1:5" s="266" customFormat="1" ht="18" customHeight="1" x14ac:dyDescent="0.2">
      <c r="A106" s="199">
        <v>98</v>
      </c>
      <c r="B106" s="191" t="s">
        <v>1016</v>
      </c>
      <c r="C106" s="1557">
        <v>150</v>
      </c>
      <c r="D106" s="646"/>
      <c r="E106" s="268"/>
    </row>
    <row r="107" spans="1:5" s="266" customFormat="1" ht="18" customHeight="1" x14ac:dyDescent="0.2">
      <c r="A107" s="199">
        <v>99</v>
      </c>
      <c r="B107" s="191" t="s">
        <v>959</v>
      </c>
      <c r="C107" s="1557">
        <v>500</v>
      </c>
      <c r="D107" s="646"/>
      <c r="E107" s="268"/>
    </row>
    <row r="108" spans="1:5" s="266" customFormat="1" ht="18" customHeight="1" x14ac:dyDescent="0.2">
      <c r="A108" s="199">
        <v>100</v>
      </c>
      <c r="B108" s="191" t="s">
        <v>968</v>
      </c>
      <c r="C108" s="1557">
        <v>300</v>
      </c>
      <c r="D108" s="646"/>
      <c r="E108" s="268"/>
    </row>
    <row r="109" spans="1:5" s="266" customFormat="1" ht="18" customHeight="1" x14ac:dyDescent="0.2">
      <c r="A109" s="199">
        <v>101</v>
      </c>
      <c r="B109" s="191" t="s">
        <v>992</v>
      </c>
      <c r="C109" s="1557">
        <v>80</v>
      </c>
      <c r="D109" s="646"/>
      <c r="E109" s="268"/>
    </row>
    <row r="110" spans="1:5" s="266" customFormat="1" ht="18" customHeight="1" x14ac:dyDescent="0.2">
      <c r="A110" s="199">
        <v>102</v>
      </c>
      <c r="B110" s="191" t="s">
        <v>512</v>
      </c>
      <c r="C110" s="1557">
        <v>500</v>
      </c>
      <c r="D110" s="646"/>
      <c r="E110" s="268"/>
    </row>
    <row r="111" spans="1:5" s="266" customFormat="1" ht="18" customHeight="1" x14ac:dyDescent="0.2">
      <c r="A111" s="199">
        <v>103</v>
      </c>
      <c r="B111" s="191" t="s">
        <v>1017</v>
      </c>
      <c r="C111" s="1557">
        <v>60</v>
      </c>
      <c r="D111" s="646"/>
      <c r="E111" s="268"/>
    </row>
    <row r="112" spans="1:5" s="266" customFormat="1" ht="18" customHeight="1" x14ac:dyDescent="0.2">
      <c r="A112" s="199">
        <v>104</v>
      </c>
      <c r="B112" s="191" t="s">
        <v>971</v>
      </c>
      <c r="C112" s="1557">
        <v>40</v>
      </c>
      <c r="D112" s="646"/>
      <c r="E112" s="268"/>
    </row>
    <row r="113" spans="1:5" s="266" customFormat="1" ht="18" customHeight="1" x14ac:dyDescent="0.2">
      <c r="A113" s="199">
        <v>105</v>
      </c>
      <c r="B113" s="191" t="s">
        <v>1018</v>
      </c>
      <c r="C113" s="1557">
        <v>100</v>
      </c>
      <c r="D113" s="646"/>
      <c r="E113" s="268"/>
    </row>
    <row r="114" spans="1:5" s="266" customFormat="1" ht="18" customHeight="1" x14ac:dyDescent="0.2">
      <c r="A114" s="199">
        <v>106</v>
      </c>
      <c r="B114" s="191" t="s">
        <v>1019</v>
      </c>
      <c r="C114" s="1557">
        <v>100</v>
      </c>
      <c r="D114" s="646"/>
      <c r="E114" s="268"/>
    </row>
    <row r="115" spans="1:5" s="266" customFormat="1" ht="18" customHeight="1" x14ac:dyDescent="0.2">
      <c r="A115" s="199">
        <v>107</v>
      </c>
      <c r="B115" s="191" t="s">
        <v>998</v>
      </c>
      <c r="C115" s="1557">
        <v>200</v>
      </c>
      <c r="D115" s="646"/>
      <c r="E115" s="268"/>
    </row>
    <row r="116" spans="1:5" s="266" customFormat="1" ht="18" customHeight="1" x14ac:dyDescent="0.2">
      <c r="A116" s="199">
        <v>108</v>
      </c>
      <c r="B116" s="191" t="s">
        <v>1020</v>
      </c>
      <c r="C116" s="1557">
        <v>200</v>
      </c>
      <c r="D116" s="646"/>
      <c r="E116" s="268"/>
    </row>
    <row r="117" spans="1:5" s="266" customFormat="1" ht="18" customHeight="1" x14ac:dyDescent="0.2">
      <c r="A117" s="199">
        <v>109</v>
      </c>
      <c r="B117" s="191" t="s">
        <v>1005</v>
      </c>
      <c r="C117" s="1557">
        <v>200</v>
      </c>
      <c r="D117" s="646"/>
      <c r="E117" s="268"/>
    </row>
    <row r="118" spans="1:5" s="266" customFormat="1" ht="18" customHeight="1" x14ac:dyDescent="0.2">
      <c r="A118" s="199">
        <v>110</v>
      </c>
      <c r="B118" s="191" t="s">
        <v>1021</v>
      </c>
      <c r="C118" s="1557">
        <v>100</v>
      </c>
      <c r="D118" s="646"/>
      <c r="E118" s="268"/>
    </row>
    <row r="119" spans="1:5" s="266" customFormat="1" ht="18" customHeight="1" x14ac:dyDescent="0.2">
      <c r="A119" s="199">
        <v>111</v>
      </c>
      <c r="B119" s="191" t="s">
        <v>1022</v>
      </c>
      <c r="C119" s="1557">
        <v>100</v>
      </c>
      <c r="D119" s="646"/>
      <c r="E119" s="268"/>
    </row>
    <row r="120" spans="1:5" s="266" customFormat="1" ht="18" customHeight="1" x14ac:dyDescent="0.2">
      <c r="A120" s="199">
        <v>112</v>
      </c>
      <c r="B120" s="191" t="s">
        <v>1004</v>
      </c>
      <c r="C120" s="1557">
        <v>500</v>
      </c>
      <c r="D120" s="646"/>
      <c r="E120" s="268"/>
    </row>
    <row r="121" spans="1:5" s="266" customFormat="1" ht="18" customHeight="1" x14ac:dyDescent="0.2">
      <c r="A121" s="199">
        <v>113</v>
      </c>
      <c r="B121" s="191" t="s">
        <v>1120</v>
      </c>
      <c r="C121" s="1557">
        <v>2500</v>
      </c>
      <c r="D121" s="646"/>
      <c r="E121" s="268"/>
    </row>
    <row r="122" spans="1:5" s="266" customFormat="1" ht="18" customHeight="1" x14ac:dyDescent="0.2">
      <c r="A122" s="199">
        <v>114</v>
      </c>
      <c r="B122" s="1522" t="s">
        <v>1023</v>
      </c>
      <c r="C122" s="1557"/>
      <c r="D122" s="646"/>
      <c r="E122" s="268"/>
    </row>
    <row r="123" spans="1:5" s="266" customFormat="1" ht="18" customHeight="1" x14ac:dyDescent="0.2">
      <c r="A123" s="199">
        <v>115</v>
      </c>
      <c r="B123" s="191" t="s">
        <v>1026</v>
      </c>
      <c r="C123" s="1557">
        <v>2500</v>
      </c>
      <c r="D123" s="646"/>
      <c r="E123" s="268"/>
    </row>
    <row r="124" spans="1:5" s="266" customFormat="1" ht="18" customHeight="1" x14ac:dyDescent="0.2">
      <c r="A124" s="199">
        <v>116</v>
      </c>
      <c r="B124" s="191" t="s">
        <v>1025</v>
      </c>
      <c r="C124" s="1557">
        <v>2500</v>
      </c>
      <c r="D124" s="646"/>
      <c r="E124" s="268"/>
    </row>
    <row r="125" spans="1:5" s="266" customFormat="1" ht="18" customHeight="1" x14ac:dyDescent="0.2">
      <c r="A125" s="199">
        <v>117</v>
      </c>
      <c r="B125" s="191" t="s">
        <v>1024</v>
      </c>
      <c r="C125" s="1557">
        <v>2500</v>
      </c>
      <c r="D125" s="646"/>
      <c r="E125" s="268"/>
    </row>
    <row r="126" spans="1:5" s="266" customFormat="1" ht="18" customHeight="1" x14ac:dyDescent="0.2">
      <c r="A126" s="199">
        <v>118</v>
      </c>
      <c r="B126" s="191" t="s">
        <v>1027</v>
      </c>
      <c r="C126" s="1557">
        <v>5000</v>
      </c>
      <c r="D126" s="646"/>
      <c r="E126" s="268"/>
    </row>
    <row r="127" spans="1:5" s="266" customFormat="1" ht="18" customHeight="1" x14ac:dyDescent="0.35">
      <c r="A127" s="199">
        <v>119</v>
      </c>
      <c r="B127" s="1521" t="s">
        <v>124</v>
      </c>
      <c r="C127" s="1570"/>
      <c r="D127" s="646"/>
      <c r="E127" s="268"/>
    </row>
    <row r="128" spans="1:5" s="266" customFormat="1" ht="18" customHeight="1" x14ac:dyDescent="0.35">
      <c r="A128" s="199">
        <v>120</v>
      </c>
      <c r="B128" s="1571" t="s">
        <v>1141</v>
      </c>
      <c r="C128" s="1572"/>
      <c r="D128" s="646"/>
      <c r="E128" s="268"/>
    </row>
    <row r="129" spans="1:5" s="266" customFormat="1" ht="18" customHeight="1" x14ac:dyDescent="0.3">
      <c r="A129" s="199">
        <v>121</v>
      </c>
      <c r="B129" s="1573" t="s">
        <v>1153</v>
      </c>
      <c r="C129" s="1572">
        <v>360</v>
      </c>
      <c r="D129" s="646"/>
      <c r="E129" s="268"/>
    </row>
    <row r="130" spans="1:5" s="266" customFormat="1" ht="20.100000000000001" customHeight="1" x14ac:dyDescent="0.3">
      <c r="A130" s="199">
        <v>122</v>
      </c>
      <c r="B130" s="1575" t="s">
        <v>1154</v>
      </c>
      <c r="C130" s="1574">
        <v>557</v>
      </c>
      <c r="D130" s="646"/>
      <c r="E130" s="268"/>
    </row>
    <row r="131" spans="1:5" s="266" customFormat="1" ht="32.25" customHeight="1" x14ac:dyDescent="0.3">
      <c r="A131" s="199">
        <v>123</v>
      </c>
      <c r="B131" s="1573" t="s">
        <v>1155</v>
      </c>
      <c r="C131" s="1574">
        <v>70</v>
      </c>
      <c r="D131" s="646"/>
      <c r="E131" s="268"/>
    </row>
    <row r="132" spans="1:5" s="266" customFormat="1" ht="18" customHeight="1" x14ac:dyDescent="0.35">
      <c r="A132" s="199">
        <v>124</v>
      </c>
      <c r="B132" s="1571" t="s">
        <v>1142</v>
      </c>
      <c r="C132" s="1572"/>
      <c r="D132" s="646"/>
      <c r="E132" s="268"/>
    </row>
    <row r="133" spans="1:5" s="266" customFormat="1" ht="18" customHeight="1" x14ac:dyDescent="0.3">
      <c r="A133" s="199">
        <v>125</v>
      </c>
      <c r="B133" s="1573" t="s">
        <v>1156</v>
      </c>
      <c r="C133" s="1572">
        <v>600</v>
      </c>
      <c r="D133" s="646"/>
      <c r="E133" s="268"/>
    </row>
    <row r="134" spans="1:5" s="266" customFormat="1" ht="18" customHeight="1" x14ac:dyDescent="0.3">
      <c r="A134" s="199">
        <v>126</v>
      </c>
      <c r="B134" s="1573" t="s">
        <v>1157</v>
      </c>
      <c r="C134" s="1572">
        <v>150</v>
      </c>
      <c r="D134" s="646"/>
      <c r="E134" s="268"/>
    </row>
    <row r="135" spans="1:5" s="266" customFormat="1" ht="18" customHeight="1" x14ac:dyDescent="0.3">
      <c r="A135" s="199">
        <v>127</v>
      </c>
      <c r="B135" s="1573" t="s">
        <v>1158</v>
      </c>
      <c r="C135" s="1572">
        <v>100</v>
      </c>
      <c r="D135" s="646"/>
      <c r="E135" s="268"/>
    </row>
    <row r="136" spans="1:5" s="266" customFormat="1" ht="18" customHeight="1" x14ac:dyDescent="0.3">
      <c r="A136" s="199">
        <v>128</v>
      </c>
      <c r="B136" s="1573" t="s">
        <v>1159</v>
      </c>
      <c r="C136" s="1572">
        <v>100</v>
      </c>
      <c r="D136" s="646"/>
      <c r="E136" s="268"/>
    </row>
    <row r="137" spans="1:5" s="266" customFormat="1" ht="33.75" customHeight="1" x14ac:dyDescent="0.3">
      <c r="A137" s="199">
        <v>129</v>
      </c>
      <c r="B137" s="1573" t="s">
        <v>1160</v>
      </c>
      <c r="C137" s="1574">
        <v>100</v>
      </c>
      <c r="D137" s="646"/>
      <c r="E137" s="268"/>
    </row>
    <row r="138" spans="1:5" s="266" customFormat="1" ht="18" customHeight="1" x14ac:dyDescent="0.3">
      <c r="A138" s="199">
        <v>130</v>
      </c>
      <c r="B138" s="1573" t="s">
        <v>1161</v>
      </c>
      <c r="C138" s="1572">
        <v>100</v>
      </c>
      <c r="D138" s="646"/>
      <c r="E138" s="268"/>
    </row>
    <row r="139" spans="1:5" s="266" customFormat="1" ht="18" customHeight="1" x14ac:dyDescent="0.35">
      <c r="A139" s="199">
        <v>131</v>
      </c>
      <c r="B139" s="1573" t="s">
        <v>1213</v>
      </c>
      <c r="C139" s="1572">
        <v>70</v>
      </c>
      <c r="D139" s="646"/>
      <c r="E139" s="268"/>
    </row>
    <row r="140" spans="1:5" s="266" customFormat="1" ht="18" customHeight="1" x14ac:dyDescent="0.3">
      <c r="A140" s="199">
        <v>132</v>
      </c>
      <c r="B140" s="1573" t="s">
        <v>1218</v>
      </c>
      <c r="C140" s="1572">
        <v>200</v>
      </c>
      <c r="D140" s="646"/>
      <c r="E140" s="268"/>
    </row>
    <row r="141" spans="1:5" s="266" customFormat="1" ht="18" customHeight="1" x14ac:dyDescent="0.3">
      <c r="A141" s="199">
        <v>133</v>
      </c>
      <c r="B141" s="1575" t="s">
        <v>1217</v>
      </c>
      <c r="C141" s="1574">
        <v>200</v>
      </c>
      <c r="D141" s="646"/>
      <c r="E141" s="268"/>
    </row>
    <row r="142" spans="1:5" s="266" customFormat="1" ht="18" customHeight="1" x14ac:dyDescent="0.35">
      <c r="A142" s="199">
        <v>134</v>
      </c>
      <c r="B142" s="1571" t="s">
        <v>1143</v>
      </c>
      <c r="C142" s="1572"/>
      <c r="D142" s="646"/>
      <c r="E142" s="268"/>
    </row>
    <row r="143" spans="1:5" s="266" customFormat="1" ht="18" customHeight="1" x14ac:dyDescent="0.3">
      <c r="A143" s="199">
        <v>135</v>
      </c>
      <c r="B143" s="1573" t="s">
        <v>1162</v>
      </c>
      <c r="C143" s="1572">
        <v>100</v>
      </c>
      <c r="D143" s="646"/>
      <c r="E143" s="268"/>
    </row>
    <row r="144" spans="1:5" s="266" customFormat="1" ht="32.25" customHeight="1" x14ac:dyDescent="0.3">
      <c r="A144" s="199">
        <v>136</v>
      </c>
      <c r="B144" s="1573" t="s">
        <v>1163</v>
      </c>
      <c r="C144" s="1574">
        <v>100</v>
      </c>
      <c r="D144" s="646"/>
      <c r="E144" s="268"/>
    </row>
    <row r="145" spans="1:5" s="266" customFormat="1" ht="18" customHeight="1" x14ac:dyDescent="0.3">
      <c r="A145" s="199">
        <v>137</v>
      </c>
      <c r="B145" s="1573" t="s">
        <v>1157</v>
      </c>
      <c r="C145" s="1572">
        <v>400</v>
      </c>
      <c r="D145" s="646"/>
      <c r="E145" s="268"/>
    </row>
    <row r="146" spans="1:5" s="266" customFormat="1" ht="18" customHeight="1" x14ac:dyDescent="0.3">
      <c r="A146" s="199">
        <v>138</v>
      </c>
      <c r="B146" s="1573" t="s">
        <v>1164</v>
      </c>
      <c r="C146" s="1572">
        <v>80</v>
      </c>
      <c r="D146" s="646"/>
      <c r="E146" s="268"/>
    </row>
    <row r="147" spans="1:5" s="266" customFormat="1" ht="18" customHeight="1" x14ac:dyDescent="0.3">
      <c r="A147" s="199">
        <v>139</v>
      </c>
      <c r="B147" s="1573" t="s">
        <v>1165</v>
      </c>
      <c r="C147" s="1572">
        <v>50</v>
      </c>
      <c r="D147" s="646"/>
      <c r="E147" s="268"/>
    </row>
    <row r="148" spans="1:5" s="266" customFormat="1" ht="18" customHeight="1" x14ac:dyDescent="0.3">
      <c r="A148" s="199">
        <v>140</v>
      </c>
      <c r="B148" s="1573" t="s">
        <v>1166</v>
      </c>
      <c r="C148" s="1572">
        <v>50</v>
      </c>
      <c r="D148" s="646"/>
      <c r="E148" s="268"/>
    </row>
    <row r="149" spans="1:5" s="266" customFormat="1" ht="18" customHeight="1" x14ac:dyDescent="0.3">
      <c r="A149" s="199">
        <v>141</v>
      </c>
      <c r="B149" s="1573" t="s">
        <v>1167</v>
      </c>
      <c r="C149" s="1572">
        <v>100</v>
      </c>
      <c r="D149" s="646"/>
      <c r="E149" s="268"/>
    </row>
    <row r="150" spans="1:5" s="266" customFormat="1" ht="18" customHeight="1" x14ac:dyDescent="0.3">
      <c r="A150" s="199">
        <v>142</v>
      </c>
      <c r="B150" s="1573" t="s">
        <v>1168</v>
      </c>
      <c r="C150" s="1572">
        <v>50</v>
      </c>
      <c r="D150" s="646"/>
      <c r="E150" s="268"/>
    </row>
    <row r="151" spans="1:5" s="266" customFormat="1" ht="18" customHeight="1" x14ac:dyDescent="0.35">
      <c r="A151" s="199">
        <v>143</v>
      </c>
      <c r="B151" s="1571" t="s">
        <v>1144</v>
      </c>
      <c r="C151" s="1572"/>
      <c r="D151" s="646"/>
      <c r="E151" s="268"/>
    </row>
    <row r="152" spans="1:5" s="266" customFormat="1" ht="20.100000000000001" customHeight="1" x14ac:dyDescent="0.3">
      <c r="A152" s="199">
        <v>144</v>
      </c>
      <c r="B152" s="1575" t="s">
        <v>1169</v>
      </c>
      <c r="C152" s="1574">
        <v>200</v>
      </c>
      <c r="D152" s="646"/>
      <c r="E152" s="268"/>
    </row>
    <row r="153" spans="1:5" s="266" customFormat="1" ht="20.100000000000001" customHeight="1" x14ac:dyDescent="0.3">
      <c r="A153" s="199">
        <v>145</v>
      </c>
      <c r="B153" s="1575" t="s">
        <v>1170</v>
      </c>
      <c r="C153" s="1572">
        <v>100</v>
      </c>
      <c r="D153" s="646"/>
      <c r="E153" s="268"/>
    </row>
    <row r="154" spans="1:5" s="266" customFormat="1" ht="18" customHeight="1" x14ac:dyDescent="0.3">
      <c r="A154" s="199">
        <v>146</v>
      </c>
      <c r="B154" s="1573" t="s">
        <v>1168</v>
      </c>
      <c r="C154" s="1572">
        <v>50</v>
      </c>
      <c r="D154" s="646"/>
      <c r="E154" s="268"/>
    </row>
    <row r="155" spans="1:5" s="266" customFormat="1" ht="18" customHeight="1" x14ac:dyDescent="0.3">
      <c r="A155" s="199">
        <v>147</v>
      </c>
      <c r="B155" s="1573" t="s">
        <v>1171</v>
      </c>
      <c r="C155" s="1572">
        <v>200</v>
      </c>
      <c r="D155" s="646"/>
      <c r="E155" s="268"/>
    </row>
    <row r="156" spans="1:5" s="266" customFormat="1" ht="20.100000000000001" customHeight="1" x14ac:dyDescent="0.3">
      <c r="A156" s="199">
        <v>148</v>
      </c>
      <c r="B156" s="1575" t="s">
        <v>1170</v>
      </c>
      <c r="C156" s="1574">
        <v>200</v>
      </c>
      <c r="D156" s="646"/>
      <c r="E156" s="268"/>
    </row>
    <row r="157" spans="1:5" s="266" customFormat="1" ht="20.100000000000001" customHeight="1" x14ac:dyDescent="0.3">
      <c r="A157" s="199">
        <v>149</v>
      </c>
      <c r="B157" s="1575" t="s">
        <v>1172</v>
      </c>
      <c r="C157" s="1572">
        <v>50</v>
      </c>
      <c r="D157" s="646"/>
      <c r="E157" s="268"/>
    </row>
    <row r="158" spans="1:5" s="266" customFormat="1" ht="20.100000000000001" customHeight="1" x14ac:dyDescent="0.3">
      <c r="A158" s="199">
        <v>150</v>
      </c>
      <c r="B158" s="1575" t="s">
        <v>1173</v>
      </c>
      <c r="C158" s="1572">
        <v>400</v>
      </c>
      <c r="D158" s="646"/>
      <c r="E158" s="268"/>
    </row>
    <row r="159" spans="1:5" s="266" customFormat="1" ht="18" customHeight="1" x14ac:dyDescent="0.35">
      <c r="A159" s="199">
        <v>151</v>
      </c>
      <c r="B159" s="1573" t="s">
        <v>1213</v>
      </c>
      <c r="C159" s="1572">
        <v>50</v>
      </c>
      <c r="D159" s="646"/>
      <c r="E159" s="268"/>
    </row>
    <row r="160" spans="1:5" s="266" customFormat="1" ht="18" customHeight="1" x14ac:dyDescent="0.35">
      <c r="A160" s="199">
        <v>152</v>
      </c>
      <c r="B160" s="1573" t="s">
        <v>1214</v>
      </c>
      <c r="C160" s="1572">
        <v>200</v>
      </c>
      <c r="D160" s="646"/>
      <c r="E160" s="268"/>
    </row>
    <row r="161" spans="1:5" s="266" customFormat="1" ht="33" customHeight="1" x14ac:dyDescent="0.3">
      <c r="A161" s="199">
        <v>153</v>
      </c>
      <c r="B161" s="1573" t="s">
        <v>1368</v>
      </c>
      <c r="C161" s="1574">
        <v>50</v>
      </c>
      <c r="D161" s="646"/>
      <c r="E161" s="268"/>
    </row>
    <row r="162" spans="1:5" s="266" customFormat="1" ht="18" customHeight="1" x14ac:dyDescent="0.35">
      <c r="A162" s="199">
        <v>154</v>
      </c>
      <c r="B162" s="1571" t="s">
        <v>1145</v>
      </c>
      <c r="C162" s="1572"/>
      <c r="D162" s="646"/>
      <c r="E162" s="268"/>
    </row>
    <row r="163" spans="1:5" s="266" customFormat="1" ht="18" customHeight="1" x14ac:dyDescent="0.3">
      <c r="A163" s="199">
        <v>155</v>
      </c>
      <c r="B163" s="1573" t="s">
        <v>1195</v>
      </c>
      <c r="C163" s="1572">
        <v>70</v>
      </c>
      <c r="D163" s="646"/>
      <c r="E163" s="268"/>
    </row>
    <row r="164" spans="1:5" s="266" customFormat="1" ht="32.25" customHeight="1" x14ac:dyDescent="0.3">
      <c r="A164" s="199">
        <v>156</v>
      </c>
      <c r="B164" s="1573" t="s">
        <v>1216</v>
      </c>
      <c r="C164" s="1574">
        <v>100</v>
      </c>
      <c r="D164" s="646"/>
      <c r="E164" s="268"/>
    </row>
    <row r="165" spans="1:5" s="266" customFormat="1" ht="18" customHeight="1" x14ac:dyDescent="0.3">
      <c r="A165" s="199">
        <v>157</v>
      </c>
      <c r="B165" s="1575" t="s">
        <v>1175</v>
      </c>
      <c r="C165" s="1572">
        <v>50</v>
      </c>
      <c r="D165" s="646"/>
      <c r="E165" s="268"/>
    </row>
    <row r="166" spans="1:5" s="266" customFormat="1" ht="18" customHeight="1" x14ac:dyDescent="0.3">
      <c r="A166" s="199">
        <v>158</v>
      </c>
      <c r="B166" s="1575" t="s">
        <v>1293</v>
      </c>
      <c r="C166" s="1572">
        <v>135</v>
      </c>
      <c r="D166" s="646"/>
      <c r="E166" s="268"/>
    </row>
    <row r="167" spans="1:5" s="266" customFormat="1" ht="18" customHeight="1" x14ac:dyDescent="0.3">
      <c r="A167" s="199">
        <v>159</v>
      </c>
      <c r="B167" s="1575" t="s">
        <v>1359</v>
      </c>
      <c r="C167" s="1572">
        <v>100</v>
      </c>
      <c r="D167" s="646"/>
      <c r="E167" s="268"/>
    </row>
    <row r="168" spans="1:5" s="266" customFormat="1" ht="34.5" customHeight="1" x14ac:dyDescent="0.3">
      <c r="A168" s="199">
        <v>160</v>
      </c>
      <c r="B168" s="1573" t="s">
        <v>1360</v>
      </c>
      <c r="C168" s="1574">
        <v>100</v>
      </c>
      <c r="D168" s="646"/>
      <c r="E168" s="268"/>
    </row>
    <row r="169" spans="1:5" s="266" customFormat="1" ht="18" customHeight="1" x14ac:dyDescent="0.35">
      <c r="A169" s="199">
        <v>161</v>
      </c>
      <c r="B169" s="1571" t="s">
        <v>1146</v>
      </c>
      <c r="C169" s="1572"/>
      <c r="D169" s="646"/>
      <c r="E169" s="268"/>
    </row>
    <row r="170" spans="1:5" s="266" customFormat="1" ht="18" customHeight="1" x14ac:dyDescent="0.3">
      <c r="A170" s="199">
        <v>162</v>
      </c>
      <c r="B170" s="1573" t="s">
        <v>1258</v>
      </c>
      <c r="C170" s="1572">
        <v>300</v>
      </c>
      <c r="D170" s="646"/>
      <c r="E170" s="268"/>
    </row>
    <row r="171" spans="1:5" s="266" customFormat="1" ht="18" customHeight="1" x14ac:dyDescent="0.3">
      <c r="A171" s="199">
        <v>163</v>
      </c>
      <c r="B171" s="1573" t="s">
        <v>1176</v>
      </c>
      <c r="C171" s="1572">
        <v>100</v>
      </c>
      <c r="D171" s="646"/>
      <c r="E171" s="268"/>
    </row>
    <row r="172" spans="1:5" s="266" customFormat="1" ht="18" customHeight="1" x14ac:dyDescent="0.3">
      <c r="A172" s="199">
        <v>164</v>
      </c>
      <c r="B172" s="1573" t="s">
        <v>1177</v>
      </c>
      <c r="C172" s="1572">
        <v>300</v>
      </c>
      <c r="D172" s="646"/>
      <c r="E172" s="268"/>
    </row>
    <row r="173" spans="1:5" s="266" customFormat="1" ht="18" customHeight="1" x14ac:dyDescent="0.3">
      <c r="A173" s="199">
        <v>165</v>
      </c>
      <c r="B173" s="1573" t="s">
        <v>1178</v>
      </c>
      <c r="C173" s="1572">
        <v>40</v>
      </c>
      <c r="D173" s="646"/>
      <c r="E173" s="268"/>
    </row>
    <row r="174" spans="1:5" s="266" customFormat="1" ht="31.5" customHeight="1" x14ac:dyDescent="0.3">
      <c r="A174" s="199">
        <v>166</v>
      </c>
      <c r="B174" s="1573" t="s">
        <v>1215</v>
      </c>
      <c r="C174" s="1574">
        <v>300</v>
      </c>
      <c r="D174" s="646"/>
      <c r="E174" s="268"/>
    </row>
    <row r="175" spans="1:5" s="266" customFormat="1" ht="18" customHeight="1" x14ac:dyDescent="0.3">
      <c r="A175" s="199">
        <v>167</v>
      </c>
      <c r="B175" s="1575" t="s">
        <v>1179</v>
      </c>
      <c r="C175" s="1574">
        <v>331</v>
      </c>
      <c r="D175" s="646"/>
      <c r="E175" s="268"/>
    </row>
    <row r="176" spans="1:5" s="266" customFormat="1" ht="18" customHeight="1" x14ac:dyDescent="0.3">
      <c r="A176" s="199">
        <v>168</v>
      </c>
      <c r="B176" s="1575" t="s">
        <v>1180</v>
      </c>
      <c r="C176" s="1574">
        <v>50</v>
      </c>
      <c r="D176" s="646"/>
      <c r="E176" s="268"/>
    </row>
    <row r="177" spans="1:5" s="266" customFormat="1" ht="18" customHeight="1" x14ac:dyDescent="0.3">
      <c r="A177" s="199">
        <v>169</v>
      </c>
      <c r="B177" s="1573" t="s">
        <v>1181</v>
      </c>
      <c r="C177" s="1572">
        <v>50</v>
      </c>
      <c r="D177" s="646"/>
      <c r="E177" s="268"/>
    </row>
    <row r="178" spans="1:5" s="266" customFormat="1" ht="18" customHeight="1" x14ac:dyDescent="0.3">
      <c r="A178" s="199">
        <v>170</v>
      </c>
      <c r="B178" s="1573" t="s">
        <v>1176</v>
      </c>
      <c r="C178" s="1572">
        <v>50</v>
      </c>
      <c r="D178" s="646"/>
      <c r="E178" s="268"/>
    </row>
    <row r="179" spans="1:5" s="266" customFormat="1" ht="35.25" customHeight="1" x14ac:dyDescent="0.3">
      <c r="A179" s="199">
        <v>171</v>
      </c>
      <c r="B179" s="1573" t="s">
        <v>1363</v>
      </c>
      <c r="C179" s="1572">
        <v>279</v>
      </c>
      <c r="D179" s="646"/>
      <c r="E179" s="268"/>
    </row>
    <row r="180" spans="1:5" s="266" customFormat="1" ht="18" customHeight="1" x14ac:dyDescent="0.35">
      <c r="A180" s="199">
        <v>172</v>
      </c>
      <c r="B180" s="1571" t="s">
        <v>1147</v>
      </c>
      <c r="C180" s="1572"/>
      <c r="D180" s="646"/>
      <c r="E180" s="268"/>
    </row>
    <row r="181" spans="1:5" s="266" customFormat="1" ht="30.75" customHeight="1" x14ac:dyDescent="0.3">
      <c r="A181" s="199">
        <v>173</v>
      </c>
      <c r="B181" s="1573" t="s">
        <v>1182</v>
      </c>
      <c r="C181" s="1574">
        <v>200</v>
      </c>
      <c r="D181" s="646"/>
      <c r="E181" s="268"/>
    </row>
    <row r="182" spans="1:5" s="266" customFormat="1" ht="18" customHeight="1" x14ac:dyDescent="0.3">
      <c r="A182" s="199">
        <v>174</v>
      </c>
      <c r="B182" s="1573" t="s">
        <v>1183</v>
      </c>
      <c r="C182" s="1572">
        <v>190</v>
      </c>
      <c r="D182" s="646"/>
      <c r="E182" s="268"/>
    </row>
    <row r="183" spans="1:5" s="266" customFormat="1" ht="18" customHeight="1" x14ac:dyDescent="0.3">
      <c r="A183" s="199">
        <v>175</v>
      </c>
      <c r="B183" s="1573" t="s">
        <v>1174</v>
      </c>
      <c r="C183" s="1572">
        <v>87</v>
      </c>
      <c r="D183" s="646"/>
      <c r="E183" s="268"/>
    </row>
    <row r="184" spans="1:5" s="266" customFormat="1" ht="18" customHeight="1" x14ac:dyDescent="0.3">
      <c r="A184" s="199">
        <v>176</v>
      </c>
      <c r="B184" s="1573" t="s">
        <v>1184</v>
      </c>
      <c r="C184" s="1572">
        <v>30</v>
      </c>
      <c r="D184" s="646"/>
      <c r="E184" s="268"/>
    </row>
    <row r="185" spans="1:5" s="266" customFormat="1" ht="18" customHeight="1" x14ac:dyDescent="0.3">
      <c r="A185" s="199">
        <v>177</v>
      </c>
      <c r="B185" s="1573" t="s">
        <v>1185</v>
      </c>
      <c r="C185" s="1572">
        <v>50</v>
      </c>
      <c r="D185" s="646"/>
      <c r="E185" s="268"/>
    </row>
    <row r="186" spans="1:5" s="266" customFormat="1" ht="18" customHeight="1" x14ac:dyDescent="0.3">
      <c r="A186" s="199">
        <v>178</v>
      </c>
      <c r="B186" s="1573" t="s">
        <v>1186</v>
      </c>
      <c r="C186" s="1572">
        <v>50</v>
      </c>
      <c r="D186" s="646"/>
      <c r="E186" s="268"/>
    </row>
    <row r="187" spans="1:5" s="266" customFormat="1" ht="18" customHeight="1" x14ac:dyDescent="0.3">
      <c r="A187" s="199">
        <v>179</v>
      </c>
      <c r="B187" s="1573" t="s">
        <v>1187</v>
      </c>
      <c r="C187" s="1572">
        <v>80</v>
      </c>
      <c r="D187" s="646"/>
      <c r="E187" s="268"/>
    </row>
    <row r="188" spans="1:5" s="266" customFormat="1" ht="18" customHeight="1" x14ac:dyDescent="0.3">
      <c r="A188" s="199">
        <v>180</v>
      </c>
      <c r="B188" s="1573" t="s">
        <v>1188</v>
      </c>
      <c r="C188" s="1572">
        <v>50</v>
      </c>
      <c r="D188" s="646"/>
      <c r="E188" s="268"/>
    </row>
    <row r="189" spans="1:5" s="266" customFormat="1" ht="18" customHeight="1" x14ac:dyDescent="0.3">
      <c r="A189" s="199">
        <v>181</v>
      </c>
      <c r="B189" s="1573" t="s">
        <v>1189</v>
      </c>
      <c r="C189" s="1572">
        <v>50</v>
      </c>
      <c r="D189" s="646"/>
      <c r="E189" s="268"/>
    </row>
    <row r="190" spans="1:5" s="266" customFormat="1" ht="18" customHeight="1" x14ac:dyDescent="0.3">
      <c r="A190" s="199">
        <v>182</v>
      </c>
      <c r="B190" s="1575" t="s">
        <v>1169</v>
      </c>
      <c r="C190" s="1572">
        <v>50</v>
      </c>
      <c r="D190" s="646"/>
      <c r="E190" s="268"/>
    </row>
    <row r="191" spans="1:5" s="266" customFormat="1" ht="18" customHeight="1" x14ac:dyDescent="0.3">
      <c r="A191" s="199">
        <v>183</v>
      </c>
      <c r="B191" s="1573" t="s">
        <v>1190</v>
      </c>
      <c r="C191" s="1572">
        <v>44</v>
      </c>
      <c r="D191" s="646"/>
      <c r="E191" s="268"/>
    </row>
    <row r="192" spans="1:5" s="266" customFormat="1" ht="18" customHeight="1" x14ac:dyDescent="0.35">
      <c r="A192" s="199">
        <v>184</v>
      </c>
      <c r="B192" s="1571" t="s">
        <v>1148</v>
      </c>
      <c r="C192" s="1572"/>
      <c r="D192" s="646"/>
      <c r="E192" s="268"/>
    </row>
    <row r="193" spans="1:5" s="266" customFormat="1" ht="18" customHeight="1" x14ac:dyDescent="0.3">
      <c r="A193" s="199">
        <v>185</v>
      </c>
      <c r="B193" s="1573" t="s">
        <v>1191</v>
      </c>
      <c r="C193" s="1572">
        <v>100</v>
      </c>
      <c r="D193" s="646"/>
      <c r="E193" s="268"/>
    </row>
    <row r="194" spans="1:5" s="266" customFormat="1" ht="20.100000000000001" customHeight="1" x14ac:dyDescent="0.3">
      <c r="A194" s="199">
        <v>186</v>
      </c>
      <c r="B194" s="1575" t="s">
        <v>1192</v>
      </c>
      <c r="C194" s="1574">
        <v>78</v>
      </c>
      <c r="D194" s="646"/>
      <c r="E194" s="268"/>
    </row>
    <row r="195" spans="1:5" s="266" customFormat="1" ht="18" customHeight="1" x14ac:dyDescent="0.3">
      <c r="A195" s="199">
        <v>187</v>
      </c>
      <c r="B195" s="1575" t="s">
        <v>1193</v>
      </c>
      <c r="C195" s="1574">
        <v>150</v>
      </c>
      <c r="D195" s="646"/>
      <c r="E195" s="268"/>
    </row>
    <row r="196" spans="1:5" s="266" customFormat="1" ht="18" customHeight="1" x14ac:dyDescent="0.3">
      <c r="A196" s="199">
        <v>188</v>
      </c>
      <c r="B196" s="1573" t="s">
        <v>1194</v>
      </c>
      <c r="C196" s="1572">
        <v>150</v>
      </c>
      <c r="D196" s="646"/>
      <c r="E196" s="268"/>
    </row>
    <row r="197" spans="1:5" s="266" customFormat="1" ht="18" customHeight="1" x14ac:dyDescent="0.3">
      <c r="A197" s="199">
        <v>189</v>
      </c>
      <c r="B197" s="1573" t="s">
        <v>1195</v>
      </c>
      <c r="C197" s="1572">
        <v>70</v>
      </c>
      <c r="D197" s="646"/>
      <c r="E197" s="268"/>
    </row>
    <row r="198" spans="1:5" s="266" customFormat="1" ht="18" customHeight="1" x14ac:dyDescent="0.3">
      <c r="A198" s="199">
        <v>190</v>
      </c>
      <c r="B198" s="1573" t="s">
        <v>1196</v>
      </c>
      <c r="C198" s="1572">
        <v>50</v>
      </c>
      <c r="D198" s="646"/>
      <c r="E198" s="268"/>
    </row>
    <row r="199" spans="1:5" s="266" customFormat="1" ht="18" customHeight="1" x14ac:dyDescent="0.3">
      <c r="A199" s="199">
        <v>191</v>
      </c>
      <c r="B199" s="1573" t="s">
        <v>1197</v>
      </c>
      <c r="C199" s="1572">
        <v>30</v>
      </c>
      <c r="D199" s="646"/>
      <c r="E199" s="268"/>
    </row>
    <row r="200" spans="1:5" s="266" customFormat="1" ht="18" customHeight="1" x14ac:dyDescent="0.3">
      <c r="A200" s="199">
        <v>192</v>
      </c>
      <c r="B200" s="1573" t="s">
        <v>1158</v>
      </c>
      <c r="C200" s="1572">
        <v>50</v>
      </c>
      <c r="D200" s="646"/>
      <c r="E200" s="268"/>
    </row>
    <row r="201" spans="1:5" s="266" customFormat="1" ht="18" customHeight="1" x14ac:dyDescent="0.3">
      <c r="A201" s="199">
        <v>193</v>
      </c>
      <c r="B201" s="1573" t="s">
        <v>1198</v>
      </c>
      <c r="C201" s="1572">
        <v>50</v>
      </c>
      <c r="D201" s="646"/>
      <c r="E201" s="268"/>
    </row>
    <row r="202" spans="1:5" s="266" customFormat="1" ht="18" customHeight="1" x14ac:dyDescent="0.3">
      <c r="A202" s="199">
        <v>194</v>
      </c>
      <c r="B202" s="1573" t="s">
        <v>1199</v>
      </c>
      <c r="C202" s="1572">
        <v>100</v>
      </c>
      <c r="D202" s="646"/>
      <c r="E202" s="268"/>
    </row>
    <row r="203" spans="1:5" s="266" customFormat="1" ht="31.5" customHeight="1" x14ac:dyDescent="0.3">
      <c r="A203" s="199">
        <v>195</v>
      </c>
      <c r="B203" s="1573" t="s">
        <v>1294</v>
      </c>
      <c r="C203" s="1574">
        <v>50</v>
      </c>
      <c r="D203" s="646"/>
      <c r="E203" s="268"/>
    </row>
    <row r="204" spans="1:5" s="266" customFormat="1" ht="31.5" customHeight="1" x14ac:dyDescent="0.3">
      <c r="A204" s="199">
        <v>196</v>
      </c>
      <c r="B204" s="1573" t="s">
        <v>1369</v>
      </c>
      <c r="C204" s="1574">
        <v>35</v>
      </c>
      <c r="D204" s="646"/>
      <c r="E204" s="268"/>
    </row>
    <row r="205" spans="1:5" s="266" customFormat="1" ht="18" customHeight="1" x14ac:dyDescent="0.3">
      <c r="A205" s="199">
        <v>197</v>
      </c>
      <c r="B205" s="1573" t="s">
        <v>1194</v>
      </c>
      <c r="C205" s="1574">
        <v>35</v>
      </c>
      <c r="D205" s="646"/>
      <c r="E205" s="268"/>
    </row>
    <row r="206" spans="1:5" s="266" customFormat="1" ht="18" customHeight="1" x14ac:dyDescent="0.35">
      <c r="A206" s="199">
        <v>198</v>
      </c>
      <c r="B206" s="1571" t="s">
        <v>1149</v>
      </c>
      <c r="C206" s="1572"/>
      <c r="D206" s="646"/>
      <c r="E206" s="268"/>
    </row>
    <row r="207" spans="1:5" s="266" customFormat="1" ht="18" customHeight="1" x14ac:dyDescent="0.3">
      <c r="A207" s="199">
        <v>199</v>
      </c>
      <c r="B207" s="1575" t="s">
        <v>1200</v>
      </c>
      <c r="C207" s="1574">
        <v>100</v>
      </c>
      <c r="D207" s="646"/>
      <c r="E207" s="268"/>
    </row>
    <row r="208" spans="1:5" s="266" customFormat="1" ht="18" customHeight="1" x14ac:dyDescent="0.3">
      <c r="A208" s="199">
        <v>200</v>
      </c>
      <c r="B208" s="1573" t="s">
        <v>1219</v>
      </c>
      <c r="C208" s="1572">
        <v>500</v>
      </c>
      <c r="D208" s="646"/>
      <c r="E208" s="268"/>
    </row>
    <row r="209" spans="1:5" s="266" customFormat="1" ht="18" customHeight="1" x14ac:dyDescent="0.3">
      <c r="A209" s="199">
        <v>201</v>
      </c>
      <c r="B209" s="1573" t="s">
        <v>1185</v>
      </c>
      <c r="C209" s="1572">
        <v>80</v>
      </c>
      <c r="D209" s="646"/>
      <c r="E209" s="268"/>
    </row>
    <row r="210" spans="1:5" s="266" customFormat="1" ht="18" customHeight="1" x14ac:dyDescent="0.3">
      <c r="A210" s="199">
        <v>202</v>
      </c>
      <c r="B210" s="1573" t="s">
        <v>1201</v>
      </c>
      <c r="C210" s="1572">
        <v>150</v>
      </c>
      <c r="D210" s="646"/>
      <c r="E210" s="268"/>
    </row>
    <row r="211" spans="1:5" s="266" customFormat="1" ht="18" customHeight="1" x14ac:dyDescent="0.3">
      <c r="A211" s="199">
        <v>203</v>
      </c>
      <c r="B211" s="1573" t="s">
        <v>1202</v>
      </c>
      <c r="C211" s="1572">
        <v>180</v>
      </c>
      <c r="D211" s="646"/>
      <c r="E211" s="268"/>
    </row>
    <row r="212" spans="1:5" s="266" customFormat="1" ht="18" customHeight="1" x14ac:dyDescent="0.3">
      <c r="A212" s="199">
        <v>204</v>
      </c>
      <c r="B212" s="1573" t="s">
        <v>1203</v>
      </c>
      <c r="C212" s="1572">
        <v>100</v>
      </c>
      <c r="D212" s="646"/>
      <c r="E212" s="268"/>
    </row>
    <row r="213" spans="1:5" s="266" customFormat="1" ht="18" customHeight="1" x14ac:dyDescent="0.35">
      <c r="A213" s="199">
        <v>205</v>
      </c>
      <c r="B213" s="1571" t="s">
        <v>1150</v>
      </c>
      <c r="C213" s="1572"/>
      <c r="D213" s="646"/>
      <c r="E213" s="268"/>
    </row>
    <row r="214" spans="1:5" s="266" customFormat="1" ht="20.100000000000001" customHeight="1" x14ac:dyDescent="0.3">
      <c r="A214" s="199">
        <v>206</v>
      </c>
      <c r="B214" s="1575" t="s">
        <v>1200</v>
      </c>
      <c r="C214" s="1574">
        <v>20</v>
      </c>
      <c r="D214" s="646"/>
      <c r="E214" s="268"/>
    </row>
    <row r="215" spans="1:5" s="266" customFormat="1" ht="18" customHeight="1" x14ac:dyDescent="0.3">
      <c r="A215" s="199">
        <v>207</v>
      </c>
      <c r="B215" s="1573" t="s">
        <v>1066</v>
      </c>
      <c r="C215" s="1572">
        <v>100</v>
      </c>
      <c r="D215" s="646"/>
      <c r="E215" s="268"/>
    </row>
    <row r="216" spans="1:5" s="266" customFormat="1" ht="18" customHeight="1" x14ac:dyDescent="0.3">
      <c r="A216" s="199">
        <v>208</v>
      </c>
      <c r="B216" s="1573" t="s">
        <v>1195</v>
      </c>
      <c r="C216" s="1572">
        <v>70</v>
      </c>
      <c r="D216" s="646"/>
      <c r="E216" s="268"/>
    </row>
    <row r="217" spans="1:5" s="266" customFormat="1" ht="20.100000000000001" customHeight="1" x14ac:dyDescent="0.3">
      <c r="A217" s="199">
        <v>209</v>
      </c>
      <c r="B217" s="1575" t="s">
        <v>1295</v>
      </c>
      <c r="C217" s="1572">
        <v>100</v>
      </c>
      <c r="D217" s="646"/>
      <c r="E217" s="268"/>
    </row>
    <row r="218" spans="1:5" s="266" customFormat="1" ht="20.100000000000001" customHeight="1" x14ac:dyDescent="0.3">
      <c r="A218" s="199">
        <v>210</v>
      </c>
      <c r="B218" s="1575" t="s">
        <v>1296</v>
      </c>
      <c r="C218" s="1572">
        <v>35</v>
      </c>
      <c r="D218" s="646"/>
      <c r="E218" s="268"/>
    </row>
    <row r="219" spans="1:5" s="266" customFormat="1" ht="20.100000000000001" customHeight="1" x14ac:dyDescent="0.3">
      <c r="A219" s="199">
        <v>211</v>
      </c>
      <c r="B219" s="1575" t="s">
        <v>1303</v>
      </c>
      <c r="C219" s="1572">
        <v>50</v>
      </c>
      <c r="D219" s="646"/>
      <c r="E219" s="268"/>
    </row>
    <row r="220" spans="1:5" s="266" customFormat="1" ht="18" customHeight="1" x14ac:dyDescent="0.35">
      <c r="A220" s="199">
        <v>212</v>
      </c>
      <c r="B220" s="1571" t="s">
        <v>1151</v>
      </c>
      <c r="C220" s="1572"/>
      <c r="D220" s="646"/>
      <c r="E220" s="268"/>
    </row>
    <row r="221" spans="1:5" s="266" customFormat="1" ht="18" customHeight="1" x14ac:dyDescent="0.3">
      <c r="A221" s="199">
        <v>213</v>
      </c>
      <c r="B221" s="1573" t="s">
        <v>1204</v>
      </c>
      <c r="C221" s="1572">
        <v>100</v>
      </c>
      <c r="D221" s="646"/>
      <c r="E221" s="268"/>
    </row>
    <row r="222" spans="1:5" s="266" customFormat="1" ht="20.100000000000001" customHeight="1" x14ac:dyDescent="0.3">
      <c r="A222" s="199">
        <v>214</v>
      </c>
      <c r="B222" s="1575" t="s">
        <v>1205</v>
      </c>
      <c r="C222" s="1574">
        <v>400</v>
      </c>
      <c r="D222" s="646"/>
      <c r="E222" s="268"/>
    </row>
    <row r="223" spans="1:5" s="266" customFormat="1" ht="18" customHeight="1" x14ac:dyDescent="0.3">
      <c r="A223" s="199">
        <v>215</v>
      </c>
      <c r="B223" s="1575" t="s">
        <v>1200</v>
      </c>
      <c r="C223" s="1574">
        <v>50</v>
      </c>
      <c r="D223" s="646"/>
      <c r="E223" s="268"/>
    </row>
    <row r="224" spans="1:5" s="266" customFormat="1" ht="18" customHeight="1" x14ac:dyDescent="0.3">
      <c r="A224" s="199">
        <v>216</v>
      </c>
      <c r="B224" s="1573" t="s">
        <v>1206</v>
      </c>
      <c r="C224" s="1572">
        <v>300</v>
      </c>
      <c r="D224" s="646"/>
      <c r="E224" s="268"/>
    </row>
    <row r="225" spans="1:5" s="266" customFormat="1" ht="18" customHeight="1" x14ac:dyDescent="0.3">
      <c r="A225" s="199">
        <v>217</v>
      </c>
      <c r="B225" s="1573" t="s">
        <v>1174</v>
      </c>
      <c r="C225" s="1572">
        <v>70</v>
      </c>
      <c r="D225" s="646"/>
      <c r="E225" s="268"/>
    </row>
    <row r="226" spans="1:5" s="266" customFormat="1" ht="18" customHeight="1" x14ac:dyDescent="0.3">
      <c r="A226" s="199">
        <v>218</v>
      </c>
      <c r="B226" s="1573" t="s">
        <v>1207</v>
      </c>
      <c r="C226" s="1572">
        <v>100</v>
      </c>
      <c r="D226" s="646"/>
      <c r="E226" s="268"/>
    </row>
    <row r="227" spans="1:5" s="266" customFormat="1" ht="18" customHeight="1" x14ac:dyDescent="0.3">
      <c r="A227" s="199">
        <v>219</v>
      </c>
      <c r="B227" s="1573" t="s">
        <v>1208</v>
      </c>
      <c r="C227" s="1572">
        <v>100</v>
      </c>
      <c r="D227" s="646"/>
      <c r="E227" s="268"/>
    </row>
    <row r="228" spans="1:5" s="266" customFormat="1" ht="18" customHeight="1" x14ac:dyDescent="0.3">
      <c r="A228" s="199">
        <v>220</v>
      </c>
      <c r="B228" s="1575" t="s">
        <v>1356</v>
      </c>
      <c r="C228" s="1572">
        <v>70</v>
      </c>
      <c r="D228" s="646"/>
      <c r="E228" s="268"/>
    </row>
    <row r="229" spans="1:5" s="266" customFormat="1" ht="18" customHeight="1" x14ac:dyDescent="0.3">
      <c r="A229" s="199">
        <v>221</v>
      </c>
      <c r="B229" s="1575" t="s">
        <v>1357</v>
      </c>
      <c r="C229" s="1572">
        <v>71</v>
      </c>
      <c r="D229" s="646"/>
      <c r="E229" s="268"/>
    </row>
    <row r="230" spans="1:5" s="266" customFormat="1" ht="34.5" customHeight="1" x14ac:dyDescent="0.3">
      <c r="A230" s="199">
        <v>222</v>
      </c>
      <c r="B230" s="1573" t="s">
        <v>1358</v>
      </c>
      <c r="C230" s="1574">
        <v>40</v>
      </c>
      <c r="D230" s="646"/>
      <c r="E230" s="268"/>
    </row>
    <row r="231" spans="1:5" s="266" customFormat="1" ht="18" customHeight="1" x14ac:dyDescent="0.35">
      <c r="A231" s="199">
        <v>223</v>
      </c>
      <c r="B231" s="1571" t="s">
        <v>1152</v>
      </c>
      <c r="C231" s="1572"/>
      <c r="D231" s="646"/>
      <c r="E231" s="268"/>
    </row>
    <row r="232" spans="1:5" s="266" customFormat="1" ht="18" customHeight="1" x14ac:dyDescent="0.3">
      <c r="A232" s="199">
        <v>224</v>
      </c>
      <c r="B232" s="1575" t="s">
        <v>1205</v>
      </c>
      <c r="C232" s="1572">
        <v>100</v>
      </c>
      <c r="D232" s="646"/>
      <c r="E232" s="268"/>
    </row>
    <row r="233" spans="1:5" s="266" customFormat="1" ht="18" customHeight="1" x14ac:dyDescent="0.3">
      <c r="A233" s="199">
        <v>225</v>
      </c>
      <c r="B233" s="1573" t="s">
        <v>1209</v>
      </c>
      <c r="C233" s="1572">
        <v>50</v>
      </c>
      <c r="D233" s="646"/>
      <c r="E233" s="268"/>
    </row>
    <row r="234" spans="1:5" s="266" customFormat="1" ht="18" customHeight="1" x14ac:dyDescent="0.3">
      <c r="A234" s="199">
        <v>226</v>
      </c>
      <c r="B234" s="1573" t="s">
        <v>1210</v>
      </c>
      <c r="C234" s="1572">
        <v>100</v>
      </c>
      <c r="D234" s="646"/>
      <c r="E234" s="268"/>
    </row>
    <row r="235" spans="1:5" s="266" customFormat="1" ht="18" customHeight="1" x14ac:dyDescent="0.3">
      <c r="A235" s="199">
        <v>227</v>
      </c>
      <c r="B235" s="1573" t="s">
        <v>1211</v>
      </c>
      <c r="C235" s="1572">
        <v>100</v>
      </c>
      <c r="D235" s="646"/>
      <c r="E235" s="268"/>
    </row>
    <row r="236" spans="1:5" s="266" customFormat="1" ht="18" customHeight="1" x14ac:dyDescent="0.3">
      <c r="A236" s="199">
        <v>228</v>
      </c>
      <c r="B236" s="1573" t="s">
        <v>1212</v>
      </c>
      <c r="C236" s="1572">
        <v>100</v>
      </c>
      <c r="D236" s="646"/>
      <c r="E236" s="268"/>
    </row>
    <row r="237" spans="1:5" s="266" customFormat="1" ht="18" customHeight="1" x14ac:dyDescent="0.3">
      <c r="A237" s="199">
        <v>229</v>
      </c>
      <c r="B237" s="1575" t="s">
        <v>1175</v>
      </c>
      <c r="C237" s="1572">
        <v>100</v>
      </c>
      <c r="D237" s="646"/>
      <c r="E237" s="268"/>
    </row>
    <row r="238" spans="1:5" s="266" customFormat="1" ht="18" customHeight="1" x14ac:dyDescent="0.3">
      <c r="A238" s="199">
        <v>230</v>
      </c>
      <c r="B238" s="1573" t="s">
        <v>1204</v>
      </c>
      <c r="C238" s="1572">
        <v>60</v>
      </c>
      <c r="D238" s="646"/>
      <c r="E238" s="268"/>
    </row>
    <row r="239" spans="1:5" s="266" customFormat="1" ht="18" customHeight="1" x14ac:dyDescent="0.3">
      <c r="A239" s="199">
        <v>231</v>
      </c>
      <c r="B239" s="1575" t="s">
        <v>1210</v>
      </c>
      <c r="C239" s="1702">
        <v>80</v>
      </c>
      <c r="D239" s="646"/>
      <c r="E239" s="268"/>
    </row>
    <row r="240" spans="1:5" s="266" customFormat="1" ht="18" customHeight="1" x14ac:dyDescent="0.3">
      <c r="A240" s="199">
        <v>232</v>
      </c>
      <c r="B240" s="1575" t="s">
        <v>1211</v>
      </c>
      <c r="C240" s="1702">
        <v>80</v>
      </c>
      <c r="D240" s="646"/>
      <c r="E240" s="268"/>
    </row>
    <row r="241" spans="1:5" s="266" customFormat="1" ht="18" customHeight="1" x14ac:dyDescent="0.3">
      <c r="A241" s="199">
        <v>233</v>
      </c>
      <c r="B241" s="1575" t="s">
        <v>1212</v>
      </c>
      <c r="C241" s="1702">
        <v>80</v>
      </c>
      <c r="D241" s="646"/>
      <c r="E241" s="268"/>
    </row>
    <row r="242" spans="1:5" s="266" customFormat="1" ht="24.75" customHeight="1" x14ac:dyDescent="0.35">
      <c r="A242" s="199">
        <v>234</v>
      </c>
      <c r="B242" s="1521" t="s">
        <v>1050</v>
      </c>
      <c r="C242" s="1557"/>
      <c r="D242" s="646"/>
      <c r="E242" s="268"/>
    </row>
    <row r="243" spans="1:5" s="266" customFormat="1" ht="18" customHeight="1" x14ac:dyDescent="0.2">
      <c r="A243" s="199">
        <v>235</v>
      </c>
      <c r="B243" s="191" t="s">
        <v>1049</v>
      </c>
      <c r="C243" s="1557">
        <f>40+100</f>
        <v>140</v>
      </c>
      <c r="D243" s="646"/>
      <c r="E243" s="268"/>
    </row>
    <row r="244" spans="1:5" s="266" customFormat="1" ht="18" customHeight="1" x14ac:dyDescent="0.2">
      <c r="A244" s="199">
        <v>236</v>
      </c>
      <c r="B244" s="191" t="s">
        <v>1052</v>
      </c>
      <c r="C244" s="1557">
        <f>40+50</f>
        <v>90</v>
      </c>
      <c r="D244" s="646"/>
      <c r="E244" s="268"/>
    </row>
    <row r="245" spans="1:5" s="266" customFormat="1" ht="18" customHeight="1" x14ac:dyDescent="0.2">
      <c r="A245" s="199">
        <v>237</v>
      </c>
      <c r="B245" s="191" t="s">
        <v>1051</v>
      </c>
      <c r="C245" s="1557">
        <f>40+60</f>
        <v>100</v>
      </c>
      <c r="D245" s="646"/>
      <c r="E245" s="268"/>
    </row>
    <row r="246" spans="1:5" s="266" customFormat="1" ht="18" customHeight="1" x14ac:dyDescent="0.2">
      <c r="A246" s="199">
        <v>238</v>
      </c>
      <c r="B246" s="191" t="s">
        <v>1053</v>
      </c>
      <c r="C246" s="1557">
        <v>30</v>
      </c>
      <c r="D246" s="646"/>
      <c r="E246" s="268"/>
    </row>
    <row r="247" spans="1:5" s="266" customFormat="1" ht="18" customHeight="1" x14ac:dyDescent="0.2">
      <c r="A247" s="199">
        <v>239</v>
      </c>
      <c r="B247" s="191" t="s">
        <v>1054</v>
      </c>
      <c r="C247" s="1557">
        <f>30+50</f>
        <v>80</v>
      </c>
      <c r="D247" s="646"/>
      <c r="E247" s="268"/>
    </row>
    <row r="248" spans="1:5" s="266" customFormat="1" ht="18" customHeight="1" x14ac:dyDescent="0.2">
      <c r="A248" s="199">
        <v>240</v>
      </c>
      <c r="B248" s="191" t="s">
        <v>1055</v>
      </c>
      <c r="C248" s="1557">
        <f>30+30</f>
        <v>60</v>
      </c>
      <c r="D248" s="646"/>
      <c r="E248" s="268"/>
    </row>
    <row r="249" spans="1:5" s="266" customFormat="1" ht="18" customHeight="1" x14ac:dyDescent="0.2">
      <c r="A249" s="199">
        <v>241</v>
      </c>
      <c r="B249" s="191" t="s">
        <v>632</v>
      </c>
      <c r="C249" s="1557">
        <f>30+100</f>
        <v>130</v>
      </c>
      <c r="D249" s="646"/>
      <c r="E249" s="268"/>
    </row>
    <row r="250" spans="1:5" s="266" customFormat="1" ht="18" customHeight="1" x14ac:dyDescent="0.2">
      <c r="A250" s="199">
        <v>242</v>
      </c>
      <c r="B250" s="191" t="s">
        <v>1056</v>
      </c>
      <c r="C250" s="1557">
        <f>30+50</f>
        <v>80</v>
      </c>
      <c r="D250" s="646"/>
      <c r="E250" s="268"/>
    </row>
    <row r="251" spans="1:5" s="266" customFormat="1" ht="18" customHeight="1" x14ac:dyDescent="0.2">
      <c r="A251" s="199">
        <v>243</v>
      </c>
      <c r="B251" s="191" t="s">
        <v>1057</v>
      </c>
      <c r="C251" s="1557">
        <f>30+30</f>
        <v>60</v>
      </c>
      <c r="D251" s="646"/>
      <c r="E251" s="268"/>
    </row>
    <row r="252" spans="1:5" s="266" customFormat="1" ht="18" customHeight="1" x14ac:dyDescent="0.2">
      <c r="A252" s="199">
        <v>244</v>
      </c>
      <c r="B252" s="191" t="s">
        <v>1058</v>
      </c>
      <c r="C252" s="1557">
        <f>30+80</f>
        <v>110</v>
      </c>
      <c r="D252" s="646"/>
      <c r="E252" s="268"/>
    </row>
    <row r="253" spans="1:5" s="266" customFormat="1" ht="18" customHeight="1" x14ac:dyDescent="0.2">
      <c r="A253" s="199">
        <v>245</v>
      </c>
      <c r="B253" s="191" t="s">
        <v>1059</v>
      </c>
      <c r="C253" s="1557">
        <f>30+40</f>
        <v>70</v>
      </c>
      <c r="D253" s="646"/>
      <c r="E253" s="268"/>
    </row>
    <row r="254" spans="1:5" s="266" customFormat="1" ht="18" customHeight="1" x14ac:dyDescent="0.2">
      <c r="A254" s="199">
        <v>246</v>
      </c>
      <c r="B254" s="191" t="s">
        <v>1060</v>
      </c>
      <c r="C254" s="1557">
        <v>30</v>
      </c>
      <c r="D254" s="646"/>
      <c r="E254" s="268"/>
    </row>
    <row r="255" spans="1:5" s="266" customFormat="1" ht="18" customHeight="1" x14ac:dyDescent="0.2">
      <c r="A255" s="199">
        <v>247</v>
      </c>
      <c r="B255" s="191" t="s">
        <v>1061</v>
      </c>
      <c r="C255" s="1557">
        <v>30</v>
      </c>
      <c r="D255" s="646"/>
      <c r="E255" s="268"/>
    </row>
    <row r="256" spans="1:5" s="266" customFormat="1" ht="18" customHeight="1" x14ac:dyDescent="0.2">
      <c r="A256" s="199">
        <v>248</v>
      </c>
      <c r="B256" s="191" t="s">
        <v>1062</v>
      </c>
      <c r="C256" s="1557">
        <f>30+30</f>
        <v>60</v>
      </c>
      <c r="D256" s="646"/>
      <c r="E256" s="268"/>
    </row>
    <row r="257" spans="1:5" s="266" customFormat="1" ht="18" customHeight="1" x14ac:dyDescent="0.2">
      <c r="A257" s="199">
        <v>249</v>
      </c>
      <c r="B257" s="191" t="s">
        <v>1063</v>
      </c>
      <c r="C257" s="1557">
        <f>30+30</f>
        <v>60</v>
      </c>
      <c r="D257" s="646"/>
      <c r="E257" s="268"/>
    </row>
    <row r="258" spans="1:5" s="266" customFormat="1" ht="18" customHeight="1" x14ac:dyDescent="0.2">
      <c r="A258" s="199">
        <v>250</v>
      </c>
      <c r="B258" s="191" t="s">
        <v>1064</v>
      </c>
      <c r="C258" s="1557">
        <f>30+30</f>
        <v>60</v>
      </c>
      <c r="D258" s="646"/>
      <c r="E258" s="268"/>
    </row>
    <row r="259" spans="1:5" s="266" customFormat="1" ht="18" customHeight="1" x14ac:dyDescent="0.2">
      <c r="A259" s="199">
        <v>251</v>
      </c>
      <c r="B259" s="191" t="s">
        <v>1065</v>
      </c>
      <c r="C259" s="1557">
        <f>30+30</f>
        <v>60</v>
      </c>
      <c r="D259" s="646"/>
      <c r="E259" s="268"/>
    </row>
    <row r="260" spans="1:5" s="266" customFormat="1" ht="18" customHeight="1" x14ac:dyDescent="0.2">
      <c r="A260" s="199">
        <v>252</v>
      </c>
      <c r="B260" s="191" t="s">
        <v>1066</v>
      </c>
      <c r="C260" s="1557">
        <v>40</v>
      </c>
      <c r="D260" s="646"/>
      <c r="E260" s="268"/>
    </row>
    <row r="261" spans="1:5" s="266" customFormat="1" ht="18" customHeight="1" x14ac:dyDescent="0.2">
      <c r="A261" s="199">
        <v>253</v>
      </c>
      <c r="B261" s="191" t="s">
        <v>1067</v>
      </c>
      <c r="C261" s="1557">
        <f>40+100</f>
        <v>140</v>
      </c>
      <c r="D261" s="646"/>
      <c r="E261" s="268"/>
    </row>
    <row r="262" spans="1:5" s="266" customFormat="1" ht="18" customHeight="1" x14ac:dyDescent="0.2">
      <c r="A262" s="199">
        <v>254</v>
      </c>
      <c r="B262" s="191" t="s">
        <v>1068</v>
      </c>
      <c r="C262" s="1557">
        <f>10+50</f>
        <v>60</v>
      </c>
      <c r="D262" s="646"/>
      <c r="E262" s="268"/>
    </row>
    <row r="263" spans="1:5" s="266" customFormat="1" ht="18" customHeight="1" x14ac:dyDescent="0.2">
      <c r="A263" s="199">
        <v>255</v>
      </c>
      <c r="B263" s="191" t="s">
        <v>1069</v>
      </c>
      <c r="C263" s="1557">
        <f>30+30</f>
        <v>60</v>
      </c>
      <c r="D263" s="646"/>
      <c r="E263" s="268"/>
    </row>
    <row r="264" spans="1:5" s="266" customFormat="1" ht="18" customHeight="1" x14ac:dyDescent="0.2">
      <c r="A264" s="199">
        <v>256</v>
      </c>
      <c r="B264" s="191" t="s">
        <v>1070</v>
      </c>
      <c r="C264" s="1557">
        <f>40+30</f>
        <v>70</v>
      </c>
      <c r="D264" s="646"/>
      <c r="E264" s="268"/>
    </row>
    <row r="265" spans="1:5" s="266" customFormat="1" ht="18" customHeight="1" x14ac:dyDescent="0.2">
      <c r="A265" s="199">
        <v>257</v>
      </c>
      <c r="B265" s="191" t="s">
        <v>1071</v>
      </c>
      <c r="C265" s="1557">
        <f>30+30</f>
        <v>60</v>
      </c>
      <c r="D265" s="646"/>
      <c r="E265" s="268"/>
    </row>
    <row r="266" spans="1:5" s="266" customFormat="1" ht="18" customHeight="1" x14ac:dyDescent="0.2">
      <c r="A266" s="199">
        <v>258</v>
      </c>
      <c r="B266" s="191" t="s">
        <v>1072</v>
      </c>
      <c r="C266" s="1557">
        <f>30+40</f>
        <v>70</v>
      </c>
      <c r="D266" s="646"/>
      <c r="E266" s="268"/>
    </row>
    <row r="267" spans="1:5" s="266" customFormat="1" ht="18" customHeight="1" x14ac:dyDescent="0.2">
      <c r="A267" s="199">
        <v>259</v>
      </c>
      <c r="B267" s="191" t="s">
        <v>1073</v>
      </c>
      <c r="C267" s="1557">
        <f>30+30</f>
        <v>60</v>
      </c>
      <c r="D267" s="646"/>
      <c r="E267" s="268"/>
    </row>
    <row r="268" spans="1:5" s="266" customFormat="1" ht="18" customHeight="1" x14ac:dyDescent="0.2">
      <c r="A268" s="199">
        <v>260</v>
      </c>
      <c r="B268" s="191" t="s">
        <v>1074</v>
      </c>
      <c r="C268" s="1557">
        <f>40+50</f>
        <v>90</v>
      </c>
      <c r="D268" s="646"/>
      <c r="E268" s="268"/>
    </row>
    <row r="269" spans="1:5" s="266" customFormat="1" ht="18" customHeight="1" x14ac:dyDescent="0.2">
      <c r="A269" s="199">
        <v>261</v>
      </c>
      <c r="B269" s="191" t="s">
        <v>1075</v>
      </c>
      <c r="C269" s="1557">
        <f>40+50</f>
        <v>90</v>
      </c>
      <c r="D269" s="646"/>
      <c r="E269" s="268"/>
    </row>
    <row r="270" spans="1:5" s="266" customFormat="1" ht="18" customHeight="1" x14ac:dyDescent="0.2">
      <c r="A270" s="199">
        <v>262</v>
      </c>
      <c r="B270" s="191" t="s">
        <v>1076</v>
      </c>
      <c r="C270" s="1557">
        <v>30</v>
      </c>
      <c r="D270" s="646"/>
      <c r="E270" s="268"/>
    </row>
    <row r="271" spans="1:5" s="266" customFormat="1" ht="18" customHeight="1" x14ac:dyDescent="0.2">
      <c r="A271" s="199">
        <v>263</v>
      </c>
      <c r="B271" s="191" t="s">
        <v>1077</v>
      </c>
      <c r="C271" s="1557">
        <f>40+50</f>
        <v>90</v>
      </c>
      <c r="D271" s="646"/>
      <c r="E271" s="268"/>
    </row>
    <row r="272" spans="1:5" s="266" customFormat="1" ht="18" customHeight="1" x14ac:dyDescent="0.2">
      <c r="A272" s="199">
        <v>264</v>
      </c>
      <c r="B272" s="191" t="s">
        <v>1078</v>
      </c>
      <c r="C272" s="1557">
        <f>30+80</f>
        <v>110</v>
      </c>
      <c r="D272" s="646"/>
      <c r="E272" s="268"/>
    </row>
    <row r="273" spans="1:5" s="266" customFormat="1" ht="18" customHeight="1" x14ac:dyDescent="0.2">
      <c r="A273" s="199">
        <v>265</v>
      </c>
      <c r="B273" s="191" t="s">
        <v>1079</v>
      </c>
      <c r="C273" s="1557">
        <v>40</v>
      </c>
      <c r="D273" s="646"/>
      <c r="E273" s="268"/>
    </row>
    <row r="274" spans="1:5" s="266" customFormat="1" ht="18" customHeight="1" x14ac:dyDescent="0.2">
      <c r="A274" s="199">
        <v>266</v>
      </c>
      <c r="B274" s="191" t="s">
        <v>631</v>
      </c>
      <c r="C274" s="1557">
        <f>40+50</f>
        <v>90</v>
      </c>
      <c r="D274" s="646"/>
      <c r="E274" s="268"/>
    </row>
    <row r="275" spans="1:5" s="266" customFormat="1" ht="18" customHeight="1" x14ac:dyDescent="0.2">
      <c r="A275" s="199">
        <v>267</v>
      </c>
      <c r="B275" s="191" t="s">
        <v>1080</v>
      </c>
      <c r="C275" s="1557">
        <f>30+30</f>
        <v>60</v>
      </c>
      <c r="D275" s="646"/>
      <c r="E275" s="268"/>
    </row>
    <row r="276" spans="1:5" s="266" customFormat="1" ht="18" customHeight="1" x14ac:dyDescent="0.2">
      <c r="A276" s="199">
        <v>268</v>
      </c>
      <c r="B276" s="191" t="s">
        <v>1081</v>
      </c>
      <c r="C276" s="1557">
        <f>30+30</f>
        <v>60</v>
      </c>
      <c r="D276" s="646"/>
      <c r="E276" s="268"/>
    </row>
    <row r="277" spans="1:5" s="266" customFormat="1" ht="18" customHeight="1" x14ac:dyDescent="0.2">
      <c r="A277" s="199">
        <v>269</v>
      </c>
      <c r="B277" s="191" t="s">
        <v>1082</v>
      </c>
      <c r="C277" s="1557">
        <v>30</v>
      </c>
      <c r="D277" s="646"/>
      <c r="E277" s="268"/>
    </row>
    <row r="278" spans="1:5" s="266" customFormat="1" ht="18" customHeight="1" x14ac:dyDescent="0.2">
      <c r="A278" s="199">
        <v>270</v>
      </c>
      <c r="B278" s="191" t="s">
        <v>1083</v>
      </c>
      <c r="C278" s="1557">
        <f>30+30</f>
        <v>60</v>
      </c>
      <c r="D278" s="646"/>
      <c r="E278" s="268"/>
    </row>
    <row r="279" spans="1:5" s="266" customFormat="1" ht="18" customHeight="1" x14ac:dyDescent="0.2">
      <c r="A279" s="199">
        <v>271</v>
      </c>
      <c r="B279" s="191" t="s">
        <v>1084</v>
      </c>
      <c r="C279" s="1557">
        <f>30+50</f>
        <v>80</v>
      </c>
      <c r="D279" s="646"/>
      <c r="E279" s="268"/>
    </row>
    <row r="280" spans="1:5" s="266" customFormat="1" ht="18" customHeight="1" x14ac:dyDescent="0.2">
      <c r="A280" s="199">
        <v>272</v>
      </c>
      <c r="B280" s="191" t="s">
        <v>1085</v>
      </c>
      <c r="C280" s="1557">
        <f>30+100</f>
        <v>130</v>
      </c>
      <c r="D280" s="646"/>
      <c r="E280" s="268"/>
    </row>
    <row r="281" spans="1:5" s="266" customFormat="1" ht="18" customHeight="1" x14ac:dyDescent="0.2">
      <c r="A281" s="199">
        <v>273</v>
      </c>
      <c r="B281" s="191" t="s">
        <v>1086</v>
      </c>
      <c r="C281" s="1557">
        <f>30+30</f>
        <v>60</v>
      </c>
      <c r="D281" s="646"/>
      <c r="E281" s="268"/>
    </row>
    <row r="282" spans="1:5" s="266" customFormat="1" ht="18" customHeight="1" x14ac:dyDescent="0.2">
      <c r="A282" s="199">
        <v>274</v>
      </c>
      <c r="B282" s="191" t="s">
        <v>1087</v>
      </c>
      <c r="C282" s="1557">
        <f>40+80</f>
        <v>120</v>
      </c>
      <c r="D282" s="646"/>
      <c r="E282" s="268"/>
    </row>
    <row r="283" spans="1:5" s="266" customFormat="1" ht="18" customHeight="1" x14ac:dyDescent="0.2">
      <c r="A283" s="199">
        <v>275</v>
      </c>
      <c r="B283" s="191" t="s">
        <v>1088</v>
      </c>
      <c r="C283" s="1557">
        <f>40+30</f>
        <v>70</v>
      </c>
      <c r="D283" s="646"/>
      <c r="E283" s="268"/>
    </row>
    <row r="284" spans="1:5" s="266" customFormat="1" ht="18" customHeight="1" x14ac:dyDescent="0.2">
      <c r="A284" s="199">
        <v>276</v>
      </c>
      <c r="B284" s="191" t="s">
        <v>1089</v>
      </c>
      <c r="C284" s="1557">
        <f>40+30</f>
        <v>70</v>
      </c>
      <c r="D284" s="646"/>
      <c r="E284" s="268"/>
    </row>
    <row r="285" spans="1:5" s="266" customFormat="1" ht="18" customHeight="1" x14ac:dyDescent="0.2">
      <c r="A285" s="199">
        <v>277</v>
      </c>
      <c r="B285" s="191" t="s">
        <v>1090</v>
      </c>
      <c r="C285" s="1556">
        <f>30+30</f>
        <v>60</v>
      </c>
      <c r="D285" s="646"/>
      <c r="E285" s="268"/>
    </row>
    <row r="286" spans="1:5" s="266" customFormat="1" ht="18" customHeight="1" x14ac:dyDescent="0.2">
      <c r="A286" s="199">
        <v>278</v>
      </c>
      <c r="B286" s="191" t="s">
        <v>1091</v>
      </c>
      <c r="C286" s="1556">
        <f>30+70</f>
        <v>100</v>
      </c>
      <c r="D286" s="646"/>
      <c r="E286" s="268"/>
    </row>
    <row r="287" spans="1:5" s="266" customFormat="1" ht="18" customHeight="1" x14ac:dyDescent="0.2">
      <c r="A287" s="199">
        <v>279</v>
      </c>
      <c r="B287" s="191" t="s">
        <v>1092</v>
      </c>
      <c r="C287" s="1556">
        <f>40+30</f>
        <v>70</v>
      </c>
      <c r="D287" s="646"/>
      <c r="E287" s="268"/>
    </row>
    <row r="288" spans="1:5" s="266" customFormat="1" ht="18" customHeight="1" x14ac:dyDescent="0.2">
      <c r="A288" s="199">
        <v>280</v>
      </c>
      <c r="B288" s="191" t="s">
        <v>1093</v>
      </c>
      <c r="C288" s="1556">
        <f>30+30</f>
        <v>60</v>
      </c>
      <c r="D288" s="646"/>
      <c r="E288" s="268"/>
    </row>
    <row r="289" spans="1:5" s="266" customFormat="1" ht="18" customHeight="1" x14ac:dyDescent="0.2">
      <c r="A289" s="199">
        <v>281</v>
      </c>
      <c r="B289" s="191" t="s">
        <v>1094</v>
      </c>
      <c r="C289" s="1556">
        <f>30+30</f>
        <v>60</v>
      </c>
      <c r="D289" s="646"/>
      <c r="E289" s="268"/>
    </row>
    <row r="290" spans="1:5" s="266" customFormat="1" ht="18" customHeight="1" x14ac:dyDescent="0.2">
      <c r="A290" s="199">
        <v>282</v>
      </c>
      <c r="B290" s="191" t="s">
        <v>1095</v>
      </c>
      <c r="C290" s="1556">
        <v>30</v>
      </c>
      <c r="D290" s="646"/>
      <c r="E290" s="268"/>
    </row>
    <row r="291" spans="1:5" s="266" customFormat="1" ht="18" customHeight="1" x14ac:dyDescent="0.2">
      <c r="A291" s="199">
        <v>283</v>
      </c>
      <c r="B291" s="191" t="s">
        <v>1096</v>
      </c>
      <c r="C291" s="1556">
        <f>40+30</f>
        <v>70</v>
      </c>
      <c r="D291" s="646"/>
      <c r="E291" s="268"/>
    </row>
    <row r="292" spans="1:5" s="266" customFormat="1" ht="18" customHeight="1" x14ac:dyDescent="0.2">
      <c r="A292" s="199">
        <v>284</v>
      </c>
      <c r="B292" s="191" t="s">
        <v>1097</v>
      </c>
      <c r="C292" s="1556">
        <f>30+30</f>
        <v>60</v>
      </c>
      <c r="D292" s="646"/>
      <c r="E292" s="268"/>
    </row>
    <row r="293" spans="1:5" s="266" customFormat="1" ht="18" customHeight="1" x14ac:dyDescent="0.2">
      <c r="A293" s="199">
        <v>285</v>
      </c>
      <c r="B293" s="191" t="s">
        <v>1098</v>
      </c>
      <c r="C293" s="1556">
        <v>150</v>
      </c>
      <c r="D293" s="646"/>
      <c r="E293" s="268"/>
    </row>
    <row r="294" spans="1:5" s="266" customFormat="1" ht="18" customHeight="1" x14ac:dyDescent="0.2">
      <c r="A294" s="199">
        <v>286</v>
      </c>
      <c r="B294" s="191" t="s">
        <v>1099</v>
      </c>
      <c r="C294" s="1556">
        <v>40</v>
      </c>
      <c r="D294" s="646"/>
      <c r="E294" s="268"/>
    </row>
    <row r="295" spans="1:5" s="266" customFormat="1" ht="18" customHeight="1" x14ac:dyDescent="0.2">
      <c r="A295" s="199">
        <v>287</v>
      </c>
      <c r="B295" s="191" t="s">
        <v>1100</v>
      </c>
      <c r="C295" s="1556">
        <v>50</v>
      </c>
      <c r="D295" s="646"/>
      <c r="E295" s="268"/>
    </row>
    <row r="296" spans="1:5" s="266" customFormat="1" ht="18" customHeight="1" x14ac:dyDescent="0.2">
      <c r="A296" s="199">
        <v>288</v>
      </c>
      <c r="B296" s="191" t="s">
        <v>1101</v>
      </c>
      <c r="C296" s="1556">
        <v>50</v>
      </c>
      <c r="D296" s="646"/>
      <c r="E296" s="268"/>
    </row>
    <row r="297" spans="1:5" s="266" customFormat="1" ht="18" customHeight="1" x14ac:dyDescent="0.2">
      <c r="A297" s="199">
        <v>289</v>
      </c>
      <c r="B297" s="191" t="s">
        <v>1102</v>
      </c>
      <c r="C297" s="1556">
        <v>100</v>
      </c>
      <c r="D297" s="646"/>
      <c r="E297" s="268"/>
    </row>
    <row r="298" spans="1:5" s="266" customFormat="1" ht="18" customHeight="1" x14ac:dyDescent="0.2">
      <c r="A298" s="199">
        <v>290</v>
      </c>
      <c r="B298" s="191" t="s">
        <v>1103</v>
      </c>
      <c r="C298" s="1556">
        <v>100</v>
      </c>
      <c r="D298" s="646"/>
      <c r="E298" s="268"/>
    </row>
    <row r="299" spans="1:5" s="266" customFormat="1" ht="18" customHeight="1" x14ac:dyDescent="0.2">
      <c r="A299" s="199">
        <v>291</v>
      </c>
      <c r="B299" s="191" t="s">
        <v>1104</v>
      </c>
      <c r="C299" s="1556">
        <v>100</v>
      </c>
      <c r="D299" s="646"/>
      <c r="E299" s="268"/>
    </row>
    <row r="300" spans="1:5" s="266" customFormat="1" ht="18" customHeight="1" x14ac:dyDescent="0.2">
      <c r="A300" s="199">
        <v>292</v>
      </c>
      <c r="B300" s="191" t="s">
        <v>1105</v>
      </c>
      <c r="C300" s="1556">
        <v>50</v>
      </c>
      <c r="D300" s="646"/>
      <c r="E300" s="268"/>
    </row>
    <row r="301" spans="1:5" s="266" customFormat="1" ht="18" customHeight="1" x14ac:dyDescent="0.2">
      <c r="A301" s="199">
        <v>293</v>
      </c>
      <c r="B301" s="191" t="s">
        <v>1106</v>
      </c>
      <c r="C301" s="1556">
        <v>30</v>
      </c>
      <c r="D301" s="646"/>
      <c r="E301" s="268"/>
    </row>
    <row r="302" spans="1:5" s="266" customFormat="1" ht="18" customHeight="1" x14ac:dyDescent="0.2">
      <c r="A302" s="199">
        <v>294</v>
      </c>
      <c r="B302" s="191" t="s">
        <v>1107</v>
      </c>
      <c r="C302" s="1556">
        <v>30</v>
      </c>
      <c r="D302" s="646"/>
      <c r="E302" s="268"/>
    </row>
    <row r="303" spans="1:5" s="266" customFormat="1" ht="18" customHeight="1" x14ac:dyDescent="0.2">
      <c r="A303" s="199">
        <v>295</v>
      </c>
      <c r="B303" s="191" t="s">
        <v>1108</v>
      </c>
      <c r="C303" s="1556">
        <v>30</v>
      </c>
      <c r="D303" s="646"/>
      <c r="E303" s="268"/>
    </row>
    <row r="304" spans="1:5" s="266" customFormat="1" ht="18" customHeight="1" x14ac:dyDescent="0.2">
      <c r="A304" s="199">
        <v>296</v>
      </c>
      <c r="B304" s="191" t="s">
        <v>1109</v>
      </c>
      <c r="C304" s="1556">
        <v>30</v>
      </c>
      <c r="D304" s="646"/>
      <c r="E304" s="268"/>
    </row>
    <row r="305" spans="1:5" s="266" customFormat="1" ht="18" customHeight="1" x14ac:dyDescent="0.2">
      <c r="A305" s="199">
        <v>297</v>
      </c>
      <c r="B305" s="191" t="s">
        <v>1110</v>
      </c>
      <c r="C305" s="1556">
        <v>30</v>
      </c>
      <c r="D305" s="646"/>
      <c r="E305" s="268"/>
    </row>
    <row r="306" spans="1:5" s="266" customFormat="1" ht="18" customHeight="1" x14ac:dyDescent="0.2">
      <c r="A306" s="199">
        <v>298</v>
      </c>
      <c r="B306" s="191" t="s">
        <v>1111</v>
      </c>
      <c r="C306" s="1556">
        <v>20</v>
      </c>
      <c r="D306" s="646"/>
      <c r="E306" s="268"/>
    </row>
    <row r="307" spans="1:5" s="266" customFormat="1" ht="18" customHeight="1" x14ac:dyDescent="0.2">
      <c r="A307" s="199">
        <v>299</v>
      </c>
      <c r="B307" s="191" t="s">
        <v>1112</v>
      </c>
      <c r="C307" s="1556">
        <v>40</v>
      </c>
      <c r="D307" s="646"/>
      <c r="E307" s="268"/>
    </row>
    <row r="308" spans="1:5" s="266" customFormat="1" ht="18" customHeight="1" x14ac:dyDescent="0.2">
      <c r="A308" s="199">
        <v>300</v>
      </c>
      <c r="B308" s="191" t="s">
        <v>1113</v>
      </c>
      <c r="C308" s="1556">
        <v>30</v>
      </c>
      <c r="D308" s="646"/>
      <c r="E308" s="268"/>
    </row>
    <row r="309" spans="1:5" s="266" customFormat="1" ht="18" customHeight="1" x14ac:dyDescent="0.2">
      <c r="A309" s="199">
        <v>301</v>
      </c>
      <c r="B309" s="191" t="s">
        <v>1114</v>
      </c>
      <c r="C309" s="1556">
        <v>30</v>
      </c>
      <c r="D309" s="646"/>
      <c r="E309" s="268"/>
    </row>
    <row r="310" spans="1:5" s="266" customFormat="1" ht="18" customHeight="1" x14ac:dyDescent="0.2">
      <c r="A310" s="199">
        <v>302</v>
      </c>
      <c r="B310" s="191" t="s">
        <v>1115</v>
      </c>
      <c r="C310" s="1556">
        <v>80</v>
      </c>
      <c r="D310" s="646"/>
      <c r="E310" s="268"/>
    </row>
    <row r="311" spans="1:5" s="266" customFormat="1" ht="18" customHeight="1" x14ac:dyDescent="0.2">
      <c r="A311" s="199">
        <v>303</v>
      </c>
      <c r="B311" s="191" t="s">
        <v>1116</v>
      </c>
      <c r="C311" s="1556">
        <v>60</v>
      </c>
      <c r="D311" s="646"/>
      <c r="E311" s="268"/>
    </row>
    <row r="312" spans="1:5" s="266" customFormat="1" ht="18" customHeight="1" x14ac:dyDescent="0.2">
      <c r="A312" s="199">
        <v>304</v>
      </c>
      <c r="B312" s="191" t="s">
        <v>1117</v>
      </c>
      <c r="C312" s="1556">
        <v>50</v>
      </c>
      <c r="D312" s="646"/>
      <c r="E312" s="268"/>
    </row>
    <row r="313" spans="1:5" s="266" customFormat="1" ht="18" customHeight="1" x14ac:dyDescent="0.2">
      <c r="A313" s="199">
        <v>305</v>
      </c>
      <c r="B313" s="191" t="s">
        <v>1118</v>
      </c>
      <c r="C313" s="1556">
        <v>50</v>
      </c>
      <c r="D313" s="646"/>
      <c r="E313" s="268"/>
    </row>
    <row r="314" spans="1:5" s="266" customFormat="1" ht="18" customHeight="1" x14ac:dyDescent="0.2">
      <c r="A314" s="199">
        <v>306</v>
      </c>
      <c r="B314" s="191" t="s">
        <v>1119</v>
      </c>
      <c r="C314" s="1556">
        <v>30</v>
      </c>
      <c r="D314" s="646"/>
      <c r="E314" s="268"/>
    </row>
    <row r="315" spans="1:5" s="266" customFormat="1" ht="18" customHeight="1" x14ac:dyDescent="0.2">
      <c r="A315" s="199">
        <v>307</v>
      </c>
      <c r="B315" s="191" t="s">
        <v>989</v>
      </c>
      <c r="C315" s="1556">
        <v>50</v>
      </c>
      <c r="D315" s="646"/>
      <c r="E315" s="268"/>
    </row>
    <row r="316" spans="1:5" s="266" customFormat="1" ht="18" customHeight="1" x14ac:dyDescent="0.2">
      <c r="A316" s="199">
        <v>308</v>
      </c>
      <c r="B316" s="191" t="s">
        <v>1120</v>
      </c>
      <c r="C316" s="1556">
        <v>30</v>
      </c>
      <c r="D316" s="646"/>
      <c r="E316" s="268"/>
    </row>
    <row r="317" spans="1:5" s="266" customFormat="1" ht="18" customHeight="1" x14ac:dyDescent="0.2">
      <c r="A317" s="199">
        <v>309</v>
      </c>
      <c r="B317" s="191" t="s">
        <v>1121</v>
      </c>
      <c r="C317" s="1556">
        <v>100</v>
      </c>
      <c r="D317" s="646"/>
      <c r="E317" s="268"/>
    </row>
    <row r="318" spans="1:5" s="266" customFormat="1" ht="18" customHeight="1" x14ac:dyDescent="0.2">
      <c r="A318" s="199">
        <v>310</v>
      </c>
      <c r="B318" s="191" t="s">
        <v>1122</v>
      </c>
      <c r="C318" s="1556">
        <v>30</v>
      </c>
      <c r="D318" s="646"/>
      <c r="E318" s="268"/>
    </row>
    <row r="319" spans="1:5" s="266" customFormat="1" ht="18" customHeight="1" x14ac:dyDescent="0.2">
      <c r="A319" s="199">
        <v>311</v>
      </c>
      <c r="B319" s="191" t="s">
        <v>1123</v>
      </c>
      <c r="C319" s="1556">
        <v>30</v>
      </c>
      <c r="D319" s="646"/>
      <c r="E319" s="268"/>
    </row>
    <row r="320" spans="1:5" s="266" customFormat="1" ht="18" customHeight="1" x14ac:dyDescent="0.2">
      <c r="A320" s="199">
        <v>312</v>
      </c>
      <c r="B320" s="191" t="s">
        <v>1124</v>
      </c>
      <c r="C320" s="1556">
        <v>30</v>
      </c>
      <c r="D320" s="646"/>
      <c r="E320" s="268"/>
    </row>
    <row r="321" spans="1:5" s="266" customFormat="1" ht="18" customHeight="1" x14ac:dyDescent="0.2">
      <c r="A321" s="199">
        <v>313</v>
      </c>
      <c r="B321" s="191" t="s">
        <v>1257</v>
      </c>
      <c r="C321" s="1556">
        <v>150</v>
      </c>
      <c r="D321" s="646"/>
      <c r="E321" s="268"/>
    </row>
    <row r="322" spans="1:5" s="266" customFormat="1" ht="20.100000000000001" customHeight="1" thickBot="1" x14ac:dyDescent="0.35">
      <c r="A322" s="199">
        <v>314</v>
      </c>
      <c r="B322" s="1576" t="s">
        <v>951</v>
      </c>
      <c r="C322" s="1577">
        <v>4500</v>
      </c>
      <c r="D322" s="646"/>
      <c r="E322" s="268"/>
    </row>
    <row r="323" spans="1:5" ht="30" customHeight="1" thickBot="1" x14ac:dyDescent="0.25">
      <c r="A323" s="1741">
        <v>315</v>
      </c>
      <c r="B323" s="193" t="s">
        <v>14</v>
      </c>
      <c r="C323" s="194">
        <f>SUM(C9:C322)</f>
        <v>360883</v>
      </c>
    </row>
  </sheetData>
  <mergeCells count="6">
    <mergeCell ref="B2:C2"/>
    <mergeCell ref="B3:C3"/>
    <mergeCell ref="B4:C4"/>
    <mergeCell ref="B5:C5"/>
    <mergeCell ref="B7:B8"/>
    <mergeCell ref="C7:C8"/>
  </mergeCells>
  <printOptions horizontalCentered="1"/>
  <pageMargins left="0.19685039370078741" right="0.19685039370078741" top="0.98425196850393704" bottom="0.98425196850393704" header="0.51181102362204722" footer="0.51181102362204722"/>
  <pageSetup paperSize="9" scale="90" orientation="portrait" r:id="rId1"/>
  <headerFooter>
    <oddFooter>&amp;C-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Q403"/>
  <sheetViews>
    <sheetView view="pageBreakPreview" zoomScaleNormal="100" zoomScaleSheetLayoutView="100" workbookViewId="0">
      <pane ySplit="6" topLeftCell="A165" activePane="bottomLeft" state="frozen"/>
      <selection activeCell="J63" sqref="J63"/>
      <selection pane="bottomLeft" activeCell="B1" sqref="B1:D1"/>
    </sheetView>
  </sheetViews>
  <sheetFormatPr defaultColWidth="9.140625" defaultRowHeight="17.25" x14ac:dyDescent="0.35"/>
  <cols>
    <col min="1" max="1" width="4.28515625" style="681" customWidth="1"/>
    <col min="2" max="2" width="4.28515625" style="438" customWidth="1"/>
    <col min="3" max="3" width="5.7109375" style="437" customWidth="1"/>
    <col min="4" max="4" width="59.7109375" style="439" customWidth="1"/>
    <col min="5" max="5" width="5.5703125" style="440" bestFit="1" customWidth="1"/>
    <col min="6" max="8" width="11.7109375" style="1703" customWidth="1"/>
    <col min="9" max="10" width="13.7109375" style="1703" customWidth="1"/>
    <col min="11" max="11" width="13.7109375" style="1704" customWidth="1"/>
    <col min="12" max="12" width="13.7109375" style="1703" customWidth="1"/>
    <col min="13" max="13" width="13.28515625" style="675" customWidth="1"/>
    <col min="14" max="14" width="10.42578125" style="436" customWidth="1"/>
    <col min="15" max="16384" width="9.140625" style="436"/>
  </cols>
  <sheetData>
    <row r="1" spans="1:251" ht="18" customHeight="1" x14ac:dyDescent="0.3">
      <c r="A1" s="729"/>
      <c r="B1" s="1856" t="s">
        <v>1500</v>
      </c>
      <c r="C1" s="1856"/>
      <c r="D1" s="1856"/>
      <c r="E1" s="730"/>
      <c r="F1" s="731"/>
      <c r="G1" s="731"/>
      <c r="H1" s="731"/>
      <c r="I1" s="1841"/>
      <c r="J1" s="1841"/>
      <c r="K1" s="1841"/>
      <c r="L1" s="1841"/>
      <c r="M1" s="1841"/>
      <c r="N1" s="732"/>
      <c r="O1" s="732"/>
      <c r="P1" s="732"/>
      <c r="Q1" s="732"/>
      <c r="R1" s="732"/>
      <c r="S1" s="732"/>
      <c r="T1" s="732"/>
      <c r="U1" s="732"/>
      <c r="V1" s="732"/>
      <c r="W1" s="732"/>
      <c r="X1" s="732"/>
      <c r="Y1" s="732"/>
      <c r="Z1" s="732"/>
      <c r="AA1" s="732"/>
      <c r="AB1" s="732"/>
      <c r="AC1" s="732"/>
      <c r="AD1" s="732"/>
      <c r="AE1" s="732"/>
      <c r="AF1" s="732"/>
      <c r="AG1" s="732"/>
      <c r="AH1" s="732"/>
      <c r="AI1" s="732"/>
      <c r="AJ1" s="732"/>
      <c r="AK1" s="732"/>
      <c r="AL1" s="732"/>
      <c r="AM1" s="732"/>
      <c r="AN1" s="732"/>
      <c r="AO1" s="732"/>
      <c r="AP1" s="732"/>
      <c r="AQ1" s="732"/>
      <c r="AR1" s="732"/>
      <c r="AS1" s="732"/>
      <c r="AT1" s="732"/>
      <c r="AU1" s="732"/>
      <c r="AV1" s="732"/>
      <c r="AW1" s="732"/>
      <c r="AX1" s="732"/>
      <c r="AY1" s="732"/>
      <c r="AZ1" s="732"/>
      <c r="BA1" s="732"/>
      <c r="BB1" s="732"/>
      <c r="BC1" s="732"/>
      <c r="BD1" s="732"/>
      <c r="BE1" s="732"/>
      <c r="BF1" s="732"/>
      <c r="BG1" s="732"/>
      <c r="BH1" s="732"/>
      <c r="BI1" s="732"/>
      <c r="BJ1" s="732"/>
      <c r="BK1" s="732"/>
      <c r="BL1" s="732"/>
      <c r="BM1" s="732"/>
      <c r="BN1" s="732"/>
      <c r="BO1" s="732"/>
      <c r="BP1" s="732"/>
      <c r="BQ1" s="732"/>
      <c r="BR1" s="732"/>
      <c r="BS1" s="732"/>
      <c r="BT1" s="732"/>
      <c r="BU1" s="732"/>
      <c r="BV1" s="732"/>
      <c r="BW1" s="732"/>
      <c r="BX1" s="732"/>
      <c r="BY1" s="732"/>
      <c r="BZ1" s="732"/>
      <c r="CA1" s="732"/>
      <c r="CB1" s="732"/>
      <c r="CC1" s="732"/>
      <c r="CD1" s="732"/>
      <c r="CE1" s="732"/>
      <c r="CF1" s="732"/>
      <c r="CG1" s="732"/>
      <c r="CH1" s="732"/>
      <c r="CI1" s="732"/>
      <c r="CJ1" s="732"/>
      <c r="CK1" s="732"/>
      <c r="CL1" s="732"/>
      <c r="CM1" s="732"/>
      <c r="CN1" s="732"/>
      <c r="CO1" s="732"/>
      <c r="CP1" s="732"/>
      <c r="CQ1" s="732"/>
      <c r="CR1" s="732"/>
      <c r="CS1" s="732"/>
      <c r="CT1" s="732"/>
      <c r="CU1" s="732"/>
      <c r="CV1" s="732"/>
      <c r="CW1" s="732"/>
      <c r="CX1" s="732"/>
      <c r="CY1" s="732"/>
      <c r="CZ1" s="732"/>
      <c r="DA1" s="732"/>
      <c r="DB1" s="732"/>
      <c r="DC1" s="732"/>
      <c r="DD1" s="732"/>
      <c r="DE1" s="732"/>
      <c r="DF1" s="732"/>
      <c r="DG1" s="732"/>
      <c r="DH1" s="732"/>
      <c r="DI1" s="732"/>
      <c r="DJ1" s="732"/>
      <c r="DK1" s="732"/>
      <c r="DL1" s="732"/>
      <c r="DM1" s="732"/>
      <c r="DN1" s="732"/>
      <c r="DO1" s="732"/>
      <c r="DP1" s="732"/>
      <c r="DQ1" s="732"/>
      <c r="DR1" s="732"/>
      <c r="DS1" s="732"/>
      <c r="DT1" s="732"/>
      <c r="DU1" s="732"/>
      <c r="DV1" s="732"/>
      <c r="DW1" s="732"/>
      <c r="DX1" s="732"/>
      <c r="DY1" s="732"/>
      <c r="DZ1" s="732"/>
      <c r="EA1" s="732"/>
      <c r="EB1" s="732"/>
      <c r="EC1" s="732"/>
      <c r="ED1" s="732"/>
      <c r="EE1" s="732"/>
      <c r="EF1" s="732"/>
      <c r="EG1" s="732"/>
      <c r="EH1" s="732"/>
      <c r="EI1" s="732"/>
      <c r="EJ1" s="732"/>
      <c r="EK1" s="732"/>
      <c r="EL1" s="732"/>
      <c r="EM1" s="732"/>
      <c r="EN1" s="732"/>
      <c r="EO1" s="732"/>
      <c r="EP1" s="732"/>
      <c r="EQ1" s="732"/>
      <c r="ER1" s="732"/>
      <c r="ES1" s="732"/>
      <c r="ET1" s="732"/>
      <c r="EU1" s="732"/>
      <c r="EV1" s="732"/>
      <c r="EW1" s="732"/>
      <c r="EX1" s="732"/>
      <c r="EY1" s="732"/>
      <c r="EZ1" s="732"/>
      <c r="FA1" s="732"/>
      <c r="FB1" s="732"/>
      <c r="FC1" s="732"/>
      <c r="FD1" s="732"/>
      <c r="FE1" s="732"/>
      <c r="FF1" s="732"/>
      <c r="FG1" s="732"/>
      <c r="FH1" s="732"/>
      <c r="FI1" s="732"/>
      <c r="FJ1" s="732"/>
      <c r="FK1" s="732"/>
      <c r="FL1" s="732"/>
      <c r="FM1" s="732"/>
      <c r="FN1" s="732"/>
      <c r="FO1" s="732"/>
      <c r="FP1" s="732"/>
      <c r="FQ1" s="732"/>
      <c r="FR1" s="732"/>
      <c r="FS1" s="732"/>
      <c r="FT1" s="732"/>
      <c r="FU1" s="732"/>
      <c r="FV1" s="732"/>
      <c r="FW1" s="732"/>
      <c r="FX1" s="732"/>
      <c r="FY1" s="732"/>
      <c r="FZ1" s="732"/>
      <c r="GA1" s="732"/>
      <c r="GB1" s="732"/>
      <c r="GC1" s="732"/>
      <c r="GD1" s="732"/>
      <c r="GE1" s="732"/>
      <c r="GF1" s="732"/>
      <c r="GG1" s="732"/>
      <c r="GH1" s="732"/>
      <c r="GI1" s="732"/>
      <c r="GJ1" s="732"/>
      <c r="GK1" s="732"/>
      <c r="GL1" s="732"/>
      <c r="GM1" s="732"/>
      <c r="GN1" s="732"/>
      <c r="GO1" s="732"/>
      <c r="GP1" s="732"/>
      <c r="GQ1" s="732"/>
      <c r="GR1" s="732"/>
      <c r="GS1" s="732"/>
      <c r="GT1" s="732"/>
      <c r="GU1" s="732"/>
      <c r="GV1" s="732"/>
      <c r="GW1" s="732"/>
      <c r="GX1" s="732"/>
      <c r="GY1" s="732"/>
      <c r="GZ1" s="732"/>
      <c r="HA1" s="732"/>
      <c r="HB1" s="732"/>
      <c r="HC1" s="732"/>
      <c r="HD1" s="732"/>
      <c r="HE1" s="732"/>
      <c r="HF1" s="732"/>
      <c r="HG1" s="732"/>
      <c r="HH1" s="732"/>
      <c r="HI1" s="732"/>
      <c r="HJ1" s="732"/>
      <c r="HK1" s="732"/>
      <c r="HL1" s="732"/>
      <c r="HM1" s="732"/>
      <c r="HN1" s="732"/>
      <c r="HO1" s="732"/>
      <c r="HP1" s="732"/>
      <c r="HQ1" s="732"/>
      <c r="HR1" s="732"/>
      <c r="HS1" s="732"/>
      <c r="HT1" s="732"/>
      <c r="HU1" s="732"/>
      <c r="HV1" s="732"/>
      <c r="HW1" s="732"/>
      <c r="HX1" s="732"/>
      <c r="HY1" s="732"/>
      <c r="HZ1" s="732"/>
      <c r="IA1" s="732"/>
      <c r="IB1" s="732"/>
      <c r="IC1" s="732"/>
      <c r="ID1" s="732"/>
      <c r="IE1" s="732"/>
      <c r="IF1" s="732"/>
      <c r="IG1" s="732"/>
      <c r="IH1" s="732"/>
      <c r="II1" s="732"/>
      <c r="IJ1" s="732"/>
      <c r="IK1" s="732"/>
      <c r="IL1" s="732"/>
      <c r="IM1" s="732"/>
      <c r="IN1" s="732"/>
      <c r="IO1" s="732"/>
      <c r="IP1" s="732"/>
      <c r="IQ1" s="732"/>
    </row>
    <row r="2" spans="1:251" ht="18" customHeight="1" x14ac:dyDescent="0.35">
      <c r="B2" s="1842" t="s">
        <v>15</v>
      </c>
      <c r="C2" s="1842"/>
      <c r="D2" s="1842"/>
      <c r="E2" s="1842"/>
      <c r="F2" s="1842"/>
      <c r="G2" s="1842"/>
      <c r="H2" s="1842"/>
      <c r="I2" s="1842"/>
      <c r="J2" s="1842"/>
      <c r="K2" s="1842"/>
      <c r="L2" s="1842"/>
      <c r="M2" s="1842"/>
    </row>
    <row r="3" spans="1:251" ht="18" customHeight="1" x14ac:dyDescent="0.3">
      <c r="B3" s="1843" t="s">
        <v>1389</v>
      </c>
      <c r="C3" s="1843"/>
      <c r="D3" s="1843"/>
      <c r="E3" s="1843"/>
      <c r="F3" s="1843"/>
      <c r="G3" s="1843"/>
      <c r="H3" s="1843"/>
      <c r="I3" s="1843"/>
      <c r="J3" s="1843"/>
      <c r="K3" s="1843"/>
      <c r="L3" s="1843"/>
      <c r="M3" s="1843"/>
    </row>
    <row r="4" spans="1:251" ht="18" customHeight="1" x14ac:dyDescent="0.35">
      <c r="M4" s="1704" t="s">
        <v>0</v>
      </c>
    </row>
    <row r="5" spans="1:251" s="145" customFormat="1" ht="18" customHeight="1" thickBot="1" x14ac:dyDescent="0.35">
      <c r="A5" s="681"/>
      <c r="B5" s="441" t="s">
        <v>1</v>
      </c>
      <c r="C5" s="442" t="s">
        <v>3</v>
      </c>
      <c r="D5" s="443" t="s">
        <v>2</v>
      </c>
      <c r="E5" s="443" t="s">
        <v>4</v>
      </c>
      <c r="F5" s="444" t="s">
        <v>5</v>
      </c>
      <c r="G5" s="444" t="s">
        <v>16</v>
      </c>
      <c r="H5" s="444" t="s">
        <v>17</v>
      </c>
      <c r="I5" s="444" t="s">
        <v>18</v>
      </c>
      <c r="J5" s="444" t="s">
        <v>39</v>
      </c>
      <c r="K5" s="444" t="s">
        <v>31</v>
      </c>
      <c r="L5" s="444" t="s">
        <v>24</v>
      </c>
      <c r="M5" s="443" t="s">
        <v>40</v>
      </c>
      <c r="N5" s="438"/>
      <c r="O5" s="438"/>
      <c r="P5" s="438"/>
      <c r="Q5" s="438"/>
      <c r="R5" s="438"/>
      <c r="S5" s="438"/>
      <c r="T5" s="438"/>
      <c r="U5" s="438"/>
      <c r="V5" s="438"/>
      <c r="W5" s="438"/>
      <c r="X5" s="438"/>
      <c r="Y5" s="438"/>
      <c r="Z5" s="438"/>
      <c r="AA5" s="438"/>
      <c r="AB5" s="438"/>
      <c r="AC5" s="438"/>
      <c r="AD5" s="438"/>
      <c r="AE5" s="438"/>
      <c r="AF5" s="438"/>
      <c r="AG5" s="438"/>
      <c r="AH5" s="438"/>
      <c r="AI5" s="438"/>
      <c r="AJ5" s="438"/>
      <c r="AK5" s="438"/>
      <c r="AL5" s="438"/>
      <c r="AM5" s="438"/>
      <c r="AN5" s="438"/>
      <c r="AO5" s="438"/>
      <c r="AP5" s="438"/>
      <c r="AQ5" s="438"/>
      <c r="AR5" s="438"/>
      <c r="AS5" s="438"/>
      <c r="AT5" s="438"/>
      <c r="AU5" s="438"/>
      <c r="AV5" s="438"/>
      <c r="AW5" s="438"/>
      <c r="AX5" s="438"/>
      <c r="AY5" s="438"/>
      <c r="AZ5" s="438"/>
      <c r="BA5" s="438"/>
      <c r="BB5" s="438"/>
      <c r="BC5" s="438"/>
      <c r="BD5" s="438"/>
      <c r="BE5" s="438"/>
      <c r="BF5" s="438"/>
      <c r="BG5" s="438"/>
      <c r="BH5" s="438"/>
      <c r="BI5" s="438"/>
      <c r="BJ5" s="438"/>
      <c r="BK5" s="438"/>
      <c r="BL5" s="438"/>
      <c r="BM5" s="438"/>
      <c r="BN5" s="438"/>
      <c r="BO5" s="438"/>
      <c r="BP5" s="438"/>
      <c r="BQ5" s="438"/>
      <c r="BR5" s="438"/>
      <c r="BS5" s="438"/>
      <c r="BT5" s="438"/>
      <c r="BU5" s="438"/>
      <c r="BV5" s="438"/>
      <c r="BW5" s="438"/>
      <c r="BX5" s="438"/>
      <c r="BY5" s="438"/>
      <c r="BZ5" s="438"/>
      <c r="CA5" s="438"/>
      <c r="CB5" s="438"/>
      <c r="CC5" s="438"/>
      <c r="CD5" s="438"/>
      <c r="CE5" s="438"/>
      <c r="CF5" s="438"/>
      <c r="CG5" s="438"/>
      <c r="CH5" s="438"/>
      <c r="CI5" s="438"/>
      <c r="CJ5" s="438"/>
      <c r="CK5" s="438"/>
      <c r="CL5" s="438"/>
      <c r="CM5" s="438"/>
      <c r="CN5" s="438"/>
      <c r="CO5" s="438"/>
      <c r="CP5" s="438"/>
      <c r="CQ5" s="438"/>
      <c r="CR5" s="438"/>
      <c r="CS5" s="438"/>
      <c r="CT5" s="438"/>
      <c r="CU5" s="438"/>
      <c r="CV5" s="438"/>
      <c r="CW5" s="438"/>
      <c r="CX5" s="438"/>
      <c r="CY5" s="438"/>
      <c r="CZ5" s="438"/>
      <c r="DA5" s="438"/>
      <c r="DB5" s="438"/>
      <c r="DC5" s="438"/>
      <c r="DD5" s="438"/>
      <c r="DE5" s="438"/>
      <c r="DF5" s="438"/>
      <c r="DG5" s="438"/>
      <c r="DH5" s="438"/>
      <c r="DI5" s="438"/>
      <c r="DJ5" s="438"/>
      <c r="DK5" s="438"/>
      <c r="DL5" s="438"/>
      <c r="DM5" s="438"/>
      <c r="DN5" s="438"/>
      <c r="DO5" s="438"/>
      <c r="DP5" s="438"/>
      <c r="DQ5" s="438"/>
      <c r="DR5" s="438"/>
      <c r="DS5" s="438"/>
      <c r="DT5" s="438"/>
      <c r="DU5" s="438"/>
      <c r="DV5" s="438"/>
      <c r="DW5" s="438"/>
      <c r="DX5" s="438"/>
      <c r="DY5" s="438"/>
      <c r="DZ5" s="438"/>
      <c r="EA5" s="438"/>
      <c r="EB5" s="438"/>
      <c r="EC5" s="438"/>
      <c r="ED5" s="438"/>
      <c r="EE5" s="438"/>
      <c r="EF5" s="438"/>
      <c r="EG5" s="438"/>
      <c r="EH5" s="438"/>
      <c r="EI5" s="438"/>
      <c r="EJ5" s="438"/>
      <c r="EK5" s="438"/>
      <c r="EL5" s="438"/>
      <c r="EM5" s="438"/>
      <c r="EN5" s="438"/>
      <c r="EO5" s="438"/>
      <c r="EP5" s="438"/>
      <c r="EQ5" s="438"/>
      <c r="ER5" s="438"/>
      <c r="ES5" s="438"/>
      <c r="ET5" s="438"/>
      <c r="EU5" s="438"/>
      <c r="EV5" s="438"/>
      <c r="EW5" s="438"/>
      <c r="EX5" s="438"/>
      <c r="EY5" s="438"/>
      <c r="EZ5" s="438"/>
      <c r="FA5" s="438"/>
      <c r="FB5" s="438"/>
      <c r="FC5" s="438"/>
      <c r="FD5" s="438"/>
      <c r="FE5" s="438"/>
      <c r="FF5" s="438"/>
      <c r="FG5" s="438"/>
      <c r="FH5" s="438"/>
      <c r="FI5" s="438"/>
      <c r="FJ5" s="438"/>
      <c r="FK5" s="438"/>
      <c r="FL5" s="438"/>
      <c r="FM5" s="438"/>
      <c r="FN5" s="438"/>
      <c r="FO5" s="438"/>
      <c r="FP5" s="438"/>
      <c r="FQ5" s="438"/>
      <c r="FR5" s="438"/>
      <c r="FS5" s="438"/>
      <c r="FT5" s="438"/>
      <c r="FU5" s="438"/>
      <c r="FV5" s="438"/>
      <c r="FW5" s="438"/>
      <c r="FX5" s="438"/>
      <c r="FY5" s="438"/>
      <c r="FZ5" s="438"/>
      <c r="GA5" s="438"/>
      <c r="GB5" s="438"/>
      <c r="GC5" s="438"/>
      <c r="GD5" s="438"/>
      <c r="GE5" s="438"/>
      <c r="GF5" s="438"/>
      <c r="GG5" s="438"/>
      <c r="GH5" s="438"/>
      <c r="GI5" s="438"/>
      <c r="GJ5" s="438"/>
      <c r="GK5" s="438"/>
      <c r="GL5" s="438"/>
      <c r="GM5" s="438"/>
      <c r="GN5" s="438"/>
      <c r="GO5" s="438"/>
      <c r="GP5" s="438"/>
      <c r="GQ5" s="438"/>
      <c r="GR5" s="438"/>
      <c r="GS5" s="438"/>
      <c r="GT5" s="438"/>
      <c r="GU5" s="438"/>
      <c r="GV5" s="438"/>
      <c r="GW5" s="438"/>
      <c r="GX5" s="438"/>
      <c r="GY5" s="438"/>
      <c r="GZ5" s="438"/>
      <c r="HA5" s="438"/>
      <c r="HB5" s="438"/>
      <c r="HC5" s="438"/>
      <c r="HD5" s="438"/>
      <c r="HE5" s="438"/>
      <c r="HF5" s="438"/>
      <c r="HG5" s="438"/>
      <c r="HH5" s="438"/>
      <c r="HI5" s="438"/>
      <c r="HJ5" s="438"/>
      <c r="HK5" s="438"/>
      <c r="HL5" s="438"/>
      <c r="HM5" s="438"/>
      <c r="HN5" s="438"/>
      <c r="HO5" s="438"/>
      <c r="HP5" s="438"/>
      <c r="HQ5" s="438"/>
      <c r="HR5" s="438"/>
      <c r="HS5" s="438"/>
      <c r="HT5" s="438"/>
      <c r="HU5" s="438"/>
      <c r="HV5" s="438"/>
      <c r="HW5" s="438"/>
      <c r="HX5" s="438"/>
      <c r="HY5" s="438"/>
      <c r="HZ5" s="438"/>
      <c r="IA5" s="438"/>
      <c r="IB5" s="438"/>
      <c r="IC5" s="438"/>
      <c r="ID5" s="438"/>
      <c r="IE5" s="438"/>
      <c r="IF5" s="438"/>
      <c r="IG5" s="438"/>
      <c r="IH5" s="438"/>
      <c r="II5" s="438"/>
      <c r="IJ5" s="438"/>
      <c r="IK5" s="438"/>
      <c r="IL5" s="438"/>
      <c r="IM5" s="438"/>
      <c r="IN5" s="438"/>
      <c r="IO5" s="438"/>
      <c r="IP5" s="438"/>
      <c r="IQ5" s="438"/>
    </row>
    <row r="6" spans="1:251" ht="80.25" customHeight="1" thickBot="1" x14ac:dyDescent="0.35">
      <c r="B6" s="445" t="s">
        <v>19</v>
      </c>
      <c r="C6" s="446" t="s">
        <v>20</v>
      </c>
      <c r="D6" s="447" t="s">
        <v>6</v>
      </c>
      <c r="E6" s="448" t="s">
        <v>321</v>
      </c>
      <c r="F6" s="449" t="s">
        <v>22</v>
      </c>
      <c r="G6" s="449" t="s">
        <v>563</v>
      </c>
      <c r="H6" s="1336" t="s">
        <v>930</v>
      </c>
      <c r="I6" s="784" t="s">
        <v>735</v>
      </c>
      <c r="J6" s="449" t="s">
        <v>1305</v>
      </c>
      <c r="K6" s="803" t="s">
        <v>128</v>
      </c>
      <c r="L6" s="775" t="s">
        <v>1381</v>
      </c>
      <c r="M6" s="551" t="s">
        <v>562</v>
      </c>
    </row>
    <row r="7" spans="1:251" s="119" customFormat="1" ht="22.5" customHeight="1" x14ac:dyDescent="0.35">
      <c r="A7" s="755">
        <v>1</v>
      </c>
      <c r="B7" s="451">
        <v>18</v>
      </c>
      <c r="C7" s="1844" t="s">
        <v>32</v>
      </c>
      <c r="D7" s="1845"/>
      <c r="E7" s="452"/>
      <c r="F7" s="453"/>
      <c r="G7" s="453"/>
      <c r="H7" s="1345"/>
      <c r="I7" s="785"/>
      <c r="J7" s="1445"/>
      <c r="K7" s="1359"/>
      <c r="L7" s="776"/>
      <c r="M7" s="670"/>
      <c r="N7" s="454"/>
      <c r="O7" s="454"/>
      <c r="P7" s="454"/>
      <c r="Q7" s="454"/>
      <c r="R7" s="454"/>
      <c r="S7" s="454"/>
      <c r="T7" s="454"/>
      <c r="U7" s="454"/>
      <c r="V7" s="454"/>
      <c r="W7" s="454"/>
      <c r="X7" s="454"/>
      <c r="Y7" s="454"/>
      <c r="Z7" s="454"/>
      <c r="AA7" s="454"/>
      <c r="AB7" s="454"/>
      <c r="AC7" s="454"/>
      <c r="AD7" s="454"/>
      <c r="AE7" s="454"/>
      <c r="AF7" s="454"/>
      <c r="AG7" s="454"/>
      <c r="AH7" s="454"/>
      <c r="AI7" s="454"/>
      <c r="AJ7" s="454"/>
      <c r="AK7" s="454"/>
      <c r="AL7" s="454"/>
      <c r="AM7" s="454"/>
      <c r="AN7" s="454"/>
      <c r="AO7" s="454"/>
      <c r="AP7" s="454"/>
      <c r="AQ7" s="454"/>
      <c r="AR7" s="454"/>
      <c r="AS7" s="454"/>
      <c r="AT7" s="454"/>
      <c r="AU7" s="454"/>
      <c r="AV7" s="454"/>
      <c r="AW7" s="454"/>
      <c r="AX7" s="454"/>
      <c r="AY7" s="454"/>
      <c r="AZ7" s="454"/>
      <c r="BA7" s="454"/>
      <c r="BB7" s="454"/>
      <c r="BC7" s="454"/>
      <c r="BD7" s="454"/>
      <c r="BE7" s="454"/>
      <c r="BF7" s="454"/>
      <c r="BG7" s="454"/>
      <c r="BH7" s="454"/>
      <c r="BI7" s="454"/>
      <c r="BJ7" s="454"/>
      <c r="BK7" s="454"/>
      <c r="BL7" s="454"/>
      <c r="BM7" s="454"/>
      <c r="BN7" s="454"/>
      <c r="BO7" s="454"/>
      <c r="BP7" s="454"/>
      <c r="BQ7" s="454"/>
      <c r="BR7" s="454"/>
      <c r="BS7" s="454"/>
      <c r="BT7" s="454"/>
      <c r="BU7" s="454"/>
      <c r="BV7" s="454"/>
      <c r="BW7" s="454"/>
      <c r="BX7" s="454"/>
      <c r="BY7" s="454"/>
      <c r="BZ7" s="454"/>
      <c r="CA7" s="454"/>
      <c r="CB7" s="454"/>
      <c r="CC7" s="454"/>
      <c r="CD7" s="454"/>
      <c r="CE7" s="454"/>
      <c r="CF7" s="454"/>
      <c r="CG7" s="454"/>
      <c r="CH7" s="454"/>
      <c r="CI7" s="454"/>
      <c r="CJ7" s="454"/>
      <c r="CK7" s="454"/>
      <c r="CL7" s="454"/>
      <c r="CM7" s="454"/>
      <c r="CN7" s="454"/>
      <c r="CO7" s="454"/>
      <c r="CP7" s="454"/>
      <c r="CQ7" s="454"/>
      <c r="CR7" s="454"/>
      <c r="CS7" s="454"/>
      <c r="CT7" s="454"/>
      <c r="CU7" s="454"/>
      <c r="CV7" s="454"/>
      <c r="CW7" s="454"/>
      <c r="CX7" s="454"/>
      <c r="CY7" s="454"/>
      <c r="CZ7" s="454"/>
      <c r="DA7" s="454"/>
      <c r="DB7" s="454"/>
      <c r="DC7" s="454"/>
      <c r="DD7" s="454"/>
      <c r="DE7" s="454"/>
      <c r="DF7" s="454"/>
      <c r="DG7" s="454"/>
      <c r="DH7" s="454"/>
      <c r="DI7" s="454"/>
      <c r="DJ7" s="454"/>
      <c r="DK7" s="454"/>
      <c r="DL7" s="454"/>
      <c r="DM7" s="454"/>
      <c r="DN7" s="454"/>
      <c r="DO7" s="454"/>
      <c r="DP7" s="454"/>
      <c r="DQ7" s="454"/>
      <c r="DR7" s="454"/>
      <c r="DS7" s="454"/>
      <c r="DT7" s="454"/>
      <c r="DU7" s="454"/>
      <c r="DV7" s="454"/>
      <c r="DW7" s="454"/>
      <c r="DX7" s="454"/>
      <c r="DY7" s="454"/>
      <c r="DZ7" s="454"/>
      <c r="EA7" s="454"/>
      <c r="EB7" s="454"/>
      <c r="EC7" s="454"/>
      <c r="ED7" s="454"/>
      <c r="EE7" s="454"/>
      <c r="EF7" s="454"/>
      <c r="EG7" s="454"/>
      <c r="EH7" s="454"/>
      <c r="EI7" s="454"/>
      <c r="EJ7" s="454"/>
      <c r="EK7" s="454"/>
      <c r="EL7" s="454"/>
      <c r="EM7" s="454"/>
      <c r="EN7" s="454"/>
      <c r="EO7" s="454"/>
      <c r="EP7" s="454"/>
      <c r="EQ7" s="454"/>
      <c r="ER7" s="454"/>
      <c r="ES7" s="454"/>
      <c r="ET7" s="454"/>
      <c r="EU7" s="454"/>
      <c r="EV7" s="454"/>
      <c r="EW7" s="454"/>
      <c r="EX7" s="454"/>
      <c r="EY7" s="454"/>
      <c r="EZ7" s="454"/>
      <c r="FA7" s="454"/>
      <c r="FB7" s="454"/>
      <c r="FC7" s="454"/>
      <c r="FD7" s="454"/>
      <c r="FE7" s="454"/>
      <c r="FF7" s="454"/>
      <c r="FG7" s="454"/>
      <c r="FH7" s="454"/>
      <c r="FI7" s="454"/>
      <c r="FJ7" s="454"/>
      <c r="FK7" s="454"/>
      <c r="FL7" s="454"/>
      <c r="FM7" s="454"/>
      <c r="FN7" s="454"/>
      <c r="FO7" s="454"/>
      <c r="FP7" s="454"/>
      <c r="FQ7" s="454"/>
      <c r="FR7" s="454"/>
      <c r="FS7" s="454"/>
      <c r="FT7" s="454"/>
      <c r="FU7" s="454"/>
      <c r="FV7" s="454"/>
      <c r="FW7" s="454"/>
      <c r="FX7" s="454"/>
      <c r="FY7" s="454"/>
      <c r="FZ7" s="454"/>
      <c r="GA7" s="454"/>
      <c r="GB7" s="454"/>
      <c r="GC7" s="454"/>
      <c r="GD7" s="454"/>
      <c r="GE7" s="454"/>
      <c r="GF7" s="454"/>
      <c r="GG7" s="454"/>
      <c r="GH7" s="454"/>
      <c r="GI7" s="454"/>
      <c r="GJ7" s="454"/>
      <c r="GK7" s="454"/>
      <c r="GL7" s="454"/>
      <c r="GM7" s="454"/>
      <c r="GN7" s="454"/>
      <c r="GO7" s="454"/>
      <c r="GP7" s="454"/>
      <c r="GQ7" s="454"/>
      <c r="GR7" s="454"/>
      <c r="GS7" s="454"/>
      <c r="GT7" s="454"/>
      <c r="GU7" s="454"/>
      <c r="GV7" s="454"/>
      <c r="GW7" s="454"/>
      <c r="GX7" s="454"/>
      <c r="GY7" s="454"/>
      <c r="GZ7" s="454"/>
      <c r="HA7" s="454"/>
      <c r="HB7" s="454"/>
      <c r="HC7" s="454"/>
      <c r="HD7" s="454"/>
      <c r="HE7" s="454"/>
      <c r="HF7" s="454"/>
      <c r="HG7" s="454"/>
      <c r="HH7" s="454"/>
      <c r="HI7" s="454"/>
      <c r="HJ7" s="454"/>
      <c r="HK7" s="454"/>
      <c r="HL7" s="454"/>
      <c r="HM7" s="454"/>
      <c r="HN7" s="454"/>
      <c r="HO7" s="454"/>
      <c r="HP7" s="454"/>
      <c r="HQ7" s="454"/>
      <c r="HR7" s="454"/>
      <c r="HS7" s="454"/>
      <c r="HT7" s="454"/>
      <c r="HU7" s="454"/>
      <c r="HV7" s="454"/>
      <c r="HW7" s="454"/>
      <c r="HX7" s="454"/>
      <c r="HY7" s="454"/>
      <c r="HZ7" s="454"/>
      <c r="IA7" s="454"/>
      <c r="IB7" s="454"/>
      <c r="IC7" s="454"/>
      <c r="ID7" s="454"/>
      <c r="IE7" s="454"/>
      <c r="IF7" s="454"/>
      <c r="IG7" s="454"/>
      <c r="IH7" s="454"/>
      <c r="II7" s="454"/>
      <c r="IJ7" s="454"/>
      <c r="IK7" s="454"/>
      <c r="IL7" s="454"/>
      <c r="IM7" s="454"/>
      <c r="IN7" s="454"/>
      <c r="IO7" s="454"/>
      <c r="IP7" s="454"/>
      <c r="IQ7" s="454"/>
    </row>
    <row r="8" spans="1:251" ht="18" customHeight="1" x14ac:dyDescent="0.3">
      <c r="A8" s="755">
        <v>2</v>
      </c>
      <c r="B8" s="455"/>
      <c r="C8" s="556">
        <v>1</v>
      </c>
      <c r="D8" s="1424" t="s">
        <v>678</v>
      </c>
      <c r="E8" s="463" t="s">
        <v>25</v>
      </c>
      <c r="F8" s="459">
        <f>G8+H8+L8+M8</f>
        <v>1103100</v>
      </c>
      <c r="G8" s="460"/>
      <c r="H8" s="1343"/>
      <c r="I8" s="786">
        <f>918181-1635</f>
        <v>916546</v>
      </c>
      <c r="J8" s="1446">
        <v>916546</v>
      </c>
      <c r="K8" s="1360"/>
      <c r="L8" s="777">
        <f>SUM(J8:K8)</f>
        <v>916546</v>
      </c>
      <c r="M8" s="647">
        <v>186554</v>
      </c>
    </row>
    <row r="9" spans="1:251" ht="18" customHeight="1" x14ac:dyDescent="0.3">
      <c r="A9" s="755">
        <v>3</v>
      </c>
      <c r="B9" s="455"/>
      <c r="C9" s="556">
        <v>2</v>
      </c>
      <c r="D9" s="462" t="s">
        <v>363</v>
      </c>
      <c r="E9" s="463" t="s">
        <v>25</v>
      </c>
      <c r="F9" s="459">
        <f t="shared" ref="F9:F77" si="0">G9+H9+L9+M9</f>
        <v>867061</v>
      </c>
      <c r="G9" s="460">
        <f>10953+1020</f>
        <v>11973</v>
      </c>
      <c r="H9" s="1343">
        <v>229</v>
      </c>
      <c r="I9" s="786">
        <v>852614</v>
      </c>
      <c r="J9" s="1446">
        <v>854859</v>
      </c>
      <c r="K9" s="1360"/>
      <c r="L9" s="777">
        <f t="shared" ref="L9:L77" si="1">SUM(J9:K9)</f>
        <v>854859</v>
      </c>
      <c r="M9" s="647"/>
    </row>
    <row r="10" spans="1:251" ht="33" customHeight="1" x14ac:dyDescent="0.3">
      <c r="A10" s="755">
        <v>4</v>
      </c>
      <c r="B10" s="455"/>
      <c r="C10" s="456">
        <v>3</v>
      </c>
      <c r="D10" s="462" t="s">
        <v>488</v>
      </c>
      <c r="E10" s="463" t="s">
        <v>25</v>
      </c>
      <c r="F10" s="459">
        <f t="shared" si="0"/>
        <v>291045</v>
      </c>
      <c r="G10" s="460"/>
      <c r="H10" s="1343">
        <v>4280</v>
      </c>
      <c r="I10" s="786">
        <v>42322</v>
      </c>
      <c r="J10" s="1446">
        <v>286765</v>
      </c>
      <c r="K10" s="1360"/>
      <c r="L10" s="777">
        <f t="shared" si="1"/>
        <v>286765</v>
      </c>
      <c r="M10" s="647"/>
    </row>
    <row r="11" spans="1:251" ht="49.5" x14ac:dyDescent="0.3">
      <c r="A11" s="755">
        <v>5</v>
      </c>
      <c r="B11" s="455"/>
      <c r="C11" s="456">
        <v>4</v>
      </c>
      <c r="D11" s="462" t="s">
        <v>395</v>
      </c>
      <c r="E11" s="463" t="s">
        <v>25</v>
      </c>
      <c r="F11" s="459">
        <f t="shared" si="0"/>
        <v>1109415</v>
      </c>
      <c r="G11" s="460">
        <v>44965</v>
      </c>
      <c r="H11" s="1343">
        <v>381764</v>
      </c>
      <c r="I11" s="786">
        <v>697540</v>
      </c>
      <c r="J11" s="1446">
        <v>682686</v>
      </c>
      <c r="K11" s="1360"/>
      <c r="L11" s="777">
        <f t="shared" si="1"/>
        <v>682686</v>
      </c>
      <c r="M11" s="647"/>
    </row>
    <row r="12" spans="1:251" ht="33" customHeight="1" x14ac:dyDescent="0.3">
      <c r="A12" s="755">
        <v>6</v>
      </c>
      <c r="B12" s="455"/>
      <c r="C12" s="456">
        <v>5</v>
      </c>
      <c r="D12" s="462" t="s">
        <v>514</v>
      </c>
      <c r="E12" s="463" t="s">
        <v>25</v>
      </c>
      <c r="F12" s="459">
        <f t="shared" si="0"/>
        <v>3583328</v>
      </c>
      <c r="G12" s="460">
        <v>115020</v>
      </c>
      <c r="H12" s="1343">
        <v>324225</v>
      </c>
      <c r="I12" s="786">
        <v>607839</v>
      </c>
      <c r="J12" s="1446">
        <v>2850083</v>
      </c>
      <c r="K12" s="1360"/>
      <c r="L12" s="777">
        <f t="shared" si="1"/>
        <v>2850083</v>
      </c>
      <c r="M12" s="647">
        <v>294000</v>
      </c>
    </row>
    <row r="13" spans="1:251" ht="20.100000000000001" customHeight="1" x14ac:dyDescent="0.3">
      <c r="A13" s="755">
        <v>7</v>
      </c>
      <c r="B13" s="455"/>
      <c r="C13" s="456">
        <v>6</v>
      </c>
      <c r="D13" s="756" t="s">
        <v>515</v>
      </c>
      <c r="E13" s="463" t="s">
        <v>25</v>
      </c>
      <c r="F13" s="459">
        <f t="shared" si="0"/>
        <v>229555</v>
      </c>
      <c r="G13" s="460"/>
      <c r="H13" s="1343">
        <v>9271</v>
      </c>
      <c r="I13" s="786">
        <v>218251</v>
      </c>
      <c r="J13" s="1446">
        <v>208284</v>
      </c>
      <c r="K13" s="1360"/>
      <c r="L13" s="777">
        <f t="shared" si="1"/>
        <v>208284</v>
      </c>
      <c r="M13" s="647">
        <v>12000</v>
      </c>
      <c r="N13" s="466"/>
      <c r="O13" s="466"/>
      <c r="P13" s="466"/>
      <c r="Q13" s="466"/>
    </row>
    <row r="14" spans="1:251" ht="18" customHeight="1" x14ac:dyDescent="0.3">
      <c r="A14" s="755">
        <v>8</v>
      </c>
      <c r="B14" s="455"/>
      <c r="C14" s="556">
        <v>7</v>
      </c>
      <c r="D14" s="462" t="s">
        <v>919</v>
      </c>
      <c r="E14" s="463" t="s">
        <v>25</v>
      </c>
      <c r="F14" s="459">
        <f t="shared" si="0"/>
        <v>64839</v>
      </c>
      <c r="G14" s="460"/>
      <c r="H14" s="1343">
        <v>143</v>
      </c>
      <c r="I14" s="786">
        <f>56494+10000</f>
        <v>66494</v>
      </c>
      <c r="J14" s="1446">
        <v>64696</v>
      </c>
      <c r="K14" s="1360"/>
      <c r="L14" s="777">
        <f t="shared" si="1"/>
        <v>64696</v>
      </c>
      <c r="M14" s="647"/>
    </row>
    <row r="15" spans="1:251" ht="49.5" x14ac:dyDescent="0.3">
      <c r="A15" s="755">
        <v>9</v>
      </c>
      <c r="B15" s="455"/>
      <c r="C15" s="456">
        <v>8</v>
      </c>
      <c r="D15" s="807" t="s">
        <v>490</v>
      </c>
      <c r="E15" s="463" t="s">
        <v>25</v>
      </c>
      <c r="F15" s="459">
        <f t="shared" si="0"/>
        <v>0</v>
      </c>
      <c r="G15" s="460"/>
      <c r="H15" s="1343"/>
      <c r="I15" s="786">
        <v>789391</v>
      </c>
      <c r="J15" s="1446">
        <v>0</v>
      </c>
      <c r="K15" s="1360"/>
      <c r="L15" s="777">
        <f t="shared" si="1"/>
        <v>0</v>
      </c>
      <c r="M15" s="647"/>
    </row>
    <row r="16" spans="1:251" x14ac:dyDescent="0.3">
      <c r="A16" s="755">
        <v>10</v>
      </c>
      <c r="B16" s="455"/>
      <c r="C16" s="456">
        <v>9</v>
      </c>
      <c r="D16" s="462" t="s">
        <v>1140</v>
      </c>
      <c r="E16" s="463" t="s">
        <v>25</v>
      </c>
      <c r="F16" s="459">
        <f t="shared" si="0"/>
        <v>1586222</v>
      </c>
      <c r="G16" s="460"/>
      <c r="H16" s="1343">
        <v>16505</v>
      </c>
      <c r="I16" s="786"/>
      <c r="J16" s="1446">
        <v>1493717</v>
      </c>
      <c r="K16" s="1360"/>
      <c r="L16" s="777">
        <f t="shared" si="1"/>
        <v>1493717</v>
      </c>
      <c r="M16" s="647">
        <v>76000</v>
      </c>
    </row>
    <row r="17" spans="1:15" ht="33" customHeight="1" x14ac:dyDescent="0.3">
      <c r="A17" s="755">
        <v>11</v>
      </c>
      <c r="B17" s="455"/>
      <c r="C17" s="456">
        <v>10</v>
      </c>
      <c r="D17" s="462" t="s">
        <v>491</v>
      </c>
      <c r="E17" s="463" t="s">
        <v>25</v>
      </c>
      <c r="F17" s="459">
        <f t="shared" si="0"/>
        <v>0</v>
      </c>
      <c r="G17" s="459"/>
      <c r="H17" s="1343"/>
      <c r="I17" s="787">
        <v>244376</v>
      </c>
      <c r="J17" s="459">
        <v>0</v>
      </c>
      <c r="K17" s="1361"/>
      <c r="L17" s="777">
        <f t="shared" si="1"/>
        <v>0</v>
      </c>
      <c r="M17" s="647"/>
    </row>
    <row r="18" spans="1:15" ht="49.5" customHeight="1" x14ac:dyDescent="0.3">
      <c r="A18" s="755">
        <v>12</v>
      </c>
      <c r="B18" s="455"/>
      <c r="C18" s="456">
        <v>11</v>
      </c>
      <c r="D18" s="807" t="s">
        <v>1135</v>
      </c>
      <c r="E18" s="463" t="s">
        <v>25</v>
      </c>
      <c r="F18" s="459">
        <f t="shared" si="0"/>
        <v>258379</v>
      </c>
      <c r="G18" s="459"/>
      <c r="H18" s="1343">
        <v>4379</v>
      </c>
      <c r="I18" s="787"/>
      <c r="J18" s="459">
        <v>254000</v>
      </c>
      <c r="K18" s="1361"/>
      <c r="L18" s="777">
        <f t="shared" si="1"/>
        <v>254000</v>
      </c>
      <c r="M18" s="647"/>
    </row>
    <row r="19" spans="1:15" ht="33" customHeight="1" x14ac:dyDescent="0.3">
      <c r="A19" s="755">
        <v>13</v>
      </c>
      <c r="B19" s="455"/>
      <c r="C19" s="456">
        <v>12</v>
      </c>
      <c r="D19" s="462" t="s">
        <v>708</v>
      </c>
      <c r="E19" s="463" t="s">
        <v>25</v>
      </c>
      <c r="F19" s="459">
        <f t="shared" si="0"/>
        <v>6137</v>
      </c>
      <c r="G19" s="459"/>
      <c r="H19" s="1343"/>
      <c r="I19" s="787">
        <f>3155+2982</f>
        <v>6137</v>
      </c>
      <c r="J19" s="459">
        <v>6137</v>
      </c>
      <c r="K19" s="1361"/>
      <c r="L19" s="777">
        <f t="shared" si="1"/>
        <v>6137</v>
      </c>
      <c r="M19" s="647"/>
    </row>
    <row r="20" spans="1:15" ht="33" customHeight="1" x14ac:dyDescent="0.3">
      <c r="A20" s="755">
        <v>14</v>
      </c>
      <c r="B20" s="455"/>
      <c r="C20" s="456">
        <v>13</v>
      </c>
      <c r="D20" s="462" t="s">
        <v>492</v>
      </c>
      <c r="E20" s="463" t="s">
        <v>25</v>
      </c>
      <c r="F20" s="459">
        <f t="shared" si="0"/>
        <v>479000</v>
      </c>
      <c r="G20" s="459"/>
      <c r="H20" s="1343"/>
      <c r="I20" s="787">
        <v>43600</v>
      </c>
      <c r="J20" s="459">
        <v>479000</v>
      </c>
      <c r="K20" s="1361"/>
      <c r="L20" s="777">
        <f t="shared" si="1"/>
        <v>479000</v>
      </c>
      <c r="M20" s="647"/>
    </row>
    <row r="21" spans="1:15" ht="20.100000000000001" customHeight="1" x14ac:dyDescent="0.3">
      <c r="A21" s="755">
        <v>15</v>
      </c>
      <c r="B21" s="455"/>
      <c r="C21" s="556">
        <v>14</v>
      </c>
      <c r="D21" s="462" t="s">
        <v>920</v>
      </c>
      <c r="E21" s="463" t="s">
        <v>25</v>
      </c>
      <c r="F21" s="459">
        <f t="shared" si="0"/>
        <v>0</v>
      </c>
      <c r="G21" s="459"/>
      <c r="H21" s="1343"/>
      <c r="I21" s="787">
        <v>184000</v>
      </c>
      <c r="J21" s="459">
        <v>0</v>
      </c>
      <c r="K21" s="1361"/>
      <c r="L21" s="777">
        <f t="shared" si="1"/>
        <v>0</v>
      </c>
      <c r="M21" s="647"/>
    </row>
    <row r="22" spans="1:15" ht="33" customHeight="1" x14ac:dyDescent="0.3">
      <c r="A22" s="755">
        <v>16</v>
      </c>
      <c r="B22" s="455"/>
      <c r="C22" s="456">
        <v>15</v>
      </c>
      <c r="D22" s="462" t="s">
        <v>679</v>
      </c>
      <c r="E22" s="463" t="s">
        <v>25</v>
      </c>
      <c r="F22" s="459">
        <f t="shared" si="0"/>
        <v>334603</v>
      </c>
      <c r="G22" s="460"/>
      <c r="H22" s="1343">
        <v>6401</v>
      </c>
      <c r="I22" s="786">
        <f>215705+44000</f>
        <v>259705</v>
      </c>
      <c r="J22" s="1446">
        <v>298327</v>
      </c>
      <c r="K22" s="1360"/>
      <c r="L22" s="777">
        <f t="shared" si="1"/>
        <v>298327</v>
      </c>
      <c r="M22" s="647">
        <f>44875-44000+29000</f>
        <v>29875</v>
      </c>
    </row>
    <row r="23" spans="1:15" ht="49.5" customHeight="1" x14ac:dyDescent="0.3">
      <c r="A23" s="755">
        <v>17</v>
      </c>
      <c r="B23" s="455"/>
      <c r="C23" s="456">
        <v>16</v>
      </c>
      <c r="D23" s="1424" t="s">
        <v>725</v>
      </c>
      <c r="E23" s="463" t="s">
        <v>25</v>
      </c>
      <c r="F23" s="459">
        <f t="shared" si="0"/>
        <v>200171</v>
      </c>
      <c r="G23" s="460"/>
      <c r="H23" s="1343">
        <v>4794</v>
      </c>
      <c r="I23" s="786">
        <f>86052-435+109000</f>
        <v>194617</v>
      </c>
      <c r="J23" s="1446">
        <v>194617</v>
      </c>
      <c r="K23" s="1360"/>
      <c r="L23" s="777">
        <f t="shared" si="1"/>
        <v>194617</v>
      </c>
      <c r="M23" s="647">
        <f>109760-109000</f>
        <v>760</v>
      </c>
      <c r="N23" s="466"/>
    </row>
    <row r="24" spans="1:15" ht="33" customHeight="1" x14ac:dyDescent="0.3">
      <c r="A24" s="755">
        <v>18</v>
      </c>
      <c r="B24" s="455"/>
      <c r="C24" s="456">
        <v>17</v>
      </c>
      <c r="D24" s="1424" t="s">
        <v>722</v>
      </c>
      <c r="E24" s="463" t="s">
        <v>25</v>
      </c>
      <c r="F24" s="459">
        <f t="shared" si="0"/>
        <v>3556</v>
      </c>
      <c r="G24" s="460"/>
      <c r="H24" s="1343">
        <v>3556</v>
      </c>
      <c r="I24" s="786">
        <f>28738-170</f>
        <v>28568</v>
      </c>
      <c r="J24" s="1446">
        <v>0</v>
      </c>
      <c r="K24" s="1360"/>
      <c r="L24" s="777">
        <f t="shared" si="1"/>
        <v>0</v>
      </c>
      <c r="M24" s="647"/>
      <c r="N24" s="466"/>
    </row>
    <row r="25" spans="1:15" ht="34.5" customHeight="1" x14ac:dyDescent="0.3">
      <c r="A25" s="755">
        <v>19</v>
      </c>
      <c r="B25" s="455"/>
      <c r="C25" s="456">
        <v>18</v>
      </c>
      <c r="D25" s="462" t="s">
        <v>917</v>
      </c>
      <c r="E25" s="463" t="s">
        <v>25</v>
      </c>
      <c r="F25" s="459">
        <f t="shared" si="0"/>
        <v>50522</v>
      </c>
      <c r="G25" s="460"/>
      <c r="H25" s="1343">
        <v>1956</v>
      </c>
      <c r="I25" s="786">
        <v>39537</v>
      </c>
      <c r="J25" s="1446">
        <v>41498</v>
      </c>
      <c r="K25" s="1360"/>
      <c r="L25" s="777">
        <f t="shared" si="1"/>
        <v>41498</v>
      </c>
      <c r="M25" s="647">
        <v>7068</v>
      </c>
    </row>
    <row r="26" spans="1:15" ht="32.25" customHeight="1" x14ac:dyDescent="0.3">
      <c r="A26" s="755">
        <v>20</v>
      </c>
      <c r="B26" s="455"/>
      <c r="C26" s="456">
        <v>19</v>
      </c>
      <c r="D26" s="1424" t="s">
        <v>918</v>
      </c>
      <c r="E26" s="463" t="s">
        <v>25</v>
      </c>
      <c r="F26" s="459">
        <f t="shared" si="0"/>
        <v>92739</v>
      </c>
      <c r="G26" s="460"/>
      <c r="H26" s="1343">
        <v>2459</v>
      </c>
      <c r="I26" s="786">
        <v>53492</v>
      </c>
      <c r="J26" s="1446">
        <v>53222</v>
      </c>
      <c r="K26" s="1360"/>
      <c r="L26" s="777">
        <f t="shared" si="1"/>
        <v>53222</v>
      </c>
      <c r="M26" s="647">
        <f>22058+15000</f>
        <v>37058</v>
      </c>
    </row>
    <row r="27" spans="1:15" ht="33" customHeight="1" x14ac:dyDescent="0.3">
      <c r="A27" s="755">
        <v>21</v>
      </c>
      <c r="B27" s="455"/>
      <c r="C27" s="456">
        <v>20</v>
      </c>
      <c r="D27" s="737" t="s">
        <v>723</v>
      </c>
      <c r="E27" s="463" t="s">
        <v>25</v>
      </c>
      <c r="F27" s="459">
        <f t="shared" si="0"/>
        <v>804913</v>
      </c>
      <c r="G27" s="460"/>
      <c r="H27" s="1343">
        <v>6414</v>
      </c>
      <c r="I27" s="786">
        <f>781615-24602</f>
        <v>757013</v>
      </c>
      <c r="J27" s="1446">
        <v>757099</v>
      </c>
      <c r="K27" s="1360"/>
      <c r="L27" s="777">
        <f t="shared" si="1"/>
        <v>757099</v>
      </c>
      <c r="M27" s="647">
        <v>41400</v>
      </c>
      <c r="N27" s="466"/>
      <c r="O27" s="466"/>
    </row>
    <row r="28" spans="1:15" ht="33" customHeight="1" x14ac:dyDescent="0.3">
      <c r="A28" s="755">
        <v>22</v>
      </c>
      <c r="B28" s="455"/>
      <c r="C28" s="456">
        <v>21</v>
      </c>
      <c r="D28" s="462" t="s">
        <v>922</v>
      </c>
      <c r="E28" s="463" t="s">
        <v>25</v>
      </c>
      <c r="F28" s="459">
        <f t="shared" si="0"/>
        <v>282298</v>
      </c>
      <c r="G28" s="460">
        <v>6699</v>
      </c>
      <c r="H28" s="1343"/>
      <c r="I28" s="786">
        <v>223100</v>
      </c>
      <c r="J28" s="1446">
        <v>222822</v>
      </c>
      <c r="K28" s="1360"/>
      <c r="L28" s="777">
        <f t="shared" si="1"/>
        <v>222822</v>
      </c>
      <c r="M28" s="647">
        <f>275877-223100</f>
        <v>52777</v>
      </c>
      <c r="N28" s="466"/>
      <c r="O28" s="466"/>
    </row>
    <row r="29" spans="1:15" ht="33" customHeight="1" x14ac:dyDescent="0.3">
      <c r="A29" s="755">
        <v>23</v>
      </c>
      <c r="B29" s="455"/>
      <c r="C29" s="456">
        <v>22</v>
      </c>
      <c r="D29" s="737" t="s">
        <v>724</v>
      </c>
      <c r="E29" s="463" t="s">
        <v>25</v>
      </c>
      <c r="F29" s="459">
        <f t="shared" si="0"/>
        <v>172115</v>
      </c>
      <c r="G29" s="460">
        <v>6541</v>
      </c>
      <c r="H29" s="1343"/>
      <c r="I29" s="786">
        <f>134273-3632</f>
        <v>130641</v>
      </c>
      <c r="J29" s="1446">
        <v>130641</v>
      </c>
      <c r="K29" s="1360"/>
      <c r="L29" s="777">
        <f t="shared" si="1"/>
        <v>130641</v>
      </c>
      <c r="M29" s="647">
        <v>34933</v>
      </c>
      <c r="N29" s="466"/>
      <c r="O29" s="466"/>
    </row>
    <row r="30" spans="1:15" ht="33" customHeight="1" x14ac:dyDescent="0.3">
      <c r="A30" s="755">
        <v>24</v>
      </c>
      <c r="B30" s="455"/>
      <c r="C30" s="456">
        <v>23</v>
      </c>
      <c r="D30" s="462" t="s">
        <v>680</v>
      </c>
      <c r="E30" s="463" t="s">
        <v>25</v>
      </c>
      <c r="F30" s="459">
        <f t="shared" si="0"/>
        <v>0</v>
      </c>
      <c r="G30" s="460"/>
      <c r="H30" s="1343"/>
      <c r="I30" s="786">
        <v>147420</v>
      </c>
      <c r="J30" s="1446">
        <v>0</v>
      </c>
      <c r="K30" s="1360"/>
      <c r="L30" s="777">
        <f t="shared" si="1"/>
        <v>0</v>
      </c>
      <c r="M30" s="647"/>
    </row>
    <row r="31" spans="1:15" ht="33" customHeight="1" x14ac:dyDescent="0.3">
      <c r="A31" s="755">
        <v>25</v>
      </c>
      <c r="B31" s="455"/>
      <c r="C31" s="456">
        <v>24</v>
      </c>
      <c r="D31" s="462" t="s">
        <v>841</v>
      </c>
      <c r="E31" s="463" t="s">
        <v>25</v>
      </c>
      <c r="F31" s="459">
        <f t="shared" si="0"/>
        <v>72078</v>
      </c>
      <c r="G31" s="460"/>
      <c r="H31" s="1343">
        <v>4826</v>
      </c>
      <c r="I31" s="786">
        <v>76700</v>
      </c>
      <c r="J31" s="1446">
        <v>67212</v>
      </c>
      <c r="K31" s="1360">
        <v>40</v>
      </c>
      <c r="L31" s="777">
        <f t="shared" si="1"/>
        <v>67252</v>
      </c>
      <c r="M31" s="647"/>
    </row>
    <row r="32" spans="1:15" ht="18" customHeight="1" x14ac:dyDescent="0.3">
      <c r="A32" s="755">
        <v>26</v>
      </c>
      <c r="B32" s="455"/>
      <c r="C32" s="456">
        <v>25</v>
      </c>
      <c r="D32" s="462" t="s">
        <v>489</v>
      </c>
      <c r="E32" s="463" t="s">
        <v>25</v>
      </c>
      <c r="F32" s="459">
        <f t="shared" si="0"/>
        <v>61142</v>
      </c>
      <c r="G32" s="460"/>
      <c r="H32" s="1343">
        <v>30272</v>
      </c>
      <c r="I32" s="786">
        <v>2003</v>
      </c>
      <c r="J32" s="1446">
        <v>30870</v>
      </c>
      <c r="K32" s="1360"/>
      <c r="L32" s="777">
        <f t="shared" si="1"/>
        <v>30870</v>
      </c>
      <c r="M32" s="647"/>
    </row>
    <row r="33" spans="1:23" ht="18" customHeight="1" x14ac:dyDescent="0.3">
      <c r="A33" s="755">
        <v>27</v>
      </c>
      <c r="B33" s="455"/>
      <c r="C33" s="556">
        <v>26</v>
      </c>
      <c r="D33" s="462" t="s">
        <v>681</v>
      </c>
      <c r="E33" s="463" t="s">
        <v>25</v>
      </c>
      <c r="F33" s="459">
        <f t="shared" si="0"/>
        <v>2500</v>
      </c>
      <c r="G33" s="460"/>
      <c r="H33" s="1343"/>
      <c r="I33" s="786">
        <v>2500</v>
      </c>
      <c r="J33" s="1446">
        <v>2500</v>
      </c>
      <c r="K33" s="1360"/>
      <c r="L33" s="777">
        <f t="shared" si="1"/>
        <v>2500</v>
      </c>
      <c r="M33" s="647"/>
    </row>
    <row r="34" spans="1:23" ht="33" customHeight="1" x14ac:dyDescent="0.3">
      <c r="A34" s="755">
        <v>28</v>
      </c>
      <c r="B34" s="455"/>
      <c r="C34" s="456">
        <v>27</v>
      </c>
      <c r="D34" s="462" t="s">
        <v>623</v>
      </c>
      <c r="E34" s="463" t="s">
        <v>25</v>
      </c>
      <c r="F34" s="459">
        <f t="shared" si="0"/>
        <v>1336766</v>
      </c>
      <c r="G34" s="460"/>
      <c r="H34" s="1343">
        <v>28000</v>
      </c>
      <c r="I34" s="786">
        <v>530299</v>
      </c>
      <c r="J34" s="1446">
        <v>515681</v>
      </c>
      <c r="K34" s="1360"/>
      <c r="L34" s="777">
        <f t="shared" si="1"/>
        <v>515681</v>
      </c>
      <c r="M34" s="647">
        <v>793085</v>
      </c>
      <c r="N34" s="701"/>
    </row>
    <row r="35" spans="1:23" ht="18" customHeight="1" x14ac:dyDescent="0.3">
      <c r="A35" s="755">
        <v>29</v>
      </c>
      <c r="B35" s="455"/>
      <c r="C35" s="556">
        <v>28</v>
      </c>
      <c r="D35" s="462" t="s">
        <v>682</v>
      </c>
      <c r="E35" s="463" t="s">
        <v>25</v>
      </c>
      <c r="F35" s="459">
        <f t="shared" si="0"/>
        <v>12239</v>
      </c>
      <c r="G35" s="460"/>
      <c r="H35" s="1343"/>
      <c r="I35" s="786">
        <v>6859</v>
      </c>
      <c r="J35" s="1446">
        <v>0</v>
      </c>
      <c r="K35" s="1360"/>
      <c r="L35" s="777">
        <f t="shared" si="1"/>
        <v>0</v>
      </c>
      <c r="M35" s="647">
        <v>12239</v>
      </c>
    </row>
    <row r="36" spans="1:23" ht="20.100000000000001" customHeight="1" x14ac:dyDescent="0.3">
      <c r="A36" s="755">
        <v>30</v>
      </c>
      <c r="B36" s="455"/>
      <c r="C36" s="456">
        <v>29</v>
      </c>
      <c r="D36" s="756" t="s">
        <v>448</v>
      </c>
      <c r="E36" s="463" t="s">
        <v>25</v>
      </c>
      <c r="F36" s="459">
        <f t="shared" si="0"/>
        <v>1575</v>
      </c>
      <c r="G36" s="460">
        <v>241</v>
      </c>
      <c r="H36" s="1343">
        <v>1334</v>
      </c>
      <c r="I36" s="786">
        <v>3930</v>
      </c>
      <c r="J36" s="1446">
        <v>0</v>
      </c>
      <c r="K36" s="1360"/>
      <c r="L36" s="777">
        <f t="shared" si="1"/>
        <v>0</v>
      </c>
      <c r="M36" s="647"/>
    </row>
    <row r="37" spans="1:23" ht="18" customHeight="1" x14ac:dyDescent="0.3">
      <c r="A37" s="755">
        <v>31</v>
      </c>
      <c r="B37" s="455"/>
      <c r="C37" s="556">
        <v>30</v>
      </c>
      <c r="D37" s="462" t="s">
        <v>495</v>
      </c>
      <c r="E37" s="463" t="s">
        <v>25</v>
      </c>
      <c r="F37" s="459">
        <f t="shared" si="0"/>
        <v>7345</v>
      </c>
      <c r="G37" s="460"/>
      <c r="H37" s="1343">
        <v>7345</v>
      </c>
      <c r="I37" s="786">
        <v>5444</v>
      </c>
      <c r="J37" s="1446">
        <v>0</v>
      </c>
      <c r="K37" s="1360"/>
      <c r="L37" s="777">
        <f t="shared" si="1"/>
        <v>0</v>
      </c>
      <c r="M37" s="647"/>
    </row>
    <row r="38" spans="1:23" ht="20.100000000000001" customHeight="1" x14ac:dyDescent="0.3">
      <c r="A38" s="755">
        <v>32</v>
      </c>
      <c r="B38" s="455"/>
      <c r="C38" s="456">
        <v>31</v>
      </c>
      <c r="D38" s="756" t="s">
        <v>496</v>
      </c>
      <c r="E38" s="463" t="s">
        <v>25</v>
      </c>
      <c r="F38" s="459">
        <f t="shared" si="0"/>
        <v>4792</v>
      </c>
      <c r="G38" s="460"/>
      <c r="H38" s="1343"/>
      <c r="I38" s="786">
        <v>4792</v>
      </c>
      <c r="J38" s="1446">
        <v>4792</v>
      </c>
      <c r="K38" s="1360"/>
      <c r="L38" s="777">
        <f t="shared" si="1"/>
        <v>4792</v>
      </c>
      <c r="M38" s="647"/>
      <c r="N38" s="466"/>
      <c r="O38" s="466"/>
      <c r="P38" s="466"/>
      <c r="Q38" s="466"/>
      <c r="R38" s="466"/>
      <c r="S38" s="466"/>
      <c r="T38" s="466"/>
      <c r="U38" s="466"/>
      <c r="V38" s="466"/>
      <c r="W38" s="466"/>
    </row>
    <row r="39" spans="1:23" ht="33" customHeight="1" x14ac:dyDescent="0.3">
      <c r="A39" s="755">
        <v>33</v>
      </c>
      <c r="B39" s="455"/>
      <c r="C39" s="456">
        <v>32</v>
      </c>
      <c r="D39" s="462" t="s">
        <v>870</v>
      </c>
      <c r="E39" s="463" t="s">
        <v>25</v>
      </c>
      <c r="F39" s="459">
        <f t="shared" si="0"/>
        <v>260817</v>
      </c>
      <c r="G39" s="460">
        <v>160545</v>
      </c>
      <c r="H39" s="1343">
        <v>86833</v>
      </c>
      <c r="I39" s="786"/>
      <c r="J39" s="1446">
        <v>13439</v>
      </c>
      <c r="K39" s="1360"/>
      <c r="L39" s="777">
        <f t="shared" si="1"/>
        <v>13439</v>
      </c>
      <c r="M39" s="647"/>
      <c r="N39" s="466"/>
      <c r="O39" s="466"/>
      <c r="P39" s="466"/>
      <c r="Q39" s="466"/>
      <c r="R39" s="466"/>
      <c r="S39" s="466"/>
      <c r="T39" s="466"/>
      <c r="U39" s="466"/>
      <c r="V39" s="466"/>
      <c r="W39" s="466"/>
    </row>
    <row r="40" spans="1:23" ht="20.100000000000001" customHeight="1" x14ac:dyDescent="0.3">
      <c r="A40" s="755">
        <v>34</v>
      </c>
      <c r="B40" s="455"/>
      <c r="C40" s="456">
        <v>33</v>
      </c>
      <c r="D40" s="1419" t="s">
        <v>616</v>
      </c>
      <c r="E40" s="463" t="s">
        <v>25</v>
      </c>
      <c r="F40" s="459">
        <f t="shared" si="0"/>
        <v>14326</v>
      </c>
      <c r="G40" s="460"/>
      <c r="H40" s="1343">
        <v>10198</v>
      </c>
      <c r="I40" s="786"/>
      <c r="J40" s="1446">
        <v>4128</v>
      </c>
      <c r="K40" s="1360"/>
      <c r="L40" s="777">
        <f t="shared" si="1"/>
        <v>4128</v>
      </c>
      <c r="M40" s="647"/>
      <c r="N40" s="466"/>
      <c r="O40" s="466"/>
      <c r="P40" s="466"/>
      <c r="Q40" s="466"/>
      <c r="R40" s="466"/>
      <c r="S40" s="466"/>
      <c r="T40" s="466"/>
      <c r="U40" s="466"/>
      <c r="V40" s="466"/>
      <c r="W40" s="466"/>
    </row>
    <row r="41" spans="1:23" ht="18" customHeight="1" x14ac:dyDescent="0.3">
      <c r="A41" s="755">
        <v>35</v>
      </c>
      <c r="B41" s="455"/>
      <c r="C41" s="556">
        <v>34</v>
      </c>
      <c r="D41" s="462" t="s">
        <v>480</v>
      </c>
      <c r="E41" s="463" t="s">
        <v>25</v>
      </c>
      <c r="F41" s="459">
        <f t="shared" si="0"/>
        <v>12297770</v>
      </c>
      <c r="G41" s="460"/>
      <c r="H41" s="1343">
        <v>324077</v>
      </c>
      <c r="I41" s="786">
        <v>4114047</v>
      </c>
      <c r="J41" s="1446">
        <v>4352423</v>
      </c>
      <c r="K41" s="1360">
        <v>-232</v>
      </c>
      <c r="L41" s="777">
        <f t="shared" si="1"/>
        <v>4352191</v>
      </c>
      <c r="M41" s="647">
        <v>7621502</v>
      </c>
      <c r="N41" s="1683"/>
    </row>
    <row r="42" spans="1:23" ht="33" customHeight="1" x14ac:dyDescent="0.3">
      <c r="A42" s="755">
        <v>36</v>
      </c>
      <c r="B42" s="455"/>
      <c r="C42" s="456">
        <v>35</v>
      </c>
      <c r="D42" s="462" t="s">
        <v>498</v>
      </c>
      <c r="E42" s="463" t="s">
        <v>25</v>
      </c>
      <c r="F42" s="459">
        <f t="shared" si="0"/>
        <v>1713969</v>
      </c>
      <c r="G42" s="460">
        <v>11938</v>
      </c>
      <c r="H42" s="1343">
        <v>1269872</v>
      </c>
      <c r="I42" s="786"/>
      <c r="J42" s="1446">
        <v>140031</v>
      </c>
      <c r="K42" s="1360">
        <v>-200</v>
      </c>
      <c r="L42" s="777">
        <f t="shared" si="1"/>
        <v>139831</v>
      </c>
      <c r="M42" s="647">
        <v>292328</v>
      </c>
    </row>
    <row r="43" spans="1:23" ht="18" customHeight="1" x14ac:dyDescent="0.3">
      <c r="A43" s="755">
        <v>37</v>
      </c>
      <c r="B43" s="455"/>
      <c r="C43" s="556">
        <v>36</v>
      </c>
      <c r="D43" s="462" t="s">
        <v>1286</v>
      </c>
      <c r="E43" s="463" t="s">
        <v>25</v>
      </c>
      <c r="F43" s="459">
        <f t="shared" si="0"/>
        <v>249500</v>
      </c>
      <c r="G43" s="460"/>
      <c r="H43" s="1343"/>
      <c r="I43" s="786">
        <v>100000</v>
      </c>
      <c r="J43" s="1446">
        <v>249500</v>
      </c>
      <c r="K43" s="1360"/>
      <c r="L43" s="777">
        <f t="shared" si="1"/>
        <v>249500</v>
      </c>
      <c r="M43" s="647"/>
    </row>
    <row r="44" spans="1:23" ht="18" customHeight="1" x14ac:dyDescent="0.3">
      <c r="A44" s="755">
        <v>38</v>
      </c>
      <c r="B44" s="455"/>
      <c r="C44" s="556">
        <v>37</v>
      </c>
      <c r="D44" s="462" t="s">
        <v>1287</v>
      </c>
      <c r="E44" s="463" t="s">
        <v>25</v>
      </c>
      <c r="F44" s="459">
        <f t="shared" si="0"/>
        <v>955800</v>
      </c>
      <c r="G44" s="460"/>
      <c r="H44" s="1343"/>
      <c r="I44" s="786"/>
      <c r="J44" s="1446">
        <v>955800</v>
      </c>
      <c r="K44" s="1360"/>
      <c r="L44" s="777">
        <f t="shared" si="1"/>
        <v>955800</v>
      </c>
      <c r="M44" s="647"/>
    </row>
    <row r="45" spans="1:23" ht="49.5" x14ac:dyDescent="0.3">
      <c r="A45" s="755">
        <v>39</v>
      </c>
      <c r="B45" s="455"/>
      <c r="C45" s="456">
        <v>38</v>
      </c>
      <c r="D45" s="462" t="s">
        <v>499</v>
      </c>
      <c r="E45" s="463" t="s">
        <v>25</v>
      </c>
      <c r="F45" s="459">
        <f t="shared" si="0"/>
        <v>1638510</v>
      </c>
      <c r="G45" s="460"/>
      <c r="H45" s="1343">
        <v>6510</v>
      </c>
      <c r="I45" s="786">
        <v>754957</v>
      </c>
      <c r="J45" s="1446">
        <v>1632000</v>
      </c>
      <c r="K45" s="1360"/>
      <c r="L45" s="777">
        <f t="shared" si="1"/>
        <v>1632000</v>
      </c>
      <c r="M45" s="647"/>
      <c r="N45" s="547"/>
    </row>
    <row r="46" spans="1:23" ht="18" customHeight="1" x14ac:dyDescent="0.3">
      <c r="A46" s="755">
        <v>40</v>
      </c>
      <c r="B46" s="455"/>
      <c r="C46" s="556">
        <v>39</v>
      </c>
      <c r="D46" s="462" t="s">
        <v>617</v>
      </c>
      <c r="E46" s="463" t="s">
        <v>25</v>
      </c>
      <c r="F46" s="459">
        <f t="shared" si="0"/>
        <v>35789</v>
      </c>
      <c r="G46" s="460"/>
      <c r="H46" s="1343">
        <v>10737</v>
      </c>
      <c r="I46" s="786">
        <v>65545</v>
      </c>
      <c r="J46" s="1446">
        <v>25052</v>
      </c>
      <c r="K46" s="1360"/>
      <c r="L46" s="777">
        <f t="shared" si="1"/>
        <v>25052</v>
      </c>
      <c r="M46" s="647"/>
    </row>
    <row r="47" spans="1:23" ht="18" customHeight="1" x14ac:dyDescent="0.3">
      <c r="A47" s="755">
        <v>41</v>
      </c>
      <c r="B47" s="455"/>
      <c r="C47" s="556">
        <v>40</v>
      </c>
      <c r="D47" s="462" t="s">
        <v>1370</v>
      </c>
      <c r="E47" s="463" t="s">
        <v>25</v>
      </c>
      <c r="F47" s="459">
        <f t="shared" si="0"/>
        <v>300000</v>
      </c>
      <c r="G47" s="460"/>
      <c r="H47" s="1343"/>
      <c r="I47" s="786"/>
      <c r="J47" s="1446">
        <v>300000</v>
      </c>
      <c r="K47" s="1360"/>
      <c r="L47" s="777">
        <f t="shared" si="1"/>
        <v>300000</v>
      </c>
      <c r="M47" s="647"/>
    </row>
    <row r="48" spans="1:23" ht="18" customHeight="1" x14ac:dyDescent="0.3">
      <c r="A48" s="755">
        <v>42</v>
      </c>
      <c r="B48" s="455"/>
      <c r="C48" s="556">
        <v>41</v>
      </c>
      <c r="D48" s="462" t="s">
        <v>1261</v>
      </c>
      <c r="E48" s="463" t="s">
        <v>25</v>
      </c>
      <c r="F48" s="459">
        <f t="shared" si="0"/>
        <v>5230358</v>
      </c>
      <c r="G48" s="460"/>
      <c r="H48" s="1343"/>
      <c r="I48" s="786"/>
      <c r="J48" s="1446">
        <v>835036</v>
      </c>
      <c r="K48" s="1360">
        <v>-2000</v>
      </c>
      <c r="L48" s="777">
        <f t="shared" si="1"/>
        <v>833036</v>
      </c>
      <c r="M48" s="647">
        <v>4397322</v>
      </c>
    </row>
    <row r="49" spans="1:13" ht="33" customHeight="1" x14ac:dyDescent="0.3">
      <c r="A49" s="755">
        <v>43</v>
      </c>
      <c r="B49" s="455"/>
      <c r="C49" s="456">
        <v>42</v>
      </c>
      <c r="D49" s="462" t="s">
        <v>683</v>
      </c>
      <c r="E49" s="463" t="s">
        <v>25</v>
      </c>
      <c r="F49" s="459">
        <f t="shared" si="0"/>
        <v>10079</v>
      </c>
      <c r="G49" s="460"/>
      <c r="H49" s="1343"/>
      <c r="I49" s="786">
        <v>3000</v>
      </c>
      <c r="J49" s="1446">
        <v>10079</v>
      </c>
      <c r="K49" s="1360"/>
      <c r="L49" s="777">
        <f t="shared" si="1"/>
        <v>10079</v>
      </c>
      <c r="M49" s="647"/>
    </row>
    <row r="50" spans="1:13" ht="20.100000000000001" customHeight="1" x14ac:dyDescent="0.3">
      <c r="A50" s="755">
        <v>44</v>
      </c>
      <c r="B50" s="455"/>
      <c r="C50" s="556">
        <v>43</v>
      </c>
      <c r="D50" s="462" t="s">
        <v>1349</v>
      </c>
      <c r="E50" s="463" t="s">
        <v>25</v>
      </c>
      <c r="F50" s="459">
        <f t="shared" si="0"/>
        <v>218205</v>
      </c>
      <c r="G50" s="460"/>
      <c r="H50" s="1343">
        <v>83462</v>
      </c>
      <c r="I50" s="786"/>
      <c r="J50" s="1446">
        <v>134743</v>
      </c>
      <c r="K50" s="1360"/>
      <c r="L50" s="777">
        <f t="shared" si="1"/>
        <v>134743</v>
      </c>
      <c r="M50" s="647"/>
    </row>
    <row r="51" spans="1:13" ht="18" customHeight="1" x14ac:dyDescent="0.3">
      <c r="A51" s="755">
        <v>45</v>
      </c>
      <c r="B51" s="455"/>
      <c r="C51" s="456">
        <v>44</v>
      </c>
      <c r="D51" s="462" t="s">
        <v>684</v>
      </c>
      <c r="E51" s="463" t="s">
        <v>25</v>
      </c>
      <c r="F51" s="459">
        <f t="shared" si="0"/>
        <v>0</v>
      </c>
      <c r="G51" s="459"/>
      <c r="H51" s="1343"/>
      <c r="I51" s="787">
        <v>50000</v>
      </c>
      <c r="J51" s="459">
        <v>0</v>
      </c>
      <c r="K51" s="1361"/>
      <c r="L51" s="777">
        <f t="shared" si="1"/>
        <v>0</v>
      </c>
      <c r="M51" s="647"/>
    </row>
    <row r="52" spans="1:13" ht="33" customHeight="1" x14ac:dyDescent="0.3">
      <c r="A52" s="755">
        <v>46</v>
      </c>
      <c r="B52" s="455"/>
      <c r="C52" s="456">
        <v>45</v>
      </c>
      <c r="D52" s="462" t="s">
        <v>500</v>
      </c>
      <c r="E52" s="463" t="s">
        <v>25</v>
      </c>
      <c r="F52" s="459">
        <f t="shared" si="0"/>
        <v>74699</v>
      </c>
      <c r="G52" s="459"/>
      <c r="H52" s="1343">
        <v>18391</v>
      </c>
      <c r="I52" s="787">
        <v>55000</v>
      </c>
      <c r="J52" s="459">
        <v>56308</v>
      </c>
      <c r="K52" s="1361"/>
      <c r="L52" s="777">
        <f t="shared" si="1"/>
        <v>56308</v>
      </c>
      <c r="M52" s="647"/>
    </row>
    <row r="53" spans="1:13" ht="18" customHeight="1" x14ac:dyDescent="0.3">
      <c r="A53" s="755">
        <v>47</v>
      </c>
      <c r="B53" s="455"/>
      <c r="C53" s="456">
        <v>46</v>
      </c>
      <c r="D53" s="462" t="s">
        <v>685</v>
      </c>
      <c r="E53" s="463" t="s">
        <v>25</v>
      </c>
      <c r="F53" s="459">
        <f t="shared" si="0"/>
        <v>7620</v>
      </c>
      <c r="G53" s="459"/>
      <c r="H53" s="1343"/>
      <c r="I53" s="787">
        <v>4500</v>
      </c>
      <c r="J53" s="459">
        <v>7620</v>
      </c>
      <c r="K53" s="1361"/>
      <c r="L53" s="777">
        <f t="shared" si="1"/>
        <v>7620</v>
      </c>
      <c r="M53" s="647"/>
    </row>
    <row r="54" spans="1:13" ht="18" customHeight="1" x14ac:dyDescent="0.3">
      <c r="A54" s="755">
        <v>48</v>
      </c>
      <c r="B54" s="455"/>
      <c r="C54" s="556">
        <v>47</v>
      </c>
      <c r="D54" s="462" t="s">
        <v>686</v>
      </c>
      <c r="E54" s="463" t="s">
        <v>25</v>
      </c>
      <c r="F54" s="459">
        <f t="shared" si="0"/>
        <v>0</v>
      </c>
      <c r="G54" s="459"/>
      <c r="H54" s="1343"/>
      <c r="I54" s="787">
        <v>2000</v>
      </c>
      <c r="J54" s="459">
        <v>0</v>
      </c>
      <c r="K54" s="1361"/>
      <c r="L54" s="777">
        <f t="shared" si="1"/>
        <v>0</v>
      </c>
      <c r="M54" s="647"/>
    </row>
    <row r="55" spans="1:13" ht="33" customHeight="1" x14ac:dyDescent="0.3">
      <c r="A55" s="755">
        <v>49</v>
      </c>
      <c r="B55" s="455"/>
      <c r="C55" s="456">
        <v>48</v>
      </c>
      <c r="D55" s="462" t="s">
        <v>687</v>
      </c>
      <c r="E55" s="463" t="s">
        <v>25</v>
      </c>
      <c r="F55" s="459">
        <f t="shared" si="0"/>
        <v>2000</v>
      </c>
      <c r="G55" s="459"/>
      <c r="H55" s="1343"/>
      <c r="I55" s="787">
        <v>2000</v>
      </c>
      <c r="J55" s="459">
        <v>2000</v>
      </c>
      <c r="K55" s="1361"/>
      <c r="L55" s="777">
        <f t="shared" si="1"/>
        <v>2000</v>
      </c>
      <c r="M55" s="647"/>
    </row>
    <row r="56" spans="1:13" ht="33" customHeight="1" x14ac:dyDescent="0.3">
      <c r="A56" s="755">
        <v>50</v>
      </c>
      <c r="B56" s="455"/>
      <c r="C56" s="456">
        <v>49</v>
      </c>
      <c r="D56" s="462" t="s">
        <v>937</v>
      </c>
      <c r="E56" s="463" t="s">
        <v>25</v>
      </c>
      <c r="F56" s="459">
        <f t="shared" si="0"/>
        <v>22500</v>
      </c>
      <c r="G56" s="459"/>
      <c r="H56" s="1343"/>
      <c r="I56" s="787">
        <v>22500</v>
      </c>
      <c r="J56" s="459">
        <v>22500</v>
      </c>
      <c r="K56" s="1361"/>
      <c r="L56" s="777">
        <f t="shared" si="1"/>
        <v>22500</v>
      </c>
      <c r="M56" s="647"/>
    </row>
    <row r="57" spans="1:13" ht="33" customHeight="1" x14ac:dyDescent="0.3">
      <c r="A57" s="755">
        <v>51</v>
      </c>
      <c r="B57" s="455"/>
      <c r="C57" s="456">
        <v>50</v>
      </c>
      <c r="D57" s="462" t="s">
        <v>688</v>
      </c>
      <c r="E57" s="463" t="s">
        <v>25</v>
      </c>
      <c r="F57" s="459">
        <f t="shared" si="0"/>
        <v>4260</v>
      </c>
      <c r="G57" s="459"/>
      <c r="H57" s="1343"/>
      <c r="I57" s="787">
        <v>3400</v>
      </c>
      <c r="J57" s="459">
        <v>3400</v>
      </c>
      <c r="K57" s="1361">
        <v>860</v>
      </c>
      <c r="L57" s="777">
        <f t="shared" si="1"/>
        <v>4260</v>
      </c>
      <c r="M57" s="647"/>
    </row>
    <row r="58" spans="1:13" ht="18" customHeight="1" x14ac:dyDescent="0.3">
      <c r="A58" s="755">
        <v>52</v>
      </c>
      <c r="B58" s="455"/>
      <c r="C58" s="456">
        <v>51</v>
      </c>
      <c r="D58" s="462" t="s">
        <v>689</v>
      </c>
      <c r="E58" s="463" t="s">
        <v>25</v>
      </c>
      <c r="F58" s="459">
        <f t="shared" si="0"/>
        <v>3556</v>
      </c>
      <c r="G58" s="459"/>
      <c r="H58" s="1343"/>
      <c r="I58" s="787">
        <v>16200</v>
      </c>
      <c r="J58" s="459">
        <v>3556</v>
      </c>
      <c r="K58" s="1361"/>
      <c r="L58" s="777">
        <f t="shared" si="1"/>
        <v>3556</v>
      </c>
      <c r="M58" s="647"/>
    </row>
    <row r="59" spans="1:13" ht="18" customHeight="1" x14ac:dyDescent="0.3">
      <c r="A59" s="755">
        <v>53</v>
      </c>
      <c r="B59" s="455"/>
      <c r="C59" s="456">
        <v>52</v>
      </c>
      <c r="D59" s="462" t="s">
        <v>690</v>
      </c>
      <c r="E59" s="463" t="s">
        <v>25</v>
      </c>
      <c r="F59" s="459">
        <f t="shared" si="0"/>
        <v>3000</v>
      </c>
      <c r="G59" s="459"/>
      <c r="H59" s="1343"/>
      <c r="I59" s="787">
        <v>3000</v>
      </c>
      <c r="J59" s="459">
        <v>3000</v>
      </c>
      <c r="K59" s="1361"/>
      <c r="L59" s="777">
        <f t="shared" si="1"/>
        <v>3000</v>
      </c>
      <c r="M59" s="647"/>
    </row>
    <row r="60" spans="1:13" ht="18" customHeight="1" x14ac:dyDescent="0.3">
      <c r="A60" s="755">
        <v>54</v>
      </c>
      <c r="B60" s="455"/>
      <c r="C60" s="556">
        <v>53</v>
      </c>
      <c r="D60" s="462" t="s">
        <v>691</v>
      </c>
      <c r="E60" s="463" t="s">
        <v>25</v>
      </c>
      <c r="F60" s="459">
        <f t="shared" si="0"/>
        <v>2080</v>
      </c>
      <c r="G60" s="459"/>
      <c r="H60" s="1343"/>
      <c r="I60" s="787">
        <v>2000</v>
      </c>
      <c r="J60" s="459">
        <v>2080</v>
      </c>
      <c r="K60" s="1361"/>
      <c r="L60" s="777">
        <f t="shared" si="1"/>
        <v>2080</v>
      </c>
      <c r="M60" s="647"/>
    </row>
    <row r="61" spans="1:13" ht="18" customHeight="1" x14ac:dyDescent="0.3">
      <c r="A61" s="755">
        <v>55</v>
      </c>
      <c r="B61" s="455"/>
      <c r="C61" s="456">
        <v>54</v>
      </c>
      <c r="D61" s="462" t="s">
        <v>900</v>
      </c>
      <c r="E61" s="463" t="s">
        <v>25</v>
      </c>
      <c r="F61" s="459">
        <f t="shared" si="0"/>
        <v>290</v>
      </c>
      <c r="G61" s="460"/>
      <c r="H61" s="1343"/>
      <c r="I61" s="787"/>
      <c r="J61" s="459">
        <v>290</v>
      </c>
      <c r="K61" s="1361"/>
      <c r="L61" s="777">
        <f t="shared" si="1"/>
        <v>290</v>
      </c>
      <c r="M61" s="647"/>
    </row>
    <row r="62" spans="1:13" ht="18" customHeight="1" x14ac:dyDescent="0.3">
      <c r="A62" s="755">
        <v>56</v>
      </c>
      <c r="B62" s="455"/>
      <c r="C62" s="456">
        <v>55</v>
      </c>
      <c r="D62" s="462" t="s">
        <v>692</v>
      </c>
      <c r="E62" s="463" t="s">
        <v>25</v>
      </c>
      <c r="F62" s="459">
        <f t="shared" si="0"/>
        <v>2722</v>
      </c>
      <c r="G62" s="459"/>
      <c r="H62" s="1343"/>
      <c r="I62" s="787">
        <v>4000</v>
      </c>
      <c r="J62" s="459">
        <v>2722</v>
      </c>
      <c r="K62" s="1361"/>
      <c r="L62" s="777">
        <f t="shared" si="1"/>
        <v>2722</v>
      </c>
      <c r="M62" s="647"/>
    </row>
    <row r="63" spans="1:13" ht="18" customHeight="1" x14ac:dyDescent="0.3">
      <c r="A63" s="755">
        <v>57</v>
      </c>
      <c r="B63" s="455"/>
      <c r="C63" s="556">
        <v>56</v>
      </c>
      <c r="D63" s="462" t="s">
        <v>693</v>
      </c>
      <c r="E63" s="463" t="s">
        <v>25</v>
      </c>
      <c r="F63" s="459">
        <f t="shared" si="0"/>
        <v>0</v>
      </c>
      <c r="G63" s="459"/>
      <c r="H63" s="1343"/>
      <c r="I63" s="787">
        <v>3000</v>
      </c>
      <c r="J63" s="459">
        <v>0</v>
      </c>
      <c r="K63" s="1361"/>
      <c r="L63" s="777">
        <f t="shared" si="1"/>
        <v>0</v>
      </c>
      <c r="M63" s="647"/>
    </row>
    <row r="64" spans="1:13" ht="18" customHeight="1" x14ac:dyDescent="0.3">
      <c r="A64" s="755">
        <v>58</v>
      </c>
      <c r="B64" s="455"/>
      <c r="C64" s="456">
        <v>57</v>
      </c>
      <c r="D64" s="464" t="s">
        <v>516</v>
      </c>
      <c r="E64" s="465" t="s">
        <v>25</v>
      </c>
      <c r="F64" s="459">
        <f t="shared" si="0"/>
        <v>71393</v>
      </c>
      <c r="G64" s="460"/>
      <c r="H64" s="1343">
        <v>1765</v>
      </c>
      <c r="I64" s="787">
        <v>25800</v>
      </c>
      <c r="J64" s="459">
        <v>69628</v>
      </c>
      <c r="K64" s="1361"/>
      <c r="L64" s="777">
        <f t="shared" si="1"/>
        <v>69628</v>
      </c>
      <c r="M64" s="647"/>
    </row>
    <row r="65" spans="1:251" ht="18" customHeight="1" x14ac:dyDescent="0.3">
      <c r="A65" s="755">
        <v>59</v>
      </c>
      <c r="B65" s="455"/>
      <c r="C65" s="456">
        <v>58</v>
      </c>
      <c r="D65" s="464" t="s">
        <v>694</v>
      </c>
      <c r="E65" s="465" t="s">
        <v>25</v>
      </c>
      <c r="F65" s="459">
        <f t="shared" si="0"/>
        <v>45000</v>
      </c>
      <c r="G65" s="460"/>
      <c r="H65" s="1343"/>
      <c r="I65" s="787">
        <v>45000</v>
      </c>
      <c r="J65" s="459">
        <v>45000</v>
      </c>
      <c r="K65" s="1361"/>
      <c r="L65" s="777">
        <f t="shared" si="1"/>
        <v>45000</v>
      </c>
      <c r="M65" s="647"/>
    </row>
    <row r="66" spans="1:251" ht="33" customHeight="1" x14ac:dyDescent="0.3">
      <c r="A66" s="755">
        <v>60</v>
      </c>
      <c r="B66" s="455"/>
      <c r="C66" s="456">
        <v>59</v>
      </c>
      <c r="D66" s="462" t="s">
        <v>502</v>
      </c>
      <c r="E66" s="463" t="s">
        <v>24</v>
      </c>
      <c r="F66" s="459">
        <f t="shared" si="0"/>
        <v>45924</v>
      </c>
      <c r="G66" s="459">
        <v>9924</v>
      </c>
      <c r="H66" s="1343">
        <v>9956</v>
      </c>
      <c r="I66" s="787">
        <v>16000</v>
      </c>
      <c r="J66" s="459">
        <v>26044</v>
      </c>
      <c r="K66" s="1361"/>
      <c r="L66" s="777">
        <f t="shared" si="1"/>
        <v>26044</v>
      </c>
      <c r="M66" s="647"/>
    </row>
    <row r="67" spans="1:251" ht="18" customHeight="1" x14ac:dyDescent="0.3">
      <c r="A67" s="755">
        <v>61</v>
      </c>
      <c r="B67" s="455"/>
      <c r="C67" s="456">
        <v>60</v>
      </c>
      <c r="D67" s="462" t="s">
        <v>695</v>
      </c>
      <c r="E67" s="463" t="s">
        <v>25</v>
      </c>
      <c r="F67" s="459">
        <f t="shared" si="0"/>
        <v>8000</v>
      </c>
      <c r="G67" s="459"/>
      <c r="H67" s="1343"/>
      <c r="I67" s="787">
        <v>28000</v>
      </c>
      <c r="J67" s="459">
        <v>8000</v>
      </c>
      <c r="K67" s="1361"/>
      <c r="L67" s="777">
        <f t="shared" si="1"/>
        <v>8000</v>
      </c>
      <c r="M67" s="647"/>
    </row>
    <row r="68" spans="1:251" ht="18" customHeight="1" x14ac:dyDescent="0.3">
      <c r="A68" s="755">
        <v>62</v>
      </c>
      <c r="B68" s="455"/>
      <c r="C68" s="456">
        <v>61</v>
      </c>
      <c r="D68" s="462" t="s">
        <v>696</v>
      </c>
      <c r="E68" s="463" t="s">
        <v>25</v>
      </c>
      <c r="F68" s="459">
        <f t="shared" si="0"/>
        <v>15000</v>
      </c>
      <c r="G68" s="459"/>
      <c r="H68" s="1343"/>
      <c r="I68" s="787">
        <v>15000</v>
      </c>
      <c r="J68" s="459">
        <v>15000</v>
      </c>
      <c r="K68" s="1361"/>
      <c r="L68" s="777">
        <f t="shared" si="1"/>
        <v>15000</v>
      </c>
      <c r="M68" s="647"/>
    </row>
    <row r="69" spans="1:251" ht="18" customHeight="1" x14ac:dyDescent="0.3">
      <c r="A69" s="755">
        <v>63</v>
      </c>
      <c r="B69" s="455"/>
      <c r="C69" s="556">
        <v>62</v>
      </c>
      <c r="D69" s="467" t="s">
        <v>404</v>
      </c>
      <c r="E69" s="458" t="s">
        <v>25</v>
      </c>
      <c r="F69" s="459">
        <f t="shared" si="0"/>
        <v>3420</v>
      </c>
      <c r="G69" s="460">
        <v>3210</v>
      </c>
      <c r="H69" s="1343">
        <v>110</v>
      </c>
      <c r="I69" s="787">
        <v>100</v>
      </c>
      <c r="J69" s="459">
        <v>100</v>
      </c>
      <c r="K69" s="1361"/>
      <c r="L69" s="777">
        <f t="shared" si="1"/>
        <v>100</v>
      </c>
      <c r="M69" s="647"/>
      <c r="N69" s="466"/>
      <c r="O69" s="466"/>
      <c r="P69" s="466"/>
      <c r="Q69" s="466"/>
      <c r="R69" s="466"/>
      <c r="S69" s="466"/>
      <c r="T69" s="466"/>
      <c r="U69" s="466"/>
      <c r="V69" s="466"/>
      <c r="W69" s="466"/>
      <c r="X69" s="466"/>
      <c r="Y69" s="466"/>
      <c r="Z69" s="466"/>
      <c r="AA69" s="466"/>
      <c r="AB69" s="466"/>
      <c r="AC69" s="466"/>
      <c r="AD69" s="466"/>
      <c r="AE69" s="466"/>
      <c r="AF69" s="466"/>
      <c r="AG69" s="466"/>
      <c r="AH69" s="466"/>
      <c r="AI69" s="466"/>
      <c r="AJ69" s="466"/>
      <c r="AK69" s="466"/>
      <c r="AL69" s="466"/>
      <c r="AM69" s="466"/>
      <c r="AN69" s="466"/>
      <c r="AO69" s="466"/>
      <c r="AP69" s="466"/>
      <c r="AQ69" s="466"/>
      <c r="AR69" s="466"/>
      <c r="AS69" s="466"/>
      <c r="AT69" s="466"/>
      <c r="AU69" s="466"/>
      <c r="AV69" s="466"/>
      <c r="AW69" s="466"/>
      <c r="AX69" s="466"/>
      <c r="AY69" s="466"/>
      <c r="AZ69" s="466"/>
      <c r="BA69" s="466"/>
      <c r="BB69" s="466"/>
      <c r="BC69" s="466"/>
      <c r="BD69" s="466"/>
      <c r="BE69" s="466"/>
      <c r="BF69" s="466"/>
      <c r="BG69" s="466"/>
      <c r="BH69" s="466"/>
      <c r="BI69" s="466"/>
      <c r="BJ69" s="466"/>
      <c r="BK69" s="466"/>
      <c r="BL69" s="466"/>
      <c r="BM69" s="466"/>
      <c r="BN69" s="466"/>
      <c r="BO69" s="466"/>
      <c r="BP69" s="466"/>
      <c r="BQ69" s="466"/>
      <c r="BR69" s="466"/>
      <c r="BS69" s="466"/>
      <c r="BT69" s="466"/>
      <c r="BU69" s="466"/>
      <c r="BV69" s="466"/>
      <c r="BW69" s="466"/>
      <c r="BX69" s="466"/>
      <c r="BY69" s="466"/>
      <c r="BZ69" s="466"/>
      <c r="CA69" s="466"/>
      <c r="CB69" s="466"/>
      <c r="CC69" s="466"/>
      <c r="CD69" s="466"/>
      <c r="CE69" s="466"/>
      <c r="CF69" s="466"/>
      <c r="CG69" s="466"/>
      <c r="CH69" s="466"/>
      <c r="CI69" s="466"/>
      <c r="CJ69" s="466"/>
      <c r="CK69" s="466"/>
      <c r="CL69" s="466"/>
      <c r="CM69" s="466"/>
      <c r="CN69" s="466"/>
      <c r="CO69" s="466"/>
      <c r="CP69" s="466"/>
      <c r="CQ69" s="466"/>
      <c r="CR69" s="466"/>
      <c r="CS69" s="466"/>
      <c r="CT69" s="466"/>
      <c r="CU69" s="466"/>
      <c r="CV69" s="466"/>
      <c r="CW69" s="466"/>
      <c r="CX69" s="466"/>
      <c r="CY69" s="466"/>
      <c r="CZ69" s="466"/>
      <c r="DA69" s="466"/>
      <c r="DB69" s="466"/>
      <c r="DC69" s="466"/>
      <c r="DD69" s="466"/>
      <c r="DE69" s="466"/>
      <c r="DF69" s="466"/>
      <c r="DG69" s="466"/>
      <c r="DH69" s="466"/>
      <c r="DI69" s="466"/>
      <c r="DJ69" s="466"/>
      <c r="DK69" s="466"/>
      <c r="DL69" s="466"/>
      <c r="DM69" s="466"/>
      <c r="DN69" s="466"/>
      <c r="DO69" s="466"/>
      <c r="DP69" s="466"/>
      <c r="DQ69" s="466"/>
      <c r="DR69" s="466"/>
      <c r="DS69" s="466"/>
      <c r="DT69" s="466"/>
      <c r="DU69" s="466"/>
      <c r="DV69" s="466"/>
      <c r="DW69" s="466"/>
      <c r="DX69" s="466"/>
      <c r="DY69" s="466"/>
      <c r="DZ69" s="466"/>
      <c r="EA69" s="466"/>
      <c r="EB69" s="466"/>
      <c r="EC69" s="466"/>
      <c r="ED69" s="466"/>
      <c r="EE69" s="466"/>
      <c r="EF69" s="466"/>
      <c r="EG69" s="466"/>
      <c r="EH69" s="466"/>
      <c r="EI69" s="466"/>
      <c r="EJ69" s="466"/>
      <c r="EK69" s="466"/>
      <c r="EL69" s="466"/>
      <c r="EM69" s="466"/>
      <c r="EN69" s="466"/>
      <c r="EO69" s="466"/>
      <c r="EP69" s="466"/>
      <c r="EQ69" s="466"/>
      <c r="ER69" s="466"/>
      <c r="ES69" s="466"/>
      <c r="ET69" s="466"/>
      <c r="EU69" s="466"/>
      <c r="EV69" s="466"/>
      <c r="EW69" s="466"/>
      <c r="EX69" s="466"/>
      <c r="EY69" s="466"/>
      <c r="EZ69" s="466"/>
      <c r="FA69" s="466"/>
      <c r="FB69" s="466"/>
      <c r="FC69" s="466"/>
      <c r="FD69" s="466"/>
      <c r="FE69" s="466"/>
      <c r="FF69" s="466"/>
      <c r="FG69" s="466"/>
      <c r="FH69" s="466"/>
      <c r="FI69" s="466"/>
      <c r="FJ69" s="466"/>
      <c r="FK69" s="466"/>
      <c r="FL69" s="466"/>
      <c r="FM69" s="466"/>
      <c r="FN69" s="466"/>
      <c r="FO69" s="466"/>
      <c r="FP69" s="466"/>
      <c r="FQ69" s="466"/>
      <c r="FR69" s="466"/>
      <c r="FS69" s="466"/>
      <c r="FT69" s="466"/>
      <c r="FU69" s="466"/>
      <c r="FV69" s="466"/>
      <c r="FW69" s="466"/>
      <c r="FX69" s="466"/>
      <c r="FY69" s="466"/>
      <c r="FZ69" s="466"/>
      <c r="GA69" s="466"/>
      <c r="GB69" s="466"/>
      <c r="GC69" s="466"/>
      <c r="GD69" s="466"/>
      <c r="GE69" s="466"/>
      <c r="GF69" s="466"/>
      <c r="GG69" s="466"/>
      <c r="GH69" s="466"/>
      <c r="GI69" s="466"/>
      <c r="GJ69" s="466"/>
      <c r="GK69" s="466"/>
      <c r="GL69" s="466"/>
      <c r="GM69" s="466"/>
      <c r="GN69" s="466"/>
      <c r="GO69" s="466"/>
      <c r="GP69" s="466"/>
      <c r="GQ69" s="466"/>
      <c r="GR69" s="466"/>
      <c r="GS69" s="466"/>
      <c r="GT69" s="466"/>
      <c r="GU69" s="466"/>
      <c r="GV69" s="466"/>
      <c r="GW69" s="466"/>
      <c r="GX69" s="466"/>
      <c r="GY69" s="466"/>
      <c r="GZ69" s="466"/>
      <c r="HA69" s="466"/>
      <c r="HB69" s="466"/>
      <c r="HC69" s="466"/>
      <c r="HD69" s="466"/>
      <c r="HE69" s="466"/>
      <c r="HF69" s="466"/>
      <c r="HG69" s="466"/>
      <c r="HH69" s="466"/>
      <c r="HI69" s="466"/>
      <c r="HJ69" s="466"/>
      <c r="HK69" s="466"/>
      <c r="HL69" s="466"/>
      <c r="HM69" s="466"/>
      <c r="HN69" s="466"/>
      <c r="HO69" s="466"/>
      <c r="HP69" s="466"/>
      <c r="HQ69" s="466"/>
      <c r="HR69" s="466"/>
      <c r="HS69" s="466"/>
      <c r="HT69" s="466"/>
      <c r="HU69" s="466"/>
      <c r="HV69" s="466"/>
      <c r="HW69" s="466"/>
      <c r="HX69" s="466"/>
      <c r="HY69" s="466"/>
      <c r="HZ69" s="466"/>
      <c r="IA69" s="466"/>
      <c r="IB69" s="466"/>
      <c r="IC69" s="466"/>
      <c r="ID69" s="466"/>
      <c r="IE69" s="466"/>
      <c r="IF69" s="466"/>
      <c r="IG69" s="466"/>
      <c r="IH69" s="466"/>
      <c r="II69" s="466"/>
      <c r="IJ69" s="466"/>
      <c r="IK69" s="466"/>
      <c r="IL69" s="466"/>
      <c r="IM69" s="466"/>
      <c r="IN69" s="466"/>
      <c r="IO69" s="466"/>
      <c r="IP69" s="466"/>
      <c r="IQ69" s="466"/>
    </row>
    <row r="70" spans="1:251" ht="18" customHeight="1" x14ac:dyDescent="0.3">
      <c r="A70" s="755">
        <v>64</v>
      </c>
      <c r="B70" s="455"/>
      <c r="C70" s="456">
        <v>63</v>
      </c>
      <c r="D70" s="467" t="s">
        <v>405</v>
      </c>
      <c r="E70" s="458" t="s">
        <v>25</v>
      </c>
      <c r="F70" s="459">
        <f t="shared" si="0"/>
        <v>142880</v>
      </c>
      <c r="G70" s="460">
        <v>84090</v>
      </c>
      <c r="H70" s="1343">
        <v>35890</v>
      </c>
      <c r="I70" s="787">
        <v>22900</v>
      </c>
      <c r="J70" s="459">
        <v>22900</v>
      </c>
      <c r="K70" s="1361"/>
      <c r="L70" s="777">
        <f t="shared" si="1"/>
        <v>22900</v>
      </c>
      <c r="M70" s="647"/>
      <c r="N70" s="466"/>
      <c r="O70" s="466"/>
      <c r="P70" s="466"/>
      <c r="Q70" s="466"/>
      <c r="R70" s="466"/>
      <c r="S70" s="466"/>
      <c r="T70" s="466"/>
      <c r="U70" s="466"/>
      <c r="V70" s="466"/>
      <c r="W70" s="466"/>
      <c r="X70" s="466"/>
      <c r="Y70" s="466"/>
      <c r="Z70" s="466"/>
      <c r="AA70" s="466"/>
      <c r="AB70" s="466"/>
      <c r="AC70" s="466"/>
      <c r="AD70" s="466"/>
      <c r="AE70" s="466"/>
      <c r="AF70" s="466"/>
      <c r="AG70" s="466"/>
      <c r="AH70" s="466"/>
      <c r="AI70" s="466"/>
      <c r="AJ70" s="466"/>
      <c r="AK70" s="466"/>
      <c r="AL70" s="466"/>
      <c r="AM70" s="466"/>
      <c r="AN70" s="466"/>
      <c r="AO70" s="466"/>
      <c r="AP70" s="466"/>
      <c r="AQ70" s="466"/>
      <c r="AR70" s="466"/>
      <c r="AS70" s="466"/>
      <c r="AT70" s="466"/>
      <c r="AU70" s="466"/>
      <c r="AV70" s="466"/>
      <c r="AW70" s="466"/>
      <c r="AX70" s="466"/>
      <c r="AY70" s="466"/>
      <c r="AZ70" s="466"/>
      <c r="BA70" s="466"/>
      <c r="BB70" s="466"/>
      <c r="BC70" s="466"/>
      <c r="BD70" s="466"/>
      <c r="BE70" s="466"/>
      <c r="BF70" s="466"/>
      <c r="BG70" s="466"/>
      <c r="BH70" s="466"/>
      <c r="BI70" s="466"/>
      <c r="BJ70" s="466"/>
      <c r="BK70" s="466"/>
      <c r="BL70" s="466"/>
      <c r="BM70" s="466"/>
      <c r="BN70" s="466"/>
      <c r="BO70" s="466"/>
      <c r="BP70" s="466"/>
      <c r="BQ70" s="466"/>
      <c r="BR70" s="466"/>
      <c r="BS70" s="466"/>
      <c r="BT70" s="466"/>
      <c r="BU70" s="466"/>
      <c r="BV70" s="466"/>
      <c r="BW70" s="466"/>
      <c r="BX70" s="466"/>
      <c r="BY70" s="466"/>
      <c r="BZ70" s="466"/>
      <c r="CA70" s="466"/>
      <c r="CB70" s="466"/>
      <c r="CC70" s="466"/>
      <c r="CD70" s="466"/>
      <c r="CE70" s="466"/>
      <c r="CF70" s="466"/>
      <c r="CG70" s="466"/>
      <c r="CH70" s="466"/>
      <c r="CI70" s="466"/>
      <c r="CJ70" s="466"/>
      <c r="CK70" s="466"/>
      <c r="CL70" s="466"/>
      <c r="CM70" s="466"/>
      <c r="CN70" s="466"/>
      <c r="CO70" s="466"/>
      <c r="CP70" s="466"/>
      <c r="CQ70" s="466"/>
      <c r="CR70" s="466"/>
      <c r="CS70" s="466"/>
      <c r="CT70" s="466"/>
      <c r="CU70" s="466"/>
      <c r="CV70" s="466"/>
      <c r="CW70" s="466"/>
      <c r="CX70" s="466"/>
      <c r="CY70" s="466"/>
      <c r="CZ70" s="466"/>
      <c r="DA70" s="466"/>
      <c r="DB70" s="466"/>
      <c r="DC70" s="466"/>
      <c r="DD70" s="466"/>
      <c r="DE70" s="466"/>
      <c r="DF70" s="466"/>
      <c r="DG70" s="466"/>
      <c r="DH70" s="466"/>
      <c r="DI70" s="466"/>
      <c r="DJ70" s="466"/>
      <c r="DK70" s="466"/>
      <c r="DL70" s="466"/>
      <c r="DM70" s="466"/>
      <c r="DN70" s="466"/>
      <c r="DO70" s="466"/>
      <c r="DP70" s="466"/>
      <c r="DQ70" s="466"/>
      <c r="DR70" s="466"/>
      <c r="DS70" s="466"/>
      <c r="DT70" s="466"/>
      <c r="DU70" s="466"/>
      <c r="DV70" s="466"/>
      <c r="DW70" s="466"/>
      <c r="DX70" s="466"/>
      <c r="DY70" s="466"/>
      <c r="DZ70" s="466"/>
      <c r="EA70" s="466"/>
      <c r="EB70" s="466"/>
      <c r="EC70" s="466"/>
      <c r="ED70" s="466"/>
      <c r="EE70" s="466"/>
      <c r="EF70" s="466"/>
      <c r="EG70" s="466"/>
      <c r="EH70" s="466"/>
      <c r="EI70" s="466"/>
      <c r="EJ70" s="466"/>
      <c r="EK70" s="466"/>
      <c r="EL70" s="466"/>
      <c r="EM70" s="466"/>
      <c r="EN70" s="466"/>
      <c r="EO70" s="466"/>
      <c r="EP70" s="466"/>
      <c r="EQ70" s="466"/>
      <c r="ER70" s="466"/>
      <c r="ES70" s="466"/>
      <c r="ET70" s="466"/>
      <c r="EU70" s="466"/>
      <c r="EV70" s="466"/>
      <c r="EW70" s="466"/>
      <c r="EX70" s="466"/>
      <c r="EY70" s="466"/>
      <c r="EZ70" s="466"/>
      <c r="FA70" s="466"/>
      <c r="FB70" s="466"/>
      <c r="FC70" s="466"/>
      <c r="FD70" s="466"/>
      <c r="FE70" s="466"/>
      <c r="FF70" s="466"/>
      <c r="FG70" s="466"/>
      <c r="FH70" s="466"/>
      <c r="FI70" s="466"/>
      <c r="FJ70" s="466"/>
      <c r="FK70" s="466"/>
      <c r="FL70" s="466"/>
      <c r="FM70" s="466"/>
      <c r="FN70" s="466"/>
      <c r="FO70" s="466"/>
      <c r="FP70" s="466"/>
      <c r="FQ70" s="466"/>
      <c r="FR70" s="466"/>
      <c r="FS70" s="466"/>
      <c r="FT70" s="466"/>
      <c r="FU70" s="466"/>
      <c r="FV70" s="466"/>
      <c r="FW70" s="466"/>
      <c r="FX70" s="466"/>
      <c r="FY70" s="466"/>
      <c r="FZ70" s="466"/>
      <c r="GA70" s="466"/>
      <c r="GB70" s="466"/>
      <c r="GC70" s="466"/>
      <c r="GD70" s="466"/>
      <c r="GE70" s="466"/>
      <c r="GF70" s="466"/>
      <c r="GG70" s="466"/>
      <c r="GH70" s="466"/>
      <c r="GI70" s="466"/>
      <c r="GJ70" s="466"/>
      <c r="GK70" s="466"/>
      <c r="GL70" s="466"/>
      <c r="GM70" s="466"/>
      <c r="GN70" s="466"/>
      <c r="GO70" s="466"/>
      <c r="GP70" s="466"/>
      <c r="GQ70" s="466"/>
      <c r="GR70" s="466"/>
      <c r="GS70" s="466"/>
      <c r="GT70" s="466"/>
      <c r="GU70" s="466"/>
      <c r="GV70" s="466"/>
      <c r="GW70" s="466"/>
      <c r="GX70" s="466"/>
      <c r="GY70" s="466"/>
      <c r="GZ70" s="466"/>
      <c r="HA70" s="466"/>
      <c r="HB70" s="466"/>
      <c r="HC70" s="466"/>
      <c r="HD70" s="466"/>
      <c r="HE70" s="466"/>
      <c r="HF70" s="466"/>
      <c r="HG70" s="466"/>
      <c r="HH70" s="466"/>
      <c r="HI70" s="466"/>
      <c r="HJ70" s="466"/>
      <c r="HK70" s="466"/>
      <c r="HL70" s="466"/>
      <c r="HM70" s="466"/>
      <c r="HN70" s="466"/>
      <c r="HO70" s="466"/>
      <c r="HP70" s="466"/>
      <c r="HQ70" s="466"/>
      <c r="HR70" s="466"/>
      <c r="HS70" s="466"/>
      <c r="HT70" s="466"/>
      <c r="HU70" s="466"/>
      <c r="HV70" s="466"/>
      <c r="HW70" s="466"/>
      <c r="HX70" s="466"/>
      <c r="HY70" s="466"/>
      <c r="HZ70" s="466"/>
      <c r="IA70" s="466"/>
      <c r="IB70" s="466"/>
      <c r="IC70" s="466"/>
      <c r="ID70" s="466"/>
      <c r="IE70" s="466"/>
      <c r="IF70" s="466"/>
      <c r="IG70" s="466"/>
      <c r="IH70" s="466"/>
      <c r="II70" s="466"/>
      <c r="IJ70" s="466"/>
      <c r="IK70" s="466"/>
      <c r="IL70" s="466"/>
      <c r="IM70" s="466"/>
      <c r="IN70" s="466"/>
      <c r="IO70" s="466"/>
      <c r="IP70" s="466"/>
      <c r="IQ70" s="466"/>
    </row>
    <row r="71" spans="1:251" ht="18" customHeight="1" x14ac:dyDescent="0.3">
      <c r="A71" s="755">
        <v>65</v>
      </c>
      <c r="B71" s="455"/>
      <c r="C71" s="456">
        <v>64</v>
      </c>
      <c r="D71" s="467" t="s">
        <v>406</v>
      </c>
      <c r="E71" s="458" t="s">
        <v>25</v>
      </c>
      <c r="F71" s="459">
        <f t="shared" si="0"/>
        <v>100070</v>
      </c>
      <c r="G71" s="460">
        <v>100050</v>
      </c>
      <c r="H71" s="1343">
        <v>10</v>
      </c>
      <c r="I71" s="787">
        <v>10</v>
      </c>
      <c r="J71" s="459">
        <v>10</v>
      </c>
      <c r="K71" s="1361"/>
      <c r="L71" s="777">
        <f t="shared" si="1"/>
        <v>10</v>
      </c>
      <c r="M71" s="647"/>
      <c r="N71" s="466"/>
      <c r="O71" s="466"/>
      <c r="P71" s="466"/>
      <c r="Q71" s="466"/>
      <c r="R71" s="466"/>
      <c r="S71" s="466"/>
      <c r="T71" s="466"/>
      <c r="U71" s="466"/>
      <c r="V71" s="466"/>
      <c r="W71" s="466"/>
      <c r="X71" s="466"/>
      <c r="Y71" s="466"/>
      <c r="Z71" s="466"/>
      <c r="AA71" s="466"/>
      <c r="AB71" s="466"/>
      <c r="AC71" s="466"/>
      <c r="AD71" s="466"/>
      <c r="AE71" s="466"/>
      <c r="AF71" s="466"/>
      <c r="AG71" s="466"/>
      <c r="AH71" s="466"/>
      <c r="AI71" s="466"/>
      <c r="AJ71" s="466"/>
      <c r="AK71" s="466"/>
      <c r="AL71" s="466"/>
      <c r="AM71" s="466"/>
      <c r="AN71" s="466"/>
      <c r="AO71" s="466"/>
      <c r="AP71" s="466"/>
      <c r="AQ71" s="466"/>
      <c r="AR71" s="466"/>
      <c r="AS71" s="466"/>
      <c r="AT71" s="466"/>
      <c r="AU71" s="466"/>
      <c r="AV71" s="466"/>
      <c r="AW71" s="466"/>
      <c r="AX71" s="466"/>
      <c r="AY71" s="466"/>
      <c r="AZ71" s="466"/>
      <c r="BA71" s="466"/>
      <c r="BB71" s="466"/>
      <c r="BC71" s="466"/>
      <c r="BD71" s="466"/>
      <c r="BE71" s="466"/>
      <c r="BF71" s="466"/>
      <c r="BG71" s="466"/>
      <c r="BH71" s="466"/>
      <c r="BI71" s="466"/>
      <c r="BJ71" s="466"/>
      <c r="BK71" s="466"/>
      <c r="BL71" s="466"/>
      <c r="BM71" s="466"/>
      <c r="BN71" s="466"/>
      <c r="BO71" s="466"/>
      <c r="BP71" s="466"/>
      <c r="BQ71" s="466"/>
      <c r="BR71" s="466"/>
      <c r="BS71" s="466"/>
      <c r="BT71" s="466"/>
      <c r="BU71" s="466"/>
      <c r="BV71" s="466"/>
      <c r="BW71" s="466"/>
      <c r="BX71" s="466"/>
      <c r="BY71" s="466"/>
      <c r="BZ71" s="466"/>
      <c r="CA71" s="466"/>
      <c r="CB71" s="466"/>
      <c r="CC71" s="466"/>
      <c r="CD71" s="466"/>
      <c r="CE71" s="466"/>
      <c r="CF71" s="466"/>
      <c r="CG71" s="466"/>
      <c r="CH71" s="466"/>
      <c r="CI71" s="466"/>
      <c r="CJ71" s="466"/>
      <c r="CK71" s="466"/>
      <c r="CL71" s="466"/>
      <c r="CM71" s="466"/>
      <c r="CN71" s="466"/>
      <c r="CO71" s="466"/>
      <c r="CP71" s="466"/>
      <c r="CQ71" s="466"/>
      <c r="CR71" s="466"/>
      <c r="CS71" s="466"/>
      <c r="CT71" s="466"/>
      <c r="CU71" s="466"/>
      <c r="CV71" s="466"/>
      <c r="CW71" s="466"/>
      <c r="CX71" s="466"/>
      <c r="CY71" s="466"/>
      <c r="CZ71" s="466"/>
      <c r="DA71" s="466"/>
      <c r="DB71" s="466"/>
      <c r="DC71" s="466"/>
      <c r="DD71" s="466"/>
      <c r="DE71" s="466"/>
      <c r="DF71" s="466"/>
      <c r="DG71" s="466"/>
      <c r="DH71" s="466"/>
      <c r="DI71" s="466"/>
      <c r="DJ71" s="466"/>
      <c r="DK71" s="466"/>
      <c r="DL71" s="466"/>
      <c r="DM71" s="466"/>
      <c r="DN71" s="466"/>
      <c r="DO71" s="466"/>
      <c r="DP71" s="466"/>
      <c r="DQ71" s="466"/>
      <c r="DR71" s="466"/>
      <c r="DS71" s="466"/>
      <c r="DT71" s="466"/>
      <c r="DU71" s="466"/>
      <c r="DV71" s="466"/>
      <c r="DW71" s="466"/>
      <c r="DX71" s="466"/>
      <c r="DY71" s="466"/>
      <c r="DZ71" s="466"/>
      <c r="EA71" s="466"/>
      <c r="EB71" s="466"/>
      <c r="EC71" s="466"/>
      <c r="ED71" s="466"/>
      <c r="EE71" s="466"/>
      <c r="EF71" s="466"/>
      <c r="EG71" s="466"/>
      <c r="EH71" s="466"/>
      <c r="EI71" s="466"/>
      <c r="EJ71" s="466"/>
      <c r="EK71" s="466"/>
      <c r="EL71" s="466"/>
      <c r="EM71" s="466"/>
      <c r="EN71" s="466"/>
      <c r="EO71" s="466"/>
      <c r="EP71" s="466"/>
      <c r="EQ71" s="466"/>
      <c r="ER71" s="466"/>
      <c r="ES71" s="466"/>
      <c r="ET71" s="466"/>
      <c r="EU71" s="466"/>
      <c r="EV71" s="466"/>
      <c r="EW71" s="466"/>
      <c r="EX71" s="466"/>
      <c r="EY71" s="466"/>
      <c r="EZ71" s="466"/>
      <c r="FA71" s="466"/>
      <c r="FB71" s="466"/>
      <c r="FC71" s="466"/>
      <c r="FD71" s="466"/>
      <c r="FE71" s="466"/>
      <c r="FF71" s="466"/>
      <c r="FG71" s="466"/>
      <c r="FH71" s="466"/>
      <c r="FI71" s="466"/>
      <c r="FJ71" s="466"/>
      <c r="FK71" s="466"/>
      <c r="FL71" s="466"/>
      <c r="FM71" s="466"/>
      <c r="FN71" s="466"/>
      <c r="FO71" s="466"/>
      <c r="FP71" s="466"/>
      <c r="FQ71" s="466"/>
      <c r="FR71" s="466"/>
      <c r="FS71" s="466"/>
      <c r="FT71" s="466"/>
      <c r="FU71" s="466"/>
      <c r="FV71" s="466"/>
      <c r="FW71" s="466"/>
      <c r="FX71" s="466"/>
      <c r="FY71" s="466"/>
      <c r="FZ71" s="466"/>
      <c r="GA71" s="466"/>
      <c r="GB71" s="466"/>
      <c r="GC71" s="466"/>
      <c r="GD71" s="466"/>
      <c r="GE71" s="466"/>
      <c r="GF71" s="466"/>
      <c r="GG71" s="466"/>
      <c r="GH71" s="466"/>
      <c r="GI71" s="466"/>
      <c r="GJ71" s="466"/>
      <c r="GK71" s="466"/>
      <c r="GL71" s="466"/>
      <c r="GM71" s="466"/>
      <c r="GN71" s="466"/>
      <c r="GO71" s="466"/>
      <c r="GP71" s="466"/>
      <c r="GQ71" s="466"/>
      <c r="GR71" s="466"/>
      <c r="GS71" s="466"/>
      <c r="GT71" s="466"/>
      <c r="GU71" s="466"/>
      <c r="GV71" s="466"/>
      <c r="GW71" s="466"/>
      <c r="GX71" s="466"/>
      <c r="GY71" s="466"/>
      <c r="GZ71" s="466"/>
      <c r="HA71" s="466"/>
      <c r="HB71" s="466"/>
      <c r="HC71" s="466"/>
      <c r="HD71" s="466"/>
      <c r="HE71" s="466"/>
      <c r="HF71" s="466"/>
      <c r="HG71" s="466"/>
      <c r="HH71" s="466"/>
      <c r="HI71" s="466"/>
      <c r="HJ71" s="466"/>
      <c r="HK71" s="466"/>
      <c r="HL71" s="466"/>
      <c r="HM71" s="466"/>
      <c r="HN71" s="466"/>
      <c r="HO71" s="466"/>
      <c r="HP71" s="466"/>
      <c r="HQ71" s="466"/>
      <c r="HR71" s="466"/>
      <c r="HS71" s="466"/>
      <c r="HT71" s="466"/>
      <c r="HU71" s="466"/>
      <c r="HV71" s="466"/>
      <c r="HW71" s="466"/>
      <c r="HX71" s="466"/>
      <c r="HY71" s="466"/>
      <c r="HZ71" s="466"/>
      <c r="IA71" s="466"/>
      <c r="IB71" s="466"/>
      <c r="IC71" s="466"/>
      <c r="ID71" s="466"/>
      <c r="IE71" s="466"/>
      <c r="IF71" s="466"/>
      <c r="IG71" s="466"/>
      <c r="IH71" s="466"/>
      <c r="II71" s="466"/>
      <c r="IJ71" s="466"/>
      <c r="IK71" s="466"/>
      <c r="IL71" s="466"/>
      <c r="IM71" s="466"/>
      <c r="IN71" s="466"/>
      <c r="IO71" s="466"/>
      <c r="IP71" s="466"/>
      <c r="IQ71" s="466"/>
    </row>
    <row r="72" spans="1:251" ht="18" customHeight="1" x14ac:dyDescent="0.3">
      <c r="A72" s="755">
        <v>66</v>
      </c>
      <c r="B72" s="455"/>
      <c r="C72" s="556">
        <v>65</v>
      </c>
      <c r="D72" s="467" t="s">
        <v>407</v>
      </c>
      <c r="E72" s="458" t="s">
        <v>25</v>
      </c>
      <c r="F72" s="459">
        <f t="shared" si="0"/>
        <v>619930</v>
      </c>
      <c r="G72" s="460">
        <f>379860+90</f>
        <v>379950</v>
      </c>
      <c r="H72" s="1343">
        <v>119990</v>
      </c>
      <c r="I72" s="787">
        <v>119990</v>
      </c>
      <c r="J72" s="459">
        <v>119990</v>
      </c>
      <c r="K72" s="1361"/>
      <c r="L72" s="777">
        <f t="shared" si="1"/>
        <v>119990</v>
      </c>
      <c r="M72" s="647"/>
      <c r="N72" s="466"/>
      <c r="O72" s="466"/>
      <c r="P72" s="466"/>
      <c r="Q72" s="466"/>
      <c r="R72" s="466"/>
      <c r="S72" s="466"/>
      <c r="T72" s="466"/>
      <c r="U72" s="466"/>
      <c r="V72" s="466"/>
      <c r="W72" s="466"/>
      <c r="X72" s="466"/>
      <c r="Y72" s="466"/>
      <c r="Z72" s="466"/>
      <c r="AA72" s="466"/>
      <c r="AB72" s="466"/>
      <c r="AC72" s="466"/>
      <c r="AD72" s="466"/>
      <c r="AE72" s="466"/>
      <c r="AF72" s="466"/>
      <c r="AG72" s="466"/>
      <c r="AH72" s="466"/>
      <c r="AI72" s="466"/>
      <c r="AJ72" s="466"/>
      <c r="AK72" s="466"/>
      <c r="AL72" s="466"/>
      <c r="AM72" s="466"/>
      <c r="AN72" s="466"/>
      <c r="AO72" s="466"/>
      <c r="AP72" s="466"/>
      <c r="AQ72" s="466"/>
      <c r="AR72" s="466"/>
      <c r="AS72" s="466"/>
      <c r="AT72" s="466"/>
      <c r="AU72" s="466"/>
      <c r="AV72" s="466"/>
      <c r="AW72" s="466"/>
      <c r="AX72" s="466"/>
      <c r="AY72" s="466"/>
      <c r="AZ72" s="466"/>
      <c r="BA72" s="466"/>
      <c r="BB72" s="466"/>
      <c r="BC72" s="466"/>
      <c r="BD72" s="466"/>
      <c r="BE72" s="466"/>
      <c r="BF72" s="466"/>
      <c r="BG72" s="466"/>
      <c r="BH72" s="466"/>
      <c r="BI72" s="466"/>
      <c r="BJ72" s="466"/>
      <c r="BK72" s="466"/>
      <c r="BL72" s="466"/>
      <c r="BM72" s="466"/>
      <c r="BN72" s="466"/>
      <c r="BO72" s="466"/>
      <c r="BP72" s="466"/>
      <c r="BQ72" s="466"/>
      <c r="BR72" s="466"/>
      <c r="BS72" s="466"/>
      <c r="BT72" s="466"/>
      <c r="BU72" s="466"/>
      <c r="BV72" s="466"/>
      <c r="BW72" s="466"/>
      <c r="BX72" s="466"/>
      <c r="BY72" s="466"/>
      <c r="BZ72" s="466"/>
      <c r="CA72" s="466"/>
      <c r="CB72" s="466"/>
      <c r="CC72" s="466"/>
      <c r="CD72" s="466"/>
      <c r="CE72" s="466"/>
      <c r="CF72" s="466"/>
      <c r="CG72" s="466"/>
      <c r="CH72" s="466"/>
      <c r="CI72" s="466"/>
      <c r="CJ72" s="466"/>
      <c r="CK72" s="466"/>
      <c r="CL72" s="466"/>
      <c r="CM72" s="466"/>
      <c r="CN72" s="466"/>
      <c r="CO72" s="466"/>
      <c r="CP72" s="466"/>
      <c r="CQ72" s="466"/>
      <c r="CR72" s="466"/>
      <c r="CS72" s="466"/>
      <c r="CT72" s="466"/>
      <c r="CU72" s="466"/>
      <c r="CV72" s="466"/>
      <c r="CW72" s="466"/>
      <c r="CX72" s="466"/>
      <c r="CY72" s="466"/>
      <c r="CZ72" s="466"/>
      <c r="DA72" s="466"/>
      <c r="DB72" s="466"/>
      <c r="DC72" s="466"/>
      <c r="DD72" s="466"/>
      <c r="DE72" s="466"/>
      <c r="DF72" s="466"/>
      <c r="DG72" s="466"/>
      <c r="DH72" s="466"/>
      <c r="DI72" s="466"/>
      <c r="DJ72" s="466"/>
      <c r="DK72" s="466"/>
      <c r="DL72" s="466"/>
      <c r="DM72" s="466"/>
      <c r="DN72" s="466"/>
      <c r="DO72" s="466"/>
      <c r="DP72" s="466"/>
      <c r="DQ72" s="466"/>
      <c r="DR72" s="466"/>
      <c r="DS72" s="466"/>
      <c r="DT72" s="466"/>
      <c r="DU72" s="466"/>
      <c r="DV72" s="466"/>
      <c r="DW72" s="466"/>
      <c r="DX72" s="466"/>
      <c r="DY72" s="466"/>
      <c r="DZ72" s="466"/>
      <c r="EA72" s="466"/>
      <c r="EB72" s="466"/>
      <c r="EC72" s="466"/>
      <c r="ED72" s="466"/>
      <c r="EE72" s="466"/>
      <c r="EF72" s="466"/>
      <c r="EG72" s="466"/>
      <c r="EH72" s="466"/>
      <c r="EI72" s="466"/>
      <c r="EJ72" s="466"/>
      <c r="EK72" s="466"/>
      <c r="EL72" s="466"/>
      <c r="EM72" s="466"/>
      <c r="EN72" s="466"/>
      <c r="EO72" s="466"/>
      <c r="EP72" s="466"/>
      <c r="EQ72" s="466"/>
      <c r="ER72" s="466"/>
      <c r="ES72" s="466"/>
      <c r="ET72" s="466"/>
      <c r="EU72" s="466"/>
      <c r="EV72" s="466"/>
      <c r="EW72" s="466"/>
      <c r="EX72" s="466"/>
      <c r="EY72" s="466"/>
      <c r="EZ72" s="466"/>
      <c r="FA72" s="466"/>
      <c r="FB72" s="466"/>
      <c r="FC72" s="466"/>
      <c r="FD72" s="466"/>
      <c r="FE72" s="466"/>
      <c r="FF72" s="466"/>
      <c r="FG72" s="466"/>
      <c r="FH72" s="466"/>
      <c r="FI72" s="466"/>
      <c r="FJ72" s="466"/>
      <c r="FK72" s="466"/>
      <c r="FL72" s="466"/>
      <c r="FM72" s="466"/>
      <c r="FN72" s="466"/>
      <c r="FO72" s="466"/>
      <c r="FP72" s="466"/>
      <c r="FQ72" s="466"/>
      <c r="FR72" s="466"/>
      <c r="FS72" s="466"/>
      <c r="FT72" s="466"/>
      <c r="FU72" s="466"/>
      <c r="FV72" s="466"/>
      <c r="FW72" s="466"/>
      <c r="FX72" s="466"/>
      <c r="FY72" s="466"/>
      <c r="FZ72" s="466"/>
      <c r="GA72" s="466"/>
      <c r="GB72" s="466"/>
      <c r="GC72" s="466"/>
      <c r="GD72" s="466"/>
      <c r="GE72" s="466"/>
      <c r="GF72" s="466"/>
      <c r="GG72" s="466"/>
      <c r="GH72" s="466"/>
      <c r="GI72" s="466"/>
      <c r="GJ72" s="466"/>
      <c r="GK72" s="466"/>
      <c r="GL72" s="466"/>
      <c r="GM72" s="466"/>
      <c r="GN72" s="466"/>
      <c r="GO72" s="466"/>
      <c r="GP72" s="466"/>
      <c r="GQ72" s="466"/>
      <c r="GR72" s="466"/>
      <c r="GS72" s="466"/>
      <c r="GT72" s="466"/>
      <c r="GU72" s="466"/>
      <c r="GV72" s="466"/>
      <c r="GW72" s="466"/>
      <c r="GX72" s="466"/>
      <c r="GY72" s="466"/>
      <c r="GZ72" s="466"/>
      <c r="HA72" s="466"/>
      <c r="HB72" s="466"/>
      <c r="HC72" s="466"/>
      <c r="HD72" s="466"/>
      <c r="HE72" s="466"/>
      <c r="HF72" s="466"/>
      <c r="HG72" s="466"/>
      <c r="HH72" s="466"/>
      <c r="HI72" s="466"/>
      <c r="HJ72" s="466"/>
      <c r="HK72" s="466"/>
      <c r="HL72" s="466"/>
      <c r="HM72" s="466"/>
      <c r="HN72" s="466"/>
      <c r="HO72" s="466"/>
      <c r="HP72" s="466"/>
      <c r="HQ72" s="466"/>
      <c r="HR72" s="466"/>
      <c r="HS72" s="466"/>
      <c r="HT72" s="466"/>
      <c r="HU72" s="466"/>
      <c r="HV72" s="466"/>
      <c r="HW72" s="466"/>
      <c r="HX72" s="466"/>
      <c r="HY72" s="466"/>
      <c r="HZ72" s="466"/>
      <c r="IA72" s="466"/>
      <c r="IB72" s="466"/>
      <c r="IC72" s="466"/>
      <c r="ID72" s="466"/>
      <c r="IE72" s="466"/>
      <c r="IF72" s="466"/>
      <c r="IG72" s="466"/>
      <c r="IH72" s="466"/>
      <c r="II72" s="466"/>
      <c r="IJ72" s="466"/>
      <c r="IK72" s="466"/>
      <c r="IL72" s="466"/>
      <c r="IM72" s="466"/>
      <c r="IN72" s="466"/>
      <c r="IO72" s="466"/>
      <c r="IP72" s="466"/>
      <c r="IQ72" s="466"/>
    </row>
    <row r="73" spans="1:251" ht="18" customHeight="1" x14ac:dyDescent="0.3">
      <c r="A73" s="755">
        <v>67</v>
      </c>
      <c r="B73" s="455"/>
      <c r="C73" s="456">
        <v>66</v>
      </c>
      <c r="D73" s="467" t="s">
        <v>503</v>
      </c>
      <c r="E73" s="458" t="s">
        <v>25</v>
      </c>
      <c r="F73" s="459">
        <f t="shared" si="0"/>
        <v>201326</v>
      </c>
      <c r="G73" s="460"/>
      <c r="H73" s="1343"/>
      <c r="I73" s="787">
        <v>50326</v>
      </c>
      <c r="J73" s="459">
        <v>201326</v>
      </c>
      <c r="K73" s="1361"/>
      <c r="L73" s="777">
        <f t="shared" si="1"/>
        <v>201326</v>
      </c>
      <c r="M73" s="647"/>
      <c r="N73" s="466"/>
      <c r="O73" s="466"/>
      <c r="P73" s="466"/>
      <c r="Q73" s="466"/>
      <c r="R73" s="466"/>
      <c r="S73" s="466"/>
      <c r="T73" s="466"/>
      <c r="U73" s="466"/>
      <c r="V73" s="466"/>
      <c r="W73" s="466"/>
      <c r="X73" s="466"/>
      <c r="Y73" s="466"/>
      <c r="Z73" s="466"/>
      <c r="AA73" s="466"/>
      <c r="AB73" s="466"/>
      <c r="AC73" s="466"/>
      <c r="AD73" s="466"/>
      <c r="AE73" s="466"/>
      <c r="AF73" s="466"/>
      <c r="AG73" s="466"/>
      <c r="AH73" s="466"/>
      <c r="AI73" s="466"/>
      <c r="AJ73" s="466"/>
      <c r="AK73" s="466"/>
      <c r="AL73" s="466"/>
      <c r="AM73" s="466"/>
      <c r="AN73" s="466"/>
      <c r="AO73" s="466"/>
      <c r="AP73" s="466"/>
      <c r="AQ73" s="466"/>
      <c r="AR73" s="466"/>
      <c r="AS73" s="466"/>
      <c r="AT73" s="466"/>
      <c r="AU73" s="466"/>
      <c r="AV73" s="466"/>
      <c r="AW73" s="466"/>
      <c r="AX73" s="466"/>
      <c r="AY73" s="466"/>
      <c r="AZ73" s="466"/>
      <c r="BA73" s="466"/>
      <c r="BB73" s="466"/>
      <c r="BC73" s="466"/>
      <c r="BD73" s="466"/>
      <c r="BE73" s="466"/>
      <c r="BF73" s="466"/>
      <c r="BG73" s="466"/>
      <c r="BH73" s="466"/>
      <c r="BI73" s="466"/>
      <c r="BJ73" s="466"/>
      <c r="BK73" s="466"/>
      <c r="BL73" s="466"/>
      <c r="BM73" s="466"/>
      <c r="BN73" s="466"/>
      <c r="BO73" s="466"/>
      <c r="BP73" s="466"/>
      <c r="BQ73" s="466"/>
      <c r="BR73" s="466"/>
      <c r="BS73" s="466"/>
      <c r="BT73" s="466"/>
      <c r="BU73" s="466"/>
      <c r="BV73" s="466"/>
      <c r="BW73" s="466"/>
      <c r="BX73" s="466"/>
      <c r="BY73" s="466"/>
      <c r="BZ73" s="466"/>
      <c r="CA73" s="466"/>
      <c r="CB73" s="466"/>
      <c r="CC73" s="466"/>
      <c r="CD73" s="466"/>
      <c r="CE73" s="466"/>
      <c r="CF73" s="466"/>
      <c r="CG73" s="466"/>
      <c r="CH73" s="466"/>
      <c r="CI73" s="466"/>
      <c r="CJ73" s="466"/>
      <c r="CK73" s="466"/>
      <c r="CL73" s="466"/>
      <c r="CM73" s="466"/>
      <c r="CN73" s="466"/>
      <c r="CO73" s="466"/>
      <c r="CP73" s="466"/>
      <c r="CQ73" s="466"/>
      <c r="CR73" s="466"/>
      <c r="CS73" s="466"/>
      <c r="CT73" s="466"/>
      <c r="CU73" s="466"/>
      <c r="CV73" s="466"/>
      <c r="CW73" s="466"/>
      <c r="CX73" s="466"/>
      <c r="CY73" s="466"/>
      <c r="CZ73" s="466"/>
      <c r="DA73" s="466"/>
      <c r="DB73" s="466"/>
      <c r="DC73" s="466"/>
      <c r="DD73" s="466"/>
      <c r="DE73" s="466"/>
      <c r="DF73" s="466"/>
      <c r="DG73" s="466"/>
      <c r="DH73" s="466"/>
      <c r="DI73" s="466"/>
      <c r="DJ73" s="466"/>
      <c r="DK73" s="466"/>
      <c r="DL73" s="466"/>
      <c r="DM73" s="466"/>
      <c r="DN73" s="466"/>
      <c r="DO73" s="466"/>
      <c r="DP73" s="466"/>
      <c r="DQ73" s="466"/>
      <c r="DR73" s="466"/>
      <c r="DS73" s="466"/>
      <c r="DT73" s="466"/>
      <c r="DU73" s="466"/>
      <c r="DV73" s="466"/>
      <c r="DW73" s="466"/>
      <c r="DX73" s="466"/>
      <c r="DY73" s="466"/>
      <c r="DZ73" s="466"/>
      <c r="EA73" s="466"/>
      <c r="EB73" s="466"/>
      <c r="EC73" s="466"/>
      <c r="ED73" s="466"/>
      <c r="EE73" s="466"/>
      <c r="EF73" s="466"/>
      <c r="EG73" s="466"/>
      <c r="EH73" s="466"/>
      <c r="EI73" s="466"/>
      <c r="EJ73" s="466"/>
      <c r="EK73" s="466"/>
      <c r="EL73" s="466"/>
      <c r="EM73" s="466"/>
      <c r="EN73" s="466"/>
      <c r="EO73" s="466"/>
      <c r="EP73" s="466"/>
      <c r="EQ73" s="466"/>
      <c r="ER73" s="466"/>
      <c r="ES73" s="466"/>
      <c r="ET73" s="466"/>
      <c r="EU73" s="466"/>
      <c r="EV73" s="466"/>
      <c r="EW73" s="466"/>
      <c r="EX73" s="466"/>
      <c r="EY73" s="466"/>
      <c r="EZ73" s="466"/>
      <c r="FA73" s="466"/>
      <c r="FB73" s="466"/>
      <c r="FC73" s="466"/>
      <c r="FD73" s="466"/>
      <c r="FE73" s="466"/>
      <c r="FF73" s="466"/>
      <c r="FG73" s="466"/>
      <c r="FH73" s="466"/>
      <c r="FI73" s="466"/>
      <c r="FJ73" s="466"/>
      <c r="FK73" s="466"/>
      <c r="FL73" s="466"/>
      <c r="FM73" s="466"/>
      <c r="FN73" s="466"/>
      <c r="FO73" s="466"/>
      <c r="FP73" s="466"/>
      <c r="FQ73" s="466"/>
      <c r="FR73" s="466"/>
      <c r="FS73" s="466"/>
      <c r="FT73" s="466"/>
      <c r="FU73" s="466"/>
      <c r="FV73" s="466"/>
      <c r="FW73" s="466"/>
      <c r="FX73" s="466"/>
      <c r="FY73" s="466"/>
      <c r="FZ73" s="466"/>
      <c r="GA73" s="466"/>
      <c r="GB73" s="466"/>
      <c r="GC73" s="466"/>
      <c r="GD73" s="466"/>
      <c r="GE73" s="466"/>
      <c r="GF73" s="466"/>
      <c r="GG73" s="466"/>
      <c r="GH73" s="466"/>
      <c r="GI73" s="466"/>
      <c r="GJ73" s="466"/>
      <c r="GK73" s="466"/>
      <c r="GL73" s="466"/>
      <c r="GM73" s="466"/>
      <c r="GN73" s="466"/>
      <c r="GO73" s="466"/>
      <c r="GP73" s="466"/>
      <c r="GQ73" s="466"/>
      <c r="GR73" s="466"/>
      <c r="GS73" s="466"/>
      <c r="GT73" s="466"/>
      <c r="GU73" s="466"/>
      <c r="GV73" s="466"/>
      <c r="GW73" s="466"/>
      <c r="GX73" s="466"/>
      <c r="GY73" s="466"/>
      <c r="GZ73" s="466"/>
      <c r="HA73" s="466"/>
      <c r="HB73" s="466"/>
      <c r="HC73" s="466"/>
      <c r="HD73" s="466"/>
      <c r="HE73" s="466"/>
      <c r="HF73" s="466"/>
      <c r="HG73" s="466"/>
      <c r="HH73" s="466"/>
      <c r="HI73" s="466"/>
      <c r="HJ73" s="466"/>
      <c r="HK73" s="466"/>
      <c r="HL73" s="466"/>
      <c r="HM73" s="466"/>
      <c r="HN73" s="466"/>
      <c r="HO73" s="466"/>
      <c r="HP73" s="466"/>
      <c r="HQ73" s="466"/>
      <c r="HR73" s="466"/>
      <c r="HS73" s="466"/>
      <c r="HT73" s="466"/>
      <c r="HU73" s="466"/>
      <c r="HV73" s="466"/>
      <c r="HW73" s="466"/>
      <c r="HX73" s="466"/>
      <c r="HY73" s="466"/>
      <c r="HZ73" s="466"/>
      <c r="IA73" s="466"/>
      <c r="IB73" s="466"/>
      <c r="IC73" s="466"/>
      <c r="ID73" s="466"/>
      <c r="IE73" s="466"/>
      <c r="IF73" s="466"/>
      <c r="IG73" s="466"/>
      <c r="IH73" s="466"/>
      <c r="II73" s="466"/>
      <c r="IJ73" s="466"/>
      <c r="IK73" s="466"/>
      <c r="IL73" s="466"/>
      <c r="IM73" s="466"/>
      <c r="IN73" s="466"/>
      <c r="IO73" s="466"/>
      <c r="IP73" s="466"/>
      <c r="IQ73" s="466"/>
    </row>
    <row r="74" spans="1:251" ht="18" customHeight="1" x14ac:dyDescent="0.3">
      <c r="A74" s="755">
        <v>68</v>
      </c>
      <c r="B74" s="455"/>
      <c r="C74" s="456">
        <v>67</v>
      </c>
      <c r="D74" s="467" t="s">
        <v>697</v>
      </c>
      <c r="E74" s="458" t="s">
        <v>25</v>
      </c>
      <c r="F74" s="459">
        <f t="shared" si="0"/>
        <v>1600</v>
      </c>
      <c r="G74" s="460"/>
      <c r="H74" s="1343">
        <v>100</v>
      </c>
      <c r="I74" s="787">
        <f>100+1000-100</f>
        <v>1000</v>
      </c>
      <c r="J74" s="459">
        <v>1500</v>
      </c>
      <c r="K74" s="1361"/>
      <c r="L74" s="777">
        <f t="shared" si="1"/>
        <v>1500</v>
      </c>
      <c r="M74" s="647"/>
      <c r="N74" s="466"/>
      <c r="O74" s="466"/>
      <c r="P74" s="466"/>
      <c r="Q74" s="466"/>
      <c r="R74" s="466"/>
      <c r="S74" s="466"/>
      <c r="T74" s="466"/>
      <c r="U74" s="466"/>
      <c r="V74" s="466"/>
      <c r="W74" s="466"/>
      <c r="X74" s="466"/>
      <c r="Y74" s="466"/>
      <c r="Z74" s="466"/>
      <c r="AA74" s="466"/>
      <c r="AB74" s="466"/>
      <c r="AC74" s="466"/>
      <c r="AD74" s="466"/>
      <c r="AE74" s="466"/>
      <c r="AF74" s="466"/>
      <c r="AG74" s="466"/>
      <c r="AH74" s="466"/>
      <c r="AI74" s="466"/>
      <c r="AJ74" s="466"/>
      <c r="AK74" s="466"/>
      <c r="AL74" s="466"/>
      <c r="AM74" s="466"/>
      <c r="AN74" s="466"/>
      <c r="AO74" s="466"/>
      <c r="AP74" s="466"/>
      <c r="AQ74" s="466"/>
      <c r="AR74" s="466"/>
      <c r="AS74" s="466"/>
      <c r="AT74" s="466"/>
      <c r="AU74" s="466"/>
      <c r="AV74" s="466"/>
      <c r="AW74" s="466"/>
      <c r="AX74" s="466"/>
      <c r="AY74" s="466"/>
      <c r="AZ74" s="466"/>
      <c r="BA74" s="466"/>
      <c r="BB74" s="466"/>
      <c r="BC74" s="466"/>
      <c r="BD74" s="466"/>
      <c r="BE74" s="466"/>
      <c r="BF74" s="466"/>
      <c r="BG74" s="466"/>
      <c r="BH74" s="466"/>
      <c r="BI74" s="466"/>
      <c r="BJ74" s="466"/>
      <c r="BK74" s="466"/>
      <c r="BL74" s="466"/>
      <c r="BM74" s="466"/>
      <c r="BN74" s="466"/>
      <c r="BO74" s="466"/>
      <c r="BP74" s="466"/>
      <c r="BQ74" s="466"/>
      <c r="BR74" s="466"/>
      <c r="BS74" s="466"/>
      <c r="BT74" s="466"/>
      <c r="BU74" s="466"/>
      <c r="BV74" s="466"/>
      <c r="BW74" s="466"/>
      <c r="BX74" s="466"/>
      <c r="BY74" s="466"/>
      <c r="BZ74" s="466"/>
      <c r="CA74" s="466"/>
      <c r="CB74" s="466"/>
      <c r="CC74" s="466"/>
      <c r="CD74" s="466"/>
      <c r="CE74" s="466"/>
      <c r="CF74" s="466"/>
      <c r="CG74" s="466"/>
      <c r="CH74" s="466"/>
      <c r="CI74" s="466"/>
      <c r="CJ74" s="466"/>
      <c r="CK74" s="466"/>
      <c r="CL74" s="466"/>
      <c r="CM74" s="466"/>
      <c r="CN74" s="466"/>
      <c r="CO74" s="466"/>
      <c r="CP74" s="466"/>
      <c r="CQ74" s="466"/>
      <c r="CR74" s="466"/>
      <c r="CS74" s="466"/>
      <c r="CT74" s="466"/>
      <c r="CU74" s="466"/>
      <c r="CV74" s="466"/>
      <c r="CW74" s="466"/>
      <c r="CX74" s="466"/>
      <c r="CY74" s="466"/>
      <c r="CZ74" s="466"/>
      <c r="DA74" s="466"/>
      <c r="DB74" s="466"/>
      <c r="DC74" s="466"/>
      <c r="DD74" s="466"/>
      <c r="DE74" s="466"/>
      <c r="DF74" s="466"/>
      <c r="DG74" s="466"/>
      <c r="DH74" s="466"/>
      <c r="DI74" s="466"/>
      <c r="DJ74" s="466"/>
      <c r="DK74" s="466"/>
      <c r="DL74" s="466"/>
      <c r="DM74" s="466"/>
      <c r="DN74" s="466"/>
      <c r="DO74" s="466"/>
      <c r="DP74" s="466"/>
      <c r="DQ74" s="466"/>
      <c r="DR74" s="466"/>
      <c r="DS74" s="466"/>
      <c r="DT74" s="466"/>
      <c r="DU74" s="466"/>
      <c r="DV74" s="466"/>
      <c r="DW74" s="466"/>
      <c r="DX74" s="466"/>
      <c r="DY74" s="466"/>
      <c r="DZ74" s="466"/>
      <c r="EA74" s="466"/>
      <c r="EB74" s="466"/>
      <c r="EC74" s="466"/>
      <c r="ED74" s="466"/>
      <c r="EE74" s="466"/>
      <c r="EF74" s="466"/>
      <c r="EG74" s="466"/>
      <c r="EH74" s="466"/>
      <c r="EI74" s="466"/>
      <c r="EJ74" s="466"/>
      <c r="EK74" s="466"/>
      <c r="EL74" s="466"/>
      <c r="EM74" s="466"/>
      <c r="EN74" s="466"/>
      <c r="EO74" s="466"/>
      <c r="EP74" s="466"/>
      <c r="EQ74" s="466"/>
      <c r="ER74" s="466"/>
      <c r="ES74" s="466"/>
      <c r="ET74" s="466"/>
      <c r="EU74" s="466"/>
      <c r="EV74" s="466"/>
      <c r="EW74" s="466"/>
      <c r="EX74" s="466"/>
      <c r="EY74" s="466"/>
      <c r="EZ74" s="466"/>
      <c r="FA74" s="466"/>
      <c r="FB74" s="466"/>
      <c r="FC74" s="466"/>
      <c r="FD74" s="466"/>
      <c r="FE74" s="466"/>
      <c r="FF74" s="466"/>
      <c r="FG74" s="466"/>
      <c r="FH74" s="466"/>
      <c r="FI74" s="466"/>
      <c r="FJ74" s="466"/>
      <c r="FK74" s="466"/>
      <c r="FL74" s="466"/>
      <c r="FM74" s="466"/>
      <c r="FN74" s="466"/>
      <c r="FO74" s="466"/>
      <c r="FP74" s="466"/>
      <c r="FQ74" s="466"/>
      <c r="FR74" s="466"/>
      <c r="FS74" s="466"/>
      <c r="FT74" s="466"/>
      <c r="FU74" s="466"/>
      <c r="FV74" s="466"/>
      <c r="FW74" s="466"/>
      <c r="FX74" s="466"/>
      <c r="FY74" s="466"/>
      <c r="FZ74" s="466"/>
      <c r="GA74" s="466"/>
      <c r="GB74" s="466"/>
      <c r="GC74" s="466"/>
      <c r="GD74" s="466"/>
      <c r="GE74" s="466"/>
      <c r="GF74" s="466"/>
      <c r="GG74" s="466"/>
      <c r="GH74" s="466"/>
      <c r="GI74" s="466"/>
      <c r="GJ74" s="466"/>
      <c r="GK74" s="466"/>
      <c r="GL74" s="466"/>
      <c r="GM74" s="466"/>
      <c r="GN74" s="466"/>
      <c r="GO74" s="466"/>
      <c r="GP74" s="466"/>
      <c r="GQ74" s="466"/>
      <c r="GR74" s="466"/>
      <c r="GS74" s="466"/>
      <c r="GT74" s="466"/>
      <c r="GU74" s="466"/>
      <c r="GV74" s="466"/>
      <c r="GW74" s="466"/>
      <c r="GX74" s="466"/>
      <c r="GY74" s="466"/>
      <c r="GZ74" s="466"/>
      <c r="HA74" s="466"/>
      <c r="HB74" s="466"/>
      <c r="HC74" s="466"/>
      <c r="HD74" s="466"/>
      <c r="HE74" s="466"/>
      <c r="HF74" s="466"/>
      <c r="HG74" s="466"/>
      <c r="HH74" s="466"/>
      <c r="HI74" s="466"/>
      <c r="HJ74" s="466"/>
      <c r="HK74" s="466"/>
      <c r="HL74" s="466"/>
      <c r="HM74" s="466"/>
      <c r="HN74" s="466"/>
      <c r="HO74" s="466"/>
      <c r="HP74" s="466"/>
      <c r="HQ74" s="466"/>
      <c r="HR74" s="466"/>
      <c r="HS74" s="466"/>
      <c r="HT74" s="466"/>
      <c r="HU74" s="466"/>
      <c r="HV74" s="466"/>
      <c r="HW74" s="466"/>
      <c r="HX74" s="466"/>
      <c r="HY74" s="466"/>
      <c r="HZ74" s="466"/>
      <c r="IA74" s="466"/>
      <c r="IB74" s="466"/>
      <c r="IC74" s="466"/>
      <c r="ID74" s="466"/>
      <c r="IE74" s="466"/>
      <c r="IF74" s="466"/>
      <c r="IG74" s="466"/>
      <c r="IH74" s="466"/>
      <c r="II74" s="466"/>
      <c r="IJ74" s="466"/>
      <c r="IK74" s="466"/>
      <c r="IL74" s="466"/>
      <c r="IM74" s="466"/>
      <c r="IN74" s="466"/>
      <c r="IO74" s="466"/>
      <c r="IP74" s="466"/>
      <c r="IQ74" s="466"/>
    </row>
    <row r="75" spans="1:251" ht="18" customHeight="1" x14ac:dyDescent="0.3">
      <c r="A75" s="755">
        <v>69</v>
      </c>
      <c r="B75" s="455"/>
      <c r="C75" s="556">
        <v>68</v>
      </c>
      <c r="D75" s="467" t="s">
        <v>698</v>
      </c>
      <c r="E75" s="458" t="s">
        <v>25</v>
      </c>
      <c r="F75" s="459">
        <f t="shared" si="0"/>
        <v>278100</v>
      </c>
      <c r="G75" s="460"/>
      <c r="H75" s="1343">
        <v>82900</v>
      </c>
      <c r="I75" s="787">
        <f>149400-1000+100</f>
        <v>148500</v>
      </c>
      <c r="J75" s="459">
        <v>195200</v>
      </c>
      <c r="K75" s="1361"/>
      <c r="L75" s="777">
        <f t="shared" si="1"/>
        <v>195200</v>
      </c>
      <c r="M75" s="647"/>
      <c r="N75" s="466"/>
      <c r="O75" s="466"/>
      <c r="P75" s="466"/>
      <c r="Q75" s="466"/>
      <c r="R75" s="466"/>
      <c r="S75" s="466"/>
      <c r="T75" s="466"/>
      <c r="U75" s="466"/>
      <c r="V75" s="466"/>
      <c r="W75" s="466"/>
      <c r="X75" s="466"/>
      <c r="Y75" s="466"/>
      <c r="Z75" s="466"/>
      <c r="AA75" s="466"/>
      <c r="AB75" s="466"/>
      <c r="AC75" s="466"/>
      <c r="AD75" s="466"/>
      <c r="AE75" s="466"/>
      <c r="AF75" s="466"/>
      <c r="AG75" s="466"/>
      <c r="AH75" s="466"/>
      <c r="AI75" s="466"/>
      <c r="AJ75" s="466"/>
      <c r="AK75" s="466"/>
      <c r="AL75" s="466"/>
      <c r="AM75" s="466"/>
      <c r="AN75" s="466"/>
      <c r="AO75" s="466"/>
      <c r="AP75" s="466"/>
      <c r="AQ75" s="466"/>
      <c r="AR75" s="466"/>
      <c r="AS75" s="466"/>
      <c r="AT75" s="466"/>
      <c r="AU75" s="466"/>
      <c r="AV75" s="466"/>
      <c r="AW75" s="466"/>
      <c r="AX75" s="466"/>
      <c r="AY75" s="466"/>
      <c r="AZ75" s="466"/>
      <c r="BA75" s="466"/>
      <c r="BB75" s="466"/>
      <c r="BC75" s="466"/>
      <c r="BD75" s="466"/>
      <c r="BE75" s="466"/>
      <c r="BF75" s="466"/>
      <c r="BG75" s="466"/>
      <c r="BH75" s="466"/>
      <c r="BI75" s="466"/>
      <c r="BJ75" s="466"/>
      <c r="BK75" s="466"/>
      <c r="BL75" s="466"/>
      <c r="BM75" s="466"/>
      <c r="BN75" s="466"/>
      <c r="BO75" s="466"/>
      <c r="BP75" s="466"/>
      <c r="BQ75" s="466"/>
      <c r="BR75" s="466"/>
      <c r="BS75" s="466"/>
      <c r="BT75" s="466"/>
      <c r="BU75" s="466"/>
      <c r="BV75" s="466"/>
      <c r="BW75" s="466"/>
      <c r="BX75" s="466"/>
      <c r="BY75" s="466"/>
      <c r="BZ75" s="466"/>
      <c r="CA75" s="466"/>
      <c r="CB75" s="466"/>
      <c r="CC75" s="466"/>
      <c r="CD75" s="466"/>
      <c r="CE75" s="466"/>
      <c r="CF75" s="466"/>
      <c r="CG75" s="466"/>
      <c r="CH75" s="466"/>
      <c r="CI75" s="466"/>
      <c r="CJ75" s="466"/>
      <c r="CK75" s="466"/>
      <c r="CL75" s="466"/>
      <c r="CM75" s="466"/>
      <c r="CN75" s="466"/>
      <c r="CO75" s="466"/>
      <c r="CP75" s="466"/>
      <c r="CQ75" s="466"/>
      <c r="CR75" s="466"/>
      <c r="CS75" s="466"/>
      <c r="CT75" s="466"/>
      <c r="CU75" s="466"/>
      <c r="CV75" s="466"/>
      <c r="CW75" s="466"/>
      <c r="CX75" s="466"/>
      <c r="CY75" s="466"/>
      <c r="CZ75" s="466"/>
      <c r="DA75" s="466"/>
      <c r="DB75" s="466"/>
      <c r="DC75" s="466"/>
      <c r="DD75" s="466"/>
      <c r="DE75" s="466"/>
      <c r="DF75" s="466"/>
      <c r="DG75" s="466"/>
      <c r="DH75" s="466"/>
      <c r="DI75" s="466"/>
      <c r="DJ75" s="466"/>
      <c r="DK75" s="466"/>
      <c r="DL75" s="466"/>
      <c r="DM75" s="466"/>
      <c r="DN75" s="466"/>
      <c r="DO75" s="466"/>
      <c r="DP75" s="466"/>
      <c r="DQ75" s="466"/>
      <c r="DR75" s="466"/>
      <c r="DS75" s="466"/>
      <c r="DT75" s="466"/>
      <c r="DU75" s="466"/>
      <c r="DV75" s="466"/>
      <c r="DW75" s="466"/>
      <c r="DX75" s="466"/>
      <c r="DY75" s="466"/>
      <c r="DZ75" s="466"/>
      <c r="EA75" s="466"/>
      <c r="EB75" s="466"/>
      <c r="EC75" s="466"/>
      <c r="ED75" s="466"/>
      <c r="EE75" s="466"/>
      <c r="EF75" s="466"/>
      <c r="EG75" s="466"/>
      <c r="EH75" s="466"/>
      <c r="EI75" s="466"/>
      <c r="EJ75" s="466"/>
      <c r="EK75" s="466"/>
      <c r="EL75" s="466"/>
      <c r="EM75" s="466"/>
      <c r="EN75" s="466"/>
      <c r="EO75" s="466"/>
      <c r="EP75" s="466"/>
      <c r="EQ75" s="466"/>
      <c r="ER75" s="466"/>
      <c r="ES75" s="466"/>
      <c r="ET75" s="466"/>
      <c r="EU75" s="466"/>
      <c r="EV75" s="466"/>
      <c r="EW75" s="466"/>
      <c r="EX75" s="466"/>
      <c r="EY75" s="466"/>
      <c r="EZ75" s="466"/>
      <c r="FA75" s="466"/>
      <c r="FB75" s="466"/>
      <c r="FC75" s="466"/>
      <c r="FD75" s="466"/>
      <c r="FE75" s="466"/>
      <c r="FF75" s="466"/>
      <c r="FG75" s="466"/>
      <c r="FH75" s="466"/>
      <c r="FI75" s="466"/>
      <c r="FJ75" s="466"/>
      <c r="FK75" s="466"/>
      <c r="FL75" s="466"/>
      <c r="FM75" s="466"/>
      <c r="FN75" s="466"/>
      <c r="FO75" s="466"/>
      <c r="FP75" s="466"/>
      <c r="FQ75" s="466"/>
      <c r="FR75" s="466"/>
      <c r="FS75" s="466"/>
      <c r="FT75" s="466"/>
      <c r="FU75" s="466"/>
      <c r="FV75" s="466"/>
      <c r="FW75" s="466"/>
      <c r="FX75" s="466"/>
      <c r="FY75" s="466"/>
      <c r="FZ75" s="466"/>
      <c r="GA75" s="466"/>
      <c r="GB75" s="466"/>
      <c r="GC75" s="466"/>
      <c r="GD75" s="466"/>
      <c r="GE75" s="466"/>
      <c r="GF75" s="466"/>
      <c r="GG75" s="466"/>
      <c r="GH75" s="466"/>
      <c r="GI75" s="466"/>
      <c r="GJ75" s="466"/>
      <c r="GK75" s="466"/>
      <c r="GL75" s="466"/>
      <c r="GM75" s="466"/>
      <c r="GN75" s="466"/>
      <c r="GO75" s="466"/>
      <c r="GP75" s="466"/>
      <c r="GQ75" s="466"/>
      <c r="GR75" s="466"/>
      <c r="GS75" s="466"/>
      <c r="GT75" s="466"/>
      <c r="GU75" s="466"/>
      <c r="GV75" s="466"/>
      <c r="GW75" s="466"/>
      <c r="GX75" s="466"/>
      <c r="GY75" s="466"/>
      <c r="GZ75" s="466"/>
      <c r="HA75" s="466"/>
      <c r="HB75" s="466"/>
      <c r="HC75" s="466"/>
      <c r="HD75" s="466"/>
      <c r="HE75" s="466"/>
      <c r="HF75" s="466"/>
      <c r="HG75" s="466"/>
      <c r="HH75" s="466"/>
      <c r="HI75" s="466"/>
      <c r="HJ75" s="466"/>
      <c r="HK75" s="466"/>
      <c r="HL75" s="466"/>
      <c r="HM75" s="466"/>
      <c r="HN75" s="466"/>
      <c r="HO75" s="466"/>
      <c r="HP75" s="466"/>
      <c r="HQ75" s="466"/>
      <c r="HR75" s="466"/>
      <c r="HS75" s="466"/>
      <c r="HT75" s="466"/>
      <c r="HU75" s="466"/>
      <c r="HV75" s="466"/>
      <c r="HW75" s="466"/>
      <c r="HX75" s="466"/>
      <c r="HY75" s="466"/>
      <c r="HZ75" s="466"/>
      <c r="IA75" s="466"/>
      <c r="IB75" s="466"/>
      <c r="IC75" s="466"/>
      <c r="ID75" s="466"/>
      <c r="IE75" s="466"/>
      <c r="IF75" s="466"/>
      <c r="IG75" s="466"/>
      <c r="IH75" s="466"/>
      <c r="II75" s="466"/>
      <c r="IJ75" s="466"/>
      <c r="IK75" s="466"/>
      <c r="IL75" s="466"/>
      <c r="IM75" s="466"/>
      <c r="IN75" s="466"/>
      <c r="IO75" s="466"/>
      <c r="IP75" s="466"/>
      <c r="IQ75" s="466"/>
    </row>
    <row r="76" spans="1:251" ht="18" customHeight="1" x14ac:dyDescent="0.3">
      <c r="A76" s="755">
        <v>70</v>
      </c>
      <c r="B76" s="455"/>
      <c r="C76" s="456">
        <v>69</v>
      </c>
      <c r="D76" s="467" t="s">
        <v>699</v>
      </c>
      <c r="E76" s="458" t="s">
        <v>25</v>
      </c>
      <c r="F76" s="459">
        <f t="shared" si="0"/>
        <v>7800</v>
      </c>
      <c r="G76" s="460"/>
      <c r="H76" s="1343"/>
      <c r="I76" s="787">
        <v>6000</v>
      </c>
      <c r="J76" s="459">
        <v>7800</v>
      </c>
      <c r="K76" s="1361"/>
      <c r="L76" s="777">
        <f t="shared" si="1"/>
        <v>7800</v>
      </c>
      <c r="M76" s="647"/>
      <c r="N76" s="466"/>
      <c r="O76" s="466"/>
      <c r="P76" s="466"/>
      <c r="Q76" s="466"/>
      <c r="R76" s="466"/>
      <c r="S76" s="466"/>
      <c r="T76" s="466"/>
      <c r="U76" s="466"/>
      <c r="V76" s="466"/>
      <c r="W76" s="466"/>
      <c r="X76" s="466"/>
      <c r="Y76" s="466"/>
      <c r="Z76" s="466"/>
      <c r="AA76" s="466"/>
      <c r="AB76" s="466"/>
      <c r="AC76" s="466"/>
      <c r="AD76" s="466"/>
      <c r="AE76" s="466"/>
      <c r="AF76" s="466"/>
      <c r="AG76" s="466"/>
      <c r="AH76" s="466"/>
      <c r="AI76" s="466"/>
      <c r="AJ76" s="466"/>
      <c r="AK76" s="466"/>
      <c r="AL76" s="466"/>
      <c r="AM76" s="466"/>
      <c r="AN76" s="466"/>
      <c r="AO76" s="466"/>
      <c r="AP76" s="466"/>
      <c r="AQ76" s="466"/>
      <c r="AR76" s="466"/>
      <c r="AS76" s="466"/>
      <c r="AT76" s="466"/>
      <c r="AU76" s="466"/>
      <c r="AV76" s="466"/>
      <c r="AW76" s="466"/>
      <c r="AX76" s="466"/>
      <c r="AY76" s="466"/>
      <c r="AZ76" s="466"/>
      <c r="BA76" s="466"/>
      <c r="BB76" s="466"/>
      <c r="BC76" s="466"/>
      <c r="BD76" s="466"/>
      <c r="BE76" s="466"/>
      <c r="BF76" s="466"/>
      <c r="BG76" s="466"/>
      <c r="BH76" s="466"/>
      <c r="BI76" s="466"/>
      <c r="BJ76" s="466"/>
      <c r="BK76" s="466"/>
      <c r="BL76" s="466"/>
      <c r="BM76" s="466"/>
      <c r="BN76" s="466"/>
      <c r="BO76" s="466"/>
      <c r="BP76" s="466"/>
      <c r="BQ76" s="466"/>
      <c r="BR76" s="466"/>
      <c r="BS76" s="466"/>
      <c r="BT76" s="466"/>
      <c r="BU76" s="466"/>
      <c r="BV76" s="466"/>
      <c r="BW76" s="466"/>
      <c r="BX76" s="466"/>
      <c r="BY76" s="466"/>
      <c r="BZ76" s="466"/>
      <c r="CA76" s="466"/>
      <c r="CB76" s="466"/>
      <c r="CC76" s="466"/>
      <c r="CD76" s="466"/>
      <c r="CE76" s="466"/>
      <c r="CF76" s="466"/>
      <c r="CG76" s="466"/>
      <c r="CH76" s="466"/>
      <c r="CI76" s="466"/>
      <c r="CJ76" s="466"/>
      <c r="CK76" s="466"/>
      <c r="CL76" s="466"/>
      <c r="CM76" s="466"/>
      <c r="CN76" s="466"/>
      <c r="CO76" s="466"/>
      <c r="CP76" s="466"/>
      <c r="CQ76" s="466"/>
      <c r="CR76" s="466"/>
      <c r="CS76" s="466"/>
      <c r="CT76" s="466"/>
      <c r="CU76" s="466"/>
      <c r="CV76" s="466"/>
      <c r="CW76" s="466"/>
      <c r="CX76" s="466"/>
      <c r="CY76" s="466"/>
      <c r="CZ76" s="466"/>
      <c r="DA76" s="466"/>
      <c r="DB76" s="466"/>
      <c r="DC76" s="466"/>
      <c r="DD76" s="466"/>
      <c r="DE76" s="466"/>
      <c r="DF76" s="466"/>
      <c r="DG76" s="466"/>
      <c r="DH76" s="466"/>
      <c r="DI76" s="466"/>
      <c r="DJ76" s="466"/>
      <c r="DK76" s="466"/>
      <c r="DL76" s="466"/>
      <c r="DM76" s="466"/>
      <c r="DN76" s="466"/>
      <c r="DO76" s="466"/>
      <c r="DP76" s="466"/>
      <c r="DQ76" s="466"/>
      <c r="DR76" s="466"/>
      <c r="DS76" s="466"/>
      <c r="DT76" s="466"/>
      <c r="DU76" s="466"/>
      <c r="DV76" s="466"/>
      <c r="DW76" s="466"/>
      <c r="DX76" s="466"/>
      <c r="DY76" s="466"/>
      <c r="DZ76" s="466"/>
      <c r="EA76" s="466"/>
      <c r="EB76" s="466"/>
      <c r="EC76" s="466"/>
      <c r="ED76" s="466"/>
      <c r="EE76" s="466"/>
      <c r="EF76" s="466"/>
      <c r="EG76" s="466"/>
      <c r="EH76" s="466"/>
      <c r="EI76" s="466"/>
      <c r="EJ76" s="466"/>
      <c r="EK76" s="466"/>
      <c r="EL76" s="466"/>
      <c r="EM76" s="466"/>
      <c r="EN76" s="466"/>
      <c r="EO76" s="466"/>
      <c r="EP76" s="466"/>
      <c r="EQ76" s="466"/>
      <c r="ER76" s="466"/>
      <c r="ES76" s="466"/>
      <c r="ET76" s="466"/>
      <c r="EU76" s="466"/>
      <c r="EV76" s="466"/>
      <c r="EW76" s="466"/>
      <c r="EX76" s="466"/>
      <c r="EY76" s="466"/>
      <c r="EZ76" s="466"/>
      <c r="FA76" s="466"/>
      <c r="FB76" s="466"/>
      <c r="FC76" s="466"/>
      <c r="FD76" s="466"/>
      <c r="FE76" s="466"/>
      <c r="FF76" s="466"/>
      <c r="FG76" s="466"/>
      <c r="FH76" s="466"/>
      <c r="FI76" s="466"/>
      <c r="FJ76" s="466"/>
      <c r="FK76" s="466"/>
      <c r="FL76" s="466"/>
      <c r="FM76" s="466"/>
      <c r="FN76" s="466"/>
      <c r="FO76" s="466"/>
      <c r="FP76" s="466"/>
      <c r="FQ76" s="466"/>
      <c r="FR76" s="466"/>
      <c r="FS76" s="466"/>
      <c r="FT76" s="466"/>
      <c r="FU76" s="466"/>
      <c r="FV76" s="466"/>
      <c r="FW76" s="466"/>
      <c r="FX76" s="466"/>
      <c r="FY76" s="466"/>
      <c r="FZ76" s="466"/>
      <c r="GA76" s="466"/>
      <c r="GB76" s="466"/>
      <c r="GC76" s="466"/>
      <c r="GD76" s="466"/>
      <c r="GE76" s="466"/>
      <c r="GF76" s="466"/>
      <c r="GG76" s="466"/>
      <c r="GH76" s="466"/>
      <c r="GI76" s="466"/>
      <c r="GJ76" s="466"/>
      <c r="GK76" s="466"/>
      <c r="GL76" s="466"/>
      <c r="GM76" s="466"/>
      <c r="GN76" s="466"/>
      <c r="GO76" s="466"/>
      <c r="GP76" s="466"/>
      <c r="GQ76" s="466"/>
      <c r="GR76" s="466"/>
      <c r="GS76" s="466"/>
      <c r="GT76" s="466"/>
      <c r="GU76" s="466"/>
      <c r="GV76" s="466"/>
      <c r="GW76" s="466"/>
      <c r="GX76" s="466"/>
      <c r="GY76" s="466"/>
      <c r="GZ76" s="466"/>
      <c r="HA76" s="466"/>
      <c r="HB76" s="466"/>
      <c r="HC76" s="466"/>
      <c r="HD76" s="466"/>
      <c r="HE76" s="466"/>
      <c r="HF76" s="466"/>
      <c r="HG76" s="466"/>
      <c r="HH76" s="466"/>
      <c r="HI76" s="466"/>
      <c r="HJ76" s="466"/>
      <c r="HK76" s="466"/>
      <c r="HL76" s="466"/>
      <c r="HM76" s="466"/>
      <c r="HN76" s="466"/>
      <c r="HO76" s="466"/>
      <c r="HP76" s="466"/>
      <c r="HQ76" s="466"/>
      <c r="HR76" s="466"/>
      <c r="HS76" s="466"/>
      <c r="HT76" s="466"/>
      <c r="HU76" s="466"/>
      <c r="HV76" s="466"/>
      <c r="HW76" s="466"/>
      <c r="HX76" s="466"/>
      <c r="HY76" s="466"/>
      <c r="HZ76" s="466"/>
      <c r="IA76" s="466"/>
      <c r="IB76" s="466"/>
      <c r="IC76" s="466"/>
      <c r="ID76" s="466"/>
      <c r="IE76" s="466"/>
      <c r="IF76" s="466"/>
      <c r="IG76" s="466"/>
      <c r="IH76" s="466"/>
      <c r="II76" s="466"/>
      <c r="IJ76" s="466"/>
      <c r="IK76" s="466"/>
      <c r="IL76" s="466"/>
      <c r="IM76" s="466"/>
      <c r="IN76" s="466"/>
      <c r="IO76" s="466"/>
      <c r="IP76" s="466"/>
      <c r="IQ76" s="466"/>
    </row>
    <row r="77" spans="1:251" ht="18" customHeight="1" x14ac:dyDescent="0.3">
      <c r="A77" s="755">
        <v>71</v>
      </c>
      <c r="B77" s="455"/>
      <c r="C77" s="456">
        <v>70</v>
      </c>
      <c r="D77" s="467" t="s">
        <v>700</v>
      </c>
      <c r="E77" s="458" t="s">
        <v>25</v>
      </c>
      <c r="F77" s="459">
        <f t="shared" si="0"/>
        <v>3110</v>
      </c>
      <c r="G77" s="460"/>
      <c r="H77" s="1343">
        <v>3010</v>
      </c>
      <c r="I77" s="787">
        <v>100</v>
      </c>
      <c r="J77" s="459">
        <v>100</v>
      </c>
      <c r="K77" s="1361"/>
      <c r="L77" s="777">
        <f t="shared" si="1"/>
        <v>100</v>
      </c>
      <c r="M77" s="647"/>
      <c r="N77" s="466"/>
      <c r="O77" s="466"/>
      <c r="P77" s="466"/>
      <c r="Q77" s="466"/>
      <c r="R77" s="466"/>
      <c r="S77" s="466"/>
      <c r="T77" s="466"/>
      <c r="U77" s="466"/>
      <c r="V77" s="466"/>
      <c r="W77" s="466"/>
      <c r="X77" s="466"/>
      <c r="Y77" s="466"/>
      <c r="Z77" s="466"/>
      <c r="AA77" s="466"/>
      <c r="AB77" s="466"/>
      <c r="AC77" s="466"/>
      <c r="AD77" s="466"/>
      <c r="AE77" s="466"/>
      <c r="AF77" s="466"/>
      <c r="AG77" s="466"/>
      <c r="AH77" s="466"/>
      <c r="AI77" s="466"/>
      <c r="AJ77" s="466"/>
      <c r="AK77" s="466"/>
      <c r="AL77" s="466"/>
      <c r="AM77" s="466"/>
      <c r="AN77" s="466"/>
      <c r="AO77" s="466"/>
      <c r="AP77" s="466"/>
      <c r="AQ77" s="466"/>
      <c r="AR77" s="466"/>
      <c r="AS77" s="466"/>
      <c r="AT77" s="466"/>
      <c r="AU77" s="466"/>
      <c r="AV77" s="466"/>
      <c r="AW77" s="466"/>
      <c r="AX77" s="466"/>
      <c r="AY77" s="466"/>
      <c r="AZ77" s="466"/>
      <c r="BA77" s="466"/>
      <c r="BB77" s="466"/>
      <c r="BC77" s="466"/>
      <c r="BD77" s="466"/>
      <c r="BE77" s="466"/>
      <c r="BF77" s="466"/>
      <c r="BG77" s="466"/>
      <c r="BH77" s="466"/>
      <c r="BI77" s="466"/>
      <c r="BJ77" s="466"/>
      <c r="BK77" s="466"/>
      <c r="BL77" s="466"/>
      <c r="BM77" s="466"/>
      <c r="BN77" s="466"/>
      <c r="BO77" s="466"/>
      <c r="BP77" s="466"/>
      <c r="BQ77" s="466"/>
      <c r="BR77" s="466"/>
      <c r="BS77" s="466"/>
      <c r="BT77" s="466"/>
      <c r="BU77" s="466"/>
      <c r="BV77" s="466"/>
      <c r="BW77" s="466"/>
      <c r="BX77" s="466"/>
      <c r="BY77" s="466"/>
      <c r="BZ77" s="466"/>
      <c r="CA77" s="466"/>
      <c r="CB77" s="466"/>
      <c r="CC77" s="466"/>
      <c r="CD77" s="466"/>
      <c r="CE77" s="466"/>
      <c r="CF77" s="466"/>
      <c r="CG77" s="466"/>
      <c r="CH77" s="466"/>
      <c r="CI77" s="466"/>
      <c r="CJ77" s="466"/>
      <c r="CK77" s="466"/>
      <c r="CL77" s="466"/>
      <c r="CM77" s="466"/>
      <c r="CN77" s="466"/>
      <c r="CO77" s="466"/>
      <c r="CP77" s="466"/>
      <c r="CQ77" s="466"/>
      <c r="CR77" s="466"/>
      <c r="CS77" s="466"/>
      <c r="CT77" s="466"/>
      <c r="CU77" s="466"/>
      <c r="CV77" s="466"/>
      <c r="CW77" s="466"/>
      <c r="CX77" s="466"/>
      <c r="CY77" s="466"/>
      <c r="CZ77" s="466"/>
      <c r="DA77" s="466"/>
      <c r="DB77" s="466"/>
      <c r="DC77" s="466"/>
      <c r="DD77" s="466"/>
      <c r="DE77" s="466"/>
      <c r="DF77" s="466"/>
      <c r="DG77" s="466"/>
      <c r="DH77" s="466"/>
      <c r="DI77" s="466"/>
      <c r="DJ77" s="466"/>
      <c r="DK77" s="466"/>
      <c r="DL77" s="466"/>
      <c r="DM77" s="466"/>
      <c r="DN77" s="466"/>
      <c r="DO77" s="466"/>
      <c r="DP77" s="466"/>
      <c r="DQ77" s="466"/>
      <c r="DR77" s="466"/>
      <c r="DS77" s="466"/>
      <c r="DT77" s="466"/>
      <c r="DU77" s="466"/>
      <c r="DV77" s="466"/>
      <c r="DW77" s="466"/>
      <c r="DX77" s="466"/>
      <c r="DY77" s="466"/>
      <c r="DZ77" s="466"/>
      <c r="EA77" s="466"/>
      <c r="EB77" s="466"/>
      <c r="EC77" s="466"/>
      <c r="ED77" s="466"/>
      <c r="EE77" s="466"/>
      <c r="EF77" s="466"/>
      <c r="EG77" s="466"/>
      <c r="EH77" s="466"/>
      <c r="EI77" s="466"/>
      <c r="EJ77" s="466"/>
      <c r="EK77" s="466"/>
      <c r="EL77" s="466"/>
      <c r="EM77" s="466"/>
      <c r="EN77" s="466"/>
      <c r="EO77" s="466"/>
      <c r="EP77" s="466"/>
      <c r="EQ77" s="466"/>
      <c r="ER77" s="466"/>
      <c r="ES77" s="466"/>
      <c r="ET77" s="466"/>
      <c r="EU77" s="466"/>
      <c r="EV77" s="466"/>
      <c r="EW77" s="466"/>
      <c r="EX77" s="466"/>
      <c r="EY77" s="466"/>
      <c r="EZ77" s="466"/>
      <c r="FA77" s="466"/>
      <c r="FB77" s="466"/>
      <c r="FC77" s="466"/>
      <c r="FD77" s="466"/>
      <c r="FE77" s="466"/>
      <c r="FF77" s="466"/>
      <c r="FG77" s="466"/>
      <c r="FH77" s="466"/>
      <c r="FI77" s="466"/>
      <c r="FJ77" s="466"/>
      <c r="FK77" s="466"/>
      <c r="FL77" s="466"/>
      <c r="FM77" s="466"/>
      <c r="FN77" s="466"/>
      <c r="FO77" s="466"/>
      <c r="FP77" s="466"/>
      <c r="FQ77" s="466"/>
      <c r="FR77" s="466"/>
      <c r="FS77" s="466"/>
      <c r="FT77" s="466"/>
      <c r="FU77" s="466"/>
      <c r="FV77" s="466"/>
      <c r="FW77" s="466"/>
      <c r="FX77" s="466"/>
      <c r="FY77" s="466"/>
      <c r="FZ77" s="466"/>
      <c r="GA77" s="466"/>
      <c r="GB77" s="466"/>
      <c r="GC77" s="466"/>
      <c r="GD77" s="466"/>
      <c r="GE77" s="466"/>
      <c r="GF77" s="466"/>
      <c r="GG77" s="466"/>
      <c r="GH77" s="466"/>
      <c r="GI77" s="466"/>
      <c r="GJ77" s="466"/>
      <c r="GK77" s="466"/>
      <c r="GL77" s="466"/>
      <c r="GM77" s="466"/>
      <c r="GN77" s="466"/>
      <c r="GO77" s="466"/>
      <c r="GP77" s="466"/>
      <c r="GQ77" s="466"/>
      <c r="GR77" s="466"/>
      <c r="GS77" s="466"/>
      <c r="GT77" s="466"/>
      <c r="GU77" s="466"/>
      <c r="GV77" s="466"/>
      <c r="GW77" s="466"/>
      <c r="GX77" s="466"/>
      <c r="GY77" s="466"/>
      <c r="GZ77" s="466"/>
      <c r="HA77" s="466"/>
      <c r="HB77" s="466"/>
      <c r="HC77" s="466"/>
      <c r="HD77" s="466"/>
      <c r="HE77" s="466"/>
      <c r="HF77" s="466"/>
      <c r="HG77" s="466"/>
      <c r="HH77" s="466"/>
      <c r="HI77" s="466"/>
      <c r="HJ77" s="466"/>
      <c r="HK77" s="466"/>
      <c r="HL77" s="466"/>
      <c r="HM77" s="466"/>
      <c r="HN77" s="466"/>
      <c r="HO77" s="466"/>
      <c r="HP77" s="466"/>
      <c r="HQ77" s="466"/>
      <c r="HR77" s="466"/>
      <c r="HS77" s="466"/>
      <c r="HT77" s="466"/>
      <c r="HU77" s="466"/>
      <c r="HV77" s="466"/>
      <c r="HW77" s="466"/>
      <c r="HX77" s="466"/>
      <c r="HY77" s="466"/>
      <c r="HZ77" s="466"/>
      <c r="IA77" s="466"/>
      <c r="IB77" s="466"/>
      <c r="IC77" s="466"/>
      <c r="ID77" s="466"/>
      <c r="IE77" s="466"/>
      <c r="IF77" s="466"/>
      <c r="IG77" s="466"/>
      <c r="IH77" s="466"/>
      <c r="II77" s="466"/>
      <c r="IJ77" s="466"/>
      <c r="IK77" s="466"/>
      <c r="IL77" s="466"/>
      <c r="IM77" s="466"/>
      <c r="IN77" s="466"/>
      <c r="IO77" s="466"/>
      <c r="IP77" s="466"/>
      <c r="IQ77" s="466"/>
    </row>
    <row r="78" spans="1:251" ht="18" customHeight="1" x14ac:dyDescent="0.3">
      <c r="A78" s="755">
        <v>72</v>
      </c>
      <c r="B78" s="455"/>
      <c r="C78" s="556">
        <v>71</v>
      </c>
      <c r="D78" s="467" t="s">
        <v>701</v>
      </c>
      <c r="E78" s="458" t="s">
        <v>25</v>
      </c>
      <c r="F78" s="459">
        <f t="shared" ref="F78:F159" si="2">G78+H78+L78+M78</f>
        <v>208000</v>
      </c>
      <c r="G78" s="460"/>
      <c r="H78" s="1343">
        <v>85000</v>
      </c>
      <c r="I78" s="787">
        <v>123000</v>
      </c>
      <c r="J78" s="459">
        <v>123000</v>
      </c>
      <c r="K78" s="1361"/>
      <c r="L78" s="777">
        <f t="shared" ref="L78:L159" si="3">SUM(J78:K78)</f>
        <v>123000</v>
      </c>
      <c r="M78" s="647"/>
      <c r="N78" s="466"/>
      <c r="O78" s="466"/>
      <c r="P78" s="466"/>
      <c r="Q78" s="466"/>
      <c r="R78" s="466"/>
      <c r="S78" s="466"/>
      <c r="T78" s="466"/>
      <c r="U78" s="466"/>
      <c r="V78" s="466"/>
      <c r="W78" s="466"/>
      <c r="X78" s="466"/>
      <c r="Y78" s="466"/>
      <c r="Z78" s="466"/>
      <c r="AA78" s="466"/>
      <c r="AB78" s="466"/>
      <c r="AC78" s="466"/>
      <c r="AD78" s="466"/>
      <c r="AE78" s="466"/>
      <c r="AF78" s="466"/>
      <c r="AG78" s="466"/>
      <c r="AH78" s="466"/>
      <c r="AI78" s="466"/>
      <c r="AJ78" s="466"/>
      <c r="AK78" s="466"/>
      <c r="AL78" s="466"/>
      <c r="AM78" s="466"/>
      <c r="AN78" s="466"/>
      <c r="AO78" s="466"/>
      <c r="AP78" s="466"/>
      <c r="AQ78" s="466"/>
      <c r="AR78" s="466"/>
      <c r="AS78" s="466"/>
      <c r="AT78" s="466"/>
      <c r="AU78" s="466"/>
      <c r="AV78" s="466"/>
      <c r="AW78" s="466"/>
      <c r="AX78" s="466"/>
      <c r="AY78" s="466"/>
      <c r="AZ78" s="466"/>
      <c r="BA78" s="466"/>
      <c r="BB78" s="466"/>
      <c r="BC78" s="466"/>
      <c r="BD78" s="466"/>
      <c r="BE78" s="466"/>
      <c r="BF78" s="466"/>
      <c r="BG78" s="466"/>
      <c r="BH78" s="466"/>
      <c r="BI78" s="466"/>
      <c r="BJ78" s="466"/>
      <c r="BK78" s="466"/>
      <c r="BL78" s="466"/>
      <c r="BM78" s="466"/>
      <c r="BN78" s="466"/>
      <c r="BO78" s="466"/>
      <c r="BP78" s="466"/>
      <c r="BQ78" s="466"/>
      <c r="BR78" s="466"/>
      <c r="BS78" s="466"/>
      <c r="BT78" s="466"/>
      <c r="BU78" s="466"/>
      <c r="BV78" s="466"/>
      <c r="BW78" s="466"/>
      <c r="BX78" s="466"/>
      <c r="BY78" s="466"/>
      <c r="BZ78" s="466"/>
      <c r="CA78" s="466"/>
      <c r="CB78" s="466"/>
      <c r="CC78" s="466"/>
      <c r="CD78" s="466"/>
      <c r="CE78" s="466"/>
      <c r="CF78" s="466"/>
      <c r="CG78" s="466"/>
      <c r="CH78" s="466"/>
      <c r="CI78" s="466"/>
      <c r="CJ78" s="466"/>
      <c r="CK78" s="466"/>
      <c r="CL78" s="466"/>
      <c r="CM78" s="466"/>
      <c r="CN78" s="466"/>
      <c r="CO78" s="466"/>
      <c r="CP78" s="466"/>
      <c r="CQ78" s="466"/>
      <c r="CR78" s="466"/>
      <c r="CS78" s="466"/>
      <c r="CT78" s="466"/>
      <c r="CU78" s="466"/>
      <c r="CV78" s="466"/>
      <c r="CW78" s="466"/>
      <c r="CX78" s="466"/>
      <c r="CY78" s="466"/>
      <c r="CZ78" s="466"/>
      <c r="DA78" s="466"/>
      <c r="DB78" s="466"/>
      <c r="DC78" s="466"/>
      <c r="DD78" s="466"/>
      <c r="DE78" s="466"/>
      <c r="DF78" s="466"/>
      <c r="DG78" s="466"/>
      <c r="DH78" s="466"/>
      <c r="DI78" s="466"/>
      <c r="DJ78" s="466"/>
      <c r="DK78" s="466"/>
      <c r="DL78" s="466"/>
      <c r="DM78" s="466"/>
      <c r="DN78" s="466"/>
      <c r="DO78" s="466"/>
      <c r="DP78" s="466"/>
      <c r="DQ78" s="466"/>
      <c r="DR78" s="466"/>
      <c r="DS78" s="466"/>
      <c r="DT78" s="466"/>
      <c r="DU78" s="466"/>
      <c r="DV78" s="466"/>
      <c r="DW78" s="466"/>
      <c r="DX78" s="466"/>
      <c r="DY78" s="466"/>
      <c r="DZ78" s="466"/>
      <c r="EA78" s="466"/>
      <c r="EB78" s="466"/>
      <c r="EC78" s="466"/>
      <c r="ED78" s="466"/>
      <c r="EE78" s="466"/>
      <c r="EF78" s="466"/>
      <c r="EG78" s="466"/>
      <c r="EH78" s="466"/>
      <c r="EI78" s="466"/>
      <c r="EJ78" s="466"/>
      <c r="EK78" s="466"/>
      <c r="EL78" s="466"/>
      <c r="EM78" s="466"/>
      <c r="EN78" s="466"/>
      <c r="EO78" s="466"/>
      <c r="EP78" s="466"/>
      <c r="EQ78" s="466"/>
      <c r="ER78" s="466"/>
      <c r="ES78" s="466"/>
      <c r="ET78" s="466"/>
      <c r="EU78" s="466"/>
      <c r="EV78" s="466"/>
      <c r="EW78" s="466"/>
      <c r="EX78" s="466"/>
      <c r="EY78" s="466"/>
      <c r="EZ78" s="466"/>
      <c r="FA78" s="466"/>
      <c r="FB78" s="466"/>
      <c r="FC78" s="466"/>
      <c r="FD78" s="466"/>
      <c r="FE78" s="466"/>
      <c r="FF78" s="466"/>
      <c r="FG78" s="466"/>
      <c r="FH78" s="466"/>
      <c r="FI78" s="466"/>
      <c r="FJ78" s="466"/>
      <c r="FK78" s="466"/>
      <c r="FL78" s="466"/>
      <c r="FM78" s="466"/>
      <c r="FN78" s="466"/>
      <c r="FO78" s="466"/>
      <c r="FP78" s="466"/>
      <c r="FQ78" s="466"/>
      <c r="FR78" s="466"/>
      <c r="FS78" s="466"/>
      <c r="FT78" s="466"/>
      <c r="FU78" s="466"/>
      <c r="FV78" s="466"/>
      <c r="FW78" s="466"/>
      <c r="FX78" s="466"/>
      <c r="FY78" s="466"/>
      <c r="FZ78" s="466"/>
      <c r="GA78" s="466"/>
      <c r="GB78" s="466"/>
      <c r="GC78" s="466"/>
      <c r="GD78" s="466"/>
      <c r="GE78" s="466"/>
      <c r="GF78" s="466"/>
      <c r="GG78" s="466"/>
      <c r="GH78" s="466"/>
      <c r="GI78" s="466"/>
      <c r="GJ78" s="466"/>
      <c r="GK78" s="466"/>
      <c r="GL78" s="466"/>
      <c r="GM78" s="466"/>
      <c r="GN78" s="466"/>
      <c r="GO78" s="466"/>
      <c r="GP78" s="466"/>
      <c r="GQ78" s="466"/>
      <c r="GR78" s="466"/>
      <c r="GS78" s="466"/>
      <c r="GT78" s="466"/>
      <c r="GU78" s="466"/>
      <c r="GV78" s="466"/>
      <c r="GW78" s="466"/>
      <c r="GX78" s="466"/>
      <c r="GY78" s="466"/>
      <c r="GZ78" s="466"/>
      <c r="HA78" s="466"/>
      <c r="HB78" s="466"/>
      <c r="HC78" s="466"/>
      <c r="HD78" s="466"/>
      <c r="HE78" s="466"/>
      <c r="HF78" s="466"/>
      <c r="HG78" s="466"/>
      <c r="HH78" s="466"/>
      <c r="HI78" s="466"/>
      <c r="HJ78" s="466"/>
      <c r="HK78" s="466"/>
      <c r="HL78" s="466"/>
      <c r="HM78" s="466"/>
      <c r="HN78" s="466"/>
      <c r="HO78" s="466"/>
      <c r="HP78" s="466"/>
      <c r="HQ78" s="466"/>
      <c r="HR78" s="466"/>
      <c r="HS78" s="466"/>
      <c r="HT78" s="466"/>
      <c r="HU78" s="466"/>
      <c r="HV78" s="466"/>
      <c r="HW78" s="466"/>
      <c r="HX78" s="466"/>
      <c r="HY78" s="466"/>
      <c r="HZ78" s="466"/>
      <c r="IA78" s="466"/>
      <c r="IB78" s="466"/>
      <c r="IC78" s="466"/>
      <c r="ID78" s="466"/>
      <c r="IE78" s="466"/>
      <c r="IF78" s="466"/>
      <c r="IG78" s="466"/>
      <c r="IH78" s="466"/>
      <c r="II78" s="466"/>
      <c r="IJ78" s="466"/>
      <c r="IK78" s="466"/>
      <c r="IL78" s="466"/>
      <c r="IM78" s="466"/>
      <c r="IN78" s="466"/>
      <c r="IO78" s="466"/>
      <c r="IP78" s="466"/>
      <c r="IQ78" s="466"/>
    </row>
    <row r="79" spans="1:251" ht="18" customHeight="1" x14ac:dyDescent="0.3">
      <c r="A79" s="755">
        <v>73</v>
      </c>
      <c r="B79" s="455"/>
      <c r="C79" s="456">
        <v>72</v>
      </c>
      <c r="D79" s="467" t="s">
        <v>1134</v>
      </c>
      <c r="E79" s="458" t="s">
        <v>25</v>
      </c>
      <c r="F79" s="459">
        <f t="shared" si="2"/>
        <v>20</v>
      </c>
      <c r="G79" s="460"/>
      <c r="H79" s="1343">
        <v>10</v>
      </c>
      <c r="I79" s="787"/>
      <c r="J79" s="459">
        <v>10</v>
      </c>
      <c r="K79" s="1361"/>
      <c r="L79" s="777">
        <f t="shared" si="3"/>
        <v>10</v>
      </c>
      <c r="M79" s="647"/>
      <c r="N79" s="466"/>
      <c r="O79" s="466"/>
      <c r="P79" s="466"/>
      <c r="Q79" s="466"/>
      <c r="R79" s="466"/>
      <c r="S79" s="466"/>
      <c r="T79" s="466"/>
      <c r="U79" s="466"/>
      <c r="V79" s="466"/>
      <c r="W79" s="466"/>
      <c r="X79" s="466"/>
      <c r="Y79" s="466"/>
      <c r="Z79" s="466"/>
      <c r="AA79" s="466"/>
      <c r="AB79" s="466"/>
      <c r="AC79" s="466"/>
      <c r="AD79" s="466"/>
      <c r="AE79" s="466"/>
      <c r="AF79" s="466"/>
      <c r="AG79" s="466"/>
      <c r="AH79" s="466"/>
      <c r="AI79" s="466"/>
      <c r="AJ79" s="466"/>
      <c r="AK79" s="466"/>
      <c r="AL79" s="466"/>
      <c r="AM79" s="466"/>
      <c r="AN79" s="466"/>
      <c r="AO79" s="466"/>
      <c r="AP79" s="466"/>
      <c r="AQ79" s="466"/>
      <c r="AR79" s="466"/>
      <c r="AS79" s="466"/>
      <c r="AT79" s="466"/>
      <c r="AU79" s="466"/>
      <c r="AV79" s="466"/>
      <c r="AW79" s="466"/>
      <c r="AX79" s="466"/>
      <c r="AY79" s="466"/>
      <c r="AZ79" s="466"/>
      <c r="BA79" s="466"/>
      <c r="BB79" s="466"/>
      <c r="BC79" s="466"/>
      <c r="BD79" s="466"/>
      <c r="BE79" s="466"/>
      <c r="BF79" s="466"/>
      <c r="BG79" s="466"/>
      <c r="BH79" s="466"/>
      <c r="BI79" s="466"/>
      <c r="BJ79" s="466"/>
      <c r="BK79" s="466"/>
      <c r="BL79" s="466"/>
      <c r="BM79" s="466"/>
      <c r="BN79" s="466"/>
      <c r="BO79" s="466"/>
      <c r="BP79" s="466"/>
      <c r="BQ79" s="466"/>
      <c r="BR79" s="466"/>
      <c r="BS79" s="466"/>
      <c r="BT79" s="466"/>
      <c r="BU79" s="466"/>
      <c r="BV79" s="466"/>
      <c r="BW79" s="466"/>
      <c r="BX79" s="466"/>
      <c r="BY79" s="466"/>
      <c r="BZ79" s="466"/>
      <c r="CA79" s="466"/>
      <c r="CB79" s="466"/>
      <c r="CC79" s="466"/>
      <c r="CD79" s="466"/>
      <c r="CE79" s="466"/>
      <c r="CF79" s="466"/>
      <c r="CG79" s="466"/>
      <c r="CH79" s="466"/>
      <c r="CI79" s="466"/>
      <c r="CJ79" s="466"/>
      <c r="CK79" s="466"/>
      <c r="CL79" s="466"/>
      <c r="CM79" s="466"/>
      <c r="CN79" s="466"/>
      <c r="CO79" s="466"/>
      <c r="CP79" s="466"/>
      <c r="CQ79" s="466"/>
      <c r="CR79" s="466"/>
      <c r="CS79" s="466"/>
      <c r="CT79" s="466"/>
      <c r="CU79" s="466"/>
      <c r="CV79" s="466"/>
      <c r="CW79" s="466"/>
      <c r="CX79" s="466"/>
      <c r="CY79" s="466"/>
      <c r="CZ79" s="466"/>
      <c r="DA79" s="466"/>
      <c r="DB79" s="466"/>
      <c r="DC79" s="466"/>
      <c r="DD79" s="466"/>
      <c r="DE79" s="466"/>
      <c r="DF79" s="466"/>
      <c r="DG79" s="466"/>
      <c r="DH79" s="466"/>
      <c r="DI79" s="466"/>
      <c r="DJ79" s="466"/>
      <c r="DK79" s="466"/>
      <c r="DL79" s="466"/>
      <c r="DM79" s="466"/>
      <c r="DN79" s="466"/>
      <c r="DO79" s="466"/>
      <c r="DP79" s="466"/>
      <c r="DQ79" s="466"/>
      <c r="DR79" s="466"/>
      <c r="DS79" s="466"/>
      <c r="DT79" s="466"/>
      <c r="DU79" s="466"/>
      <c r="DV79" s="466"/>
      <c r="DW79" s="466"/>
      <c r="DX79" s="466"/>
      <c r="DY79" s="466"/>
      <c r="DZ79" s="466"/>
      <c r="EA79" s="466"/>
      <c r="EB79" s="466"/>
      <c r="EC79" s="466"/>
      <c r="ED79" s="466"/>
      <c r="EE79" s="466"/>
      <c r="EF79" s="466"/>
      <c r="EG79" s="466"/>
      <c r="EH79" s="466"/>
      <c r="EI79" s="466"/>
      <c r="EJ79" s="466"/>
      <c r="EK79" s="466"/>
      <c r="EL79" s="466"/>
      <c r="EM79" s="466"/>
      <c r="EN79" s="466"/>
      <c r="EO79" s="466"/>
      <c r="EP79" s="466"/>
      <c r="EQ79" s="466"/>
      <c r="ER79" s="466"/>
      <c r="ES79" s="466"/>
      <c r="ET79" s="466"/>
      <c r="EU79" s="466"/>
      <c r="EV79" s="466"/>
      <c r="EW79" s="466"/>
      <c r="EX79" s="466"/>
      <c r="EY79" s="466"/>
      <c r="EZ79" s="466"/>
      <c r="FA79" s="466"/>
      <c r="FB79" s="466"/>
      <c r="FC79" s="466"/>
      <c r="FD79" s="466"/>
      <c r="FE79" s="466"/>
      <c r="FF79" s="466"/>
      <c r="FG79" s="466"/>
      <c r="FH79" s="466"/>
      <c r="FI79" s="466"/>
      <c r="FJ79" s="466"/>
      <c r="FK79" s="466"/>
      <c r="FL79" s="466"/>
      <c r="FM79" s="466"/>
      <c r="FN79" s="466"/>
      <c r="FO79" s="466"/>
      <c r="FP79" s="466"/>
      <c r="FQ79" s="466"/>
      <c r="FR79" s="466"/>
      <c r="FS79" s="466"/>
      <c r="FT79" s="466"/>
      <c r="FU79" s="466"/>
      <c r="FV79" s="466"/>
      <c r="FW79" s="466"/>
      <c r="FX79" s="466"/>
      <c r="FY79" s="466"/>
      <c r="FZ79" s="466"/>
      <c r="GA79" s="466"/>
      <c r="GB79" s="466"/>
      <c r="GC79" s="466"/>
      <c r="GD79" s="466"/>
      <c r="GE79" s="466"/>
      <c r="GF79" s="466"/>
      <c r="GG79" s="466"/>
      <c r="GH79" s="466"/>
      <c r="GI79" s="466"/>
      <c r="GJ79" s="466"/>
      <c r="GK79" s="466"/>
      <c r="GL79" s="466"/>
      <c r="GM79" s="466"/>
      <c r="GN79" s="466"/>
      <c r="GO79" s="466"/>
      <c r="GP79" s="466"/>
      <c r="GQ79" s="466"/>
      <c r="GR79" s="466"/>
      <c r="GS79" s="466"/>
      <c r="GT79" s="466"/>
      <c r="GU79" s="466"/>
      <c r="GV79" s="466"/>
      <c r="GW79" s="466"/>
      <c r="GX79" s="466"/>
      <c r="GY79" s="466"/>
      <c r="GZ79" s="466"/>
      <c r="HA79" s="466"/>
      <c r="HB79" s="466"/>
      <c r="HC79" s="466"/>
      <c r="HD79" s="466"/>
      <c r="HE79" s="466"/>
      <c r="HF79" s="466"/>
      <c r="HG79" s="466"/>
      <c r="HH79" s="466"/>
      <c r="HI79" s="466"/>
      <c r="HJ79" s="466"/>
      <c r="HK79" s="466"/>
      <c r="HL79" s="466"/>
      <c r="HM79" s="466"/>
      <c r="HN79" s="466"/>
      <c r="HO79" s="466"/>
      <c r="HP79" s="466"/>
      <c r="HQ79" s="466"/>
      <c r="HR79" s="466"/>
      <c r="HS79" s="466"/>
      <c r="HT79" s="466"/>
      <c r="HU79" s="466"/>
      <c r="HV79" s="466"/>
      <c r="HW79" s="466"/>
      <c r="HX79" s="466"/>
      <c r="HY79" s="466"/>
      <c r="HZ79" s="466"/>
      <c r="IA79" s="466"/>
      <c r="IB79" s="466"/>
      <c r="IC79" s="466"/>
      <c r="ID79" s="466"/>
      <c r="IE79" s="466"/>
      <c r="IF79" s="466"/>
      <c r="IG79" s="466"/>
      <c r="IH79" s="466"/>
      <c r="II79" s="466"/>
      <c r="IJ79" s="466"/>
      <c r="IK79" s="466"/>
      <c r="IL79" s="466"/>
      <c r="IM79" s="466"/>
      <c r="IN79" s="466"/>
      <c r="IO79" s="466"/>
      <c r="IP79" s="466"/>
      <c r="IQ79" s="466"/>
    </row>
    <row r="80" spans="1:251" ht="18" customHeight="1" x14ac:dyDescent="0.3">
      <c r="A80" s="755">
        <v>74</v>
      </c>
      <c r="B80" s="455"/>
      <c r="C80" s="456">
        <v>73</v>
      </c>
      <c r="D80" s="467" t="s">
        <v>1371</v>
      </c>
      <c r="E80" s="458" t="s">
        <v>25</v>
      </c>
      <c r="F80" s="459">
        <f t="shared" si="2"/>
        <v>1861</v>
      </c>
      <c r="G80" s="460"/>
      <c r="H80" s="1343">
        <v>1138</v>
      </c>
      <c r="I80" s="787"/>
      <c r="J80" s="459">
        <v>723</v>
      </c>
      <c r="K80" s="1361"/>
      <c r="L80" s="777">
        <f t="shared" si="3"/>
        <v>723</v>
      </c>
      <c r="M80" s="647"/>
      <c r="N80" s="466"/>
      <c r="O80" s="466"/>
      <c r="P80" s="466"/>
      <c r="Q80" s="466"/>
      <c r="R80" s="466"/>
      <c r="S80" s="466"/>
      <c r="T80" s="466"/>
      <c r="U80" s="466"/>
      <c r="V80" s="466"/>
      <c r="W80" s="466"/>
      <c r="X80" s="466"/>
      <c r="Y80" s="466"/>
      <c r="Z80" s="466"/>
      <c r="AA80" s="466"/>
      <c r="AB80" s="466"/>
      <c r="AC80" s="466"/>
      <c r="AD80" s="466"/>
      <c r="AE80" s="466"/>
      <c r="AF80" s="466"/>
      <c r="AG80" s="466"/>
      <c r="AH80" s="466"/>
      <c r="AI80" s="466"/>
      <c r="AJ80" s="466"/>
      <c r="AK80" s="466"/>
      <c r="AL80" s="466"/>
      <c r="AM80" s="466"/>
      <c r="AN80" s="466"/>
      <c r="AO80" s="466"/>
      <c r="AP80" s="466"/>
      <c r="AQ80" s="466"/>
      <c r="AR80" s="466"/>
      <c r="AS80" s="466"/>
      <c r="AT80" s="466"/>
      <c r="AU80" s="466"/>
      <c r="AV80" s="466"/>
      <c r="AW80" s="466"/>
      <c r="AX80" s="466"/>
      <c r="AY80" s="466"/>
      <c r="AZ80" s="466"/>
      <c r="BA80" s="466"/>
      <c r="BB80" s="466"/>
      <c r="BC80" s="466"/>
      <c r="BD80" s="466"/>
      <c r="BE80" s="466"/>
      <c r="BF80" s="466"/>
      <c r="BG80" s="466"/>
      <c r="BH80" s="466"/>
      <c r="BI80" s="466"/>
      <c r="BJ80" s="466"/>
      <c r="BK80" s="466"/>
      <c r="BL80" s="466"/>
      <c r="BM80" s="466"/>
      <c r="BN80" s="466"/>
      <c r="BO80" s="466"/>
      <c r="BP80" s="466"/>
      <c r="BQ80" s="466"/>
      <c r="BR80" s="466"/>
      <c r="BS80" s="466"/>
      <c r="BT80" s="466"/>
      <c r="BU80" s="466"/>
      <c r="BV80" s="466"/>
      <c r="BW80" s="466"/>
      <c r="BX80" s="466"/>
      <c r="BY80" s="466"/>
      <c r="BZ80" s="466"/>
      <c r="CA80" s="466"/>
      <c r="CB80" s="466"/>
      <c r="CC80" s="466"/>
      <c r="CD80" s="466"/>
      <c r="CE80" s="466"/>
      <c r="CF80" s="466"/>
      <c r="CG80" s="466"/>
      <c r="CH80" s="466"/>
      <c r="CI80" s="466"/>
      <c r="CJ80" s="466"/>
      <c r="CK80" s="466"/>
      <c r="CL80" s="466"/>
      <c r="CM80" s="466"/>
      <c r="CN80" s="466"/>
      <c r="CO80" s="466"/>
      <c r="CP80" s="466"/>
      <c r="CQ80" s="466"/>
      <c r="CR80" s="466"/>
      <c r="CS80" s="466"/>
      <c r="CT80" s="466"/>
      <c r="CU80" s="466"/>
      <c r="CV80" s="466"/>
      <c r="CW80" s="466"/>
      <c r="CX80" s="466"/>
      <c r="CY80" s="466"/>
      <c r="CZ80" s="466"/>
      <c r="DA80" s="466"/>
      <c r="DB80" s="466"/>
      <c r="DC80" s="466"/>
      <c r="DD80" s="466"/>
      <c r="DE80" s="466"/>
      <c r="DF80" s="466"/>
      <c r="DG80" s="466"/>
      <c r="DH80" s="466"/>
      <c r="DI80" s="466"/>
      <c r="DJ80" s="466"/>
      <c r="DK80" s="466"/>
      <c r="DL80" s="466"/>
      <c r="DM80" s="466"/>
      <c r="DN80" s="466"/>
      <c r="DO80" s="466"/>
      <c r="DP80" s="466"/>
      <c r="DQ80" s="466"/>
      <c r="DR80" s="466"/>
      <c r="DS80" s="466"/>
      <c r="DT80" s="466"/>
      <c r="DU80" s="466"/>
      <c r="DV80" s="466"/>
      <c r="DW80" s="466"/>
      <c r="DX80" s="466"/>
      <c r="DY80" s="466"/>
      <c r="DZ80" s="466"/>
      <c r="EA80" s="466"/>
      <c r="EB80" s="466"/>
      <c r="EC80" s="466"/>
      <c r="ED80" s="466"/>
      <c r="EE80" s="466"/>
      <c r="EF80" s="466"/>
      <c r="EG80" s="466"/>
      <c r="EH80" s="466"/>
      <c r="EI80" s="466"/>
      <c r="EJ80" s="466"/>
      <c r="EK80" s="466"/>
      <c r="EL80" s="466"/>
      <c r="EM80" s="466"/>
      <c r="EN80" s="466"/>
      <c r="EO80" s="466"/>
      <c r="EP80" s="466"/>
      <c r="EQ80" s="466"/>
      <c r="ER80" s="466"/>
      <c r="ES80" s="466"/>
      <c r="ET80" s="466"/>
      <c r="EU80" s="466"/>
      <c r="EV80" s="466"/>
      <c r="EW80" s="466"/>
      <c r="EX80" s="466"/>
      <c r="EY80" s="466"/>
      <c r="EZ80" s="466"/>
      <c r="FA80" s="466"/>
      <c r="FB80" s="466"/>
      <c r="FC80" s="466"/>
      <c r="FD80" s="466"/>
      <c r="FE80" s="466"/>
      <c r="FF80" s="466"/>
      <c r="FG80" s="466"/>
      <c r="FH80" s="466"/>
      <c r="FI80" s="466"/>
      <c r="FJ80" s="466"/>
      <c r="FK80" s="466"/>
      <c r="FL80" s="466"/>
      <c r="FM80" s="466"/>
      <c r="FN80" s="466"/>
      <c r="FO80" s="466"/>
      <c r="FP80" s="466"/>
      <c r="FQ80" s="466"/>
      <c r="FR80" s="466"/>
      <c r="FS80" s="466"/>
      <c r="FT80" s="466"/>
      <c r="FU80" s="466"/>
      <c r="FV80" s="466"/>
      <c r="FW80" s="466"/>
      <c r="FX80" s="466"/>
      <c r="FY80" s="466"/>
      <c r="FZ80" s="466"/>
      <c r="GA80" s="466"/>
      <c r="GB80" s="466"/>
      <c r="GC80" s="466"/>
      <c r="GD80" s="466"/>
      <c r="GE80" s="466"/>
      <c r="GF80" s="466"/>
      <c r="GG80" s="466"/>
      <c r="GH80" s="466"/>
      <c r="GI80" s="466"/>
      <c r="GJ80" s="466"/>
      <c r="GK80" s="466"/>
      <c r="GL80" s="466"/>
      <c r="GM80" s="466"/>
      <c r="GN80" s="466"/>
      <c r="GO80" s="466"/>
      <c r="GP80" s="466"/>
      <c r="GQ80" s="466"/>
      <c r="GR80" s="466"/>
      <c r="GS80" s="466"/>
      <c r="GT80" s="466"/>
      <c r="GU80" s="466"/>
      <c r="GV80" s="466"/>
      <c r="GW80" s="466"/>
      <c r="GX80" s="466"/>
      <c r="GY80" s="466"/>
      <c r="GZ80" s="466"/>
      <c r="HA80" s="466"/>
      <c r="HB80" s="466"/>
      <c r="HC80" s="466"/>
      <c r="HD80" s="466"/>
      <c r="HE80" s="466"/>
      <c r="HF80" s="466"/>
      <c r="HG80" s="466"/>
      <c r="HH80" s="466"/>
      <c r="HI80" s="466"/>
      <c r="HJ80" s="466"/>
      <c r="HK80" s="466"/>
      <c r="HL80" s="466"/>
      <c r="HM80" s="466"/>
      <c r="HN80" s="466"/>
      <c r="HO80" s="466"/>
      <c r="HP80" s="466"/>
      <c r="HQ80" s="466"/>
      <c r="HR80" s="466"/>
      <c r="HS80" s="466"/>
      <c r="HT80" s="466"/>
      <c r="HU80" s="466"/>
      <c r="HV80" s="466"/>
      <c r="HW80" s="466"/>
      <c r="HX80" s="466"/>
      <c r="HY80" s="466"/>
      <c r="HZ80" s="466"/>
      <c r="IA80" s="466"/>
      <c r="IB80" s="466"/>
      <c r="IC80" s="466"/>
      <c r="ID80" s="466"/>
      <c r="IE80" s="466"/>
      <c r="IF80" s="466"/>
      <c r="IG80" s="466"/>
      <c r="IH80" s="466"/>
      <c r="II80" s="466"/>
      <c r="IJ80" s="466"/>
      <c r="IK80" s="466"/>
      <c r="IL80" s="466"/>
      <c r="IM80" s="466"/>
      <c r="IN80" s="466"/>
      <c r="IO80" s="466"/>
      <c r="IP80" s="466"/>
      <c r="IQ80" s="466"/>
    </row>
    <row r="81" spans="1:251" ht="18" customHeight="1" x14ac:dyDescent="0.3">
      <c r="A81" s="755">
        <v>75</v>
      </c>
      <c r="B81" s="455"/>
      <c r="C81" s="556">
        <v>74</v>
      </c>
      <c r="D81" s="467" t="s">
        <v>702</v>
      </c>
      <c r="E81" s="458" t="s">
        <v>25</v>
      </c>
      <c r="F81" s="459">
        <f t="shared" si="2"/>
        <v>7000</v>
      </c>
      <c r="G81" s="460"/>
      <c r="H81" s="1343"/>
      <c r="I81" s="787">
        <v>7000</v>
      </c>
      <c r="J81" s="459">
        <v>7000</v>
      </c>
      <c r="K81" s="1361"/>
      <c r="L81" s="777">
        <f t="shared" si="3"/>
        <v>7000</v>
      </c>
      <c r="M81" s="647"/>
      <c r="N81" s="466"/>
      <c r="O81" s="466"/>
      <c r="P81" s="466"/>
      <c r="Q81" s="466"/>
      <c r="R81" s="466"/>
      <c r="S81" s="466"/>
      <c r="T81" s="466"/>
      <c r="U81" s="466"/>
      <c r="V81" s="466"/>
      <c r="W81" s="466"/>
      <c r="X81" s="466"/>
      <c r="Y81" s="466"/>
      <c r="Z81" s="466"/>
      <c r="AA81" s="466"/>
      <c r="AB81" s="466"/>
      <c r="AC81" s="466"/>
      <c r="AD81" s="466"/>
      <c r="AE81" s="466"/>
      <c r="AF81" s="466"/>
      <c r="AG81" s="466"/>
      <c r="AH81" s="466"/>
      <c r="AI81" s="466"/>
      <c r="AJ81" s="466"/>
      <c r="AK81" s="466"/>
      <c r="AL81" s="466"/>
      <c r="AM81" s="466"/>
      <c r="AN81" s="466"/>
      <c r="AO81" s="466"/>
      <c r="AP81" s="466"/>
      <c r="AQ81" s="466"/>
      <c r="AR81" s="466"/>
      <c r="AS81" s="466"/>
      <c r="AT81" s="466"/>
      <c r="AU81" s="466"/>
      <c r="AV81" s="466"/>
      <c r="AW81" s="466"/>
      <c r="AX81" s="466"/>
      <c r="AY81" s="466"/>
      <c r="AZ81" s="466"/>
      <c r="BA81" s="466"/>
      <c r="BB81" s="466"/>
      <c r="BC81" s="466"/>
      <c r="BD81" s="466"/>
      <c r="BE81" s="466"/>
      <c r="BF81" s="466"/>
      <c r="BG81" s="466"/>
      <c r="BH81" s="466"/>
      <c r="BI81" s="466"/>
      <c r="BJ81" s="466"/>
      <c r="BK81" s="466"/>
      <c r="BL81" s="466"/>
      <c r="BM81" s="466"/>
      <c r="BN81" s="466"/>
      <c r="BO81" s="466"/>
      <c r="BP81" s="466"/>
      <c r="BQ81" s="466"/>
      <c r="BR81" s="466"/>
      <c r="BS81" s="466"/>
      <c r="BT81" s="466"/>
      <c r="BU81" s="466"/>
      <c r="BV81" s="466"/>
      <c r="BW81" s="466"/>
      <c r="BX81" s="466"/>
      <c r="BY81" s="466"/>
      <c r="BZ81" s="466"/>
      <c r="CA81" s="466"/>
      <c r="CB81" s="466"/>
      <c r="CC81" s="466"/>
      <c r="CD81" s="466"/>
      <c r="CE81" s="466"/>
      <c r="CF81" s="466"/>
      <c r="CG81" s="466"/>
      <c r="CH81" s="466"/>
      <c r="CI81" s="466"/>
      <c r="CJ81" s="466"/>
      <c r="CK81" s="466"/>
      <c r="CL81" s="466"/>
      <c r="CM81" s="466"/>
      <c r="CN81" s="466"/>
      <c r="CO81" s="466"/>
      <c r="CP81" s="466"/>
      <c r="CQ81" s="466"/>
      <c r="CR81" s="466"/>
      <c r="CS81" s="466"/>
      <c r="CT81" s="466"/>
      <c r="CU81" s="466"/>
      <c r="CV81" s="466"/>
      <c r="CW81" s="466"/>
      <c r="CX81" s="466"/>
      <c r="CY81" s="466"/>
      <c r="CZ81" s="466"/>
      <c r="DA81" s="466"/>
      <c r="DB81" s="466"/>
      <c r="DC81" s="466"/>
      <c r="DD81" s="466"/>
      <c r="DE81" s="466"/>
      <c r="DF81" s="466"/>
      <c r="DG81" s="466"/>
      <c r="DH81" s="466"/>
      <c r="DI81" s="466"/>
      <c r="DJ81" s="466"/>
      <c r="DK81" s="466"/>
      <c r="DL81" s="466"/>
      <c r="DM81" s="466"/>
      <c r="DN81" s="466"/>
      <c r="DO81" s="466"/>
      <c r="DP81" s="466"/>
      <c r="DQ81" s="466"/>
      <c r="DR81" s="466"/>
      <c r="DS81" s="466"/>
      <c r="DT81" s="466"/>
      <c r="DU81" s="466"/>
      <c r="DV81" s="466"/>
      <c r="DW81" s="466"/>
      <c r="DX81" s="466"/>
      <c r="DY81" s="466"/>
      <c r="DZ81" s="466"/>
      <c r="EA81" s="466"/>
      <c r="EB81" s="466"/>
      <c r="EC81" s="466"/>
      <c r="ED81" s="466"/>
      <c r="EE81" s="466"/>
      <c r="EF81" s="466"/>
      <c r="EG81" s="466"/>
      <c r="EH81" s="466"/>
      <c r="EI81" s="466"/>
      <c r="EJ81" s="466"/>
      <c r="EK81" s="466"/>
      <c r="EL81" s="466"/>
      <c r="EM81" s="466"/>
      <c r="EN81" s="466"/>
      <c r="EO81" s="466"/>
      <c r="EP81" s="466"/>
      <c r="EQ81" s="466"/>
      <c r="ER81" s="466"/>
      <c r="ES81" s="466"/>
      <c r="ET81" s="466"/>
      <c r="EU81" s="466"/>
      <c r="EV81" s="466"/>
      <c r="EW81" s="466"/>
      <c r="EX81" s="466"/>
      <c r="EY81" s="466"/>
      <c r="EZ81" s="466"/>
      <c r="FA81" s="466"/>
      <c r="FB81" s="466"/>
      <c r="FC81" s="466"/>
      <c r="FD81" s="466"/>
      <c r="FE81" s="466"/>
      <c r="FF81" s="466"/>
      <c r="FG81" s="466"/>
      <c r="FH81" s="466"/>
      <c r="FI81" s="466"/>
      <c r="FJ81" s="466"/>
      <c r="FK81" s="466"/>
      <c r="FL81" s="466"/>
      <c r="FM81" s="466"/>
      <c r="FN81" s="466"/>
      <c r="FO81" s="466"/>
      <c r="FP81" s="466"/>
      <c r="FQ81" s="466"/>
      <c r="FR81" s="466"/>
      <c r="FS81" s="466"/>
      <c r="FT81" s="466"/>
      <c r="FU81" s="466"/>
      <c r="FV81" s="466"/>
      <c r="FW81" s="466"/>
      <c r="FX81" s="466"/>
      <c r="FY81" s="466"/>
      <c r="FZ81" s="466"/>
      <c r="GA81" s="466"/>
      <c r="GB81" s="466"/>
      <c r="GC81" s="466"/>
      <c r="GD81" s="466"/>
      <c r="GE81" s="466"/>
      <c r="GF81" s="466"/>
      <c r="GG81" s="466"/>
      <c r="GH81" s="466"/>
      <c r="GI81" s="466"/>
      <c r="GJ81" s="466"/>
      <c r="GK81" s="466"/>
      <c r="GL81" s="466"/>
      <c r="GM81" s="466"/>
      <c r="GN81" s="466"/>
      <c r="GO81" s="466"/>
      <c r="GP81" s="466"/>
      <c r="GQ81" s="466"/>
      <c r="GR81" s="466"/>
      <c r="GS81" s="466"/>
      <c r="GT81" s="466"/>
      <c r="GU81" s="466"/>
      <c r="GV81" s="466"/>
      <c r="GW81" s="466"/>
      <c r="GX81" s="466"/>
      <c r="GY81" s="466"/>
      <c r="GZ81" s="466"/>
      <c r="HA81" s="466"/>
      <c r="HB81" s="466"/>
      <c r="HC81" s="466"/>
      <c r="HD81" s="466"/>
      <c r="HE81" s="466"/>
      <c r="HF81" s="466"/>
      <c r="HG81" s="466"/>
      <c r="HH81" s="466"/>
      <c r="HI81" s="466"/>
      <c r="HJ81" s="466"/>
      <c r="HK81" s="466"/>
      <c r="HL81" s="466"/>
      <c r="HM81" s="466"/>
      <c r="HN81" s="466"/>
      <c r="HO81" s="466"/>
      <c r="HP81" s="466"/>
      <c r="HQ81" s="466"/>
      <c r="HR81" s="466"/>
      <c r="HS81" s="466"/>
      <c r="HT81" s="466"/>
      <c r="HU81" s="466"/>
      <c r="HV81" s="466"/>
      <c r="HW81" s="466"/>
      <c r="HX81" s="466"/>
      <c r="HY81" s="466"/>
      <c r="HZ81" s="466"/>
      <c r="IA81" s="466"/>
      <c r="IB81" s="466"/>
      <c r="IC81" s="466"/>
      <c r="ID81" s="466"/>
      <c r="IE81" s="466"/>
      <c r="IF81" s="466"/>
      <c r="IG81" s="466"/>
      <c r="IH81" s="466"/>
      <c r="II81" s="466"/>
      <c r="IJ81" s="466"/>
      <c r="IK81" s="466"/>
      <c r="IL81" s="466"/>
      <c r="IM81" s="466"/>
      <c r="IN81" s="466"/>
      <c r="IO81" s="466"/>
      <c r="IP81" s="466"/>
      <c r="IQ81" s="466"/>
    </row>
    <row r="82" spans="1:251" ht="66" x14ac:dyDescent="0.3">
      <c r="A82" s="755">
        <v>76</v>
      </c>
      <c r="B82" s="455"/>
      <c r="C82" s="456">
        <v>75</v>
      </c>
      <c r="D82" s="457" t="s">
        <v>408</v>
      </c>
      <c r="E82" s="458" t="s">
        <v>24</v>
      </c>
      <c r="F82" s="459">
        <f t="shared" si="2"/>
        <v>40832</v>
      </c>
      <c r="G82" s="460">
        <v>11933</v>
      </c>
      <c r="H82" s="1343">
        <v>7351</v>
      </c>
      <c r="I82" s="787">
        <v>4000</v>
      </c>
      <c r="J82" s="459">
        <v>21548</v>
      </c>
      <c r="K82" s="1361"/>
      <c r="L82" s="777">
        <f t="shared" si="3"/>
        <v>21548</v>
      </c>
      <c r="M82" s="647"/>
    </row>
    <row r="83" spans="1:251" ht="18" customHeight="1" x14ac:dyDescent="0.3">
      <c r="A83" s="755">
        <v>77</v>
      </c>
      <c r="B83" s="455"/>
      <c r="C83" s="456">
        <v>76</v>
      </c>
      <c r="D83" s="457" t="s">
        <v>409</v>
      </c>
      <c r="E83" s="458" t="s">
        <v>25</v>
      </c>
      <c r="F83" s="459">
        <f t="shared" si="2"/>
        <v>48467</v>
      </c>
      <c r="G83" s="460">
        <v>26235</v>
      </c>
      <c r="H83" s="1343">
        <v>11033</v>
      </c>
      <c r="I83" s="787">
        <v>6500</v>
      </c>
      <c r="J83" s="459">
        <v>11199</v>
      </c>
      <c r="K83" s="1361"/>
      <c r="L83" s="777">
        <f t="shared" si="3"/>
        <v>11199</v>
      </c>
      <c r="M83" s="647"/>
      <c r="N83" s="466"/>
      <c r="O83" s="466"/>
      <c r="P83" s="466"/>
      <c r="Q83" s="466"/>
      <c r="R83" s="466"/>
      <c r="S83" s="466"/>
      <c r="T83" s="466"/>
      <c r="U83" s="466"/>
      <c r="V83" s="466"/>
      <c r="W83" s="466"/>
      <c r="X83" s="466"/>
      <c r="Y83" s="466"/>
      <c r="Z83" s="466"/>
      <c r="AA83" s="466"/>
      <c r="AB83" s="466"/>
      <c r="AC83" s="466"/>
      <c r="AD83" s="466"/>
      <c r="AE83" s="466"/>
      <c r="AF83" s="466"/>
      <c r="AG83" s="466"/>
      <c r="AH83" s="466"/>
      <c r="AI83" s="466"/>
      <c r="AJ83" s="466"/>
      <c r="AK83" s="466"/>
      <c r="AL83" s="466"/>
      <c r="AM83" s="466"/>
      <c r="AN83" s="466"/>
      <c r="AO83" s="466"/>
      <c r="AP83" s="466"/>
      <c r="AQ83" s="466"/>
      <c r="AR83" s="466"/>
      <c r="AS83" s="466"/>
      <c r="AT83" s="466"/>
      <c r="AU83" s="466"/>
      <c r="AV83" s="466"/>
      <c r="AW83" s="466"/>
      <c r="AX83" s="466"/>
      <c r="AY83" s="466"/>
      <c r="AZ83" s="466"/>
      <c r="BA83" s="466"/>
      <c r="BB83" s="466"/>
      <c r="BC83" s="466"/>
      <c r="BD83" s="466"/>
      <c r="BE83" s="466"/>
      <c r="BF83" s="466"/>
      <c r="BG83" s="466"/>
      <c r="BH83" s="466"/>
      <c r="BI83" s="466"/>
      <c r="BJ83" s="466"/>
      <c r="BK83" s="466"/>
      <c r="BL83" s="466"/>
      <c r="BM83" s="466"/>
      <c r="BN83" s="466"/>
      <c r="BO83" s="466"/>
      <c r="BP83" s="466"/>
      <c r="BQ83" s="466"/>
      <c r="BR83" s="466"/>
      <c r="BS83" s="466"/>
      <c r="BT83" s="466"/>
      <c r="BU83" s="466"/>
      <c r="BV83" s="466"/>
      <c r="BW83" s="466"/>
      <c r="BX83" s="466"/>
      <c r="BY83" s="466"/>
      <c r="BZ83" s="466"/>
      <c r="CA83" s="466"/>
      <c r="CB83" s="466"/>
      <c r="CC83" s="466"/>
      <c r="CD83" s="466"/>
      <c r="CE83" s="466"/>
      <c r="CF83" s="466"/>
      <c r="CG83" s="466"/>
      <c r="CH83" s="466"/>
      <c r="CI83" s="466"/>
      <c r="CJ83" s="466"/>
      <c r="CK83" s="466"/>
      <c r="CL83" s="466"/>
      <c r="CM83" s="466"/>
      <c r="CN83" s="466"/>
      <c r="CO83" s="466"/>
      <c r="CP83" s="466"/>
      <c r="CQ83" s="466"/>
      <c r="CR83" s="466"/>
      <c r="CS83" s="466"/>
      <c r="CT83" s="466"/>
      <c r="CU83" s="466"/>
      <c r="CV83" s="466"/>
      <c r="CW83" s="466"/>
      <c r="CX83" s="466"/>
      <c r="CY83" s="466"/>
      <c r="CZ83" s="466"/>
      <c r="DA83" s="466"/>
      <c r="DB83" s="466"/>
      <c r="DC83" s="466"/>
      <c r="DD83" s="466"/>
      <c r="DE83" s="466"/>
      <c r="DF83" s="466"/>
      <c r="DG83" s="466"/>
      <c r="DH83" s="466"/>
      <c r="DI83" s="466"/>
      <c r="DJ83" s="466"/>
      <c r="DK83" s="466"/>
      <c r="DL83" s="466"/>
      <c r="DM83" s="466"/>
      <c r="DN83" s="466"/>
      <c r="DO83" s="466"/>
      <c r="DP83" s="466"/>
      <c r="DQ83" s="466"/>
      <c r="DR83" s="466"/>
      <c r="DS83" s="466"/>
      <c r="DT83" s="466"/>
      <c r="DU83" s="466"/>
      <c r="DV83" s="466"/>
      <c r="DW83" s="466"/>
      <c r="DX83" s="466"/>
      <c r="DY83" s="466"/>
      <c r="DZ83" s="466"/>
      <c r="EA83" s="466"/>
      <c r="EB83" s="466"/>
      <c r="EC83" s="466"/>
      <c r="ED83" s="466"/>
      <c r="EE83" s="466"/>
      <c r="EF83" s="466"/>
      <c r="EG83" s="466"/>
      <c r="EH83" s="466"/>
      <c r="EI83" s="466"/>
      <c r="EJ83" s="466"/>
      <c r="EK83" s="466"/>
      <c r="EL83" s="466"/>
      <c r="EM83" s="466"/>
      <c r="EN83" s="466"/>
      <c r="EO83" s="466"/>
      <c r="EP83" s="466"/>
      <c r="EQ83" s="466"/>
      <c r="ER83" s="466"/>
      <c r="ES83" s="466"/>
      <c r="ET83" s="466"/>
      <c r="EU83" s="466"/>
      <c r="EV83" s="466"/>
      <c r="EW83" s="466"/>
      <c r="EX83" s="466"/>
      <c r="EY83" s="466"/>
      <c r="EZ83" s="466"/>
      <c r="FA83" s="466"/>
      <c r="FB83" s="466"/>
      <c r="FC83" s="466"/>
      <c r="FD83" s="466"/>
      <c r="FE83" s="466"/>
      <c r="FF83" s="466"/>
      <c r="FG83" s="466"/>
      <c r="FH83" s="466"/>
      <c r="FI83" s="466"/>
      <c r="FJ83" s="466"/>
      <c r="FK83" s="466"/>
      <c r="FL83" s="466"/>
      <c r="FM83" s="466"/>
      <c r="FN83" s="466"/>
      <c r="FO83" s="466"/>
      <c r="FP83" s="466"/>
      <c r="FQ83" s="466"/>
      <c r="FR83" s="466"/>
      <c r="FS83" s="466"/>
      <c r="FT83" s="466"/>
      <c r="FU83" s="466"/>
      <c r="FV83" s="466"/>
      <c r="FW83" s="466"/>
      <c r="FX83" s="466"/>
      <c r="FY83" s="466"/>
      <c r="FZ83" s="466"/>
      <c r="GA83" s="466"/>
      <c r="GB83" s="466"/>
      <c r="GC83" s="466"/>
      <c r="GD83" s="466"/>
      <c r="GE83" s="466"/>
      <c r="GF83" s="466"/>
      <c r="GG83" s="466"/>
      <c r="GH83" s="466"/>
      <c r="GI83" s="466"/>
      <c r="GJ83" s="466"/>
      <c r="GK83" s="466"/>
      <c r="GL83" s="466"/>
      <c r="GM83" s="466"/>
      <c r="GN83" s="466"/>
      <c r="GO83" s="466"/>
      <c r="GP83" s="466"/>
      <c r="GQ83" s="466"/>
      <c r="GR83" s="466"/>
      <c r="GS83" s="466"/>
      <c r="GT83" s="466"/>
      <c r="GU83" s="466"/>
      <c r="GV83" s="466"/>
      <c r="GW83" s="466"/>
      <c r="GX83" s="466"/>
      <c r="GY83" s="466"/>
      <c r="GZ83" s="466"/>
      <c r="HA83" s="466"/>
      <c r="HB83" s="466"/>
      <c r="HC83" s="466"/>
      <c r="HD83" s="466"/>
      <c r="HE83" s="466"/>
      <c r="HF83" s="466"/>
      <c r="HG83" s="466"/>
      <c r="HH83" s="466"/>
      <c r="HI83" s="466"/>
      <c r="HJ83" s="466"/>
      <c r="HK83" s="466"/>
      <c r="HL83" s="466"/>
      <c r="HM83" s="466"/>
      <c r="HN83" s="466"/>
      <c r="HO83" s="466"/>
      <c r="HP83" s="466"/>
      <c r="HQ83" s="466"/>
      <c r="HR83" s="466"/>
      <c r="HS83" s="466"/>
      <c r="HT83" s="466"/>
      <c r="HU83" s="466"/>
      <c r="HV83" s="466"/>
      <c r="HW83" s="466"/>
      <c r="HX83" s="466"/>
      <c r="HY83" s="466"/>
      <c r="HZ83" s="466"/>
      <c r="IA83" s="466"/>
      <c r="IB83" s="466"/>
      <c r="IC83" s="466"/>
      <c r="ID83" s="466"/>
      <c r="IE83" s="466"/>
      <c r="IF83" s="466"/>
      <c r="IG83" s="466"/>
      <c r="IH83" s="466"/>
      <c r="II83" s="466"/>
      <c r="IJ83" s="466"/>
      <c r="IK83" s="466"/>
      <c r="IL83" s="466"/>
      <c r="IM83" s="466"/>
      <c r="IN83" s="466"/>
      <c r="IO83" s="466"/>
      <c r="IP83" s="466"/>
      <c r="IQ83" s="466"/>
    </row>
    <row r="84" spans="1:251" ht="18" customHeight="1" x14ac:dyDescent="0.3">
      <c r="A84" s="755">
        <v>78</v>
      </c>
      <c r="B84" s="455"/>
      <c r="C84" s="556">
        <v>77</v>
      </c>
      <c r="D84" s="457" t="s">
        <v>410</v>
      </c>
      <c r="E84" s="458" t="s">
        <v>24</v>
      </c>
      <c r="F84" s="459">
        <f t="shared" si="2"/>
        <v>7500</v>
      </c>
      <c r="G84" s="460">
        <v>2058</v>
      </c>
      <c r="H84" s="1343"/>
      <c r="I84" s="787">
        <v>1000</v>
      </c>
      <c r="J84" s="459">
        <v>5442</v>
      </c>
      <c r="K84" s="1361"/>
      <c r="L84" s="777">
        <f t="shared" si="3"/>
        <v>5442</v>
      </c>
      <c r="M84" s="647"/>
      <c r="N84" s="466"/>
      <c r="O84" s="466"/>
      <c r="P84" s="466"/>
      <c r="Q84" s="466"/>
      <c r="R84" s="466"/>
      <c r="S84" s="466"/>
      <c r="T84" s="466"/>
      <c r="U84" s="466"/>
      <c r="V84" s="466"/>
      <c r="W84" s="466"/>
      <c r="X84" s="466"/>
      <c r="Y84" s="466"/>
      <c r="Z84" s="466"/>
      <c r="AA84" s="466"/>
      <c r="AB84" s="466"/>
      <c r="AC84" s="466"/>
      <c r="AD84" s="466"/>
      <c r="AE84" s="466"/>
      <c r="AF84" s="466"/>
      <c r="AG84" s="466"/>
      <c r="AH84" s="466"/>
      <c r="AI84" s="466"/>
      <c r="AJ84" s="466"/>
      <c r="AK84" s="466"/>
      <c r="AL84" s="466"/>
      <c r="AM84" s="466"/>
      <c r="AN84" s="466"/>
      <c r="AO84" s="466"/>
      <c r="AP84" s="466"/>
      <c r="AQ84" s="466"/>
      <c r="AR84" s="466"/>
      <c r="AS84" s="466"/>
      <c r="AT84" s="466"/>
      <c r="AU84" s="466"/>
      <c r="AV84" s="466"/>
      <c r="AW84" s="466"/>
      <c r="AX84" s="466"/>
      <c r="AY84" s="466"/>
      <c r="AZ84" s="466"/>
      <c r="BA84" s="466"/>
      <c r="BB84" s="466"/>
      <c r="BC84" s="466"/>
      <c r="BD84" s="466"/>
      <c r="BE84" s="466"/>
      <c r="BF84" s="466"/>
      <c r="BG84" s="466"/>
      <c r="BH84" s="466"/>
      <c r="BI84" s="466"/>
      <c r="BJ84" s="466"/>
      <c r="BK84" s="466"/>
      <c r="BL84" s="466"/>
      <c r="BM84" s="466"/>
      <c r="BN84" s="466"/>
      <c r="BO84" s="466"/>
      <c r="BP84" s="466"/>
      <c r="BQ84" s="466"/>
      <c r="BR84" s="466"/>
      <c r="BS84" s="466"/>
      <c r="BT84" s="466"/>
      <c r="BU84" s="466"/>
      <c r="BV84" s="466"/>
      <c r="BW84" s="466"/>
      <c r="BX84" s="466"/>
      <c r="BY84" s="466"/>
      <c r="BZ84" s="466"/>
      <c r="CA84" s="466"/>
      <c r="CB84" s="466"/>
      <c r="CC84" s="466"/>
      <c r="CD84" s="466"/>
      <c r="CE84" s="466"/>
      <c r="CF84" s="466"/>
      <c r="CG84" s="466"/>
      <c r="CH84" s="466"/>
      <c r="CI84" s="466"/>
      <c r="CJ84" s="466"/>
      <c r="CK84" s="466"/>
      <c r="CL84" s="466"/>
      <c r="CM84" s="466"/>
      <c r="CN84" s="466"/>
      <c r="CO84" s="466"/>
      <c r="CP84" s="466"/>
      <c r="CQ84" s="466"/>
      <c r="CR84" s="466"/>
      <c r="CS84" s="466"/>
      <c r="CT84" s="466"/>
      <c r="CU84" s="466"/>
      <c r="CV84" s="466"/>
      <c r="CW84" s="466"/>
      <c r="CX84" s="466"/>
      <c r="CY84" s="466"/>
      <c r="CZ84" s="466"/>
      <c r="DA84" s="466"/>
      <c r="DB84" s="466"/>
      <c r="DC84" s="466"/>
      <c r="DD84" s="466"/>
      <c r="DE84" s="466"/>
      <c r="DF84" s="466"/>
      <c r="DG84" s="466"/>
      <c r="DH84" s="466"/>
      <c r="DI84" s="466"/>
      <c r="DJ84" s="466"/>
      <c r="DK84" s="466"/>
      <c r="DL84" s="466"/>
      <c r="DM84" s="466"/>
      <c r="DN84" s="466"/>
      <c r="DO84" s="466"/>
      <c r="DP84" s="466"/>
      <c r="DQ84" s="466"/>
      <c r="DR84" s="466"/>
      <c r="DS84" s="466"/>
      <c r="DT84" s="466"/>
      <c r="DU84" s="466"/>
      <c r="DV84" s="466"/>
      <c r="DW84" s="466"/>
      <c r="DX84" s="466"/>
      <c r="DY84" s="466"/>
      <c r="DZ84" s="466"/>
      <c r="EA84" s="466"/>
      <c r="EB84" s="466"/>
      <c r="EC84" s="466"/>
      <c r="ED84" s="466"/>
      <c r="EE84" s="466"/>
      <c r="EF84" s="466"/>
      <c r="EG84" s="466"/>
      <c r="EH84" s="466"/>
      <c r="EI84" s="466"/>
      <c r="EJ84" s="466"/>
      <c r="EK84" s="466"/>
      <c r="EL84" s="466"/>
      <c r="EM84" s="466"/>
      <c r="EN84" s="466"/>
      <c r="EO84" s="466"/>
      <c r="EP84" s="466"/>
      <c r="EQ84" s="466"/>
      <c r="ER84" s="466"/>
      <c r="ES84" s="466"/>
      <c r="ET84" s="466"/>
      <c r="EU84" s="466"/>
      <c r="EV84" s="466"/>
      <c r="EW84" s="466"/>
      <c r="EX84" s="466"/>
      <c r="EY84" s="466"/>
      <c r="EZ84" s="466"/>
      <c r="FA84" s="466"/>
      <c r="FB84" s="466"/>
      <c r="FC84" s="466"/>
      <c r="FD84" s="466"/>
      <c r="FE84" s="466"/>
      <c r="FF84" s="466"/>
      <c r="FG84" s="466"/>
      <c r="FH84" s="466"/>
      <c r="FI84" s="466"/>
      <c r="FJ84" s="466"/>
      <c r="FK84" s="466"/>
      <c r="FL84" s="466"/>
      <c r="FM84" s="466"/>
      <c r="FN84" s="466"/>
      <c r="FO84" s="466"/>
      <c r="FP84" s="466"/>
      <c r="FQ84" s="466"/>
      <c r="FR84" s="466"/>
      <c r="FS84" s="466"/>
      <c r="FT84" s="466"/>
      <c r="FU84" s="466"/>
      <c r="FV84" s="466"/>
      <c r="FW84" s="466"/>
      <c r="FX84" s="466"/>
      <c r="FY84" s="466"/>
      <c r="FZ84" s="466"/>
      <c r="GA84" s="466"/>
      <c r="GB84" s="466"/>
      <c r="GC84" s="466"/>
      <c r="GD84" s="466"/>
      <c r="GE84" s="466"/>
      <c r="GF84" s="466"/>
      <c r="GG84" s="466"/>
      <c r="GH84" s="466"/>
      <c r="GI84" s="466"/>
      <c r="GJ84" s="466"/>
      <c r="GK84" s="466"/>
      <c r="GL84" s="466"/>
      <c r="GM84" s="466"/>
      <c r="GN84" s="466"/>
      <c r="GO84" s="466"/>
      <c r="GP84" s="466"/>
      <c r="GQ84" s="466"/>
      <c r="GR84" s="466"/>
      <c r="GS84" s="466"/>
      <c r="GT84" s="466"/>
      <c r="GU84" s="466"/>
      <c r="GV84" s="466"/>
      <c r="GW84" s="466"/>
      <c r="GX84" s="466"/>
      <c r="GY84" s="466"/>
      <c r="GZ84" s="466"/>
      <c r="HA84" s="466"/>
      <c r="HB84" s="466"/>
      <c r="HC84" s="466"/>
      <c r="HD84" s="466"/>
      <c r="HE84" s="466"/>
      <c r="HF84" s="466"/>
      <c r="HG84" s="466"/>
      <c r="HH84" s="466"/>
      <c r="HI84" s="466"/>
      <c r="HJ84" s="466"/>
      <c r="HK84" s="466"/>
      <c r="HL84" s="466"/>
      <c r="HM84" s="466"/>
      <c r="HN84" s="466"/>
      <c r="HO84" s="466"/>
      <c r="HP84" s="466"/>
      <c r="HQ84" s="466"/>
      <c r="HR84" s="466"/>
      <c r="HS84" s="466"/>
      <c r="HT84" s="466"/>
      <c r="HU84" s="466"/>
      <c r="HV84" s="466"/>
      <c r="HW84" s="466"/>
      <c r="HX84" s="466"/>
      <c r="HY84" s="466"/>
      <c r="HZ84" s="466"/>
      <c r="IA84" s="466"/>
      <c r="IB84" s="466"/>
      <c r="IC84" s="466"/>
      <c r="ID84" s="466"/>
      <c r="IE84" s="466"/>
      <c r="IF84" s="466"/>
      <c r="IG84" s="466"/>
      <c r="IH84" s="466"/>
      <c r="II84" s="466"/>
      <c r="IJ84" s="466"/>
      <c r="IK84" s="466"/>
      <c r="IL84" s="466"/>
      <c r="IM84" s="466"/>
      <c r="IN84" s="466"/>
      <c r="IO84" s="466"/>
      <c r="IP84" s="466"/>
      <c r="IQ84" s="466"/>
    </row>
    <row r="85" spans="1:251" ht="18" customHeight="1" x14ac:dyDescent="0.3">
      <c r="A85" s="755">
        <v>79</v>
      </c>
      <c r="B85" s="455"/>
      <c r="C85" s="456">
        <v>78</v>
      </c>
      <c r="D85" s="467" t="s">
        <v>411</v>
      </c>
      <c r="E85" s="458" t="s">
        <v>25</v>
      </c>
      <c r="F85" s="459">
        <f t="shared" si="2"/>
        <v>5000</v>
      </c>
      <c r="G85" s="460">
        <v>248</v>
      </c>
      <c r="H85" s="1343">
        <v>251</v>
      </c>
      <c r="I85" s="787">
        <v>2000</v>
      </c>
      <c r="J85" s="459">
        <v>4501</v>
      </c>
      <c r="K85" s="1361"/>
      <c r="L85" s="777">
        <f t="shared" si="3"/>
        <v>4501</v>
      </c>
      <c r="M85" s="647"/>
    </row>
    <row r="86" spans="1:251" ht="33" customHeight="1" x14ac:dyDescent="0.3">
      <c r="A86" s="755">
        <v>80</v>
      </c>
      <c r="B86" s="455"/>
      <c r="C86" s="456">
        <v>79</v>
      </c>
      <c r="D86" s="462" t="s">
        <v>517</v>
      </c>
      <c r="E86" s="463" t="s">
        <v>25</v>
      </c>
      <c r="F86" s="459">
        <f t="shared" si="2"/>
        <v>9000</v>
      </c>
      <c r="G86" s="460">
        <v>3500</v>
      </c>
      <c r="H86" s="1343">
        <v>2500</v>
      </c>
      <c r="I86" s="787">
        <v>3000</v>
      </c>
      <c r="J86" s="459">
        <v>3000</v>
      </c>
      <c r="K86" s="1361"/>
      <c r="L86" s="777">
        <f t="shared" si="3"/>
        <v>3000</v>
      </c>
      <c r="M86" s="647"/>
    </row>
    <row r="87" spans="1:251" ht="18" customHeight="1" x14ac:dyDescent="0.3">
      <c r="A87" s="755">
        <v>81</v>
      </c>
      <c r="B87" s="455"/>
      <c r="C87" s="556">
        <v>80</v>
      </c>
      <c r="D87" s="462" t="s">
        <v>504</v>
      </c>
      <c r="E87" s="463" t="s">
        <v>25</v>
      </c>
      <c r="F87" s="459">
        <f t="shared" si="2"/>
        <v>30000</v>
      </c>
      <c r="G87" s="460"/>
      <c r="H87" s="1343"/>
      <c r="I87" s="787">
        <v>10000</v>
      </c>
      <c r="J87" s="459">
        <v>30000</v>
      </c>
      <c r="K87" s="1361"/>
      <c r="L87" s="777">
        <f t="shared" si="3"/>
        <v>30000</v>
      </c>
      <c r="M87" s="647"/>
    </row>
    <row r="88" spans="1:251" ht="18" customHeight="1" x14ac:dyDescent="0.3">
      <c r="A88" s="755">
        <v>82</v>
      </c>
      <c r="B88" s="455"/>
      <c r="C88" s="456">
        <v>81</v>
      </c>
      <c r="D88" s="462" t="s">
        <v>505</v>
      </c>
      <c r="E88" s="463" t="s">
        <v>25</v>
      </c>
      <c r="F88" s="459">
        <f t="shared" si="2"/>
        <v>16400</v>
      </c>
      <c r="G88" s="460"/>
      <c r="H88" s="1343">
        <v>11091</v>
      </c>
      <c r="I88" s="787">
        <v>5000</v>
      </c>
      <c r="J88" s="459">
        <v>5309</v>
      </c>
      <c r="K88" s="1361"/>
      <c r="L88" s="777">
        <f t="shared" si="3"/>
        <v>5309</v>
      </c>
      <c r="M88" s="647"/>
    </row>
    <row r="89" spans="1:251" ht="18" customHeight="1" x14ac:dyDescent="0.3">
      <c r="A89" s="755">
        <v>83</v>
      </c>
      <c r="B89" s="455"/>
      <c r="C89" s="456">
        <v>82</v>
      </c>
      <c r="D89" s="462" t="s">
        <v>938</v>
      </c>
      <c r="E89" s="463" t="s">
        <v>25</v>
      </c>
      <c r="F89" s="459">
        <f t="shared" si="2"/>
        <v>650</v>
      </c>
      <c r="G89" s="460"/>
      <c r="H89" s="1343"/>
      <c r="I89" s="787">
        <v>650</v>
      </c>
      <c r="J89" s="459">
        <v>650</v>
      </c>
      <c r="K89" s="1361"/>
      <c r="L89" s="777">
        <f t="shared" si="3"/>
        <v>650</v>
      </c>
      <c r="M89" s="647"/>
    </row>
    <row r="90" spans="1:251" ht="33" customHeight="1" x14ac:dyDescent="0.3">
      <c r="A90" s="755">
        <v>84</v>
      </c>
      <c r="B90" s="455"/>
      <c r="C90" s="456">
        <v>83</v>
      </c>
      <c r="D90" s="462" t="s">
        <v>712</v>
      </c>
      <c r="E90" s="463" t="s">
        <v>25</v>
      </c>
      <c r="F90" s="459">
        <f t="shared" si="2"/>
        <v>1784</v>
      </c>
      <c r="G90" s="460"/>
      <c r="H90" s="1343"/>
      <c r="I90" s="787"/>
      <c r="J90" s="459">
        <v>1784</v>
      </c>
      <c r="K90" s="1361"/>
      <c r="L90" s="777">
        <f t="shared" si="3"/>
        <v>1784</v>
      </c>
      <c r="M90" s="647"/>
      <c r="N90" s="466"/>
      <c r="O90" s="466"/>
      <c r="P90" s="466"/>
      <c r="Q90" s="466"/>
    </row>
    <row r="91" spans="1:251" ht="33" customHeight="1" x14ac:dyDescent="0.3">
      <c r="A91" s="755">
        <v>85</v>
      </c>
      <c r="B91" s="455"/>
      <c r="C91" s="456">
        <v>84</v>
      </c>
      <c r="D91" s="462" t="s">
        <v>703</v>
      </c>
      <c r="E91" s="463" t="s">
        <v>25</v>
      </c>
      <c r="F91" s="459">
        <f t="shared" si="2"/>
        <v>19000</v>
      </c>
      <c r="G91" s="460"/>
      <c r="H91" s="1343"/>
      <c r="I91" s="787">
        <v>19000</v>
      </c>
      <c r="J91" s="459">
        <v>19000</v>
      </c>
      <c r="K91" s="1361"/>
      <c r="L91" s="777">
        <f t="shared" si="3"/>
        <v>19000</v>
      </c>
      <c r="M91" s="647"/>
    </row>
    <row r="92" spans="1:251" ht="18" customHeight="1" x14ac:dyDescent="0.3">
      <c r="A92" s="755">
        <v>86</v>
      </c>
      <c r="B92" s="455"/>
      <c r="C92" s="456">
        <v>85</v>
      </c>
      <c r="D92" s="462" t="s">
        <v>612</v>
      </c>
      <c r="E92" s="463" t="s">
        <v>25</v>
      </c>
      <c r="F92" s="459">
        <f t="shared" si="2"/>
        <v>12576</v>
      </c>
      <c r="G92" s="460"/>
      <c r="H92" s="1343">
        <v>8127</v>
      </c>
      <c r="I92" s="787">
        <v>4000</v>
      </c>
      <c r="J92" s="459">
        <v>2749</v>
      </c>
      <c r="K92" s="1361">
        <v>1700</v>
      </c>
      <c r="L92" s="777">
        <f t="shared" si="3"/>
        <v>4449</v>
      </c>
      <c r="M92" s="647"/>
    </row>
    <row r="93" spans="1:251" ht="18" customHeight="1" x14ac:dyDescent="0.3">
      <c r="A93" s="755">
        <v>87</v>
      </c>
      <c r="B93" s="455"/>
      <c r="C93" s="556">
        <v>86</v>
      </c>
      <c r="D93" s="462" t="s">
        <v>704</v>
      </c>
      <c r="E93" s="463" t="s">
        <v>25</v>
      </c>
      <c r="F93" s="459">
        <f t="shared" si="2"/>
        <v>1669</v>
      </c>
      <c r="G93" s="460"/>
      <c r="H93" s="1343"/>
      <c r="I93" s="787">
        <v>6935</v>
      </c>
      <c r="J93" s="459">
        <v>1669</v>
      </c>
      <c r="K93" s="1361"/>
      <c r="L93" s="777">
        <f t="shared" si="3"/>
        <v>1669</v>
      </c>
      <c r="M93" s="647"/>
    </row>
    <row r="94" spans="1:251" ht="20.100000000000001" customHeight="1" x14ac:dyDescent="0.35">
      <c r="A94" s="755">
        <v>88</v>
      </c>
      <c r="B94" s="455"/>
      <c r="C94" s="456"/>
      <c r="D94" s="728" t="s">
        <v>564</v>
      </c>
      <c r="E94" s="463"/>
      <c r="F94" s="459"/>
      <c r="G94" s="460"/>
      <c r="H94" s="1343"/>
      <c r="I94" s="787"/>
      <c r="J94" s="459"/>
      <c r="K94" s="1361"/>
      <c r="L94" s="777"/>
      <c r="M94" s="647"/>
    </row>
    <row r="95" spans="1:251" ht="20.100000000000001" customHeight="1" x14ac:dyDescent="0.3">
      <c r="A95" s="755">
        <v>89</v>
      </c>
      <c r="B95" s="455"/>
      <c r="C95" s="456">
        <v>87</v>
      </c>
      <c r="D95" s="733" t="s">
        <v>931</v>
      </c>
      <c r="E95" s="463" t="s">
        <v>25</v>
      </c>
      <c r="F95" s="459">
        <f t="shared" si="2"/>
        <v>2500</v>
      </c>
      <c r="G95" s="460"/>
      <c r="H95" s="1343"/>
      <c r="I95" s="787">
        <v>2500</v>
      </c>
      <c r="J95" s="459">
        <v>2500</v>
      </c>
      <c r="K95" s="1361"/>
      <c r="L95" s="777">
        <f t="shared" si="3"/>
        <v>2500</v>
      </c>
      <c r="M95" s="647"/>
    </row>
    <row r="96" spans="1:251" ht="20.100000000000001" customHeight="1" x14ac:dyDescent="0.3">
      <c r="A96" s="755">
        <v>90</v>
      </c>
      <c r="B96" s="455"/>
      <c r="C96" s="556">
        <v>88</v>
      </c>
      <c r="D96" s="462" t="s">
        <v>887</v>
      </c>
      <c r="E96" s="463" t="s">
        <v>25</v>
      </c>
      <c r="F96" s="459">
        <f t="shared" si="2"/>
        <v>900</v>
      </c>
      <c r="G96" s="460"/>
      <c r="H96" s="1343"/>
      <c r="I96" s="787"/>
      <c r="J96" s="459">
        <v>900</v>
      </c>
      <c r="K96" s="1361"/>
      <c r="L96" s="777">
        <f t="shared" si="3"/>
        <v>900</v>
      </c>
      <c r="M96" s="647"/>
    </row>
    <row r="97" spans="1:13" ht="20.100000000000001" customHeight="1" x14ac:dyDescent="0.3">
      <c r="A97" s="755">
        <v>91</v>
      </c>
      <c r="B97" s="455"/>
      <c r="C97" s="556">
        <v>89</v>
      </c>
      <c r="D97" s="462" t="s">
        <v>1362</v>
      </c>
      <c r="E97" s="463" t="s">
        <v>25</v>
      </c>
      <c r="F97" s="459">
        <f t="shared" si="2"/>
        <v>1079</v>
      </c>
      <c r="G97" s="460"/>
      <c r="H97" s="1343"/>
      <c r="I97" s="787"/>
      <c r="J97" s="459">
        <v>1079</v>
      </c>
      <c r="K97" s="1361"/>
      <c r="L97" s="777">
        <f t="shared" si="3"/>
        <v>1079</v>
      </c>
      <c r="M97" s="647"/>
    </row>
    <row r="98" spans="1:13" ht="31.5" customHeight="1" x14ac:dyDescent="0.3">
      <c r="A98" s="755">
        <v>92</v>
      </c>
      <c r="B98" s="455"/>
      <c r="C98" s="456">
        <v>90</v>
      </c>
      <c r="D98" s="462" t="s">
        <v>1292</v>
      </c>
      <c r="E98" s="463" t="s">
        <v>25</v>
      </c>
      <c r="F98" s="459">
        <f t="shared" si="2"/>
        <v>67</v>
      </c>
      <c r="G98" s="460"/>
      <c r="H98" s="1343"/>
      <c r="I98" s="787"/>
      <c r="J98" s="459">
        <v>67</v>
      </c>
      <c r="K98" s="1361"/>
      <c r="L98" s="777">
        <f t="shared" si="3"/>
        <v>67</v>
      </c>
      <c r="M98" s="647"/>
    </row>
    <row r="99" spans="1:13" ht="20.100000000000001" customHeight="1" x14ac:dyDescent="0.3">
      <c r="A99" s="755">
        <v>93</v>
      </c>
      <c r="B99" s="455"/>
      <c r="C99" s="456">
        <v>91</v>
      </c>
      <c r="D99" s="462" t="s">
        <v>835</v>
      </c>
      <c r="E99" s="463" t="s">
        <v>25</v>
      </c>
      <c r="F99" s="459">
        <f t="shared" si="2"/>
        <v>69</v>
      </c>
      <c r="G99" s="460"/>
      <c r="H99" s="1343"/>
      <c r="I99" s="787"/>
      <c r="J99" s="459">
        <v>69</v>
      </c>
      <c r="K99" s="1361"/>
      <c r="L99" s="777">
        <f t="shared" si="3"/>
        <v>69</v>
      </c>
      <c r="M99" s="647"/>
    </row>
    <row r="100" spans="1:13" ht="20.100000000000001" customHeight="1" x14ac:dyDescent="0.3">
      <c r="A100" s="755">
        <v>94</v>
      </c>
      <c r="B100" s="455"/>
      <c r="C100" s="556">
        <v>92</v>
      </c>
      <c r="D100" s="462" t="s">
        <v>913</v>
      </c>
      <c r="E100" s="463" t="s">
        <v>25</v>
      </c>
      <c r="F100" s="459">
        <f t="shared" si="2"/>
        <v>402</v>
      </c>
      <c r="G100" s="460"/>
      <c r="H100" s="1343"/>
      <c r="I100" s="787"/>
      <c r="J100" s="459">
        <v>402</v>
      </c>
      <c r="K100" s="1361"/>
      <c r="L100" s="777">
        <f t="shared" si="3"/>
        <v>402</v>
      </c>
      <c r="M100" s="647"/>
    </row>
    <row r="101" spans="1:13" ht="20.100000000000001" customHeight="1" x14ac:dyDescent="0.3">
      <c r="A101" s="755">
        <v>95</v>
      </c>
      <c r="B101" s="455"/>
      <c r="C101" s="456">
        <v>93</v>
      </c>
      <c r="D101" s="462" t="s">
        <v>912</v>
      </c>
      <c r="E101" s="463" t="s">
        <v>25</v>
      </c>
      <c r="F101" s="459">
        <f t="shared" si="2"/>
        <v>15</v>
      </c>
      <c r="G101" s="460"/>
      <c r="H101" s="1343"/>
      <c r="I101" s="787"/>
      <c r="J101" s="459">
        <v>15</v>
      </c>
      <c r="K101" s="1361"/>
      <c r="L101" s="777">
        <f t="shared" si="3"/>
        <v>15</v>
      </c>
      <c r="M101" s="647"/>
    </row>
    <row r="102" spans="1:13" ht="20.100000000000001" customHeight="1" x14ac:dyDescent="0.3">
      <c r="A102" s="755">
        <v>96</v>
      </c>
      <c r="B102" s="455"/>
      <c r="C102" s="556">
        <v>94</v>
      </c>
      <c r="D102" s="462" t="s">
        <v>1223</v>
      </c>
      <c r="E102" s="463" t="s">
        <v>25</v>
      </c>
      <c r="F102" s="459">
        <f t="shared" si="2"/>
        <v>76</v>
      </c>
      <c r="G102" s="460"/>
      <c r="H102" s="1343"/>
      <c r="I102" s="787"/>
      <c r="J102" s="459">
        <v>76</v>
      </c>
      <c r="K102" s="1361"/>
      <c r="L102" s="777">
        <f t="shared" si="3"/>
        <v>76</v>
      </c>
      <c r="M102" s="647"/>
    </row>
    <row r="103" spans="1:13" ht="20.100000000000001" customHeight="1" x14ac:dyDescent="0.3">
      <c r="A103" s="755">
        <v>97</v>
      </c>
      <c r="B103" s="455"/>
      <c r="C103" s="456">
        <v>95</v>
      </c>
      <c r="D103" s="462" t="s">
        <v>1224</v>
      </c>
      <c r="E103" s="463" t="s">
        <v>25</v>
      </c>
      <c r="F103" s="459">
        <f t="shared" si="2"/>
        <v>50</v>
      </c>
      <c r="G103" s="460"/>
      <c r="H103" s="1343"/>
      <c r="I103" s="787"/>
      <c r="J103" s="459">
        <v>50</v>
      </c>
      <c r="K103" s="1361"/>
      <c r="L103" s="777">
        <f t="shared" si="3"/>
        <v>50</v>
      </c>
      <c r="M103" s="647"/>
    </row>
    <row r="104" spans="1:13" ht="20.100000000000001" customHeight="1" x14ac:dyDescent="0.3">
      <c r="A104" s="755">
        <v>98</v>
      </c>
      <c r="B104" s="455"/>
      <c r="C104" s="556">
        <v>96</v>
      </c>
      <c r="D104" s="462" t="s">
        <v>1355</v>
      </c>
      <c r="E104" s="463" t="s">
        <v>25</v>
      </c>
      <c r="F104" s="459">
        <f t="shared" si="2"/>
        <v>96</v>
      </c>
      <c r="G104" s="460"/>
      <c r="H104" s="1343"/>
      <c r="I104" s="787"/>
      <c r="J104" s="459">
        <v>96</v>
      </c>
      <c r="K104" s="1361"/>
      <c r="L104" s="777">
        <f t="shared" si="3"/>
        <v>96</v>
      </c>
      <c r="M104" s="647"/>
    </row>
    <row r="105" spans="1:13" ht="20.100000000000001" customHeight="1" x14ac:dyDescent="0.3">
      <c r="A105" s="755">
        <v>99</v>
      </c>
      <c r="B105" s="455"/>
      <c r="C105" s="456">
        <v>97</v>
      </c>
      <c r="D105" s="756" t="s">
        <v>842</v>
      </c>
      <c r="E105" s="463" t="s">
        <v>25</v>
      </c>
      <c r="F105" s="459">
        <f t="shared" si="2"/>
        <v>0</v>
      </c>
      <c r="G105" s="460"/>
      <c r="H105" s="1343"/>
      <c r="I105" s="787"/>
      <c r="J105" s="459">
        <v>200</v>
      </c>
      <c r="K105" s="1361">
        <v>-200</v>
      </c>
      <c r="L105" s="777">
        <f t="shared" si="3"/>
        <v>0</v>
      </c>
      <c r="M105" s="647"/>
    </row>
    <row r="106" spans="1:13" ht="20.100000000000001" customHeight="1" x14ac:dyDescent="0.3">
      <c r="A106" s="755">
        <v>100</v>
      </c>
      <c r="B106" s="455"/>
      <c r="C106" s="556">
        <v>98</v>
      </c>
      <c r="D106" s="756" t="s">
        <v>1290</v>
      </c>
      <c r="E106" s="463" t="s">
        <v>25</v>
      </c>
      <c r="F106" s="459">
        <f t="shared" si="2"/>
        <v>135</v>
      </c>
      <c r="G106" s="460"/>
      <c r="H106" s="1343"/>
      <c r="I106" s="787"/>
      <c r="J106" s="459">
        <v>135</v>
      </c>
      <c r="K106" s="1361"/>
      <c r="L106" s="777">
        <f t="shared" si="3"/>
        <v>135</v>
      </c>
      <c r="M106" s="647"/>
    </row>
    <row r="107" spans="1:13" ht="32.25" customHeight="1" x14ac:dyDescent="0.3">
      <c r="A107" s="755">
        <v>101</v>
      </c>
      <c r="B107" s="455"/>
      <c r="C107" s="456">
        <v>99</v>
      </c>
      <c r="D107" s="462" t="s">
        <v>869</v>
      </c>
      <c r="E107" s="463" t="s">
        <v>25</v>
      </c>
      <c r="F107" s="459">
        <f t="shared" si="2"/>
        <v>1040</v>
      </c>
      <c r="G107" s="460"/>
      <c r="H107" s="1343"/>
      <c r="I107" s="787"/>
      <c r="J107" s="459">
        <v>1040</v>
      </c>
      <c r="K107" s="1361"/>
      <c r="L107" s="777">
        <f t="shared" si="3"/>
        <v>1040</v>
      </c>
      <c r="M107" s="647"/>
    </row>
    <row r="108" spans="1:13" ht="20.100000000000001" customHeight="1" x14ac:dyDescent="0.3">
      <c r="A108" s="755">
        <v>102</v>
      </c>
      <c r="B108" s="455"/>
      <c r="C108" s="556">
        <v>100</v>
      </c>
      <c r="D108" s="462" t="s">
        <v>911</v>
      </c>
      <c r="E108" s="463" t="s">
        <v>25</v>
      </c>
      <c r="F108" s="459">
        <f t="shared" si="2"/>
        <v>17000</v>
      </c>
      <c r="G108" s="460"/>
      <c r="H108" s="1343"/>
      <c r="I108" s="787"/>
      <c r="J108" s="459">
        <v>17000</v>
      </c>
      <c r="K108" s="1361"/>
      <c r="L108" s="777">
        <f t="shared" si="3"/>
        <v>17000</v>
      </c>
      <c r="M108" s="647"/>
    </row>
    <row r="109" spans="1:13" ht="20.100000000000001" customHeight="1" x14ac:dyDescent="0.3">
      <c r="A109" s="755">
        <v>103</v>
      </c>
      <c r="B109" s="455"/>
      <c r="C109" s="456">
        <v>101</v>
      </c>
      <c r="D109" s="756" t="s">
        <v>486</v>
      </c>
      <c r="E109" s="463" t="s">
        <v>25</v>
      </c>
      <c r="F109" s="459">
        <f t="shared" si="2"/>
        <v>2117</v>
      </c>
      <c r="G109" s="460"/>
      <c r="H109" s="1343"/>
      <c r="I109" s="787"/>
      <c r="J109" s="459">
        <v>2117</v>
      </c>
      <c r="K109" s="1361"/>
      <c r="L109" s="777">
        <f t="shared" si="3"/>
        <v>2117</v>
      </c>
      <c r="M109" s="647"/>
    </row>
    <row r="110" spans="1:13" ht="33.75" customHeight="1" x14ac:dyDescent="0.3">
      <c r="A110" s="755">
        <v>104</v>
      </c>
      <c r="B110" s="455"/>
      <c r="C110" s="456">
        <v>102</v>
      </c>
      <c r="D110" s="462" t="s">
        <v>497</v>
      </c>
      <c r="E110" s="463" t="s">
        <v>25</v>
      </c>
      <c r="F110" s="459">
        <f t="shared" si="2"/>
        <v>358497</v>
      </c>
      <c r="G110" s="460">
        <v>7988</v>
      </c>
      <c r="H110" s="1343">
        <v>324071</v>
      </c>
      <c r="I110" s="787"/>
      <c r="J110" s="459">
        <v>27446</v>
      </c>
      <c r="K110" s="1361">
        <f>-500-508</f>
        <v>-1008</v>
      </c>
      <c r="L110" s="777">
        <f t="shared" si="3"/>
        <v>26438</v>
      </c>
      <c r="M110" s="647"/>
    </row>
    <row r="111" spans="1:13" ht="20.100000000000001" customHeight="1" x14ac:dyDescent="0.3">
      <c r="A111" s="755">
        <v>105</v>
      </c>
      <c r="B111" s="455"/>
      <c r="C111" s="456">
        <v>103</v>
      </c>
      <c r="D111" s="462" t="s">
        <v>871</v>
      </c>
      <c r="E111" s="463" t="s">
        <v>25</v>
      </c>
      <c r="F111" s="459">
        <f t="shared" si="2"/>
        <v>9787</v>
      </c>
      <c r="G111" s="460">
        <v>9518</v>
      </c>
      <c r="H111" s="1343"/>
      <c r="I111" s="787"/>
      <c r="J111" s="459">
        <v>269</v>
      </c>
      <c r="K111" s="1361"/>
      <c r="L111" s="777">
        <f t="shared" si="3"/>
        <v>269</v>
      </c>
      <c r="M111" s="647"/>
    </row>
    <row r="112" spans="1:13" ht="33" customHeight="1" x14ac:dyDescent="0.3">
      <c r="A112" s="755">
        <v>106</v>
      </c>
      <c r="B112" s="455"/>
      <c r="C112" s="456">
        <v>104</v>
      </c>
      <c r="D112" s="462" t="s">
        <v>872</v>
      </c>
      <c r="E112" s="463" t="s">
        <v>25</v>
      </c>
      <c r="F112" s="459">
        <f t="shared" si="2"/>
        <v>3175</v>
      </c>
      <c r="G112" s="460"/>
      <c r="H112" s="1343">
        <v>3048</v>
      </c>
      <c r="I112" s="787"/>
      <c r="J112" s="459">
        <v>127</v>
      </c>
      <c r="K112" s="1361"/>
      <c r="L112" s="777">
        <f t="shared" si="3"/>
        <v>127</v>
      </c>
      <c r="M112" s="647"/>
    </row>
    <row r="113" spans="1:13" ht="20.100000000000001" customHeight="1" x14ac:dyDescent="0.3">
      <c r="A113" s="755">
        <v>107</v>
      </c>
      <c r="B113" s="455"/>
      <c r="C113" s="456">
        <v>105</v>
      </c>
      <c r="D113" s="462" t="s">
        <v>873</v>
      </c>
      <c r="E113" s="463" t="s">
        <v>25</v>
      </c>
      <c r="F113" s="459">
        <f t="shared" si="2"/>
        <v>1778</v>
      </c>
      <c r="G113" s="460"/>
      <c r="H113" s="1343"/>
      <c r="I113" s="787"/>
      <c r="J113" s="459">
        <v>1778</v>
      </c>
      <c r="K113" s="1361"/>
      <c r="L113" s="777">
        <f t="shared" si="3"/>
        <v>1778</v>
      </c>
      <c r="M113" s="647"/>
    </row>
    <row r="114" spans="1:13" ht="32.25" customHeight="1" x14ac:dyDescent="0.3">
      <c r="A114" s="755">
        <v>108</v>
      </c>
      <c r="B114" s="455"/>
      <c r="C114" s="456">
        <v>106</v>
      </c>
      <c r="D114" s="462" t="s">
        <v>874</v>
      </c>
      <c r="E114" s="463" t="s">
        <v>25</v>
      </c>
      <c r="F114" s="459">
        <f t="shared" si="2"/>
        <v>5000</v>
      </c>
      <c r="G114" s="460"/>
      <c r="H114" s="1343"/>
      <c r="I114" s="787"/>
      <c r="J114" s="459">
        <v>5000</v>
      </c>
      <c r="K114" s="1361"/>
      <c r="L114" s="777">
        <f t="shared" si="3"/>
        <v>5000</v>
      </c>
      <c r="M114" s="647"/>
    </row>
    <row r="115" spans="1:13" ht="20.100000000000001" customHeight="1" x14ac:dyDescent="0.3">
      <c r="A115" s="755">
        <v>109</v>
      </c>
      <c r="B115" s="455"/>
      <c r="C115" s="456">
        <v>107</v>
      </c>
      <c r="D115" s="462" t="s">
        <v>875</v>
      </c>
      <c r="E115" s="463" t="s">
        <v>25</v>
      </c>
      <c r="F115" s="459">
        <f t="shared" si="2"/>
        <v>826</v>
      </c>
      <c r="G115" s="460"/>
      <c r="H115" s="1343">
        <v>81</v>
      </c>
      <c r="I115" s="787"/>
      <c r="J115" s="459">
        <v>745</v>
      </c>
      <c r="K115" s="1361"/>
      <c r="L115" s="777">
        <f t="shared" si="3"/>
        <v>745</v>
      </c>
      <c r="M115" s="647"/>
    </row>
    <row r="116" spans="1:13" ht="20.100000000000001" customHeight="1" x14ac:dyDescent="0.3">
      <c r="A116" s="755">
        <v>110</v>
      </c>
      <c r="B116" s="455"/>
      <c r="C116" s="556">
        <v>108</v>
      </c>
      <c r="D116" s="462" t="s">
        <v>876</v>
      </c>
      <c r="E116" s="463" t="s">
        <v>25</v>
      </c>
      <c r="F116" s="459">
        <f t="shared" si="2"/>
        <v>950</v>
      </c>
      <c r="G116" s="460"/>
      <c r="H116" s="1343"/>
      <c r="I116" s="787"/>
      <c r="J116" s="459">
        <v>950</v>
      </c>
      <c r="K116" s="1361"/>
      <c r="L116" s="777">
        <f t="shared" si="3"/>
        <v>950</v>
      </c>
      <c r="M116" s="647"/>
    </row>
    <row r="117" spans="1:13" ht="20.100000000000001" customHeight="1" x14ac:dyDescent="0.3">
      <c r="A117" s="755">
        <v>111</v>
      </c>
      <c r="B117" s="455"/>
      <c r="C117" s="456">
        <v>109</v>
      </c>
      <c r="D117" s="462" t="s">
        <v>626</v>
      </c>
      <c r="E117" s="463" t="s">
        <v>25</v>
      </c>
      <c r="F117" s="459">
        <f t="shared" si="2"/>
        <v>7212</v>
      </c>
      <c r="G117" s="460"/>
      <c r="H117" s="1343">
        <v>876</v>
      </c>
      <c r="I117" s="787"/>
      <c r="J117" s="459">
        <v>6336</v>
      </c>
      <c r="K117" s="1361"/>
      <c r="L117" s="777">
        <f t="shared" si="3"/>
        <v>6336</v>
      </c>
      <c r="M117" s="647"/>
    </row>
    <row r="118" spans="1:13" ht="20.100000000000001" customHeight="1" x14ac:dyDescent="0.3">
      <c r="A118" s="755">
        <v>112</v>
      </c>
      <c r="B118" s="455"/>
      <c r="C118" s="556">
        <v>110</v>
      </c>
      <c r="D118" s="462" t="s">
        <v>877</v>
      </c>
      <c r="E118" s="463" t="s">
        <v>25</v>
      </c>
      <c r="F118" s="459">
        <f t="shared" si="2"/>
        <v>1000</v>
      </c>
      <c r="G118" s="460"/>
      <c r="H118" s="1343"/>
      <c r="I118" s="787"/>
      <c r="J118" s="459">
        <v>1000</v>
      </c>
      <c r="K118" s="1361"/>
      <c r="L118" s="777">
        <f t="shared" si="3"/>
        <v>1000</v>
      </c>
      <c r="M118" s="647"/>
    </row>
    <row r="119" spans="1:13" ht="20.100000000000001" customHeight="1" x14ac:dyDescent="0.3">
      <c r="A119" s="755">
        <v>113</v>
      </c>
      <c r="B119" s="455"/>
      <c r="C119" s="456">
        <v>111</v>
      </c>
      <c r="D119" s="462" t="s">
        <v>878</v>
      </c>
      <c r="E119" s="463" t="s">
        <v>25</v>
      </c>
      <c r="F119" s="459">
        <f t="shared" si="2"/>
        <v>10864</v>
      </c>
      <c r="G119" s="460"/>
      <c r="H119" s="1343"/>
      <c r="I119" s="787"/>
      <c r="J119" s="459">
        <v>10864</v>
      </c>
      <c r="K119" s="1361"/>
      <c r="L119" s="777">
        <f t="shared" si="3"/>
        <v>10864</v>
      </c>
      <c r="M119" s="647"/>
    </row>
    <row r="120" spans="1:13" ht="18" customHeight="1" x14ac:dyDescent="0.3">
      <c r="A120" s="755">
        <v>114</v>
      </c>
      <c r="B120" s="455"/>
      <c r="C120" s="556">
        <v>112</v>
      </c>
      <c r="D120" s="462" t="s">
        <v>879</v>
      </c>
      <c r="E120" s="463" t="s">
        <v>25</v>
      </c>
      <c r="F120" s="459">
        <f t="shared" si="2"/>
        <v>4000</v>
      </c>
      <c r="G120" s="460"/>
      <c r="H120" s="1343">
        <v>210</v>
      </c>
      <c r="I120" s="787"/>
      <c r="J120" s="459">
        <v>3790</v>
      </c>
      <c r="K120" s="1361"/>
      <c r="L120" s="777">
        <f t="shared" si="3"/>
        <v>3790</v>
      </c>
      <c r="M120" s="647"/>
    </row>
    <row r="121" spans="1:13" ht="20.100000000000001" customHeight="1" x14ac:dyDescent="0.3">
      <c r="A121" s="755">
        <v>115</v>
      </c>
      <c r="B121" s="455"/>
      <c r="C121" s="456">
        <v>113</v>
      </c>
      <c r="D121" s="756" t="s">
        <v>880</v>
      </c>
      <c r="E121" s="463" t="s">
        <v>25</v>
      </c>
      <c r="F121" s="459">
        <f t="shared" si="2"/>
        <v>2936</v>
      </c>
      <c r="G121" s="460"/>
      <c r="H121" s="1343"/>
      <c r="I121" s="787"/>
      <c r="J121" s="459">
        <v>2936</v>
      </c>
      <c r="K121" s="1361"/>
      <c r="L121" s="777">
        <f t="shared" si="3"/>
        <v>2936</v>
      </c>
      <c r="M121" s="647"/>
    </row>
    <row r="122" spans="1:13" ht="20.100000000000001" customHeight="1" x14ac:dyDescent="0.3">
      <c r="A122" s="755">
        <v>116</v>
      </c>
      <c r="B122" s="455"/>
      <c r="C122" s="556">
        <v>114</v>
      </c>
      <c r="D122" s="462" t="s">
        <v>881</v>
      </c>
      <c r="E122" s="463" t="s">
        <v>25</v>
      </c>
      <c r="F122" s="459">
        <f t="shared" si="2"/>
        <v>500</v>
      </c>
      <c r="G122" s="460"/>
      <c r="H122" s="1343"/>
      <c r="I122" s="787"/>
      <c r="J122" s="459">
        <v>500</v>
      </c>
      <c r="K122" s="1361"/>
      <c r="L122" s="777">
        <f t="shared" si="3"/>
        <v>500</v>
      </c>
      <c r="M122" s="647"/>
    </row>
    <row r="123" spans="1:13" ht="20.100000000000001" customHeight="1" x14ac:dyDescent="0.3">
      <c r="A123" s="755">
        <v>117</v>
      </c>
      <c r="B123" s="455"/>
      <c r="C123" s="456">
        <v>115</v>
      </c>
      <c r="D123" s="462" t="s">
        <v>882</v>
      </c>
      <c r="E123" s="463" t="s">
        <v>25</v>
      </c>
      <c r="F123" s="459">
        <f t="shared" si="2"/>
        <v>1500</v>
      </c>
      <c r="G123" s="460"/>
      <c r="H123" s="1343"/>
      <c r="I123" s="787"/>
      <c r="J123" s="459">
        <v>1500</v>
      </c>
      <c r="K123" s="1361"/>
      <c r="L123" s="777">
        <f t="shared" si="3"/>
        <v>1500</v>
      </c>
      <c r="M123" s="647"/>
    </row>
    <row r="124" spans="1:13" ht="20.100000000000001" customHeight="1" x14ac:dyDescent="0.3">
      <c r="A124" s="755">
        <v>118</v>
      </c>
      <c r="B124" s="455"/>
      <c r="C124" s="556">
        <v>116</v>
      </c>
      <c r="D124" s="462" t="s">
        <v>883</v>
      </c>
      <c r="E124" s="463" t="s">
        <v>25</v>
      </c>
      <c r="F124" s="459">
        <f t="shared" si="2"/>
        <v>10000</v>
      </c>
      <c r="G124" s="460"/>
      <c r="H124" s="1343"/>
      <c r="I124" s="787"/>
      <c r="J124" s="459">
        <v>10000</v>
      </c>
      <c r="K124" s="1361"/>
      <c r="L124" s="777">
        <f t="shared" si="3"/>
        <v>10000</v>
      </c>
      <c r="M124" s="647"/>
    </row>
    <row r="125" spans="1:13" ht="20.100000000000001" customHeight="1" x14ac:dyDescent="0.3">
      <c r="A125" s="755">
        <v>119</v>
      </c>
      <c r="B125" s="455"/>
      <c r="C125" s="456">
        <v>117</v>
      </c>
      <c r="D125" s="462" t="s">
        <v>884</v>
      </c>
      <c r="E125" s="463" t="s">
        <v>25</v>
      </c>
      <c r="F125" s="459">
        <f t="shared" si="2"/>
        <v>700</v>
      </c>
      <c r="G125" s="460"/>
      <c r="H125" s="1343"/>
      <c r="I125" s="787"/>
      <c r="J125" s="459">
        <v>700</v>
      </c>
      <c r="K125" s="1361"/>
      <c r="L125" s="777">
        <f t="shared" si="3"/>
        <v>700</v>
      </c>
      <c r="M125" s="647"/>
    </row>
    <row r="126" spans="1:13" ht="20.100000000000001" customHeight="1" x14ac:dyDescent="0.3">
      <c r="A126" s="755">
        <v>120</v>
      </c>
      <c r="B126" s="455"/>
      <c r="C126" s="556">
        <v>118</v>
      </c>
      <c r="D126" s="462" t="s">
        <v>885</v>
      </c>
      <c r="E126" s="463" t="s">
        <v>25</v>
      </c>
      <c r="F126" s="459">
        <f t="shared" si="2"/>
        <v>2000</v>
      </c>
      <c r="G126" s="460"/>
      <c r="H126" s="1343"/>
      <c r="I126" s="787"/>
      <c r="J126" s="459">
        <v>2000</v>
      </c>
      <c r="K126" s="1361"/>
      <c r="L126" s="777">
        <f t="shared" si="3"/>
        <v>2000</v>
      </c>
      <c r="M126" s="647"/>
    </row>
    <row r="127" spans="1:13" ht="20.100000000000001" customHeight="1" x14ac:dyDescent="0.3">
      <c r="A127" s="755">
        <v>121</v>
      </c>
      <c r="B127" s="455"/>
      <c r="C127" s="456">
        <v>119</v>
      </c>
      <c r="D127" s="462" t="s">
        <v>886</v>
      </c>
      <c r="E127" s="463" t="s">
        <v>25</v>
      </c>
      <c r="F127" s="459">
        <f t="shared" si="2"/>
        <v>4000</v>
      </c>
      <c r="G127" s="460"/>
      <c r="H127" s="1343"/>
      <c r="I127" s="787"/>
      <c r="J127" s="459">
        <v>4000</v>
      </c>
      <c r="K127" s="1361"/>
      <c r="L127" s="777">
        <f t="shared" si="3"/>
        <v>4000</v>
      </c>
      <c r="M127" s="647"/>
    </row>
    <row r="128" spans="1:13" ht="20.100000000000001" customHeight="1" x14ac:dyDescent="0.3">
      <c r="A128" s="755">
        <v>122</v>
      </c>
      <c r="B128" s="455"/>
      <c r="C128" s="556">
        <v>120</v>
      </c>
      <c r="D128" s="462" t="s">
        <v>888</v>
      </c>
      <c r="E128" s="463" t="s">
        <v>25</v>
      </c>
      <c r="F128" s="459">
        <f t="shared" si="2"/>
        <v>1005</v>
      </c>
      <c r="G128" s="460"/>
      <c r="H128" s="1343"/>
      <c r="I128" s="787"/>
      <c r="J128" s="459">
        <v>1005</v>
      </c>
      <c r="K128" s="1361"/>
      <c r="L128" s="777">
        <f t="shared" si="3"/>
        <v>1005</v>
      </c>
      <c r="M128" s="647"/>
    </row>
    <row r="129" spans="1:13" ht="20.100000000000001" customHeight="1" x14ac:dyDescent="0.3">
      <c r="A129" s="755">
        <v>123</v>
      </c>
      <c r="B129" s="455"/>
      <c r="C129" s="456">
        <v>121</v>
      </c>
      <c r="D129" s="462" t="s">
        <v>889</v>
      </c>
      <c r="E129" s="463" t="s">
        <v>25</v>
      </c>
      <c r="F129" s="459">
        <f t="shared" si="2"/>
        <v>2000</v>
      </c>
      <c r="G129" s="460"/>
      <c r="H129" s="1343"/>
      <c r="I129" s="787"/>
      <c r="J129" s="459">
        <v>2000</v>
      </c>
      <c r="K129" s="1361"/>
      <c r="L129" s="777">
        <f t="shared" si="3"/>
        <v>2000</v>
      </c>
      <c r="M129" s="647"/>
    </row>
    <row r="130" spans="1:13" ht="20.100000000000001" customHeight="1" x14ac:dyDescent="0.3">
      <c r="A130" s="755">
        <v>124</v>
      </c>
      <c r="B130" s="455"/>
      <c r="C130" s="556">
        <v>122</v>
      </c>
      <c r="D130" s="462" t="s">
        <v>890</v>
      </c>
      <c r="E130" s="463" t="s">
        <v>25</v>
      </c>
      <c r="F130" s="459">
        <f t="shared" si="2"/>
        <v>2500</v>
      </c>
      <c r="G130" s="460"/>
      <c r="H130" s="1343"/>
      <c r="I130" s="787"/>
      <c r="J130" s="459">
        <v>2500</v>
      </c>
      <c r="K130" s="1361"/>
      <c r="L130" s="777">
        <f t="shared" si="3"/>
        <v>2500</v>
      </c>
      <c r="M130" s="647"/>
    </row>
    <row r="131" spans="1:13" ht="20.100000000000001" customHeight="1" x14ac:dyDescent="0.3">
      <c r="A131" s="755">
        <v>125</v>
      </c>
      <c r="B131" s="455"/>
      <c r="C131" s="456">
        <v>123</v>
      </c>
      <c r="D131" s="462" t="s">
        <v>891</v>
      </c>
      <c r="E131" s="463" t="s">
        <v>25</v>
      </c>
      <c r="F131" s="459">
        <f t="shared" si="2"/>
        <v>11343</v>
      </c>
      <c r="G131" s="460"/>
      <c r="H131" s="1343"/>
      <c r="I131" s="787"/>
      <c r="J131" s="459">
        <v>11343</v>
      </c>
      <c r="K131" s="1361"/>
      <c r="L131" s="777">
        <f t="shared" si="3"/>
        <v>11343</v>
      </c>
      <c r="M131" s="647"/>
    </row>
    <row r="132" spans="1:13" ht="20.100000000000001" customHeight="1" x14ac:dyDescent="0.3">
      <c r="A132" s="755">
        <v>126</v>
      </c>
      <c r="B132" s="455"/>
      <c r="C132" s="556">
        <v>124</v>
      </c>
      <c r="D132" s="756" t="s">
        <v>892</v>
      </c>
      <c r="E132" s="463" t="s">
        <v>25</v>
      </c>
      <c r="F132" s="459">
        <f t="shared" si="2"/>
        <v>0</v>
      </c>
      <c r="G132" s="460"/>
      <c r="H132" s="1343"/>
      <c r="I132" s="787"/>
      <c r="J132" s="459">
        <v>0</v>
      </c>
      <c r="K132" s="1361"/>
      <c r="L132" s="777">
        <f t="shared" si="3"/>
        <v>0</v>
      </c>
      <c r="M132" s="647"/>
    </row>
    <row r="133" spans="1:13" ht="20.100000000000001" customHeight="1" x14ac:dyDescent="0.3">
      <c r="A133" s="755">
        <v>127</v>
      </c>
      <c r="B133" s="455"/>
      <c r="C133" s="456">
        <v>125</v>
      </c>
      <c r="D133" s="756" t="s">
        <v>893</v>
      </c>
      <c r="E133" s="463" t="s">
        <v>25</v>
      </c>
      <c r="F133" s="459">
        <f t="shared" si="2"/>
        <v>441</v>
      </c>
      <c r="G133" s="460"/>
      <c r="H133" s="1343"/>
      <c r="I133" s="787"/>
      <c r="J133" s="459">
        <v>441</v>
      </c>
      <c r="K133" s="1361"/>
      <c r="L133" s="777">
        <f t="shared" si="3"/>
        <v>441</v>
      </c>
      <c r="M133" s="647"/>
    </row>
    <row r="134" spans="1:13" ht="18" customHeight="1" x14ac:dyDescent="0.3">
      <c r="A134" s="755">
        <v>128</v>
      </c>
      <c r="B134" s="455"/>
      <c r="C134" s="556">
        <v>126</v>
      </c>
      <c r="D134" s="462" t="s">
        <v>894</v>
      </c>
      <c r="E134" s="463" t="s">
        <v>25</v>
      </c>
      <c r="F134" s="459">
        <f t="shared" si="2"/>
        <v>5000</v>
      </c>
      <c r="G134" s="460"/>
      <c r="H134" s="1343"/>
      <c r="I134" s="787"/>
      <c r="J134" s="459">
        <v>5000</v>
      </c>
      <c r="K134" s="1361"/>
      <c r="L134" s="777">
        <f t="shared" si="3"/>
        <v>5000</v>
      </c>
      <c r="M134" s="647"/>
    </row>
    <row r="135" spans="1:13" ht="18" customHeight="1" x14ac:dyDescent="0.3">
      <c r="A135" s="755">
        <v>129</v>
      </c>
      <c r="B135" s="455"/>
      <c r="C135" s="456">
        <v>127</v>
      </c>
      <c r="D135" s="462" t="s">
        <v>1481</v>
      </c>
      <c r="E135" s="463" t="s">
        <v>25</v>
      </c>
      <c r="F135" s="459">
        <f t="shared" si="2"/>
        <v>6096</v>
      </c>
      <c r="G135" s="460"/>
      <c r="H135" s="1343">
        <v>191</v>
      </c>
      <c r="I135" s="787"/>
      <c r="J135" s="459">
        <v>3509</v>
      </c>
      <c r="K135" s="1361">
        <v>2396</v>
      </c>
      <c r="L135" s="777">
        <f t="shared" si="3"/>
        <v>5905</v>
      </c>
      <c r="M135" s="647"/>
    </row>
    <row r="136" spans="1:13" ht="18" customHeight="1" x14ac:dyDescent="0.3">
      <c r="A136" s="755">
        <v>130</v>
      </c>
      <c r="B136" s="455"/>
      <c r="C136" s="556">
        <v>128</v>
      </c>
      <c r="D136" s="462" t="s">
        <v>896</v>
      </c>
      <c r="E136" s="463" t="s">
        <v>25</v>
      </c>
      <c r="F136" s="459">
        <f t="shared" si="2"/>
        <v>7651</v>
      </c>
      <c r="G136" s="460"/>
      <c r="H136" s="1343"/>
      <c r="I136" s="787"/>
      <c r="J136" s="459">
        <v>7651</v>
      </c>
      <c r="K136" s="1361"/>
      <c r="L136" s="777">
        <f t="shared" si="3"/>
        <v>7651</v>
      </c>
      <c r="M136" s="647"/>
    </row>
    <row r="137" spans="1:13" ht="18" customHeight="1" x14ac:dyDescent="0.3">
      <c r="A137" s="755">
        <v>131</v>
      </c>
      <c r="B137" s="455"/>
      <c r="C137" s="456">
        <v>129</v>
      </c>
      <c r="D137" s="462" t="s">
        <v>897</v>
      </c>
      <c r="E137" s="463" t="s">
        <v>25</v>
      </c>
      <c r="F137" s="459">
        <f t="shared" si="2"/>
        <v>11400</v>
      </c>
      <c r="G137" s="460"/>
      <c r="H137" s="1343"/>
      <c r="I137" s="787"/>
      <c r="J137" s="459">
        <v>11400</v>
      </c>
      <c r="K137" s="1361"/>
      <c r="L137" s="777">
        <f t="shared" si="3"/>
        <v>11400</v>
      </c>
      <c r="M137" s="647"/>
    </row>
    <row r="138" spans="1:13" ht="18" customHeight="1" x14ac:dyDescent="0.3">
      <c r="A138" s="755">
        <v>132</v>
      </c>
      <c r="B138" s="455"/>
      <c r="C138" s="556">
        <v>130</v>
      </c>
      <c r="D138" s="462" t="s">
        <v>898</v>
      </c>
      <c r="E138" s="463" t="s">
        <v>25</v>
      </c>
      <c r="F138" s="459">
        <f t="shared" si="2"/>
        <v>585</v>
      </c>
      <c r="G138" s="460"/>
      <c r="H138" s="1343">
        <v>85</v>
      </c>
      <c r="I138" s="787"/>
      <c r="J138" s="459">
        <v>500</v>
      </c>
      <c r="K138" s="1361"/>
      <c r="L138" s="777">
        <f t="shared" si="3"/>
        <v>500</v>
      </c>
      <c r="M138" s="647"/>
    </row>
    <row r="139" spans="1:13" ht="31.5" customHeight="1" x14ac:dyDescent="0.3">
      <c r="A139" s="755">
        <v>133</v>
      </c>
      <c r="B139" s="455"/>
      <c r="C139" s="456">
        <v>131</v>
      </c>
      <c r="D139" s="462" t="s">
        <v>899</v>
      </c>
      <c r="E139" s="463" t="s">
        <v>25</v>
      </c>
      <c r="F139" s="459">
        <f t="shared" si="2"/>
        <v>6096</v>
      </c>
      <c r="G139" s="460"/>
      <c r="H139" s="1343"/>
      <c r="I139" s="787"/>
      <c r="J139" s="459">
        <v>6096</v>
      </c>
      <c r="K139" s="1361"/>
      <c r="L139" s="777">
        <f t="shared" si="3"/>
        <v>6096</v>
      </c>
      <c r="M139" s="647"/>
    </row>
    <row r="140" spans="1:13" ht="20.100000000000001" customHeight="1" x14ac:dyDescent="0.3">
      <c r="A140" s="755">
        <v>134</v>
      </c>
      <c r="B140" s="455"/>
      <c r="C140" s="556">
        <v>132</v>
      </c>
      <c r="D140" s="462" t="s">
        <v>901</v>
      </c>
      <c r="E140" s="463" t="s">
        <v>25</v>
      </c>
      <c r="F140" s="459">
        <f t="shared" si="2"/>
        <v>500</v>
      </c>
      <c r="G140" s="460"/>
      <c r="H140" s="1343"/>
      <c r="I140" s="787"/>
      <c r="J140" s="459">
        <v>500</v>
      </c>
      <c r="K140" s="1361"/>
      <c r="L140" s="777">
        <f t="shared" si="3"/>
        <v>500</v>
      </c>
      <c r="M140" s="647"/>
    </row>
    <row r="141" spans="1:13" ht="20.100000000000001" customHeight="1" x14ac:dyDescent="0.3">
      <c r="A141" s="755">
        <v>135</v>
      </c>
      <c r="B141" s="455"/>
      <c r="C141" s="456">
        <v>133</v>
      </c>
      <c r="D141" s="462" t="s">
        <v>902</v>
      </c>
      <c r="E141" s="463" t="s">
        <v>25</v>
      </c>
      <c r="F141" s="459">
        <f t="shared" si="2"/>
        <v>1050</v>
      </c>
      <c r="G141" s="460"/>
      <c r="H141" s="1343">
        <v>300</v>
      </c>
      <c r="I141" s="787"/>
      <c r="J141" s="459">
        <v>750</v>
      </c>
      <c r="K141" s="1361"/>
      <c r="L141" s="777">
        <f t="shared" si="3"/>
        <v>750</v>
      </c>
      <c r="M141" s="647"/>
    </row>
    <row r="142" spans="1:13" ht="33.75" customHeight="1" x14ac:dyDescent="0.3">
      <c r="A142" s="755">
        <v>136</v>
      </c>
      <c r="B142" s="455"/>
      <c r="C142" s="456">
        <v>134</v>
      </c>
      <c r="D142" s="462" t="s">
        <v>903</v>
      </c>
      <c r="E142" s="463" t="s">
        <v>25</v>
      </c>
      <c r="F142" s="459">
        <f t="shared" si="2"/>
        <v>341</v>
      </c>
      <c r="G142" s="460"/>
      <c r="H142" s="1343"/>
      <c r="I142" s="787"/>
      <c r="J142" s="459">
        <v>341</v>
      </c>
      <c r="K142" s="1361"/>
      <c r="L142" s="777">
        <f t="shared" si="3"/>
        <v>341</v>
      </c>
      <c r="M142" s="647"/>
    </row>
    <row r="143" spans="1:13" ht="20.100000000000001" customHeight="1" x14ac:dyDescent="0.3">
      <c r="A143" s="755">
        <v>137</v>
      </c>
      <c r="B143" s="455"/>
      <c r="C143" s="456">
        <v>135</v>
      </c>
      <c r="D143" s="462" t="s">
        <v>904</v>
      </c>
      <c r="E143" s="463" t="s">
        <v>25</v>
      </c>
      <c r="F143" s="459">
        <f>G143+H143+L143+M143</f>
        <v>400</v>
      </c>
      <c r="G143" s="460"/>
      <c r="H143" s="1343"/>
      <c r="I143" s="787"/>
      <c r="J143" s="459">
        <v>400</v>
      </c>
      <c r="K143" s="1361"/>
      <c r="L143" s="777">
        <f t="shared" si="3"/>
        <v>400</v>
      </c>
      <c r="M143" s="647"/>
    </row>
    <row r="144" spans="1:13" ht="20.100000000000001" customHeight="1" x14ac:dyDescent="0.3">
      <c r="A144" s="755">
        <v>138</v>
      </c>
      <c r="B144" s="455"/>
      <c r="C144" s="556">
        <v>136</v>
      </c>
      <c r="D144" s="462" t="s">
        <v>905</v>
      </c>
      <c r="E144" s="463" t="s">
        <v>25</v>
      </c>
      <c r="F144" s="459">
        <f>G144+H144+L144+M144</f>
        <v>762</v>
      </c>
      <c r="G144" s="460"/>
      <c r="H144" s="1343"/>
      <c r="I144" s="787"/>
      <c r="J144" s="459">
        <v>762</v>
      </c>
      <c r="K144" s="1361"/>
      <c r="L144" s="777">
        <f t="shared" si="3"/>
        <v>762</v>
      </c>
      <c r="M144" s="647"/>
    </row>
    <row r="145" spans="1:13" ht="31.5" customHeight="1" x14ac:dyDescent="0.3">
      <c r="A145" s="755">
        <v>139</v>
      </c>
      <c r="B145" s="455"/>
      <c r="C145" s="456">
        <v>137</v>
      </c>
      <c r="D145" s="462" t="s">
        <v>923</v>
      </c>
      <c r="E145" s="463" t="s">
        <v>25</v>
      </c>
      <c r="F145" s="459">
        <f t="shared" si="2"/>
        <v>2611</v>
      </c>
      <c r="G145" s="460"/>
      <c r="H145" s="1343"/>
      <c r="I145" s="787"/>
      <c r="J145" s="459">
        <v>2611</v>
      </c>
      <c r="K145" s="1361"/>
      <c r="L145" s="777">
        <f t="shared" si="3"/>
        <v>2611</v>
      </c>
      <c r="M145" s="647"/>
    </row>
    <row r="146" spans="1:13" ht="20.100000000000001" customHeight="1" x14ac:dyDescent="0.35">
      <c r="A146" s="755">
        <v>140</v>
      </c>
      <c r="B146" s="455"/>
      <c r="C146" s="556">
        <v>138</v>
      </c>
      <c r="D146" s="462" t="s">
        <v>950</v>
      </c>
      <c r="E146" s="463" t="s">
        <v>25</v>
      </c>
      <c r="F146" s="459">
        <f t="shared" si="2"/>
        <v>30075</v>
      </c>
      <c r="G146" s="460"/>
      <c r="H146" s="1343"/>
      <c r="I146" s="787"/>
      <c r="J146" s="459">
        <v>30075</v>
      </c>
      <c r="K146" s="1520"/>
      <c r="L146" s="777">
        <f t="shared" si="3"/>
        <v>30075</v>
      </c>
      <c r="M146" s="647"/>
    </row>
    <row r="147" spans="1:13" ht="20.100000000000001" customHeight="1" x14ac:dyDescent="0.35">
      <c r="A147" s="755">
        <v>141</v>
      </c>
      <c r="B147" s="455"/>
      <c r="C147" s="456">
        <v>139</v>
      </c>
      <c r="D147" s="462" t="s">
        <v>1028</v>
      </c>
      <c r="E147" s="463" t="s">
        <v>25</v>
      </c>
      <c r="F147" s="459">
        <f t="shared" si="2"/>
        <v>44</v>
      </c>
      <c r="G147" s="460"/>
      <c r="H147" s="1343"/>
      <c r="I147" s="787"/>
      <c r="J147" s="459">
        <v>44</v>
      </c>
      <c r="K147" s="1520"/>
      <c r="L147" s="777">
        <f t="shared" si="3"/>
        <v>44</v>
      </c>
      <c r="M147" s="647"/>
    </row>
    <row r="148" spans="1:13" ht="20.100000000000001" customHeight="1" x14ac:dyDescent="0.35">
      <c r="A148" s="755">
        <v>142</v>
      </c>
      <c r="B148" s="455"/>
      <c r="C148" s="556">
        <v>140</v>
      </c>
      <c r="D148" s="462" t="s">
        <v>1036</v>
      </c>
      <c r="E148" s="463" t="s">
        <v>24</v>
      </c>
      <c r="F148" s="459">
        <f t="shared" si="2"/>
        <v>500</v>
      </c>
      <c r="G148" s="460"/>
      <c r="H148" s="1343"/>
      <c r="I148" s="787"/>
      <c r="J148" s="459">
        <v>500</v>
      </c>
      <c r="K148" s="1520"/>
      <c r="L148" s="777">
        <f t="shared" si="3"/>
        <v>500</v>
      </c>
      <c r="M148" s="647"/>
    </row>
    <row r="149" spans="1:13" ht="34.5" customHeight="1" x14ac:dyDescent="0.3">
      <c r="A149" s="755">
        <v>143</v>
      </c>
      <c r="B149" s="455"/>
      <c r="C149" s="456">
        <v>141</v>
      </c>
      <c r="D149" s="462" t="s">
        <v>1138</v>
      </c>
      <c r="E149" s="463" t="s">
        <v>25</v>
      </c>
      <c r="F149" s="459">
        <f t="shared" si="2"/>
        <v>94488</v>
      </c>
      <c r="G149" s="460"/>
      <c r="H149" s="1343"/>
      <c r="I149" s="787"/>
      <c r="J149" s="459">
        <v>94488</v>
      </c>
      <c r="K149" s="1361"/>
      <c r="L149" s="777">
        <f t="shared" si="3"/>
        <v>94488</v>
      </c>
      <c r="M149" s="647"/>
    </row>
    <row r="150" spans="1:13" ht="20.100000000000001" customHeight="1" x14ac:dyDescent="0.3">
      <c r="A150" s="755">
        <v>144</v>
      </c>
      <c r="B150" s="455"/>
      <c r="C150" s="556">
        <v>142</v>
      </c>
      <c r="D150" s="462" t="s">
        <v>1139</v>
      </c>
      <c r="E150" s="463" t="s">
        <v>25</v>
      </c>
      <c r="F150" s="459">
        <f t="shared" si="2"/>
        <v>0</v>
      </c>
      <c r="G150" s="460"/>
      <c r="H150" s="1343"/>
      <c r="I150" s="787"/>
      <c r="J150" s="459">
        <v>0</v>
      </c>
      <c r="K150" s="1361"/>
      <c r="L150" s="777">
        <f t="shared" si="3"/>
        <v>0</v>
      </c>
      <c r="M150" s="647"/>
    </row>
    <row r="151" spans="1:13" ht="33.75" customHeight="1" x14ac:dyDescent="0.3">
      <c r="A151" s="755">
        <v>145</v>
      </c>
      <c r="B151" s="455"/>
      <c r="C151" s="456">
        <v>143</v>
      </c>
      <c r="D151" s="1664" t="s">
        <v>1251</v>
      </c>
      <c r="E151" s="463" t="s">
        <v>25</v>
      </c>
      <c r="F151" s="459">
        <f t="shared" si="2"/>
        <v>1500</v>
      </c>
      <c r="G151" s="460"/>
      <c r="H151" s="1343"/>
      <c r="I151" s="787"/>
      <c r="J151" s="459">
        <v>1500</v>
      </c>
      <c r="K151" s="1361"/>
      <c r="L151" s="777">
        <f t="shared" si="3"/>
        <v>1500</v>
      </c>
      <c r="M151" s="647"/>
    </row>
    <row r="152" spans="1:13" ht="20.100000000000001" customHeight="1" x14ac:dyDescent="0.3">
      <c r="A152" s="755">
        <v>146</v>
      </c>
      <c r="B152" s="455"/>
      <c r="C152" s="556">
        <v>144</v>
      </c>
      <c r="D152" s="756" t="s">
        <v>1226</v>
      </c>
      <c r="E152" s="463" t="s">
        <v>25</v>
      </c>
      <c r="F152" s="459">
        <f t="shared" si="2"/>
        <v>7500</v>
      </c>
      <c r="G152" s="460"/>
      <c r="H152" s="1343"/>
      <c r="I152" s="787"/>
      <c r="J152" s="459">
        <v>7500</v>
      </c>
      <c r="K152" s="1361"/>
      <c r="L152" s="777">
        <f t="shared" si="3"/>
        <v>7500</v>
      </c>
      <c r="M152" s="647"/>
    </row>
    <row r="153" spans="1:13" ht="20.100000000000001" customHeight="1" x14ac:dyDescent="0.3">
      <c r="A153" s="755">
        <v>147</v>
      </c>
      <c r="B153" s="455"/>
      <c r="C153" s="456">
        <v>145</v>
      </c>
      <c r="D153" s="756" t="s">
        <v>1259</v>
      </c>
      <c r="E153" s="463" t="s">
        <v>25</v>
      </c>
      <c r="F153" s="459">
        <f t="shared" si="2"/>
        <v>10000</v>
      </c>
      <c r="G153" s="460"/>
      <c r="H153" s="1343"/>
      <c r="I153" s="787"/>
      <c r="J153" s="459">
        <v>10000</v>
      </c>
      <c r="K153" s="1361"/>
      <c r="L153" s="777">
        <f t="shared" si="3"/>
        <v>10000</v>
      </c>
      <c r="M153" s="647"/>
    </row>
    <row r="154" spans="1:13" ht="32.25" customHeight="1" x14ac:dyDescent="0.3">
      <c r="A154" s="755">
        <v>148</v>
      </c>
      <c r="B154" s="455"/>
      <c r="C154" s="456">
        <v>146</v>
      </c>
      <c r="D154" s="1664" t="s">
        <v>1310</v>
      </c>
      <c r="E154" s="463" t="s">
        <v>25</v>
      </c>
      <c r="F154" s="459">
        <f t="shared" si="2"/>
        <v>431</v>
      </c>
      <c r="G154" s="460"/>
      <c r="H154" s="1343"/>
      <c r="I154" s="787"/>
      <c r="J154" s="459">
        <v>431</v>
      </c>
      <c r="K154" s="1361"/>
      <c r="L154" s="777">
        <f t="shared" si="3"/>
        <v>431</v>
      </c>
      <c r="M154" s="647"/>
    </row>
    <row r="155" spans="1:13" ht="20.100000000000001" customHeight="1" x14ac:dyDescent="0.3">
      <c r="A155" s="755">
        <v>149</v>
      </c>
      <c r="B155" s="455"/>
      <c r="C155" s="456">
        <v>147</v>
      </c>
      <c r="D155" s="1001" t="s">
        <v>1373</v>
      </c>
      <c r="E155" s="463" t="s">
        <v>25</v>
      </c>
      <c r="F155" s="459">
        <f t="shared" si="2"/>
        <v>3755</v>
      </c>
      <c r="G155" s="460"/>
      <c r="H155" s="1343"/>
      <c r="I155" s="787"/>
      <c r="J155" s="459">
        <v>3755</v>
      </c>
      <c r="K155" s="1361"/>
      <c r="L155" s="777">
        <f t="shared" si="3"/>
        <v>3755</v>
      </c>
      <c r="M155" s="647"/>
    </row>
    <row r="156" spans="1:13" ht="20.100000000000001" customHeight="1" x14ac:dyDescent="0.3">
      <c r="A156" s="755">
        <v>150</v>
      </c>
      <c r="B156" s="455"/>
      <c r="C156" s="556">
        <v>148</v>
      </c>
      <c r="D156" s="1710" t="s">
        <v>1404</v>
      </c>
      <c r="E156" s="463" t="s">
        <v>25</v>
      </c>
      <c r="F156" s="459">
        <f t="shared" si="2"/>
        <v>3900</v>
      </c>
      <c r="G156" s="460"/>
      <c r="H156" s="1343"/>
      <c r="I156" s="787"/>
      <c r="J156" s="459"/>
      <c r="K156" s="1361">
        <v>3900</v>
      </c>
      <c r="L156" s="777">
        <f t="shared" si="3"/>
        <v>3900</v>
      </c>
      <c r="M156" s="647"/>
    </row>
    <row r="157" spans="1:13" ht="20.100000000000001" customHeight="1" x14ac:dyDescent="0.3">
      <c r="A157" s="755">
        <v>151</v>
      </c>
      <c r="B157" s="455"/>
      <c r="C157" s="456">
        <v>149</v>
      </c>
      <c r="D157" s="1001" t="s">
        <v>1405</v>
      </c>
      <c r="E157" s="463" t="s">
        <v>25</v>
      </c>
      <c r="F157" s="459">
        <f t="shared" si="2"/>
        <v>2000</v>
      </c>
      <c r="G157" s="460"/>
      <c r="H157" s="1343"/>
      <c r="I157" s="787"/>
      <c r="J157" s="459"/>
      <c r="K157" s="1361">
        <v>2000</v>
      </c>
      <c r="L157" s="777">
        <f t="shared" si="3"/>
        <v>2000</v>
      </c>
      <c r="M157" s="647"/>
    </row>
    <row r="158" spans="1:13" ht="20.100000000000001" customHeight="1" x14ac:dyDescent="0.3">
      <c r="A158" s="755">
        <v>152</v>
      </c>
      <c r="B158" s="455"/>
      <c r="C158" s="556">
        <v>150</v>
      </c>
      <c r="D158" s="1710" t="s">
        <v>1456</v>
      </c>
      <c r="E158" s="463" t="s">
        <v>25</v>
      </c>
      <c r="F158" s="459">
        <f t="shared" si="2"/>
        <v>120</v>
      </c>
      <c r="G158" s="460"/>
      <c r="H158" s="1343"/>
      <c r="I158" s="787"/>
      <c r="J158" s="459"/>
      <c r="K158" s="1361">
        <v>120</v>
      </c>
      <c r="L158" s="777">
        <f t="shared" si="3"/>
        <v>120</v>
      </c>
      <c r="M158" s="647"/>
    </row>
    <row r="159" spans="1:13" ht="35.25" customHeight="1" x14ac:dyDescent="0.3">
      <c r="A159" s="755">
        <v>153</v>
      </c>
      <c r="B159" s="455"/>
      <c r="C159" s="456">
        <v>151</v>
      </c>
      <c r="D159" s="726" t="s">
        <v>1354</v>
      </c>
      <c r="E159" s="463" t="s">
        <v>25</v>
      </c>
      <c r="F159" s="459">
        <f t="shared" si="2"/>
        <v>38500</v>
      </c>
      <c r="G159" s="460"/>
      <c r="H159" s="1343"/>
      <c r="I159" s="787"/>
      <c r="J159" s="459">
        <v>38500</v>
      </c>
      <c r="K159" s="1361"/>
      <c r="L159" s="777">
        <f t="shared" si="3"/>
        <v>38500</v>
      </c>
      <c r="M159" s="647"/>
    </row>
    <row r="160" spans="1:13" ht="30" customHeight="1" x14ac:dyDescent="0.3">
      <c r="A160" s="755">
        <v>154</v>
      </c>
      <c r="B160" s="455"/>
      <c r="C160" s="468"/>
      <c r="D160" s="469" t="s">
        <v>359</v>
      </c>
      <c r="E160" s="470"/>
      <c r="F160" s="471">
        <f t="shared" ref="F160:M160" si="4">SUM(F8:F159)</f>
        <v>38721462</v>
      </c>
      <c r="G160" s="471">
        <f t="shared" si="4"/>
        <v>996626</v>
      </c>
      <c r="H160" s="1346">
        <f t="shared" si="4"/>
        <v>3357327</v>
      </c>
      <c r="I160" s="788">
        <f t="shared" si="4"/>
        <v>13014190</v>
      </c>
      <c r="J160" s="471">
        <f t="shared" si="4"/>
        <v>20471232</v>
      </c>
      <c r="K160" s="471">
        <f>SUM(K8:K159)</f>
        <v>7376</v>
      </c>
      <c r="L160" s="778">
        <f>SUM(L8:L159)</f>
        <v>20478608</v>
      </c>
      <c r="M160" s="648">
        <f t="shared" si="4"/>
        <v>13888901</v>
      </c>
    </row>
    <row r="161" spans="1:251" ht="22.5" customHeight="1" x14ac:dyDescent="0.35">
      <c r="A161" s="755">
        <v>155</v>
      </c>
      <c r="B161" s="455"/>
      <c r="C161" s="1846" t="s">
        <v>333</v>
      </c>
      <c r="D161" s="1847"/>
      <c r="E161" s="472"/>
      <c r="F161" s="473"/>
      <c r="G161" s="474"/>
      <c r="H161" s="1347"/>
      <c r="I161" s="789"/>
      <c r="J161" s="475"/>
      <c r="K161" s="1362"/>
      <c r="L161" s="779"/>
      <c r="M161" s="671"/>
    </row>
    <row r="162" spans="1:251" ht="22.5" customHeight="1" x14ac:dyDescent="0.35">
      <c r="A162" s="755">
        <v>156</v>
      </c>
      <c r="B162" s="455"/>
      <c r="C162" s="743">
        <v>152</v>
      </c>
      <c r="D162" s="462" t="s">
        <v>721</v>
      </c>
      <c r="E162" s="463" t="s">
        <v>25</v>
      </c>
      <c r="F162" s="741">
        <f>G162+H162+L162+M162</f>
        <v>0</v>
      </c>
      <c r="G162" s="474"/>
      <c r="H162" s="1347"/>
      <c r="I162" s="789">
        <v>150000</v>
      </c>
      <c r="J162" s="475">
        <v>0</v>
      </c>
      <c r="K162" s="1362"/>
      <c r="L162" s="779">
        <f>SUM(J162:K162)</f>
        <v>0</v>
      </c>
      <c r="M162" s="671"/>
    </row>
    <row r="163" spans="1:251" s="466" customFormat="1" ht="49.5" customHeight="1" x14ac:dyDescent="0.2">
      <c r="A163" s="755">
        <v>157</v>
      </c>
      <c r="B163" s="455"/>
      <c r="C163" s="1344">
        <v>153</v>
      </c>
      <c r="D163" s="805" t="s">
        <v>705</v>
      </c>
      <c r="E163" s="463" t="s">
        <v>25</v>
      </c>
      <c r="F163" s="742">
        <f t="shared" ref="F163:F174" si="5">G163+H163+L163+M163</f>
        <v>32728</v>
      </c>
      <c r="G163" s="806"/>
      <c r="H163" s="1348"/>
      <c r="I163" s="790">
        <v>32728</v>
      </c>
      <c r="J163" s="492">
        <v>32728</v>
      </c>
      <c r="K163" s="1363"/>
      <c r="L163" s="780">
        <f t="shared" ref="L163:L174" si="6">SUM(J163:K163)</f>
        <v>32728</v>
      </c>
      <c r="M163" s="671"/>
    </row>
    <row r="164" spans="1:251" s="466" customFormat="1" ht="20.100000000000001" customHeight="1" x14ac:dyDescent="0.3">
      <c r="A164" s="755">
        <v>158</v>
      </c>
      <c r="B164" s="455"/>
      <c r="C164" s="743">
        <v>154</v>
      </c>
      <c r="D164" s="805" t="s">
        <v>906</v>
      </c>
      <c r="E164" s="463" t="s">
        <v>25</v>
      </c>
      <c r="F164" s="742">
        <f t="shared" si="5"/>
        <v>200</v>
      </c>
      <c r="G164" s="806"/>
      <c r="H164" s="1348"/>
      <c r="I164" s="790"/>
      <c r="J164" s="492">
        <v>200</v>
      </c>
      <c r="K164" s="1363"/>
      <c r="L164" s="779">
        <f t="shared" si="6"/>
        <v>200</v>
      </c>
      <c r="M164" s="671"/>
    </row>
    <row r="165" spans="1:251" s="466" customFormat="1" ht="20.100000000000001" customHeight="1" x14ac:dyDescent="0.3">
      <c r="A165" s="755">
        <v>159</v>
      </c>
      <c r="B165" s="455"/>
      <c r="C165" s="743">
        <v>155</v>
      </c>
      <c r="D165" s="1418" t="s">
        <v>907</v>
      </c>
      <c r="E165" s="463" t="s">
        <v>25</v>
      </c>
      <c r="F165" s="742">
        <f t="shared" si="5"/>
        <v>1502</v>
      </c>
      <c r="G165" s="806"/>
      <c r="H165" s="1348"/>
      <c r="I165" s="790"/>
      <c r="J165" s="492">
        <v>1502</v>
      </c>
      <c r="K165" s="1363"/>
      <c r="L165" s="779">
        <f t="shared" si="6"/>
        <v>1502</v>
      </c>
      <c r="M165" s="671"/>
    </row>
    <row r="166" spans="1:251" s="466" customFormat="1" ht="20.100000000000001" customHeight="1" x14ac:dyDescent="0.3">
      <c r="A166" s="755">
        <v>160</v>
      </c>
      <c r="B166" s="455"/>
      <c r="C166" s="743">
        <v>156</v>
      </c>
      <c r="D166" s="805" t="s">
        <v>704</v>
      </c>
      <c r="E166" s="463" t="s">
        <v>25</v>
      </c>
      <c r="F166" s="742">
        <f t="shared" si="5"/>
        <v>4500</v>
      </c>
      <c r="G166" s="806"/>
      <c r="H166" s="1348"/>
      <c r="I166" s="790"/>
      <c r="J166" s="492">
        <v>4500</v>
      </c>
      <c r="K166" s="1363"/>
      <c r="L166" s="779">
        <f t="shared" si="6"/>
        <v>4500</v>
      </c>
      <c r="M166" s="671"/>
    </row>
    <row r="167" spans="1:251" s="466" customFormat="1" ht="45" customHeight="1" x14ac:dyDescent="0.3">
      <c r="A167" s="755">
        <v>161</v>
      </c>
      <c r="B167" s="455"/>
      <c r="C167" s="1344">
        <v>157</v>
      </c>
      <c r="D167" s="805" t="s">
        <v>837</v>
      </c>
      <c r="E167" s="463" t="s">
        <v>25</v>
      </c>
      <c r="F167" s="742">
        <f t="shared" si="5"/>
        <v>100</v>
      </c>
      <c r="G167" s="806"/>
      <c r="H167" s="1348"/>
      <c r="I167" s="790"/>
      <c r="J167" s="492">
        <v>100</v>
      </c>
      <c r="K167" s="1363"/>
      <c r="L167" s="779">
        <f t="shared" si="6"/>
        <v>100</v>
      </c>
      <c r="M167" s="671"/>
    </row>
    <row r="168" spans="1:251" s="466" customFormat="1" ht="20.100000000000001" customHeight="1" x14ac:dyDescent="0.3">
      <c r="A168" s="755">
        <v>162</v>
      </c>
      <c r="B168" s="455"/>
      <c r="C168" s="743">
        <v>158</v>
      </c>
      <c r="D168" s="1418" t="s">
        <v>838</v>
      </c>
      <c r="E168" s="463" t="s">
        <v>25</v>
      </c>
      <c r="F168" s="742">
        <f t="shared" si="5"/>
        <v>500</v>
      </c>
      <c r="G168" s="806"/>
      <c r="H168" s="1348"/>
      <c r="I168" s="790"/>
      <c r="J168" s="492">
        <v>500</v>
      </c>
      <c r="K168" s="1363"/>
      <c r="L168" s="779">
        <f t="shared" si="6"/>
        <v>500</v>
      </c>
      <c r="M168" s="671"/>
    </row>
    <row r="169" spans="1:251" s="466" customFormat="1" ht="20.100000000000001" customHeight="1" x14ac:dyDescent="0.3">
      <c r="A169" s="755">
        <v>163</v>
      </c>
      <c r="B169" s="455"/>
      <c r="C169" s="743">
        <v>159</v>
      </c>
      <c r="D169" s="1418" t="s">
        <v>1221</v>
      </c>
      <c r="E169" s="463" t="s">
        <v>25</v>
      </c>
      <c r="F169" s="742">
        <f t="shared" si="5"/>
        <v>1534</v>
      </c>
      <c r="G169" s="806"/>
      <c r="H169" s="1348"/>
      <c r="I169" s="790"/>
      <c r="J169" s="492">
        <v>1534</v>
      </c>
      <c r="K169" s="1363"/>
      <c r="L169" s="779">
        <f t="shared" si="6"/>
        <v>1534</v>
      </c>
      <c r="M169" s="671"/>
    </row>
    <row r="170" spans="1:251" s="466" customFormat="1" ht="20.100000000000001" customHeight="1" x14ac:dyDescent="0.3">
      <c r="A170" s="755">
        <v>164</v>
      </c>
      <c r="B170" s="455"/>
      <c r="C170" s="743">
        <v>160</v>
      </c>
      <c r="D170" s="1418" t="s">
        <v>1222</v>
      </c>
      <c r="E170" s="463" t="s">
        <v>25</v>
      </c>
      <c r="F170" s="742">
        <f t="shared" si="5"/>
        <v>1025</v>
      </c>
      <c r="G170" s="806"/>
      <c r="H170" s="1348"/>
      <c r="I170" s="790"/>
      <c r="J170" s="492">
        <v>1025</v>
      </c>
      <c r="K170" s="1363"/>
      <c r="L170" s="779">
        <f t="shared" si="6"/>
        <v>1025</v>
      </c>
      <c r="M170" s="671"/>
    </row>
    <row r="171" spans="1:251" s="466" customFormat="1" ht="20.100000000000001" customHeight="1" x14ac:dyDescent="0.3">
      <c r="A171" s="755">
        <v>165</v>
      </c>
      <c r="B171" s="455"/>
      <c r="C171" s="743">
        <v>161</v>
      </c>
      <c r="D171" s="756" t="s">
        <v>1285</v>
      </c>
      <c r="E171" s="463" t="s">
        <v>25</v>
      </c>
      <c r="F171" s="742">
        <f t="shared" si="5"/>
        <v>40493</v>
      </c>
      <c r="G171" s="806"/>
      <c r="H171" s="1348"/>
      <c r="I171" s="790"/>
      <c r="J171" s="492">
        <v>40493</v>
      </c>
      <c r="K171" s="1363"/>
      <c r="L171" s="779">
        <f t="shared" si="6"/>
        <v>40493</v>
      </c>
      <c r="M171" s="671"/>
    </row>
    <row r="172" spans="1:251" s="466" customFormat="1" ht="20.100000000000001" customHeight="1" x14ac:dyDescent="0.35">
      <c r="A172" s="755">
        <v>166</v>
      </c>
      <c r="B172" s="455"/>
      <c r="C172" s="743">
        <v>162</v>
      </c>
      <c r="D172" s="462" t="s">
        <v>1291</v>
      </c>
      <c r="E172" s="463" t="s">
        <v>25</v>
      </c>
      <c r="F172" s="741">
        <f t="shared" si="5"/>
        <v>500</v>
      </c>
      <c r="G172" s="474"/>
      <c r="H172" s="1347"/>
      <c r="I172" s="789"/>
      <c r="J172" s="475">
        <v>500</v>
      </c>
      <c r="K172" s="1362"/>
      <c r="L172" s="779">
        <f t="shared" si="6"/>
        <v>500</v>
      </c>
      <c r="M172" s="671"/>
    </row>
    <row r="173" spans="1:251" s="466" customFormat="1" ht="20.100000000000001" customHeight="1" x14ac:dyDescent="0.35">
      <c r="A173" s="755">
        <v>167</v>
      </c>
      <c r="B173" s="455"/>
      <c r="C173" s="743">
        <v>163</v>
      </c>
      <c r="D173" s="462" t="s">
        <v>594</v>
      </c>
      <c r="E173" s="463" t="s">
        <v>25</v>
      </c>
      <c r="F173" s="741">
        <f t="shared" si="5"/>
        <v>3840</v>
      </c>
      <c r="G173" s="474"/>
      <c r="H173" s="1347"/>
      <c r="I173" s="789"/>
      <c r="J173" s="475">
        <v>3840</v>
      </c>
      <c r="K173" s="1362"/>
      <c r="L173" s="779">
        <f t="shared" si="6"/>
        <v>3840</v>
      </c>
      <c r="M173" s="671"/>
    </row>
    <row r="174" spans="1:251" s="24" customFormat="1" ht="33" customHeight="1" x14ac:dyDescent="0.2">
      <c r="A174" s="755">
        <v>168</v>
      </c>
      <c r="B174" s="455"/>
      <c r="C174" s="1344">
        <v>164</v>
      </c>
      <c r="D174" s="807" t="s">
        <v>527</v>
      </c>
      <c r="E174" s="463" t="s">
        <v>25</v>
      </c>
      <c r="F174" s="742">
        <f t="shared" si="5"/>
        <v>11255</v>
      </c>
      <c r="G174" s="460"/>
      <c r="H174" s="1343"/>
      <c r="I174" s="786">
        <v>14294</v>
      </c>
      <c r="J174" s="1446">
        <v>14294</v>
      </c>
      <c r="K174" s="1360">
        <v>-3039</v>
      </c>
      <c r="L174" s="780">
        <f t="shared" si="6"/>
        <v>11255</v>
      </c>
      <c r="M174" s="647"/>
      <c r="N174" s="476"/>
      <c r="O174" s="476"/>
      <c r="P174" s="476"/>
      <c r="Q174" s="476"/>
      <c r="R174" s="476"/>
      <c r="S174" s="476"/>
      <c r="T174" s="476"/>
      <c r="U174" s="476"/>
      <c r="V174" s="476"/>
      <c r="W174" s="476"/>
      <c r="X174" s="476"/>
      <c r="Y174" s="476"/>
      <c r="Z174" s="476"/>
      <c r="AA174" s="476"/>
      <c r="AB174" s="476"/>
      <c r="AC174" s="476"/>
      <c r="AD174" s="476"/>
      <c r="AE174" s="476"/>
      <c r="AF174" s="476"/>
      <c r="AG174" s="476"/>
      <c r="AH174" s="476"/>
      <c r="AI174" s="476"/>
      <c r="AJ174" s="476"/>
      <c r="AK174" s="476"/>
      <c r="AL174" s="476"/>
      <c r="AM174" s="476"/>
      <c r="AN174" s="476"/>
      <c r="AO174" s="476"/>
      <c r="AP174" s="476"/>
      <c r="AQ174" s="476"/>
      <c r="AR174" s="476"/>
      <c r="AS174" s="476"/>
      <c r="AT174" s="476"/>
      <c r="AU174" s="476"/>
      <c r="AV174" s="476"/>
      <c r="AW174" s="476"/>
      <c r="AX174" s="476"/>
      <c r="AY174" s="476"/>
      <c r="AZ174" s="476"/>
      <c r="BA174" s="476"/>
      <c r="BB174" s="476"/>
      <c r="BC174" s="476"/>
      <c r="BD174" s="476"/>
      <c r="BE174" s="476"/>
      <c r="BF174" s="476"/>
      <c r="BG174" s="476"/>
      <c r="BH174" s="476"/>
      <c r="BI174" s="476"/>
      <c r="BJ174" s="476"/>
      <c r="BK174" s="476"/>
      <c r="BL174" s="476"/>
      <c r="BM174" s="476"/>
      <c r="BN174" s="476"/>
      <c r="BO174" s="476"/>
      <c r="BP174" s="476"/>
      <c r="BQ174" s="476"/>
      <c r="BR174" s="476"/>
      <c r="BS174" s="476"/>
      <c r="BT174" s="476"/>
      <c r="BU174" s="476"/>
      <c r="BV174" s="476"/>
      <c r="BW174" s="476"/>
      <c r="BX174" s="476"/>
      <c r="BY174" s="476"/>
      <c r="BZ174" s="476"/>
      <c r="CA174" s="476"/>
      <c r="CB174" s="476"/>
      <c r="CC174" s="476"/>
      <c r="CD174" s="476"/>
      <c r="CE174" s="476"/>
      <c r="CF174" s="476"/>
      <c r="CG174" s="476"/>
      <c r="CH174" s="476"/>
      <c r="CI174" s="476"/>
      <c r="CJ174" s="476"/>
      <c r="CK174" s="476"/>
      <c r="CL174" s="476"/>
      <c r="CM174" s="476"/>
      <c r="CN174" s="476"/>
      <c r="CO174" s="476"/>
      <c r="CP174" s="476"/>
      <c r="CQ174" s="476"/>
      <c r="CR174" s="476"/>
      <c r="CS174" s="476"/>
      <c r="CT174" s="476"/>
      <c r="CU174" s="476"/>
      <c r="CV174" s="476"/>
      <c r="CW174" s="476"/>
      <c r="CX174" s="476"/>
      <c r="CY174" s="476"/>
      <c r="CZ174" s="476"/>
      <c r="DA174" s="476"/>
      <c r="DB174" s="476"/>
      <c r="DC174" s="476"/>
      <c r="DD174" s="476"/>
      <c r="DE174" s="476"/>
      <c r="DF174" s="476"/>
      <c r="DG174" s="476"/>
      <c r="DH174" s="476"/>
      <c r="DI174" s="476"/>
      <c r="DJ174" s="476"/>
      <c r="DK174" s="476"/>
      <c r="DL174" s="476"/>
      <c r="DM174" s="476"/>
      <c r="DN174" s="476"/>
      <c r="DO174" s="476"/>
      <c r="DP174" s="476"/>
      <c r="DQ174" s="476"/>
      <c r="DR174" s="476"/>
      <c r="DS174" s="476"/>
      <c r="DT174" s="476"/>
      <c r="DU174" s="476"/>
      <c r="DV174" s="476"/>
      <c r="DW174" s="476"/>
      <c r="DX174" s="476"/>
      <c r="DY174" s="476"/>
      <c r="DZ174" s="476"/>
      <c r="EA174" s="476"/>
      <c r="EB174" s="476"/>
      <c r="EC174" s="476"/>
      <c r="ED174" s="476"/>
      <c r="EE174" s="476"/>
      <c r="EF174" s="476"/>
      <c r="EG174" s="476"/>
      <c r="EH174" s="476"/>
      <c r="EI174" s="476"/>
      <c r="EJ174" s="476"/>
      <c r="EK174" s="476"/>
      <c r="EL174" s="476"/>
      <c r="EM174" s="476"/>
      <c r="EN174" s="476"/>
      <c r="EO174" s="476"/>
      <c r="EP174" s="476"/>
      <c r="EQ174" s="476"/>
      <c r="ER174" s="476"/>
      <c r="ES174" s="476"/>
      <c r="ET174" s="476"/>
      <c r="EU174" s="476"/>
      <c r="EV174" s="476"/>
      <c r="EW174" s="476"/>
      <c r="EX174" s="476"/>
      <c r="EY174" s="476"/>
      <c r="EZ174" s="476"/>
      <c r="FA174" s="476"/>
      <c r="FB174" s="476"/>
      <c r="FC174" s="476"/>
      <c r="FD174" s="476"/>
      <c r="FE174" s="476"/>
      <c r="FF174" s="476"/>
      <c r="FG174" s="476"/>
      <c r="FH174" s="476"/>
      <c r="FI174" s="476"/>
      <c r="FJ174" s="476"/>
      <c r="FK174" s="476"/>
      <c r="FL174" s="476"/>
      <c r="FM174" s="476"/>
      <c r="FN174" s="476"/>
      <c r="FO174" s="476"/>
      <c r="FP174" s="476"/>
      <c r="FQ174" s="476"/>
      <c r="FR174" s="476"/>
      <c r="FS174" s="476"/>
      <c r="FT174" s="476"/>
      <c r="FU174" s="476"/>
      <c r="FV174" s="476"/>
      <c r="FW174" s="476"/>
      <c r="FX174" s="476"/>
      <c r="FY174" s="476"/>
      <c r="FZ174" s="476"/>
      <c r="GA174" s="476"/>
      <c r="GB174" s="476"/>
      <c r="GC174" s="476"/>
      <c r="GD174" s="476"/>
      <c r="GE174" s="476"/>
      <c r="GF174" s="476"/>
      <c r="GG174" s="476"/>
      <c r="GH174" s="476"/>
      <c r="GI174" s="476"/>
      <c r="GJ174" s="476"/>
      <c r="GK174" s="476"/>
      <c r="GL174" s="476"/>
      <c r="GM174" s="476"/>
      <c r="GN174" s="476"/>
      <c r="GO174" s="476"/>
      <c r="GP174" s="476"/>
      <c r="GQ174" s="476"/>
      <c r="GR174" s="476"/>
      <c r="GS174" s="476"/>
      <c r="GT174" s="476"/>
      <c r="GU174" s="476"/>
      <c r="GV174" s="476"/>
      <c r="GW174" s="476"/>
      <c r="GX174" s="476"/>
      <c r="GY174" s="476"/>
      <c r="GZ174" s="476"/>
      <c r="HA174" s="476"/>
      <c r="HB174" s="476"/>
      <c r="HC174" s="476"/>
      <c r="HD174" s="476"/>
      <c r="HE174" s="476"/>
      <c r="HF174" s="476"/>
      <c r="HG174" s="476"/>
      <c r="HH174" s="476"/>
      <c r="HI174" s="476"/>
      <c r="HJ174" s="476"/>
      <c r="HK174" s="476"/>
      <c r="HL174" s="476"/>
      <c r="HM174" s="476"/>
      <c r="HN174" s="476"/>
      <c r="HO174" s="476"/>
      <c r="HP174" s="476"/>
      <c r="HQ174" s="476"/>
      <c r="HR174" s="476"/>
      <c r="HS174" s="476"/>
      <c r="HT174" s="476"/>
      <c r="HU174" s="476"/>
      <c r="HV174" s="476"/>
      <c r="HW174" s="476"/>
      <c r="HX174" s="476"/>
      <c r="HY174" s="476"/>
      <c r="HZ174" s="476"/>
      <c r="IA174" s="476"/>
      <c r="IB174" s="476"/>
      <c r="IC174" s="476"/>
      <c r="ID174" s="476"/>
      <c r="IE174" s="476"/>
      <c r="IF174" s="476"/>
      <c r="IG174" s="476"/>
      <c r="IH174" s="476"/>
      <c r="II174" s="476"/>
      <c r="IJ174" s="476"/>
      <c r="IK174" s="476"/>
      <c r="IL174" s="476"/>
      <c r="IM174" s="476"/>
      <c r="IN174" s="476"/>
      <c r="IO174" s="476"/>
      <c r="IP174" s="476"/>
      <c r="IQ174" s="476"/>
    </row>
    <row r="175" spans="1:251" s="466" customFormat="1" ht="30" customHeight="1" thickBot="1" x14ac:dyDescent="0.25">
      <c r="A175" s="755">
        <v>169</v>
      </c>
      <c r="B175" s="477"/>
      <c r="C175" s="478"/>
      <c r="D175" s="479" t="s">
        <v>360</v>
      </c>
      <c r="E175" s="480"/>
      <c r="F175" s="738">
        <f t="shared" ref="F175:J175" si="7">SUM(F162:F174)</f>
        <v>98177</v>
      </c>
      <c r="G175" s="739">
        <f t="shared" si="7"/>
        <v>0</v>
      </c>
      <c r="H175" s="1349">
        <f t="shared" si="7"/>
        <v>0</v>
      </c>
      <c r="I175" s="802">
        <f t="shared" si="7"/>
        <v>197022</v>
      </c>
      <c r="J175" s="739">
        <f t="shared" si="7"/>
        <v>101216</v>
      </c>
      <c r="K175" s="739">
        <f>SUM(K162:K174)</f>
        <v>-3039</v>
      </c>
      <c r="L175" s="1358">
        <f>SUM(J175:K175)</f>
        <v>98177</v>
      </c>
      <c r="M175" s="1164">
        <f>SUM(M162:M174)</f>
        <v>0</v>
      </c>
    </row>
    <row r="176" spans="1:251" s="247" customFormat="1" ht="36" customHeight="1" thickBot="1" x14ac:dyDescent="0.35">
      <c r="A176" s="755">
        <v>170</v>
      </c>
      <c r="B176" s="481"/>
      <c r="C176" s="1848" t="s">
        <v>452</v>
      </c>
      <c r="D176" s="1849"/>
      <c r="E176" s="1850"/>
      <c r="F176" s="482">
        <f>F175+F160</f>
        <v>38819639</v>
      </c>
      <c r="G176" s="482">
        <f>G175+G160</f>
        <v>996626</v>
      </c>
      <c r="H176" s="1350">
        <f>H175+H160</f>
        <v>3357327</v>
      </c>
      <c r="I176" s="791">
        <f>I175+I160</f>
        <v>13211212</v>
      </c>
      <c r="J176" s="1364">
        <f t="shared" ref="J176:L176" si="8">J175+J160</f>
        <v>20572448</v>
      </c>
      <c r="K176" s="1364">
        <f t="shared" si="8"/>
        <v>4337</v>
      </c>
      <c r="L176" s="804">
        <f t="shared" si="8"/>
        <v>20576785</v>
      </c>
      <c r="M176" s="649">
        <f>M175+M160</f>
        <v>13888901</v>
      </c>
      <c r="N176" s="483"/>
      <c r="O176" s="483"/>
      <c r="P176" s="483"/>
      <c r="Q176" s="483"/>
      <c r="R176" s="483"/>
      <c r="S176" s="483"/>
      <c r="T176" s="483"/>
      <c r="U176" s="483"/>
      <c r="V176" s="483"/>
      <c r="W176" s="483"/>
      <c r="X176" s="483"/>
      <c r="Y176" s="483"/>
      <c r="Z176" s="483"/>
      <c r="AA176" s="483"/>
      <c r="AB176" s="483"/>
      <c r="AC176" s="483"/>
      <c r="AD176" s="483"/>
      <c r="AE176" s="483"/>
      <c r="AF176" s="483"/>
      <c r="AG176" s="483"/>
      <c r="AH176" s="483"/>
      <c r="AI176" s="483"/>
      <c r="AJ176" s="483"/>
      <c r="AK176" s="483"/>
      <c r="AL176" s="483"/>
      <c r="AM176" s="483"/>
      <c r="AN176" s="483"/>
      <c r="AO176" s="483"/>
      <c r="AP176" s="483"/>
      <c r="AQ176" s="483"/>
      <c r="AR176" s="483"/>
      <c r="AS176" s="483"/>
      <c r="AT176" s="483"/>
      <c r="AU176" s="483"/>
      <c r="AV176" s="483"/>
      <c r="AW176" s="483"/>
      <c r="AX176" s="483"/>
      <c r="AY176" s="483"/>
      <c r="AZ176" s="483"/>
      <c r="BA176" s="483"/>
      <c r="BB176" s="483"/>
      <c r="BC176" s="483"/>
      <c r="BD176" s="483"/>
      <c r="BE176" s="483"/>
      <c r="BF176" s="483"/>
      <c r="BG176" s="483"/>
      <c r="BH176" s="483"/>
      <c r="BI176" s="483"/>
      <c r="BJ176" s="483"/>
      <c r="BK176" s="483"/>
      <c r="BL176" s="483"/>
      <c r="BM176" s="483"/>
      <c r="BN176" s="483"/>
      <c r="BO176" s="483"/>
      <c r="BP176" s="483"/>
      <c r="BQ176" s="483"/>
      <c r="BR176" s="483"/>
      <c r="BS176" s="483"/>
      <c r="BT176" s="483"/>
      <c r="BU176" s="483"/>
      <c r="BV176" s="483"/>
      <c r="BW176" s="483"/>
      <c r="BX176" s="483"/>
      <c r="BY176" s="483"/>
      <c r="BZ176" s="483"/>
      <c r="CA176" s="483"/>
      <c r="CB176" s="483"/>
      <c r="CC176" s="483"/>
      <c r="CD176" s="483"/>
      <c r="CE176" s="483"/>
      <c r="CF176" s="483"/>
      <c r="CG176" s="483"/>
      <c r="CH176" s="483"/>
      <c r="CI176" s="483"/>
      <c r="CJ176" s="483"/>
      <c r="CK176" s="483"/>
      <c r="CL176" s="483"/>
      <c r="CM176" s="483"/>
      <c r="CN176" s="483"/>
      <c r="CO176" s="483"/>
      <c r="CP176" s="483"/>
      <c r="CQ176" s="483"/>
      <c r="CR176" s="483"/>
      <c r="CS176" s="483"/>
      <c r="CT176" s="483"/>
      <c r="CU176" s="483"/>
      <c r="CV176" s="483"/>
      <c r="CW176" s="483"/>
      <c r="CX176" s="483"/>
      <c r="CY176" s="483"/>
      <c r="CZ176" s="483"/>
      <c r="DA176" s="483"/>
      <c r="DB176" s="483"/>
      <c r="DC176" s="483"/>
      <c r="DD176" s="483"/>
      <c r="DE176" s="483"/>
      <c r="DF176" s="483"/>
      <c r="DG176" s="483"/>
      <c r="DH176" s="483"/>
      <c r="DI176" s="483"/>
      <c r="DJ176" s="483"/>
      <c r="DK176" s="483"/>
      <c r="DL176" s="483"/>
      <c r="DM176" s="483"/>
      <c r="DN176" s="483"/>
      <c r="DO176" s="483"/>
      <c r="DP176" s="483"/>
      <c r="DQ176" s="483"/>
      <c r="DR176" s="483"/>
      <c r="DS176" s="483"/>
      <c r="DT176" s="483"/>
      <c r="DU176" s="483"/>
      <c r="DV176" s="483"/>
      <c r="DW176" s="483"/>
      <c r="DX176" s="483"/>
      <c r="DY176" s="483"/>
      <c r="DZ176" s="483"/>
      <c r="EA176" s="483"/>
      <c r="EB176" s="483"/>
      <c r="EC176" s="483"/>
      <c r="ED176" s="483"/>
      <c r="EE176" s="483"/>
      <c r="EF176" s="483"/>
      <c r="EG176" s="483"/>
      <c r="EH176" s="483"/>
      <c r="EI176" s="483"/>
      <c r="EJ176" s="483"/>
      <c r="EK176" s="483"/>
      <c r="EL176" s="483"/>
      <c r="EM176" s="483"/>
      <c r="EN176" s="483"/>
      <c r="EO176" s="483"/>
      <c r="EP176" s="483"/>
      <c r="EQ176" s="483"/>
      <c r="ER176" s="483"/>
      <c r="ES176" s="483"/>
      <c r="ET176" s="483"/>
      <c r="EU176" s="483"/>
      <c r="EV176" s="483"/>
      <c r="EW176" s="483"/>
      <c r="EX176" s="483"/>
      <c r="EY176" s="483"/>
      <c r="EZ176" s="483"/>
      <c r="FA176" s="483"/>
      <c r="FB176" s="483"/>
      <c r="FC176" s="483"/>
      <c r="FD176" s="483"/>
      <c r="FE176" s="483"/>
      <c r="FF176" s="483"/>
      <c r="FG176" s="483"/>
      <c r="FH176" s="483"/>
      <c r="FI176" s="483"/>
      <c r="FJ176" s="483"/>
      <c r="FK176" s="483"/>
      <c r="FL176" s="483"/>
      <c r="FM176" s="483"/>
      <c r="FN176" s="483"/>
      <c r="FO176" s="483"/>
      <c r="FP176" s="483"/>
      <c r="FQ176" s="483"/>
      <c r="FR176" s="483"/>
      <c r="FS176" s="483"/>
      <c r="FT176" s="483"/>
      <c r="FU176" s="483"/>
      <c r="FV176" s="483"/>
      <c r="FW176" s="483"/>
      <c r="FX176" s="483"/>
      <c r="FY176" s="483"/>
      <c r="FZ176" s="483"/>
      <c r="GA176" s="483"/>
      <c r="GB176" s="483"/>
      <c r="GC176" s="483"/>
      <c r="GD176" s="483"/>
      <c r="GE176" s="483"/>
      <c r="GF176" s="483"/>
      <c r="GG176" s="483"/>
      <c r="GH176" s="483"/>
      <c r="GI176" s="483"/>
      <c r="GJ176" s="483"/>
      <c r="GK176" s="483"/>
      <c r="GL176" s="483"/>
      <c r="GM176" s="483"/>
      <c r="GN176" s="483"/>
      <c r="GO176" s="483"/>
      <c r="GP176" s="483"/>
      <c r="GQ176" s="483"/>
      <c r="GR176" s="483"/>
      <c r="GS176" s="483"/>
      <c r="GT176" s="483"/>
      <c r="GU176" s="483"/>
      <c r="GV176" s="483"/>
      <c r="GW176" s="483"/>
      <c r="GX176" s="483"/>
      <c r="GY176" s="483"/>
      <c r="GZ176" s="483"/>
      <c r="HA176" s="483"/>
      <c r="HB176" s="483"/>
      <c r="HC176" s="483"/>
      <c r="HD176" s="483"/>
      <c r="HE176" s="483"/>
      <c r="HF176" s="483"/>
      <c r="HG176" s="483"/>
      <c r="HH176" s="483"/>
      <c r="HI176" s="483"/>
      <c r="HJ176" s="483"/>
      <c r="HK176" s="483"/>
      <c r="HL176" s="483"/>
      <c r="HM176" s="483"/>
      <c r="HN176" s="483"/>
      <c r="HO176" s="483"/>
      <c r="HP176" s="483"/>
      <c r="HQ176" s="483"/>
      <c r="HR176" s="483"/>
      <c r="HS176" s="483"/>
      <c r="HT176" s="483"/>
      <c r="HU176" s="483"/>
      <c r="HV176" s="483"/>
      <c r="HW176" s="483"/>
      <c r="HX176" s="483"/>
      <c r="HY176" s="483"/>
      <c r="HZ176" s="483"/>
      <c r="IA176" s="483"/>
      <c r="IB176" s="483"/>
      <c r="IC176" s="483"/>
      <c r="ID176" s="483"/>
      <c r="IE176" s="483"/>
      <c r="IF176" s="483"/>
      <c r="IG176" s="483"/>
      <c r="IH176" s="483"/>
      <c r="II176" s="483"/>
      <c r="IJ176" s="483"/>
      <c r="IK176" s="483"/>
      <c r="IL176" s="483"/>
      <c r="IM176" s="483"/>
      <c r="IN176" s="483"/>
      <c r="IO176" s="483"/>
      <c r="IP176" s="483"/>
      <c r="IQ176" s="483"/>
    </row>
    <row r="177" spans="1:13" s="454" customFormat="1" ht="22.5" customHeight="1" x14ac:dyDescent="0.35">
      <c r="A177" s="755">
        <v>171</v>
      </c>
      <c r="B177" s="484"/>
      <c r="C177" s="1851" t="s">
        <v>35</v>
      </c>
      <c r="D177" s="1852"/>
      <c r="E177" s="485"/>
      <c r="F177" s="486"/>
      <c r="G177" s="475"/>
      <c r="H177" s="1347"/>
      <c r="I177" s="789"/>
      <c r="J177" s="475"/>
      <c r="K177" s="1362"/>
      <c r="L177" s="779"/>
      <c r="M177" s="671"/>
    </row>
    <row r="178" spans="1:13" s="483" customFormat="1" ht="22.5" customHeight="1" x14ac:dyDescent="0.35">
      <c r="A178" s="755">
        <v>172</v>
      </c>
      <c r="B178" s="484">
        <v>1</v>
      </c>
      <c r="C178" s="487"/>
      <c r="D178" s="677" t="s">
        <v>337</v>
      </c>
      <c r="E178" s="485" t="s">
        <v>24</v>
      </c>
      <c r="F178" s="488"/>
      <c r="G178" s="489"/>
      <c r="H178" s="1351"/>
      <c r="I178" s="792"/>
      <c r="J178" s="489"/>
      <c r="K178" s="1365"/>
      <c r="L178" s="781"/>
      <c r="M178" s="672"/>
    </row>
    <row r="179" spans="1:13" s="454" customFormat="1" ht="18" customHeight="1" x14ac:dyDescent="0.3">
      <c r="A179" s="755">
        <v>173</v>
      </c>
      <c r="B179" s="484"/>
      <c r="C179" s="485">
        <v>1</v>
      </c>
      <c r="D179" s="560" t="s">
        <v>459</v>
      </c>
      <c r="E179" s="485"/>
      <c r="F179" s="491">
        <f>G179+H179+L179+M179</f>
        <v>0</v>
      </c>
      <c r="G179" s="492"/>
      <c r="H179" s="1348"/>
      <c r="I179" s="790">
        <v>1800</v>
      </c>
      <c r="J179" s="492">
        <v>0</v>
      </c>
      <c r="K179" s="1363"/>
      <c r="L179" s="780">
        <f>SUM(J179:K179)</f>
        <v>0</v>
      </c>
      <c r="M179" s="671"/>
    </row>
    <row r="180" spans="1:13" s="454" customFormat="1" ht="18" customHeight="1" x14ac:dyDescent="0.3">
      <c r="A180" s="755">
        <v>174</v>
      </c>
      <c r="B180" s="484"/>
      <c r="C180" s="485">
        <v>2</v>
      </c>
      <c r="D180" s="560" t="s">
        <v>1280</v>
      </c>
      <c r="E180" s="485"/>
      <c r="F180" s="491">
        <f>G180+H180+L180+M180</f>
        <v>510</v>
      </c>
      <c r="G180" s="492"/>
      <c r="H180" s="1348"/>
      <c r="I180" s="790"/>
      <c r="J180" s="492">
        <v>510</v>
      </c>
      <c r="K180" s="1363"/>
      <c r="L180" s="780">
        <f t="shared" ref="L180:L181" si="9">SUM(J180:K180)</f>
        <v>510</v>
      </c>
      <c r="M180" s="671"/>
    </row>
    <row r="181" spans="1:13" s="454" customFormat="1" ht="85.5" customHeight="1" x14ac:dyDescent="0.3">
      <c r="A181" s="755">
        <v>175</v>
      </c>
      <c r="B181" s="484"/>
      <c r="C181" s="494">
        <v>3</v>
      </c>
      <c r="D181" s="560" t="s">
        <v>1318</v>
      </c>
      <c r="E181" s="485"/>
      <c r="F181" s="491">
        <f>G181+H181+L181+M181</f>
        <v>3620</v>
      </c>
      <c r="G181" s="492"/>
      <c r="H181" s="1348"/>
      <c r="I181" s="790"/>
      <c r="J181" s="492">
        <v>3820</v>
      </c>
      <c r="K181" s="1363">
        <v>-200</v>
      </c>
      <c r="L181" s="780">
        <f t="shared" si="9"/>
        <v>3620</v>
      </c>
      <c r="M181" s="671"/>
    </row>
    <row r="182" spans="1:13" s="454" customFormat="1" ht="18" customHeight="1" x14ac:dyDescent="0.3">
      <c r="A182" s="755">
        <v>176</v>
      </c>
      <c r="B182" s="484"/>
      <c r="C182" s="485"/>
      <c r="D182" s="676" t="s">
        <v>453</v>
      </c>
      <c r="E182" s="485"/>
      <c r="F182" s="491"/>
      <c r="G182" s="492"/>
      <c r="H182" s="1348"/>
      <c r="I182" s="790"/>
      <c r="J182" s="492"/>
      <c r="K182" s="1363"/>
      <c r="L182" s="780"/>
      <c r="M182" s="671"/>
    </row>
    <row r="183" spans="1:13" s="454" customFormat="1" ht="18" customHeight="1" x14ac:dyDescent="0.3">
      <c r="A183" s="755">
        <v>177</v>
      </c>
      <c r="B183" s="484"/>
      <c r="C183" s="485">
        <v>4</v>
      </c>
      <c r="D183" s="560" t="s">
        <v>459</v>
      </c>
      <c r="E183" s="485"/>
      <c r="F183" s="491">
        <f t="shared" ref="F183:F284" si="10">G183+H183+L183+M183</f>
        <v>0</v>
      </c>
      <c r="G183" s="492"/>
      <c r="H183" s="1348"/>
      <c r="I183" s="790">
        <v>900</v>
      </c>
      <c r="J183" s="492">
        <v>0</v>
      </c>
      <c r="K183" s="1363"/>
      <c r="L183" s="780">
        <f>SUM(J183:K183)</f>
        <v>0</v>
      </c>
      <c r="M183" s="671"/>
    </row>
    <row r="184" spans="1:13" s="454" customFormat="1" ht="18" customHeight="1" x14ac:dyDescent="0.3">
      <c r="A184" s="755">
        <v>178</v>
      </c>
      <c r="B184" s="484"/>
      <c r="C184" s="485">
        <v>5</v>
      </c>
      <c r="D184" s="560" t="s">
        <v>798</v>
      </c>
      <c r="E184" s="485"/>
      <c r="F184" s="491">
        <f t="shared" si="10"/>
        <v>850</v>
      </c>
      <c r="G184" s="492"/>
      <c r="H184" s="1348"/>
      <c r="I184" s="790"/>
      <c r="J184" s="492">
        <v>850</v>
      </c>
      <c r="K184" s="1363"/>
      <c r="L184" s="780">
        <f t="shared" ref="L184:L257" si="11">SUM(J184:K184)</f>
        <v>850</v>
      </c>
      <c r="M184" s="671"/>
    </row>
    <row r="185" spans="1:13" s="454" customFormat="1" ht="36" customHeight="1" x14ac:dyDescent="0.3">
      <c r="A185" s="755">
        <v>179</v>
      </c>
      <c r="B185" s="484"/>
      <c r="C185" s="494">
        <v>6</v>
      </c>
      <c r="D185" s="560" t="s">
        <v>1319</v>
      </c>
      <c r="E185" s="485"/>
      <c r="F185" s="491">
        <f t="shared" si="10"/>
        <v>840</v>
      </c>
      <c r="G185" s="492"/>
      <c r="H185" s="1348"/>
      <c r="I185" s="790"/>
      <c r="J185" s="492">
        <v>840</v>
      </c>
      <c r="K185" s="1363"/>
      <c r="L185" s="780">
        <f t="shared" si="11"/>
        <v>840</v>
      </c>
      <c r="M185" s="671"/>
    </row>
    <row r="186" spans="1:13" s="454" customFormat="1" ht="22.5" customHeight="1" x14ac:dyDescent="0.35">
      <c r="A186" s="755">
        <v>180</v>
      </c>
      <c r="B186" s="484">
        <v>2</v>
      </c>
      <c r="C186" s="487"/>
      <c r="D186" s="677" t="s">
        <v>336</v>
      </c>
      <c r="E186" s="485" t="s">
        <v>24</v>
      </c>
      <c r="F186" s="491"/>
      <c r="G186" s="489"/>
      <c r="H186" s="1351"/>
      <c r="I186" s="792"/>
      <c r="J186" s="489"/>
      <c r="K186" s="1365"/>
      <c r="L186" s="780"/>
      <c r="M186" s="672"/>
    </row>
    <row r="187" spans="1:13" s="454" customFormat="1" ht="18" customHeight="1" x14ac:dyDescent="0.3">
      <c r="A187" s="755">
        <v>181</v>
      </c>
      <c r="B187" s="484"/>
      <c r="C187" s="485">
        <v>1</v>
      </c>
      <c r="D187" s="560" t="s">
        <v>459</v>
      </c>
      <c r="E187" s="493"/>
      <c r="F187" s="491">
        <f t="shared" si="10"/>
        <v>0</v>
      </c>
      <c r="G187" s="492"/>
      <c r="H187" s="1348"/>
      <c r="I187" s="790">
        <v>3300</v>
      </c>
      <c r="J187" s="492">
        <v>0</v>
      </c>
      <c r="K187" s="1363"/>
      <c r="L187" s="780">
        <f t="shared" si="11"/>
        <v>0</v>
      </c>
      <c r="M187" s="671"/>
    </row>
    <row r="188" spans="1:13" s="454" customFormat="1" ht="131.25" customHeight="1" x14ac:dyDescent="0.3">
      <c r="A188" s="755">
        <v>182</v>
      </c>
      <c r="B188" s="484"/>
      <c r="C188" s="494">
        <v>2</v>
      </c>
      <c r="D188" s="467" t="s">
        <v>1372</v>
      </c>
      <c r="E188" s="663"/>
      <c r="F188" s="491">
        <f t="shared" si="10"/>
        <v>920</v>
      </c>
      <c r="G188" s="492"/>
      <c r="H188" s="1348"/>
      <c r="I188" s="790"/>
      <c r="J188" s="492">
        <v>760</v>
      </c>
      <c r="K188" s="1363">
        <v>160</v>
      </c>
      <c r="L188" s="780">
        <f t="shared" si="11"/>
        <v>920</v>
      </c>
      <c r="M188" s="671"/>
    </row>
    <row r="189" spans="1:13" s="454" customFormat="1" ht="18" customHeight="1" x14ac:dyDescent="0.3">
      <c r="A189" s="755">
        <v>183</v>
      </c>
      <c r="B189" s="484"/>
      <c r="C189" s="485">
        <v>3</v>
      </c>
      <c r="D189" s="560" t="s">
        <v>803</v>
      </c>
      <c r="E189" s="663"/>
      <c r="F189" s="491">
        <f t="shared" si="10"/>
        <v>425</v>
      </c>
      <c r="G189" s="492"/>
      <c r="H189" s="1348"/>
      <c r="I189" s="790"/>
      <c r="J189" s="492">
        <v>325</v>
      </c>
      <c r="K189" s="1363">
        <v>100</v>
      </c>
      <c r="L189" s="780">
        <f t="shared" si="11"/>
        <v>425</v>
      </c>
      <c r="M189" s="671"/>
    </row>
    <row r="190" spans="1:13" s="454" customFormat="1" ht="18" customHeight="1" x14ac:dyDescent="0.3">
      <c r="A190" s="755">
        <v>184</v>
      </c>
      <c r="B190" s="484"/>
      <c r="C190" s="485">
        <v>4</v>
      </c>
      <c r="D190" s="560" t="s">
        <v>799</v>
      </c>
      <c r="E190" s="663"/>
      <c r="F190" s="491">
        <f t="shared" si="10"/>
        <v>4935</v>
      </c>
      <c r="G190" s="492"/>
      <c r="H190" s="1348"/>
      <c r="I190" s="790"/>
      <c r="J190" s="492">
        <v>4935</v>
      </c>
      <c r="K190" s="1363"/>
      <c r="L190" s="780">
        <f t="shared" si="11"/>
        <v>4935</v>
      </c>
      <c r="M190" s="671"/>
    </row>
    <row r="191" spans="1:13" s="454" customFormat="1" ht="18" customHeight="1" x14ac:dyDescent="0.3">
      <c r="A191" s="755">
        <v>185</v>
      </c>
      <c r="B191" s="484"/>
      <c r="C191" s="485">
        <v>5</v>
      </c>
      <c r="D191" s="560" t="s">
        <v>800</v>
      </c>
      <c r="E191" s="663"/>
      <c r="F191" s="491">
        <f t="shared" si="10"/>
        <v>430</v>
      </c>
      <c r="G191" s="492"/>
      <c r="H191" s="1348"/>
      <c r="I191" s="790"/>
      <c r="J191" s="492">
        <v>430</v>
      </c>
      <c r="K191" s="1363"/>
      <c r="L191" s="780">
        <f t="shared" si="11"/>
        <v>430</v>
      </c>
      <c r="M191" s="671"/>
    </row>
    <row r="192" spans="1:13" s="454" customFormat="1" ht="18" customHeight="1" x14ac:dyDescent="0.3">
      <c r="A192" s="755">
        <v>186</v>
      </c>
      <c r="B192" s="484"/>
      <c r="C192" s="485">
        <v>6</v>
      </c>
      <c r="D192" s="560" t="s">
        <v>804</v>
      </c>
      <c r="E192" s="663"/>
      <c r="F192" s="491">
        <f t="shared" si="10"/>
        <v>373</v>
      </c>
      <c r="G192" s="492"/>
      <c r="H192" s="1348"/>
      <c r="I192" s="790"/>
      <c r="J192" s="492">
        <v>373</v>
      </c>
      <c r="K192" s="1363"/>
      <c r="L192" s="780">
        <f t="shared" si="11"/>
        <v>373</v>
      </c>
      <c r="M192" s="671"/>
    </row>
    <row r="193" spans="1:251" s="454" customFormat="1" ht="18" customHeight="1" x14ac:dyDescent="0.3">
      <c r="A193" s="755">
        <v>187</v>
      </c>
      <c r="B193" s="484"/>
      <c r="C193" s="485">
        <v>7</v>
      </c>
      <c r="D193" s="560" t="s">
        <v>802</v>
      </c>
      <c r="E193" s="663"/>
      <c r="F193" s="491">
        <f t="shared" si="10"/>
        <v>358</v>
      </c>
      <c r="G193" s="492"/>
      <c r="H193" s="1348"/>
      <c r="I193" s="790"/>
      <c r="J193" s="492">
        <v>358</v>
      </c>
      <c r="K193" s="1363"/>
      <c r="L193" s="780">
        <f t="shared" si="11"/>
        <v>358</v>
      </c>
      <c r="M193" s="671"/>
    </row>
    <row r="194" spans="1:251" s="454" customFormat="1" ht="18" customHeight="1" x14ac:dyDescent="0.3">
      <c r="A194" s="755">
        <v>188</v>
      </c>
      <c r="B194" s="484"/>
      <c r="C194" s="485">
        <v>8</v>
      </c>
      <c r="D194" s="560" t="s">
        <v>914</v>
      </c>
      <c r="E194" s="663"/>
      <c r="F194" s="491">
        <f t="shared" si="10"/>
        <v>300</v>
      </c>
      <c r="G194" s="492"/>
      <c r="H194" s="1348"/>
      <c r="I194" s="790"/>
      <c r="J194" s="492">
        <v>300</v>
      </c>
      <c r="K194" s="1363"/>
      <c r="L194" s="780">
        <f t="shared" si="11"/>
        <v>300</v>
      </c>
      <c r="M194" s="671"/>
    </row>
    <row r="195" spans="1:251" s="454" customFormat="1" ht="20.100000000000001" customHeight="1" x14ac:dyDescent="0.3">
      <c r="A195" s="755">
        <v>189</v>
      </c>
      <c r="B195" s="484"/>
      <c r="C195" s="485"/>
      <c r="D195" s="676" t="s">
        <v>454</v>
      </c>
      <c r="E195" s="663"/>
      <c r="F195" s="491"/>
      <c r="G195" s="492"/>
      <c r="H195" s="1348"/>
      <c r="I195" s="790"/>
      <c r="J195" s="492"/>
      <c r="K195" s="1363"/>
      <c r="L195" s="780"/>
      <c r="M195" s="671"/>
    </row>
    <row r="196" spans="1:251" s="454" customFormat="1" ht="100.5" customHeight="1" x14ac:dyDescent="0.3">
      <c r="A196" s="755">
        <v>190</v>
      </c>
      <c r="B196" s="484"/>
      <c r="C196" s="494">
        <v>9</v>
      </c>
      <c r="D196" s="560" t="s">
        <v>1269</v>
      </c>
      <c r="E196" s="663"/>
      <c r="F196" s="491">
        <f t="shared" si="10"/>
        <v>774</v>
      </c>
      <c r="G196" s="492"/>
      <c r="H196" s="1348"/>
      <c r="I196" s="790"/>
      <c r="J196" s="492">
        <v>860</v>
      </c>
      <c r="K196" s="1363">
        <f>-100+14</f>
        <v>-86</v>
      </c>
      <c r="L196" s="780">
        <f t="shared" si="11"/>
        <v>774</v>
      </c>
      <c r="M196" s="671"/>
    </row>
    <row r="197" spans="1:251" s="454" customFormat="1" ht="18" customHeight="1" x14ac:dyDescent="0.3">
      <c r="A197" s="755">
        <v>191</v>
      </c>
      <c r="B197" s="484"/>
      <c r="C197" s="485">
        <v>10</v>
      </c>
      <c r="D197" s="560" t="s">
        <v>799</v>
      </c>
      <c r="E197" s="663"/>
      <c r="F197" s="491">
        <f t="shared" si="10"/>
        <v>3479</v>
      </c>
      <c r="G197" s="492"/>
      <c r="H197" s="1348"/>
      <c r="I197" s="790"/>
      <c r="J197" s="492">
        <v>3479</v>
      </c>
      <c r="K197" s="1363"/>
      <c r="L197" s="780">
        <f t="shared" si="11"/>
        <v>3479</v>
      </c>
      <c r="M197" s="671"/>
    </row>
    <row r="198" spans="1:251" s="454" customFormat="1" ht="18" customHeight="1" x14ac:dyDescent="0.3">
      <c r="A198" s="755">
        <v>192</v>
      </c>
      <c r="B198" s="484"/>
      <c r="C198" s="485">
        <v>11</v>
      </c>
      <c r="D198" s="560" t="s">
        <v>803</v>
      </c>
      <c r="E198" s="663"/>
      <c r="F198" s="491">
        <f t="shared" si="10"/>
        <v>165</v>
      </c>
      <c r="G198" s="492"/>
      <c r="H198" s="1348"/>
      <c r="I198" s="790"/>
      <c r="J198" s="492">
        <v>325</v>
      </c>
      <c r="K198" s="1363">
        <v>-160</v>
      </c>
      <c r="L198" s="780">
        <f t="shared" si="11"/>
        <v>165</v>
      </c>
      <c r="M198" s="671"/>
    </row>
    <row r="199" spans="1:251" s="454" customFormat="1" ht="20.100000000000001" customHeight="1" x14ac:dyDescent="0.3">
      <c r="A199" s="755">
        <v>193</v>
      </c>
      <c r="B199" s="484"/>
      <c r="C199" s="485">
        <v>12</v>
      </c>
      <c r="D199" s="560" t="s">
        <v>801</v>
      </c>
      <c r="E199" s="663"/>
      <c r="F199" s="491">
        <f t="shared" si="10"/>
        <v>221</v>
      </c>
      <c r="G199" s="492"/>
      <c r="H199" s="1348"/>
      <c r="I199" s="790"/>
      <c r="J199" s="492">
        <v>235</v>
      </c>
      <c r="K199" s="1363">
        <v>-14</v>
      </c>
      <c r="L199" s="780">
        <f t="shared" si="11"/>
        <v>221</v>
      </c>
      <c r="M199" s="671"/>
    </row>
    <row r="200" spans="1:251" s="247" customFormat="1" ht="22.5" customHeight="1" x14ac:dyDescent="0.35">
      <c r="A200" s="755">
        <v>194</v>
      </c>
      <c r="B200" s="484">
        <v>3</v>
      </c>
      <c r="C200" s="487"/>
      <c r="D200" s="677" t="s">
        <v>283</v>
      </c>
      <c r="E200" s="485" t="s">
        <v>24</v>
      </c>
      <c r="F200" s="491"/>
      <c r="G200" s="489"/>
      <c r="H200" s="1351"/>
      <c r="I200" s="792"/>
      <c r="J200" s="489"/>
      <c r="K200" s="1365"/>
      <c r="L200" s="780"/>
      <c r="M200" s="672"/>
      <c r="N200" s="483"/>
      <c r="O200" s="483"/>
      <c r="P200" s="483"/>
      <c r="Q200" s="483"/>
      <c r="R200" s="483"/>
      <c r="S200" s="483"/>
      <c r="T200" s="483"/>
      <c r="U200" s="483"/>
      <c r="V200" s="483"/>
      <c r="W200" s="483"/>
      <c r="X200" s="483"/>
      <c r="Y200" s="483"/>
      <c r="Z200" s="483"/>
      <c r="AA200" s="483"/>
      <c r="AB200" s="483"/>
      <c r="AC200" s="483"/>
      <c r="AD200" s="483"/>
      <c r="AE200" s="483"/>
      <c r="AF200" s="483"/>
      <c r="AG200" s="483"/>
      <c r="AH200" s="483"/>
      <c r="AI200" s="483"/>
      <c r="AJ200" s="483"/>
      <c r="AK200" s="483"/>
      <c r="AL200" s="483"/>
      <c r="AM200" s="483"/>
      <c r="AN200" s="483"/>
      <c r="AO200" s="483"/>
      <c r="AP200" s="483"/>
      <c r="AQ200" s="483"/>
      <c r="AR200" s="483"/>
      <c r="AS200" s="483"/>
      <c r="AT200" s="483"/>
      <c r="AU200" s="483"/>
      <c r="AV200" s="483"/>
      <c r="AW200" s="483"/>
      <c r="AX200" s="483"/>
      <c r="AY200" s="483"/>
      <c r="AZ200" s="483"/>
      <c r="BA200" s="483"/>
      <c r="BB200" s="483"/>
      <c r="BC200" s="483"/>
      <c r="BD200" s="483"/>
      <c r="BE200" s="483"/>
      <c r="BF200" s="483"/>
      <c r="BG200" s="483"/>
      <c r="BH200" s="483"/>
      <c r="BI200" s="483"/>
      <c r="BJ200" s="483"/>
      <c r="BK200" s="483"/>
      <c r="BL200" s="483"/>
      <c r="BM200" s="483"/>
      <c r="BN200" s="483"/>
      <c r="BO200" s="483"/>
      <c r="BP200" s="483"/>
      <c r="BQ200" s="483"/>
      <c r="BR200" s="483"/>
      <c r="BS200" s="483"/>
      <c r="BT200" s="483"/>
      <c r="BU200" s="483"/>
      <c r="BV200" s="483"/>
      <c r="BW200" s="483"/>
      <c r="BX200" s="483"/>
      <c r="BY200" s="483"/>
      <c r="BZ200" s="483"/>
      <c r="CA200" s="483"/>
      <c r="CB200" s="483"/>
      <c r="CC200" s="483"/>
      <c r="CD200" s="483"/>
      <c r="CE200" s="483"/>
      <c r="CF200" s="483"/>
      <c r="CG200" s="483"/>
      <c r="CH200" s="483"/>
      <c r="CI200" s="483"/>
      <c r="CJ200" s="483"/>
      <c r="CK200" s="483"/>
      <c r="CL200" s="483"/>
      <c r="CM200" s="483"/>
      <c r="CN200" s="483"/>
      <c r="CO200" s="483"/>
      <c r="CP200" s="483"/>
      <c r="CQ200" s="483"/>
      <c r="CR200" s="483"/>
      <c r="CS200" s="483"/>
      <c r="CT200" s="483"/>
      <c r="CU200" s="483"/>
      <c r="CV200" s="483"/>
      <c r="CW200" s="483"/>
      <c r="CX200" s="483"/>
      <c r="CY200" s="483"/>
      <c r="CZ200" s="483"/>
      <c r="DA200" s="483"/>
      <c r="DB200" s="483"/>
      <c r="DC200" s="483"/>
      <c r="DD200" s="483"/>
      <c r="DE200" s="483"/>
      <c r="DF200" s="483"/>
      <c r="DG200" s="483"/>
      <c r="DH200" s="483"/>
      <c r="DI200" s="483"/>
      <c r="DJ200" s="483"/>
      <c r="DK200" s="483"/>
      <c r="DL200" s="483"/>
      <c r="DM200" s="483"/>
      <c r="DN200" s="483"/>
      <c r="DO200" s="483"/>
      <c r="DP200" s="483"/>
      <c r="DQ200" s="483"/>
      <c r="DR200" s="483"/>
      <c r="DS200" s="483"/>
      <c r="DT200" s="483"/>
      <c r="DU200" s="483"/>
      <c r="DV200" s="483"/>
      <c r="DW200" s="483"/>
      <c r="DX200" s="483"/>
      <c r="DY200" s="483"/>
      <c r="DZ200" s="483"/>
      <c r="EA200" s="483"/>
      <c r="EB200" s="483"/>
      <c r="EC200" s="483"/>
      <c r="ED200" s="483"/>
      <c r="EE200" s="483"/>
      <c r="EF200" s="483"/>
      <c r="EG200" s="483"/>
      <c r="EH200" s="483"/>
      <c r="EI200" s="483"/>
      <c r="EJ200" s="483"/>
      <c r="EK200" s="483"/>
      <c r="EL200" s="483"/>
      <c r="EM200" s="483"/>
      <c r="EN200" s="483"/>
      <c r="EO200" s="483"/>
      <c r="EP200" s="483"/>
      <c r="EQ200" s="483"/>
      <c r="ER200" s="483"/>
      <c r="ES200" s="483"/>
      <c r="ET200" s="483"/>
      <c r="EU200" s="483"/>
      <c r="EV200" s="483"/>
      <c r="EW200" s="483"/>
      <c r="EX200" s="483"/>
      <c r="EY200" s="483"/>
      <c r="EZ200" s="483"/>
      <c r="FA200" s="483"/>
      <c r="FB200" s="483"/>
      <c r="FC200" s="483"/>
      <c r="FD200" s="483"/>
      <c r="FE200" s="483"/>
      <c r="FF200" s="483"/>
      <c r="FG200" s="483"/>
      <c r="FH200" s="483"/>
      <c r="FI200" s="483"/>
      <c r="FJ200" s="483"/>
      <c r="FK200" s="483"/>
      <c r="FL200" s="483"/>
      <c r="FM200" s="483"/>
      <c r="FN200" s="483"/>
      <c r="FO200" s="483"/>
      <c r="FP200" s="483"/>
      <c r="FQ200" s="483"/>
      <c r="FR200" s="483"/>
      <c r="FS200" s="483"/>
      <c r="FT200" s="483"/>
      <c r="FU200" s="483"/>
      <c r="FV200" s="483"/>
      <c r="FW200" s="483"/>
      <c r="FX200" s="483"/>
      <c r="FY200" s="483"/>
      <c r="FZ200" s="483"/>
      <c r="GA200" s="483"/>
      <c r="GB200" s="483"/>
      <c r="GC200" s="483"/>
      <c r="GD200" s="483"/>
      <c r="GE200" s="483"/>
      <c r="GF200" s="483"/>
      <c r="GG200" s="483"/>
      <c r="GH200" s="483"/>
      <c r="GI200" s="483"/>
      <c r="GJ200" s="483"/>
      <c r="GK200" s="483"/>
      <c r="GL200" s="483"/>
      <c r="GM200" s="483"/>
      <c r="GN200" s="483"/>
      <c r="GO200" s="483"/>
      <c r="GP200" s="483"/>
      <c r="GQ200" s="483"/>
      <c r="GR200" s="483"/>
      <c r="GS200" s="483"/>
      <c r="GT200" s="483"/>
      <c r="GU200" s="483"/>
      <c r="GV200" s="483"/>
      <c r="GW200" s="483"/>
      <c r="GX200" s="483"/>
      <c r="GY200" s="483"/>
      <c r="GZ200" s="483"/>
      <c r="HA200" s="483"/>
      <c r="HB200" s="483"/>
      <c r="HC200" s="483"/>
      <c r="HD200" s="483"/>
      <c r="HE200" s="483"/>
      <c r="HF200" s="483"/>
      <c r="HG200" s="483"/>
      <c r="HH200" s="483"/>
      <c r="HI200" s="483"/>
      <c r="HJ200" s="483"/>
      <c r="HK200" s="483"/>
      <c r="HL200" s="483"/>
      <c r="HM200" s="483"/>
      <c r="HN200" s="483"/>
      <c r="HO200" s="483"/>
      <c r="HP200" s="483"/>
      <c r="HQ200" s="483"/>
      <c r="HR200" s="483"/>
      <c r="HS200" s="483"/>
      <c r="HT200" s="483"/>
      <c r="HU200" s="483"/>
      <c r="HV200" s="483"/>
      <c r="HW200" s="483"/>
      <c r="HX200" s="483"/>
      <c r="HY200" s="483"/>
      <c r="HZ200" s="483"/>
      <c r="IA200" s="483"/>
      <c r="IB200" s="483"/>
      <c r="IC200" s="483"/>
      <c r="ID200" s="483"/>
      <c r="IE200" s="483"/>
      <c r="IF200" s="483"/>
      <c r="IG200" s="483"/>
      <c r="IH200" s="483"/>
      <c r="II200" s="483"/>
      <c r="IJ200" s="483"/>
      <c r="IK200" s="483"/>
      <c r="IL200" s="483"/>
      <c r="IM200" s="483"/>
      <c r="IN200" s="483"/>
      <c r="IO200" s="483"/>
      <c r="IP200" s="483"/>
      <c r="IQ200" s="483"/>
    </row>
    <row r="201" spans="1:251" s="454" customFormat="1" ht="18" customHeight="1" x14ac:dyDescent="0.3">
      <c r="A201" s="755">
        <v>195</v>
      </c>
      <c r="B201" s="484"/>
      <c r="C201" s="485">
        <v>1</v>
      </c>
      <c r="D201" s="560" t="s">
        <v>459</v>
      </c>
      <c r="E201" s="485"/>
      <c r="F201" s="491">
        <f t="shared" si="10"/>
        <v>0</v>
      </c>
      <c r="G201" s="492"/>
      <c r="H201" s="1348"/>
      <c r="I201" s="790">
        <v>1500</v>
      </c>
      <c r="J201" s="492">
        <v>0</v>
      </c>
      <c r="K201" s="1363"/>
      <c r="L201" s="780">
        <f t="shared" si="11"/>
        <v>0</v>
      </c>
      <c r="M201" s="671"/>
    </row>
    <row r="202" spans="1:251" s="454" customFormat="1" ht="18" customHeight="1" x14ac:dyDescent="0.3">
      <c r="A202" s="755">
        <v>196</v>
      </c>
      <c r="B202" s="484"/>
      <c r="C202" s="485">
        <v>2</v>
      </c>
      <c r="D202" s="560" t="s">
        <v>1030</v>
      </c>
      <c r="E202" s="485"/>
      <c r="F202" s="491">
        <f t="shared" si="10"/>
        <v>493</v>
      </c>
      <c r="G202" s="492"/>
      <c r="H202" s="1348"/>
      <c r="I202" s="790"/>
      <c r="J202" s="492">
        <v>493</v>
      </c>
      <c r="K202" s="1363"/>
      <c r="L202" s="780">
        <f t="shared" si="11"/>
        <v>493</v>
      </c>
      <c r="M202" s="671"/>
    </row>
    <row r="203" spans="1:251" s="454" customFormat="1" ht="18" customHeight="1" x14ac:dyDescent="0.3">
      <c r="A203" s="755">
        <v>197</v>
      </c>
      <c r="B203" s="484"/>
      <c r="C203" s="485">
        <v>3</v>
      </c>
      <c r="D203" s="560" t="s">
        <v>805</v>
      </c>
      <c r="E203" s="485"/>
      <c r="F203" s="491">
        <f t="shared" si="10"/>
        <v>1000</v>
      </c>
      <c r="G203" s="492"/>
      <c r="H203" s="1348"/>
      <c r="I203" s="790"/>
      <c r="J203" s="492">
        <v>1000</v>
      </c>
      <c r="K203" s="1363"/>
      <c r="L203" s="780">
        <f t="shared" si="11"/>
        <v>1000</v>
      </c>
      <c r="M203" s="671"/>
    </row>
    <row r="204" spans="1:251" s="454" customFormat="1" ht="18" customHeight="1" x14ac:dyDescent="0.3">
      <c r="A204" s="755">
        <v>198</v>
      </c>
      <c r="B204" s="484"/>
      <c r="C204" s="485">
        <v>4</v>
      </c>
      <c r="D204" s="560" t="s">
        <v>806</v>
      </c>
      <c r="E204" s="485"/>
      <c r="F204" s="491">
        <f t="shared" si="10"/>
        <v>350</v>
      </c>
      <c r="G204" s="492"/>
      <c r="H204" s="1348"/>
      <c r="I204" s="790"/>
      <c r="J204" s="492">
        <v>350</v>
      </c>
      <c r="K204" s="1363"/>
      <c r="L204" s="780">
        <f t="shared" si="11"/>
        <v>350</v>
      </c>
      <c r="M204" s="671"/>
    </row>
    <row r="205" spans="1:251" s="454" customFormat="1" ht="18" customHeight="1" x14ac:dyDescent="0.3">
      <c r="A205" s="755">
        <v>199</v>
      </c>
      <c r="B205" s="484"/>
      <c r="C205" s="485">
        <v>5</v>
      </c>
      <c r="D205" s="560" t="s">
        <v>807</v>
      </c>
      <c r="E205" s="485"/>
      <c r="F205" s="491">
        <f t="shared" si="10"/>
        <v>250</v>
      </c>
      <c r="G205" s="492"/>
      <c r="H205" s="1348"/>
      <c r="I205" s="790"/>
      <c r="J205" s="492">
        <v>250</v>
      </c>
      <c r="K205" s="1363"/>
      <c r="L205" s="780">
        <f t="shared" si="11"/>
        <v>250</v>
      </c>
      <c r="M205" s="671"/>
    </row>
    <row r="206" spans="1:251" s="454" customFormat="1" ht="18" customHeight="1" x14ac:dyDescent="0.3">
      <c r="A206" s="755">
        <v>200</v>
      </c>
      <c r="B206" s="484"/>
      <c r="C206" s="485">
        <v>6</v>
      </c>
      <c r="D206" s="560" t="s">
        <v>1029</v>
      </c>
      <c r="E206" s="485"/>
      <c r="F206" s="491">
        <f t="shared" si="10"/>
        <v>1320</v>
      </c>
      <c r="G206" s="492"/>
      <c r="H206" s="1348"/>
      <c r="I206" s="790"/>
      <c r="J206" s="492">
        <v>1320</v>
      </c>
      <c r="K206" s="1363"/>
      <c r="L206" s="780">
        <f t="shared" si="11"/>
        <v>1320</v>
      </c>
      <c r="M206" s="671"/>
    </row>
    <row r="207" spans="1:251" s="454" customFormat="1" ht="102" customHeight="1" x14ac:dyDescent="0.3">
      <c r="A207" s="755">
        <v>201</v>
      </c>
      <c r="B207" s="484"/>
      <c r="C207" s="494">
        <v>7</v>
      </c>
      <c r="D207" s="560" t="s">
        <v>1315</v>
      </c>
      <c r="E207" s="485"/>
      <c r="F207" s="491">
        <f t="shared" si="10"/>
        <v>2275</v>
      </c>
      <c r="G207" s="492"/>
      <c r="H207" s="1348"/>
      <c r="I207" s="790"/>
      <c r="J207" s="492">
        <v>2275</v>
      </c>
      <c r="K207" s="1363"/>
      <c r="L207" s="780">
        <f t="shared" si="11"/>
        <v>2275</v>
      </c>
      <c r="M207" s="671"/>
    </row>
    <row r="208" spans="1:251" s="454" customFormat="1" ht="18" customHeight="1" x14ac:dyDescent="0.3">
      <c r="A208" s="755">
        <v>202</v>
      </c>
      <c r="B208" s="484"/>
      <c r="C208" s="494">
        <v>8</v>
      </c>
      <c r="D208" s="560" t="s">
        <v>1313</v>
      </c>
      <c r="E208" s="485"/>
      <c r="F208" s="491">
        <f t="shared" si="10"/>
        <v>450</v>
      </c>
      <c r="G208" s="492"/>
      <c r="H208" s="1348"/>
      <c r="I208" s="790"/>
      <c r="J208" s="492">
        <v>450</v>
      </c>
      <c r="K208" s="1363"/>
      <c r="L208" s="780">
        <f t="shared" si="11"/>
        <v>450</v>
      </c>
      <c r="M208" s="671"/>
    </row>
    <row r="209" spans="1:13" s="454" customFormat="1" ht="18" customHeight="1" x14ac:dyDescent="0.3">
      <c r="A209" s="755">
        <v>203</v>
      </c>
      <c r="B209" s="484"/>
      <c r="C209" s="494">
        <v>9</v>
      </c>
      <c r="D209" s="560" t="s">
        <v>1314</v>
      </c>
      <c r="E209" s="485"/>
      <c r="F209" s="491">
        <f t="shared" si="10"/>
        <v>1150</v>
      </c>
      <c r="G209" s="492"/>
      <c r="H209" s="1348"/>
      <c r="I209" s="790"/>
      <c r="J209" s="492">
        <v>1150</v>
      </c>
      <c r="K209" s="1363"/>
      <c r="L209" s="780">
        <f t="shared" si="11"/>
        <v>1150</v>
      </c>
      <c r="M209" s="671"/>
    </row>
    <row r="210" spans="1:13" s="454" customFormat="1" ht="18" customHeight="1" x14ac:dyDescent="0.3">
      <c r="A210" s="755">
        <v>204</v>
      </c>
      <c r="B210" s="484"/>
      <c r="C210" s="485"/>
      <c r="D210" s="676" t="s">
        <v>455</v>
      </c>
      <c r="E210" s="485"/>
      <c r="F210" s="491"/>
      <c r="G210" s="492"/>
      <c r="H210" s="1348"/>
      <c r="I210" s="790"/>
      <c r="J210" s="492"/>
      <c r="K210" s="1363"/>
      <c r="L210" s="780"/>
      <c r="M210" s="671"/>
    </row>
    <row r="211" spans="1:13" s="454" customFormat="1" ht="18" customHeight="1" x14ac:dyDescent="0.3">
      <c r="A211" s="755">
        <v>205</v>
      </c>
      <c r="B211" s="484"/>
      <c r="C211" s="485">
        <v>10</v>
      </c>
      <c r="D211" s="560" t="s">
        <v>459</v>
      </c>
      <c r="E211" s="485"/>
      <c r="F211" s="491">
        <f t="shared" si="10"/>
        <v>0</v>
      </c>
      <c r="G211" s="492"/>
      <c r="H211" s="1348"/>
      <c r="I211" s="790">
        <v>1500</v>
      </c>
      <c r="J211" s="492">
        <v>0</v>
      </c>
      <c r="K211" s="1363"/>
      <c r="L211" s="780">
        <f t="shared" si="11"/>
        <v>0</v>
      </c>
      <c r="M211" s="671"/>
    </row>
    <row r="212" spans="1:13" s="454" customFormat="1" ht="18" customHeight="1" x14ac:dyDescent="0.3">
      <c r="A212" s="755">
        <v>206</v>
      </c>
      <c r="B212" s="484"/>
      <c r="C212" s="485">
        <v>11</v>
      </c>
      <c r="D212" s="560" t="s">
        <v>1031</v>
      </c>
      <c r="E212" s="485"/>
      <c r="F212" s="491">
        <f t="shared" si="10"/>
        <v>400</v>
      </c>
      <c r="G212" s="492"/>
      <c r="H212" s="1348"/>
      <c r="I212" s="790"/>
      <c r="J212" s="492">
        <v>400</v>
      </c>
      <c r="K212" s="1363"/>
      <c r="L212" s="780">
        <f t="shared" si="11"/>
        <v>400</v>
      </c>
      <c r="M212" s="671"/>
    </row>
    <row r="213" spans="1:13" s="454" customFormat="1" ht="18" customHeight="1" x14ac:dyDescent="0.3">
      <c r="A213" s="755">
        <v>207</v>
      </c>
      <c r="B213" s="484"/>
      <c r="C213" s="485">
        <v>12</v>
      </c>
      <c r="D213" s="560" t="s">
        <v>805</v>
      </c>
      <c r="E213" s="485"/>
      <c r="F213" s="491">
        <f t="shared" si="10"/>
        <v>600</v>
      </c>
      <c r="G213" s="492"/>
      <c r="H213" s="1348"/>
      <c r="I213" s="790"/>
      <c r="J213" s="492">
        <v>600</v>
      </c>
      <c r="K213" s="1363"/>
      <c r="L213" s="780">
        <f t="shared" si="11"/>
        <v>600</v>
      </c>
      <c r="M213" s="671"/>
    </row>
    <row r="214" spans="1:13" s="454" customFormat="1" ht="18" customHeight="1" x14ac:dyDescent="0.3">
      <c r="A214" s="755">
        <v>208</v>
      </c>
      <c r="B214" s="484"/>
      <c r="C214" s="485">
        <v>13</v>
      </c>
      <c r="D214" s="560" t="s">
        <v>806</v>
      </c>
      <c r="E214" s="485"/>
      <c r="F214" s="491">
        <f t="shared" si="10"/>
        <v>350</v>
      </c>
      <c r="G214" s="492"/>
      <c r="H214" s="1348"/>
      <c r="I214" s="790"/>
      <c r="J214" s="492">
        <v>350</v>
      </c>
      <c r="K214" s="1363"/>
      <c r="L214" s="780">
        <f t="shared" si="11"/>
        <v>350</v>
      </c>
      <c r="M214" s="671"/>
    </row>
    <row r="215" spans="1:13" s="454" customFormat="1" ht="18" customHeight="1" x14ac:dyDescent="0.3">
      <c r="A215" s="755">
        <v>209</v>
      </c>
      <c r="B215" s="484"/>
      <c r="C215" s="485">
        <v>14</v>
      </c>
      <c r="D215" s="560" t="s">
        <v>807</v>
      </c>
      <c r="E215" s="485"/>
      <c r="F215" s="491">
        <f t="shared" si="10"/>
        <v>250</v>
      </c>
      <c r="G215" s="492"/>
      <c r="H215" s="1348"/>
      <c r="I215" s="790"/>
      <c r="J215" s="492">
        <v>250</v>
      </c>
      <c r="K215" s="1363"/>
      <c r="L215" s="780">
        <f t="shared" si="11"/>
        <v>250</v>
      </c>
      <c r="M215" s="671"/>
    </row>
    <row r="216" spans="1:13" s="454" customFormat="1" ht="84" customHeight="1" x14ac:dyDescent="0.3">
      <c r="A216" s="755">
        <v>210</v>
      </c>
      <c r="B216" s="484"/>
      <c r="C216" s="494">
        <v>15</v>
      </c>
      <c r="D216" s="560" t="s">
        <v>1317</v>
      </c>
      <c r="E216" s="485"/>
      <c r="F216" s="491">
        <f t="shared" si="10"/>
        <v>1555</v>
      </c>
      <c r="G216" s="492"/>
      <c r="H216" s="1348"/>
      <c r="I216" s="790"/>
      <c r="J216" s="492">
        <v>1555</v>
      </c>
      <c r="K216" s="1363"/>
      <c r="L216" s="780">
        <f t="shared" si="11"/>
        <v>1555</v>
      </c>
      <c r="M216" s="671"/>
    </row>
    <row r="217" spans="1:13" s="454" customFormat="1" ht="18" customHeight="1" x14ac:dyDescent="0.3">
      <c r="A217" s="755">
        <v>211</v>
      </c>
      <c r="B217" s="484"/>
      <c r="C217" s="485">
        <v>16</v>
      </c>
      <c r="D217" s="560" t="s">
        <v>1316</v>
      </c>
      <c r="E217" s="485"/>
      <c r="F217" s="491">
        <f t="shared" si="10"/>
        <v>420</v>
      </c>
      <c r="G217" s="492"/>
      <c r="H217" s="1348"/>
      <c r="I217" s="790"/>
      <c r="J217" s="492">
        <v>420</v>
      </c>
      <c r="K217" s="1363"/>
      <c r="L217" s="780">
        <f t="shared" si="11"/>
        <v>420</v>
      </c>
      <c r="M217" s="671"/>
    </row>
    <row r="218" spans="1:13" s="454" customFormat="1" ht="18" customHeight="1" x14ac:dyDescent="0.3">
      <c r="A218" s="755">
        <v>212</v>
      </c>
      <c r="B218" s="484"/>
      <c r="C218" s="485">
        <v>17</v>
      </c>
      <c r="D218" s="560" t="s">
        <v>1314</v>
      </c>
      <c r="E218" s="485"/>
      <c r="F218" s="491">
        <f t="shared" si="10"/>
        <v>1150</v>
      </c>
      <c r="G218" s="492"/>
      <c r="H218" s="1348"/>
      <c r="I218" s="790"/>
      <c r="J218" s="492">
        <v>1150</v>
      </c>
      <c r="K218" s="1363"/>
      <c r="L218" s="780">
        <f t="shared" si="11"/>
        <v>1150</v>
      </c>
      <c r="M218" s="671"/>
    </row>
    <row r="219" spans="1:13" s="454" customFormat="1" ht="22.5" customHeight="1" x14ac:dyDescent="0.35">
      <c r="A219" s="755">
        <v>213</v>
      </c>
      <c r="B219" s="484">
        <v>4</v>
      </c>
      <c r="C219" s="487"/>
      <c r="D219" s="677" t="s">
        <v>341</v>
      </c>
      <c r="E219" s="485" t="s">
        <v>24</v>
      </c>
      <c r="F219" s="491"/>
      <c r="G219" s="489"/>
      <c r="H219" s="1351"/>
      <c r="I219" s="792"/>
      <c r="J219" s="489"/>
      <c r="K219" s="1365"/>
      <c r="L219" s="780"/>
      <c r="M219" s="672"/>
    </row>
    <row r="220" spans="1:13" s="483" customFormat="1" x14ac:dyDescent="0.3">
      <c r="A220" s="755">
        <v>214</v>
      </c>
      <c r="B220" s="484"/>
      <c r="C220" s="494">
        <v>1</v>
      </c>
      <c r="D220" s="560" t="s">
        <v>459</v>
      </c>
      <c r="E220" s="485"/>
      <c r="F220" s="491">
        <f t="shared" si="10"/>
        <v>0</v>
      </c>
      <c r="G220" s="492"/>
      <c r="H220" s="1348"/>
      <c r="I220" s="790">
        <v>1000</v>
      </c>
      <c r="J220" s="492">
        <v>0</v>
      </c>
      <c r="K220" s="1363"/>
      <c r="L220" s="780">
        <f t="shared" si="11"/>
        <v>0</v>
      </c>
      <c r="M220" s="671"/>
    </row>
    <row r="221" spans="1:13" s="483" customFormat="1" ht="71.25" customHeight="1" x14ac:dyDescent="0.3">
      <c r="A221" s="755">
        <v>215</v>
      </c>
      <c r="B221" s="484"/>
      <c r="C221" s="494">
        <v>2</v>
      </c>
      <c r="D221" s="560" t="s">
        <v>1289</v>
      </c>
      <c r="E221" s="485"/>
      <c r="F221" s="491">
        <f t="shared" si="10"/>
        <v>4631</v>
      </c>
      <c r="G221" s="492"/>
      <c r="H221" s="1348"/>
      <c r="I221" s="790"/>
      <c r="J221" s="492">
        <v>4631</v>
      </c>
      <c r="K221" s="1363"/>
      <c r="L221" s="780">
        <f t="shared" si="11"/>
        <v>4631</v>
      </c>
      <c r="M221" s="671"/>
    </row>
    <row r="222" spans="1:13" s="483" customFormat="1" x14ac:dyDescent="0.3">
      <c r="A222" s="755">
        <v>216</v>
      </c>
      <c r="B222" s="484"/>
      <c r="C222" s="494"/>
      <c r="D222" s="676" t="s">
        <v>456</v>
      </c>
      <c r="E222" s="485"/>
      <c r="F222" s="491"/>
      <c r="G222" s="492"/>
      <c r="H222" s="1348"/>
      <c r="I222" s="790"/>
      <c r="J222" s="492"/>
      <c r="K222" s="1363"/>
      <c r="L222" s="780"/>
      <c r="M222" s="671"/>
    </row>
    <row r="223" spans="1:13" s="483" customFormat="1" ht="18" customHeight="1" x14ac:dyDescent="0.3">
      <c r="A223" s="755">
        <v>217</v>
      </c>
      <c r="B223" s="484"/>
      <c r="C223" s="494">
        <v>3</v>
      </c>
      <c r="D223" s="560" t="s">
        <v>459</v>
      </c>
      <c r="E223" s="485"/>
      <c r="F223" s="491">
        <f t="shared" si="10"/>
        <v>0</v>
      </c>
      <c r="G223" s="492"/>
      <c r="H223" s="1348"/>
      <c r="I223" s="790">
        <v>900</v>
      </c>
      <c r="J223" s="492">
        <v>0</v>
      </c>
      <c r="K223" s="1363"/>
      <c r="L223" s="780">
        <f t="shared" si="11"/>
        <v>0</v>
      </c>
      <c r="M223" s="671"/>
    </row>
    <row r="224" spans="1:13" s="483" customFormat="1" ht="69" customHeight="1" x14ac:dyDescent="0.3">
      <c r="A224" s="755">
        <v>218</v>
      </c>
      <c r="B224" s="484"/>
      <c r="C224" s="494">
        <v>4</v>
      </c>
      <c r="D224" s="560" t="s">
        <v>809</v>
      </c>
      <c r="E224" s="485"/>
      <c r="F224" s="491">
        <f t="shared" si="10"/>
        <v>1481</v>
      </c>
      <c r="G224" s="492"/>
      <c r="H224" s="1348"/>
      <c r="I224" s="790"/>
      <c r="J224" s="492">
        <f>581+900</f>
        <v>1481</v>
      </c>
      <c r="K224" s="1363"/>
      <c r="L224" s="780">
        <f t="shared" si="11"/>
        <v>1481</v>
      </c>
      <c r="M224" s="671"/>
    </row>
    <row r="225" spans="1:13" s="483" customFormat="1" ht="18" customHeight="1" x14ac:dyDescent="0.3">
      <c r="A225" s="755">
        <v>219</v>
      </c>
      <c r="B225" s="484"/>
      <c r="C225" s="494">
        <v>5</v>
      </c>
      <c r="D225" s="560" t="s">
        <v>808</v>
      </c>
      <c r="E225" s="485"/>
      <c r="F225" s="491">
        <f t="shared" si="10"/>
        <v>1269</v>
      </c>
      <c r="G225" s="492"/>
      <c r="H225" s="1348"/>
      <c r="I225" s="790"/>
      <c r="J225" s="492">
        <v>1269</v>
      </c>
      <c r="K225" s="1363"/>
      <c r="L225" s="780">
        <f t="shared" si="11"/>
        <v>1269</v>
      </c>
      <c r="M225" s="671"/>
    </row>
    <row r="226" spans="1:13" s="483" customFormat="1" ht="22.5" customHeight="1" x14ac:dyDescent="0.35">
      <c r="A226" s="755">
        <v>220</v>
      </c>
      <c r="B226" s="484">
        <v>5</v>
      </c>
      <c r="C226" s="487"/>
      <c r="D226" s="677" t="s">
        <v>342</v>
      </c>
      <c r="E226" s="485" t="s">
        <v>24</v>
      </c>
      <c r="F226" s="491"/>
      <c r="G226" s="489"/>
      <c r="H226" s="1351"/>
      <c r="I226" s="792"/>
      <c r="J226" s="489"/>
      <c r="K226" s="1365"/>
      <c r="L226" s="780"/>
      <c r="M226" s="672"/>
    </row>
    <row r="227" spans="1:13" s="454" customFormat="1" x14ac:dyDescent="0.3">
      <c r="A227" s="755">
        <v>221</v>
      </c>
      <c r="B227" s="484"/>
      <c r="C227" s="494">
        <v>1</v>
      </c>
      <c r="D227" s="560" t="s">
        <v>459</v>
      </c>
      <c r="E227" s="485"/>
      <c r="F227" s="491">
        <f t="shared" si="10"/>
        <v>0</v>
      </c>
      <c r="G227" s="492"/>
      <c r="H227" s="1348"/>
      <c r="I227" s="790">
        <v>2400</v>
      </c>
      <c r="J227" s="492">
        <v>0</v>
      </c>
      <c r="K227" s="1363"/>
      <c r="L227" s="780">
        <f t="shared" si="11"/>
        <v>0</v>
      </c>
      <c r="M227" s="671"/>
    </row>
    <row r="228" spans="1:13" s="454" customFormat="1" x14ac:dyDescent="0.3">
      <c r="A228" s="755">
        <v>222</v>
      </c>
      <c r="B228" s="484"/>
      <c r="C228" s="494">
        <v>2</v>
      </c>
      <c r="D228" s="757" t="s">
        <v>813</v>
      </c>
      <c r="E228" s="485"/>
      <c r="F228" s="491">
        <f t="shared" si="10"/>
        <v>830</v>
      </c>
      <c r="G228" s="492"/>
      <c r="H228" s="1348"/>
      <c r="I228" s="790"/>
      <c r="J228" s="492">
        <v>830</v>
      </c>
      <c r="K228" s="1363"/>
      <c r="L228" s="780">
        <f t="shared" si="11"/>
        <v>830</v>
      </c>
      <c r="M228" s="671"/>
    </row>
    <row r="229" spans="1:13" s="454" customFormat="1" x14ac:dyDescent="0.3">
      <c r="A229" s="755">
        <v>223</v>
      </c>
      <c r="B229" s="484"/>
      <c r="C229" s="494">
        <v>3</v>
      </c>
      <c r="D229" s="560" t="s">
        <v>814</v>
      </c>
      <c r="E229" s="485"/>
      <c r="F229" s="491">
        <f t="shared" si="10"/>
        <v>580</v>
      </c>
      <c r="G229" s="492"/>
      <c r="H229" s="1348"/>
      <c r="I229" s="790"/>
      <c r="J229" s="492">
        <v>580</v>
      </c>
      <c r="K229" s="1363"/>
      <c r="L229" s="780">
        <f t="shared" si="11"/>
        <v>580</v>
      </c>
      <c r="M229" s="671"/>
    </row>
    <row r="230" spans="1:13" s="454" customFormat="1" x14ac:dyDescent="0.3">
      <c r="A230" s="755">
        <v>224</v>
      </c>
      <c r="B230" s="484"/>
      <c r="C230" s="494">
        <v>4</v>
      </c>
      <c r="D230" s="560" t="s">
        <v>811</v>
      </c>
      <c r="E230" s="485"/>
      <c r="F230" s="491">
        <f t="shared" si="10"/>
        <v>300</v>
      </c>
      <c r="G230" s="492"/>
      <c r="H230" s="1348"/>
      <c r="I230" s="790"/>
      <c r="J230" s="492">
        <v>300</v>
      </c>
      <c r="K230" s="1363"/>
      <c r="L230" s="780">
        <f t="shared" si="11"/>
        <v>300</v>
      </c>
      <c r="M230" s="671"/>
    </row>
    <row r="231" spans="1:13" s="454" customFormat="1" ht="153" customHeight="1" x14ac:dyDescent="0.3">
      <c r="A231" s="755">
        <v>225</v>
      </c>
      <c r="B231" s="484"/>
      <c r="C231" s="494">
        <v>5</v>
      </c>
      <c r="D231" s="560" t="s">
        <v>1322</v>
      </c>
      <c r="E231" s="485"/>
      <c r="F231" s="491">
        <f t="shared" si="10"/>
        <v>4590</v>
      </c>
      <c r="G231" s="492"/>
      <c r="H231" s="1348"/>
      <c r="I231" s="790"/>
      <c r="J231" s="492">
        <v>4590</v>
      </c>
      <c r="K231" s="1363"/>
      <c r="L231" s="780">
        <f t="shared" si="11"/>
        <v>4590</v>
      </c>
      <c r="M231" s="671"/>
    </row>
    <row r="232" spans="1:13" s="454" customFormat="1" x14ac:dyDescent="0.3">
      <c r="A232" s="755">
        <v>226</v>
      </c>
      <c r="B232" s="484"/>
      <c r="C232" s="494"/>
      <c r="D232" s="676" t="s">
        <v>457</v>
      </c>
      <c r="E232" s="485"/>
      <c r="F232" s="491"/>
      <c r="G232" s="492"/>
      <c r="H232" s="1348"/>
      <c r="I232" s="790"/>
      <c r="J232" s="492"/>
      <c r="K232" s="1363"/>
      <c r="L232" s="780"/>
      <c r="M232" s="671"/>
    </row>
    <row r="233" spans="1:13" s="454" customFormat="1" x14ac:dyDescent="0.3">
      <c r="A233" s="755">
        <v>227</v>
      </c>
      <c r="B233" s="484"/>
      <c r="C233" s="494">
        <v>6</v>
      </c>
      <c r="D233" s="560" t="s">
        <v>459</v>
      </c>
      <c r="E233" s="485"/>
      <c r="F233" s="491">
        <f t="shared" si="10"/>
        <v>0</v>
      </c>
      <c r="G233" s="492"/>
      <c r="H233" s="1348"/>
      <c r="I233" s="790">
        <v>2400</v>
      </c>
      <c r="J233" s="492">
        <v>0</v>
      </c>
      <c r="K233" s="1363"/>
      <c r="L233" s="780">
        <f t="shared" si="11"/>
        <v>0</v>
      </c>
      <c r="M233" s="671"/>
    </row>
    <row r="234" spans="1:13" s="454" customFormat="1" x14ac:dyDescent="0.3">
      <c r="A234" s="755">
        <v>228</v>
      </c>
      <c r="B234" s="484"/>
      <c r="C234" s="494">
        <v>7</v>
      </c>
      <c r="D234" s="560" t="s">
        <v>815</v>
      </c>
      <c r="E234" s="485"/>
      <c r="F234" s="491">
        <f t="shared" si="10"/>
        <v>0</v>
      </c>
      <c r="G234" s="492"/>
      <c r="H234" s="1348"/>
      <c r="I234" s="790">
        <v>500</v>
      </c>
      <c r="J234" s="492">
        <v>0</v>
      </c>
      <c r="K234" s="1363"/>
      <c r="L234" s="780">
        <f t="shared" si="11"/>
        <v>0</v>
      </c>
      <c r="M234" s="671"/>
    </row>
    <row r="235" spans="1:13" s="454" customFormat="1" x14ac:dyDescent="0.3">
      <c r="A235" s="755">
        <v>229</v>
      </c>
      <c r="B235" s="484"/>
      <c r="C235" s="494">
        <v>8</v>
      </c>
      <c r="D235" s="560" t="s">
        <v>812</v>
      </c>
      <c r="E235" s="485"/>
      <c r="F235" s="491">
        <f t="shared" si="10"/>
        <v>0</v>
      </c>
      <c r="G235" s="492"/>
      <c r="H235" s="1348"/>
      <c r="I235" s="790"/>
      <c r="J235" s="492">
        <v>0</v>
      </c>
      <c r="K235" s="1363"/>
      <c r="L235" s="780">
        <f t="shared" si="11"/>
        <v>0</v>
      </c>
      <c r="M235" s="671"/>
    </row>
    <row r="236" spans="1:13" s="454" customFormat="1" ht="117.75" customHeight="1" x14ac:dyDescent="0.3">
      <c r="A236" s="755">
        <v>230</v>
      </c>
      <c r="B236" s="484"/>
      <c r="C236" s="494">
        <v>9</v>
      </c>
      <c r="D236" s="560" t="s">
        <v>1323</v>
      </c>
      <c r="E236" s="485"/>
      <c r="F236" s="491">
        <f t="shared" si="10"/>
        <v>3620</v>
      </c>
      <c r="G236" s="492"/>
      <c r="H236" s="1348"/>
      <c r="I236" s="790"/>
      <c r="J236" s="492">
        <v>3620</v>
      </c>
      <c r="K236" s="1363"/>
      <c r="L236" s="780">
        <f t="shared" si="11"/>
        <v>3620</v>
      </c>
      <c r="M236" s="671"/>
    </row>
    <row r="237" spans="1:13" s="454" customFormat="1" x14ac:dyDescent="0.3">
      <c r="A237" s="755">
        <v>231</v>
      </c>
      <c r="B237" s="484"/>
      <c r="C237" s="494">
        <v>10</v>
      </c>
      <c r="D237" s="560" t="s">
        <v>812</v>
      </c>
      <c r="E237" s="485"/>
      <c r="F237" s="491">
        <f t="shared" si="10"/>
        <v>2680</v>
      </c>
      <c r="G237" s="492"/>
      <c r="H237" s="1348"/>
      <c r="I237" s="790"/>
      <c r="J237" s="492">
        <v>2680</v>
      </c>
      <c r="K237" s="1363"/>
      <c r="L237" s="780">
        <f t="shared" si="11"/>
        <v>2680</v>
      </c>
      <c r="M237" s="671"/>
    </row>
    <row r="238" spans="1:13" s="454" customFormat="1" ht="22.5" customHeight="1" x14ac:dyDescent="0.35">
      <c r="A238" s="755">
        <v>232</v>
      </c>
      <c r="B238" s="484">
        <v>6</v>
      </c>
      <c r="C238" s="487"/>
      <c r="D238" s="677" t="s">
        <v>286</v>
      </c>
      <c r="E238" s="485" t="s">
        <v>24</v>
      </c>
      <c r="F238" s="491"/>
      <c r="G238" s="489"/>
      <c r="H238" s="1351"/>
      <c r="I238" s="792"/>
      <c r="J238" s="489"/>
      <c r="K238" s="1365"/>
      <c r="L238" s="780"/>
      <c r="M238" s="672"/>
    </row>
    <row r="239" spans="1:13" s="483" customFormat="1" ht="18" customHeight="1" x14ac:dyDescent="0.3">
      <c r="A239" s="755">
        <v>233</v>
      </c>
      <c r="B239" s="484"/>
      <c r="C239" s="485">
        <v>1</v>
      </c>
      <c r="D239" s="560" t="s">
        <v>459</v>
      </c>
      <c r="E239" s="485"/>
      <c r="F239" s="491">
        <f t="shared" si="10"/>
        <v>0</v>
      </c>
      <c r="G239" s="492"/>
      <c r="H239" s="1348"/>
      <c r="I239" s="790">
        <v>500</v>
      </c>
      <c r="J239" s="492">
        <v>0</v>
      </c>
      <c r="K239" s="1363"/>
      <c r="L239" s="780">
        <f t="shared" si="11"/>
        <v>0</v>
      </c>
      <c r="M239" s="671"/>
    </row>
    <row r="240" spans="1:13" s="483" customFormat="1" ht="18" customHeight="1" x14ac:dyDescent="0.3">
      <c r="A240" s="755">
        <v>234</v>
      </c>
      <c r="B240" s="484"/>
      <c r="C240" s="485">
        <v>2</v>
      </c>
      <c r="D240" s="560" t="s">
        <v>816</v>
      </c>
      <c r="E240" s="485"/>
      <c r="F240" s="491">
        <f t="shared" si="10"/>
        <v>200</v>
      </c>
      <c r="G240" s="492"/>
      <c r="H240" s="1348"/>
      <c r="I240" s="790"/>
      <c r="J240" s="492">
        <v>200</v>
      </c>
      <c r="K240" s="1363"/>
      <c r="L240" s="780">
        <f t="shared" si="11"/>
        <v>200</v>
      </c>
      <c r="M240" s="671"/>
    </row>
    <row r="241" spans="1:13" s="483" customFormat="1" ht="18" customHeight="1" x14ac:dyDescent="0.3">
      <c r="A241" s="755">
        <v>235</v>
      </c>
      <c r="B241" s="484"/>
      <c r="C241" s="485">
        <v>3</v>
      </c>
      <c r="D241" s="560" t="s">
        <v>1321</v>
      </c>
      <c r="E241" s="485"/>
      <c r="F241" s="491">
        <f t="shared" si="10"/>
        <v>1050</v>
      </c>
      <c r="G241" s="492"/>
      <c r="H241" s="1348"/>
      <c r="I241" s="790"/>
      <c r="J241" s="492">
        <v>1050</v>
      </c>
      <c r="K241" s="1363"/>
      <c r="L241" s="780">
        <f t="shared" si="11"/>
        <v>1050</v>
      </c>
      <c r="M241" s="671"/>
    </row>
    <row r="242" spans="1:13" s="483" customFormat="1" ht="18" customHeight="1" x14ac:dyDescent="0.3">
      <c r="A242" s="755">
        <v>236</v>
      </c>
      <c r="B242" s="484"/>
      <c r="C242" s="485">
        <v>4</v>
      </c>
      <c r="D242" s="560" t="s">
        <v>817</v>
      </c>
      <c r="E242" s="485"/>
      <c r="F242" s="491">
        <f t="shared" si="10"/>
        <v>300</v>
      </c>
      <c r="G242" s="492"/>
      <c r="H242" s="1348"/>
      <c r="I242" s="790"/>
      <c r="J242" s="492">
        <v>300</v>
      </c>
      <c r="K242" s="1363"/>
      <c r="L242" s="780">
        <f t="shared" si="11"/>
        <v>300</v>
      </c>
      <c r="M242" s="671"/>
    </row>
    <row r="243" spans="1:13" s="483" customFormat="1" ht="66" customHeight="1" x14ac:dyDescent="0.3">
      <c r="A243" s="755">
        <v>237</v>
      </c>
      <c r="B243" s="484"/>
      <c r="C243" s="494">
        <v>5</v>
      </c>
      <c r="D243" s="1706" t="s">
        <v>1411</v>
      </c>
      <c r="E243" s="485"/>
      <c r="F243" s="491">
        <f t="shared" si="10"/>
        <v>5111</v>
      </c>
      <c r="G243" s="492"/>
      <c r="H243" s="1348"/>
      <c r="I243" s="790"/>
      <c r="J243" s="492">
        <v>5026</v>
      </c>
      <c r="K243" s="1363">
        <v>85</v>
      </c>
      <c r="L243" s="780">
        <f t="shared" si="11"/>
        <v>5111</v>
      </c>
      <c r="M243" s="671"/>
    </row>
    <row r="244" spans="1:13" s="483" customFormat="1" ht="18" customHeight="1" x14ac:dyDescent="0.3">
      <c r="A244" s="755">
        <v>238</v>
      </c>
      <c r="B244" s="484"/>
      <c r="C244" s="494">
        <v>6</v>
      </c>
      <c r="D244" s="1706" t="s">
        <v>1409</v>
      </c>
      <c r="E244" s="485"/>
      <c r="F244" s="491">
        <f t="shared" si="10"/>
        <v>1500</v>
      </c>
      <c r="G244" s="492"/>
      <c r="H244" s="1348"/>
      <c r="I244" s="790"/>
      <c r="J244" s="492"/>
      <c r="K244" s="1363">
        <v>1500</v>
      </c>
      <c r="L244" s="780">
        <f t="shared" si="11"/>
        <v>1500</v>
      </c>
      <c r="M244" s="671"/>
    </row>
    <row r="245" spans="1:13" s="483" customFormat="1" ht="18" customHeight="1" x14ac:dyDescent="0.3">
      <c r="A245" s="755">
        <v>239</v>
      </c>
      <c r="B245" s="484"/>
      <c r="C245" s="494">
        <v>7</v>
      </c>
      <c r="D245" s="1706" t="s">
        <v>1410</v>
      </c>
      <c r="E245" s="485"/>
      <c r="F245" s="491">
        <f t="shared" si="10"/>
        <v>200</v>
      </c>
      <c r="G245" s="492"/>
      <c r="H245" s="1348"/>
      <c r="I245" s="790"/>
      <c r="J245" s="492"/>
      <c r="K245" s="1363">
        <v>200</v>
      </c>
      <c r="L245" s="780">
        <f t="shared" si="11"/>
        <v>200</v>
      </c>
      <c r="M245" s="671"/>
    </row>
    <row r="246" spans="1:13" s="483" customFormat="1" ht="18" customHeight="1" x14ac:dyDescent="0.3">
      <c r="A246" s="755">
        <v>240</v>
      </c>
      <c r="B246" s="484"/>
      <c r="C246" s="485"/>
      <c r="D246" s="676" t="s">
        <v>458</v>
      </c>
      <c r="E246" s="485"/>
      <c r="F246" s="491"/>
      <c r="G246" s="492"/>
      <c r="H246" s="1348"/>
      <c r="I246" s="790"/>
      <c r="J246" s="492"/>
      <c r="K246" s="1363"/>
      <c r="L246" s="780"/>
      <c r="M246" s="671"/>
    </row>
    <row r="247" spans="1:13" s="483" customFormat="1" ht="18" customHeight="1" x14ac:dyDescent="0.3">
      <c r="A247" s="755">
        <v>241</v>
      </c>
      <c r="B247" s="484"/>
      <c r="C247" s="485">
        <v>8</v>
      </c>
      <c r="D247" s="560" t="s">
        <v>459</v>
      </c>
      <c r="E247" s="485"/>
      <c r="F247" s="491">
        <f t="shared" si="10"/>
        <v>0</v>
      </c>
      <c r="G247" s="492"/>
      <c r="H247" s="1348"/>
      <c r="I247" s="790">
        <v>600</v>
      </c>
      <c r="J247" s="492">
        <v>0</v>
      </c>
      <c r="K247" s="1363"/>
      <c r="L247" s="780">
        <f t="shared" si="11"/>
        <v>0</v>
      </c>
      <c r="M247" s="671"/>
    </row>
    <row r="248" spans="1:13" s="483" customFormat="1" ht="18" customHeight="1" x14ac:dyDescent="0.3">
      <c r="A248" s="755">
        <v>242</v>
      </c>
      <c r="B248" s="484"/>
      <c r="C248" s="485">
        <v>9</v>
      </c>
      <c r="D248" s="560" t="s">
        <v>816</v>
      </c>
      <c r="E248" s="485"/>
      <c r="F248" s="491">
        <f t="shared" si="10"/>
        <v>200</v>
      </c>
      <c r="G248" s="492"/>
      <c r="H248" s="1348"/>
      <c r="I248" s="790"/>
      <c r="J248" s="492">
        <v>200</v>
      </c>
      <c r="K248" s="1363"/>
      <c r="L248" s="780">
        <f t="shared" si="11"/>
        <v>200</v>
      </c>
      <c r="M248" s="671"/>
    </row>
    <row r="249" spans="1:13" s="483" customFormat="1" ht="18" customHeight="1" x14ac:dyDescent="0.3">
      <c r="A249" s="755">
        <v>243</v>
      </c>
      <c r="B249" s="484"/>
      <c r="C249" s="485">
        <v>10</v>
      </c>
      <c r="D249" s="560" t="s">
        <v>818</v>
      </c>
      <c r="E249" s="485"/>
      <c r="F249" s="491">
        <f t="shared" si="10"/>
        <v>370</v>
      </c>
      <c r="G249" s="492"/>
      <c r="H249" s="1348"/>
      <c r="I249" s="790"/>
      <c r="J249" s="492">
        <v>370</v>
      </c>
      <c r="K249" s="1363"/>
      <c r="L249" s="780">
        <f t="shared" si="11"/>
        <v>370</v>
      </c>
      <c r="M249" s="671"/>
    </row>
    <row r="250" spans="1:13" s="483" customFormat="1" ht="18" customHeight="1" x14ac:dyDescent="0.3">
      <c r="A250" s="755">
        <v>244</v>
      </c>
      <c r="B250" s="484"/>
      <c r="C250" s="485">
        <v>11</v>
      </c>
      <c r="D250" s="560" t="s">
        <v>1320</v>
      </c>
      <c r="E250" s="485"/>
      <c r="F250" s="491">
        <f t="shared" si="10"/>
        <v>30</v>
      </c>
      <c r="G250" s="492"/>
      <c r="H250" s="1348"/>
      <c r="I250" s="790"/>
      <c r="J250" s="492">
        <v>30</v>
      </c>
      <c r="K250" s="1363"/>
      <c r="L250" s="780">
        <f t="shared" si="11"/>
        <v>30</v>
      </c>
      <c r="M250" s="671"/>
    </row>
    <row r="251" spans="1:13" s="483" customFormat="1" ht="18" customHeight="1" x14ac:dyDescent="0.3">
      <c r="A251" s="755">
        <v>245</v>
      </c>
      <c r="B251" s="484"/>
      <c r="C251" s="485">
        <v>12</v>
      </c>
      <c r="D251" s="560" t="s">
        <v>1412</v>
      </c>
      <c r="E251" s="485"/>
      <c r="F251" s="491">
        <f t="shared" si="10"/>
        <v>115</v>
      </c>
      <c r="G251" s="492"/>
      <c r="H251" s="1348"/>
      <c r="I251" s="790"/>
      <c r="J251" s="492"/>
      <c r="K251" s="1363">
        <v>115</v>
      </c>
      <c r="L251" s="780">
        <f t="shared" si="11"/>
        <v>115</v>
      </c>
      <c r="M251" s="671"/>
    </row>
    <row r="252" spans="1:13" s="454" customFormat="1" ht="22.5" customHeight="1" x14ac:dyDescent="0.35">
      <c r="A252" s="755">
        <v>246</v>
      </c>
      <c r="B252" s="495">
        <v>7</v>
      </c>
      <c r="C252" s="485"/>
      <c r="D252" s="682" t="s">
        <v>518</v>
      </c>
      <c r="E252" s="494" t="s">
        <v>24</v>
      </c>
      <c r="F252" s="491"/>
      <c r="G252" s="475"/>
      <c r="H252" s="1347"/>
      <c r="I252" s="789"/>
      <c r="J252" s="475"/>
      <c r="K252" s="1362"/>
      <c r="L252" s="780"/>
      <c r="M252" s="671"/>
    </row>
    <row r="253" spans="1:13" s="454" customFormat="1" ht="18" customHeight="1" x14ac:dyDescent="0.35">
      <c r="A253" s="755">
        <v>247</v>
      </c>
      <c r="B253" s="495"/>
      <c r="C253" s="485"/>
      <c r="D253" s="676" t="s">
        <v>567</v>
      </c>
      <c r="E253" s="494"/>
      <c r="F253" s="491"/>
      <c r="G253" s="475"/>
      <c r="H253" s="1347"/>
      <c r="I253" s="789"/>
      <c r="J253" s="475"/>
      <c r="K253" s="1362"/>
      <c r="L253" s="780"/>
      <c r="M253" s="671"/>
    </row>
    <row r="254" spans="1:13" s="454" customFormat="1" ht="36" customHeight="1" x14ac:dyDescent="0.3">
      <c r="A254" s="755">
        <v>248</v>
      </c>
      <c r="B254" s="495"/>
      <c r="C254" s="494">
        <v>1</v>
      </c>
      <c r="D254" s="560" t="s">
        <v>1326</v>
      </c>
      <c r="E254" s="494"/>
      <c r="F254" s="491">
        <f t="shared" si="10"/>
        <v>790</v>
      </c>
      <c r="G254" s="475"/>
      <c r="H254" s="1347"/>
      <c r="I254" s="790">
        <v>300</v>
      </c>
      <c r="J254" s="492">
        <v>790</v>
      </c>
      <c r="K254" s="1363"/>
      <c r="L254" s="780">
        <f t="shared" si="11"/>
        <v>790</v>
      </c>
      <c r="M254" s="671"/>
    </row>
    <row r="255" spans="1:13" s="454" customFormat="1" ht="18" customHeight="1" x14ac:dyDescent="0.3">
      <c r="A255" s="755">
        <v>249</v>
      </c>
      <c r="B255" s="495"/>
      <c r="C255" s="494">
        <v>2</v>
      </c>
      <c r="D255" s="560" t="s">
        <v>1346</v>
      </c>
      <c r="E255" s="494"/>
      <c r="F255" s="491">
        <f t="shared" si="10"/>
        <v>410</v>
      </c>
      <c r="G255" s="475"/>
      <c r="H255" s="1347"/>
      <c r="I255" s="790"/>
      <c r="J255" s="492">
        <v>410</v>
      </c>
      <c r="K255" s="1363"/>
      <c r="L255" s="780">
        <f t="shared" si="11"/>
        <v>410</v>
      </c>
      <c r="M255" s="671"/>
    </row>
    <row r="256" spans="1:13" s="454" customFormat="1" x14ac:dyDescent="0.35">
      <c r="A256" s="755">
        <v>250</v>
      </c>
      <c r="B256" s="495"/>
      <c r="C256" s="485"/>
      <c r="D256" s="676" t="s">
        <v>460</v>
      </c>
      <c r="E256" s="494"/>
      <c r="F256" s="491"/>
      <c r="G256" s="475"/>
      <c r="H256" s="1347"/>
      <c r="I256" s="789"/>
      <c r="J256" s="475"/>
      <c r="K256" s="1362"/>
      <c r="L256" s="780"/>
      <c r="M256" s="671"/>
    </row>
    <row r="257" spans="1:13" s="454" customFormat="1" ht="33.75" customHeight="1" x14ac:dyDescent="0.3">
      <c r="A257" s="755">
        <v>251</v>
      </c>
      <c r="B257" s="495"/>
      <c r="C257" s="494">
        <v>3</v>
      </c>
      <c r="D257" s="560" t="s">
        <v>1326</v>
      </c>
      <c r="E257" s="494"/>
      <c r="F257" s="491">
        <f t="shared" si="10"/>
        <v>2120</v>
      </c>
      <c r="G257" s="475"/>
      <c r="H257" s="1347"/>
      <c r="I257" s="790">
        <v>320</v>
      </c>
      <c r="J257" s="492">
        <v>2120</v>
      </c>
      <c r="K257" s="1363"/>
      <c r="L257" s="780">
        <f t="shared" si="11"/>
        <v>2120</v>
      </c>
      <c r="M257" s="671"/>
    </row>
    <row r="258" spans="1:13" s="454" customFormat="1" x14ac:dyDescent="0.35">
      <c r="A258" s="755">
        <v>252</v>
      </c>
      <c r="B258" s="495"/>
      <c r="C258" s="485"/>
      <c r="D258" s="676" t="s">
        <v>461</v>
      </c>
      <c r="E258" s="494"/>
      <c r="F258" s="491"/>
      <c r="G258" s="475"/>
      <c r="H258" s="1347"/>
      <c r="I258" s="789"/>
      <c r="J258" s="475"/>
      <c r="K258" s="1362"/>
      <c r="L258" s="780"/>
      <c r="M258" s="671"/>
    </row>
    <row r="259" spans="1:13" s="454" customFormat="1" ht="33" customHeight="1" x14ac:dyDescent="0.3">
      <c r="A259" s="755">
        <v>253</v>
      </c>
      <c r="B259" s="495"/>
      <c r="C259" s="494">
        <v>4</v>
      </c>
      <c r="D259" s="560" t="s">
        <v>1326</v>
      </c>
      <c r="E259" s="494"/>
      <c r="F259" s="491">
        <f t="shared" si="10"/>
        <v>2540</v>
      </c>
      <c r="G259" s="475"/>
      <c r="H259" s="1347"/>
      <c r="I259" s="790">
        <v>1300</v>
      </c>
      <c r="J259" s="492">
        <v>2540</v>
      </c>
      <c r="K259" s="1363"/>
      <c r="L259" s="780">
        <f t="shared" ref="L259:L347" si="12">SUM(J259:K259)</f>
        <v>2540</v>
      </c>
      <c r="M259" s="671"/>
    </row>
    <row r="260" spans="1:13" s="454" customFormat="1" ht="18" customHeight="1" x14ac:dyDescent="0.3">
      <c r="A260" s="755">
        <v>254</v>
      </c>
      <c r="B260" s="495"/>
      <c r="C260" s="494">
        <v>5</v>
      </c>
      <c r="D260" s="560" t="s">
        <v>1347</v>
      </c>
      <c r="E260" s="494"/>
      <c r="F260" s="491">
        <f t="shared" si="10"/>
        <v>560</v>
      </c>
      <c r="G260" s="475"/>
      <c r="H260" s="1347"/>
      <c r="I260" s="790"/>
      <c r="J260" s="492">
        <v>560</v>
      </c>
      <c r="K260" s="1363"/>
      <c r="L260" s="780">
        <f t="shared" si="12"/>
        <v>560</v>
      </c>
      <c r="M260" s="671"/>
    </row>
    <row r="261" spans="1:13" s="454" customFormat="1" x14ac:dyDescent="0.35">
      <c r="A261" s="755">
        <v>255</v>
      </c>
      <c r="B261" s="495"/>
      <c r="C261" s="485"/>
      <c r="D261" s="676" t="s">
        <v>463</v>
      </c>
      <c r="E261" s="494"/>
      <c r="F261" s="491"/>
      <c r="G261" s="475"/>
      <c r="H261" s="1347"/>
      <c r="I261" s="789"/>
      <c r="J261" s="475"/>
      <c r="K261" s="1362"/>
      <c r="L261" s="780"/>
      <c r="M261" s="671"/>
    </row>
    <row r="262" spans="1:13" s="454" customFormat="1" ht="47.25" customHeight="1" x14ac:dyDescent="0.3">
      <c r="A262" s="755">
        <v>256</v>
      </c>
      <c r="B262" s="495"/>
      <c r="C262" s="494">
        <v>6</v>
      </c>
      <c r="D262" s="560" t="s">
        <v>1327</v>
      </c>
      <c r="E262" s="494"/>
      <c r="F262" s="491">
        <f t="shared" si="10"/>
        <v>3900</v>
      </c>
      <c r="G262" s="475"/>
      <c r="H262" s="1347"/>
      <c r="I262" s="790">
        <v>1500</v>
      </c>
      <c r="J262" s="492">
        <v>3000</v>
      </c>
      <c r="K262" s="1363">
        <v>900</v>
      </c>
      <c r="L262" s="780">
        <f t="shared" si="12"/>
        <v>3900</v>
      </c>
      <c r="M262" s="671"/>
    </row>
    <row r="263" spans="1:13" s="454" customFormat="1" ht="17.25" customHeight="1" x14ac:dyDescent="0.35">
      <c r="A263" s="755">
        <v>257</v>
      </c>
      <c r="B263" s="495"/>
      <c r="C263" s="485"/>
      <c r="D263" s="676" t="s">
        <v>462</v>
      </c>
      <c r="E263" s="494"/>
      <c r="F263" s="491"/>
      <c r="G263" s="475"/>
      <c r="H263" s="1347"/>
      <c r="I263" s="789"/>
      <c r="J263" s="475"/>
      <c r="K263" s="1362"/>
      <c r="L263" s="780"/>
      <c r="M263" s="671"/>
    </row>
    <row r="264" spans="1:13" s="454" customFormat="1" ht="32.25" customHeight="1" x14ac:dyDescent="0.3">
      <c r="A264" s="755">
        <v>258</v>
      </c>
      <c r="B264" s="495"/>
      <c r="C264" s="494">
        <v>7</v>
      </c>
      <c r="D264" s="560" t="s">
        <v>1326</v>
      </c>
      <c r="E264" s="494"/>
      <c r="F264" s="491">
        <f t="shared" si="10"/>
        <v>2300</v>
      </c>
      <c r="G264" s="475"/>
      <c r="H264" s="1347"/>
      <c r="I264" s="790">
        <v>800</v>
      </c>
      <c r="J264" s="492">
        <v>2300</v>
      </c>
      <c r="K264" s="1363"/>
      <c r="L264" s="780">
        <f t="shared" si="12"/>
        <v>2300</v>
      </c>
      <c r="M264" s="671"/>
    </row>
    <row r="265" spans="1:13" s="454" customFormat="1" ht="17.25" customHeight="1" x14ac:dyDescent="0.3">
      <c r="A265" s="755">
        <v>259</v>
      </c>
      <c r="B265" s="495"/>
      <c r="C265" s="494"/>
      <c r="D265" s="676" t="s">
        <v>1325</v>
      </c>
      <c r="E265" s="494"/>
      <c r="F265" s="491"/>
      <c r="G265" s="475"/>
      <c r="H265" s="1347"/>
      <c r="I265" s="790"/>
      <c r="J265" s="492"/>
      <c r="K265" s="1363"/>
      <c r="L265" s="780"/>
      <c r="M265" s="671"/>
    </row>
    <row r="266" spans="1:13" s="454" customFormat="1" ht="32.25" customHeight="1" x14ac:dyDescent="0.3">
      <c r="A266" s="755">
        <v>260</v>
      </c>
      <c r="B266" s="495"/>
      <c r="C266" s="494">
        <v>8</v>
      </c>
      <c r="D266" s="560" t="s">
        <v>1328</v>
      </c>
      <c r="E266" s="494"/>
      <c r="F266" s="491">
        <f t="shared" si="10"/>
        <v>300</v>
      </c>
      <c r="G266" s="475"/>
      <c r="H266" s="1347"/>
      <c r="I266" s="790"/>
      <c r="J266" s="492">
        <v>300</v>
      </c>
      <c r="K266" s="1363"/>
      <c r="L266" s="780">
        <f t="shared" si="12"/>
        <v>300</v>
      </c>
      <c r="M266" s="671"/>
    </row>
    <row r="267" spans="1:13" s="454" customFormat="1" x14ac:dyDescent="0.35">
      <c r="A267" s="755">
        <v>261</v>
      </c>
      <c r="B267" s="495"/>
      <c r="C267" s="485"/>
      <c r="D267" s="676" t="s">
        <v>412</v>
      </c>
      <c r="E267" s="494"/>
      <c r="F267" s="491"/>
      <c r="G267" s="475"/>
      <c r="H267" s="1347"/>
      <c r="I267" s="789"/>
      <c r="J267" s="475"/>
      <c r="K267" s="1362"/>
      <c r="L267" s="780"/>
      <c r="M267" s="671"/>
    </row>
    <row r="268" spans="1:13" s="454" customFormat="1" ht="33" customHeight="1" x14ac:dyDescent="0.3">
      <c r="A268" s="755">
        <v>262</v>
      </c>
      <c r="B268" s="484"/>
      <c r="C268" s="494">
        <v>9</v>
      </c>
      <c r="D268" s="560" t="s">
        <v>583</v>
      </c>
      <c r="E268" s="485"/>
      <c r="F268" s="491">
        <f t="shared" si="10"/>
        <v>110</v>
      </c>
      <c r="G268" s="492"/>
      <c r="H268" s="1348"/>
      <c r="I268" s="790">
        <v>150</v>
      </c>
      <c r="J268" s="492">
        <v>110</v>
      </c>
      <c r="K268" s="1363"/>
      <c r="L268" s="780">
        <f t="shared" si="12"/>
        <v>110</v>
      </c>
      <c r="M268" s="671"/>
    </row>
    <row r="269" spans="1:13" s="454" customFormat="1" ht="33" customHeight="1" x14ac:dyDescent="0.3">
      <c r="A269" s="755">
        <v>263</v>
      </c>
      <c r="B269" s="484"/>
      <c r="C269" s="494">
        <v>10</v>
      </c>
      <c r="D269" s="560" t="s">
        <v>941</v>
      </c>
      <c r="E269" s="485"/>
      <c r="F269" s="491">
        <f t="shared" si="10"/>
        <v>235</v>
      </c>
      <c r="G269" s="492"/>
      <c r="H269" s="1348"/>
      <c r="I269" s="790">
        <v>210</v>
      </c>
      <c r="J269" s="492">
        <v>235</v>
      </c>
      <c r="K269" s="1363"/>
      <c r="L269" s="780">
        <f t="shared" si="12"/>
        <v>235</v>
      </c>
      <c r="M269" s="671"/>
    </row>
    <row r="270" spans="1:13" s="454" customFormat="1" ht="18" customHeight="1" x14ac:dyDescent="0.3">
      <c r="A270" s="755">
        <v>264</v>
      </c>
      <c r="B270" s="484"/>
      <c r="C270" s="485"/>
      <c r="D270" s="715" t="s">
        <v>584</v>
      </c>
      <c r="E270" s="485"/>
      <c r="F270" s="491"/>
      <c r="G270" s="492"/>
      <c r="H270" s="1348"/>
      <c r="I270" s="790"/>
      <c r="J270" s="492"/>
      <c r="K270" s="1363"/>
      <c r="L270" s="780"/>
      <c r="M270" s="671"/>
    </row>
    <row r="271" spans="1:13" s="454" customFormat="1" ht="18" customHeight="1" x14ac:dyDescent="0.3">
      <c r="A271" s="755">
        <v>265</v>
      </c>
      <c r="B271" s="484"/>
      <c r="C271" s="485">
        <v>11</v>
      </c>
      <c r="D271" s="560" t="s">
        <v>585</v>
      </c>
      <c r="E271" s="485"/>
      <c r="F271" s="491">
        <f t="shared" si="10"/>
        <v>650</v>
      </c>
      <c r="G271" s="492"/>
      <c r="H271" s="1348"/>
      <c r="I271" s="790">
        <v>690</v>
      </c>
      <c r="J271" s="492">
        <v>650</v>
      </c>
      <c r="K271" s="1363"/>
      <c r="L271" s="780">
        <f t="shared" si="12"/>
        <v>650</v>
      </c>
      <c r="M271" s="671"/>
    </row>
    <row r="272" spans="1:13" s="454" customFormat="1" ht="18" customHeight="1" x14ac:dyDescent="0.3">
      <c r="A272" s="755">
        <v>266</v>
      </c>
      <c r="B272" s="484"/>
      <c r="C272" s="485">
        <v>12</v>
      </c>
      <c r="D272" s="560" t="s">
        <v>586</v>
      </c>
      <c r="E272" s="485"/>
      <c r="F272" s="491">
        <f t="shared" si="10"/>
        <v>0</v>
      </c>
      <c r="G272" s="492"/>
      <c r="H272" s="1348"/>
      <c r="I272" s="790">
        <v>420</v>
      </c>
      <c r="J272" s="492">
        <v>0</v>
      </c>
      <c r="K272" s="1363"/>
      <c r="L272" s="780">
        <f t="shared" si="12"/>
        <v>0</v>
      </c>
      <c r="M272" s="671"/>
    </row>
    <row r="273" spans="1:13" s="454" customFormat="1" ht="18" customHeight="1" x14ac:dyDescent="0.3">
      <c r="A273" s="755">
        <v>267</v>
      </c>
      <c r="B273" s="484"/>
      <c r="C273" s="485">
        <v>13</v>
      </c>
      <c r="D273" s="560" t="s">
        <v>587</v>
      </c>
      <c r="E273" s="485"/>
      <c r="F273" s="491">
        <f t="shared" si="10"/>
        <v>240</v>
      </c>
      <c r="G273" s="492"/>
      <c r="H273" s="1348"/>
      <c r="I273" s="790">
        <v>240</v>
      </c>
      <c r="J273" s="492">
        <v>240</v>
      </c>
      <c r="K273" s="1363"/>
      <c r="L273" s="780">
        <f t="shared" si="12"/>
        <v>240</v>
      </c>
      <c r="M273" s="671"/>
    </row>
    <row r="274" spans="1:13" s="454" customFormat="1" ht="18" customHeight="1" x14ac:dyDescent="0.3">
      <c r="A274" s="755">
        <v>268</v>
      </c>
      <c r="B274" s="484"/>
      <c r="C274" s="485">
        <v>14</v>
      </c>
      <c r="D274" s="560" t="s">
        <v>588</v>
      </c>
      <c r="E274" s="485"/>
      <c r="F274" s="491">
        <f t="shared" si="10"/>
        <v>0</v>
      </c>
      <c r="G274" s="492"/>
      <c r="H274" s="1348"/>
      <c r="I274" s="790">
        <v>400</v>
      </c>
      <c r="J274" s="492">
        <v>0</v>
      </c>
      <c r="K274" s="1363"/>
      <c r="L274" s="780">
        <f t="shared" si="12"/>
        <v>0</v>
      </c>
      <c r="M274" s="671"/>
    </row>
    <row r="275" spans="1:13" s="454" customFormat="1" ht="18" customHeight="1" x14ac:dyDescent="0.3">
      <c r="A275" s="755">
        <v>269</v>
      </c>
      <c r="B275" s="484"/>
      <c r="C275" s="485">
        <v>15</v>
      </c>
      <c r="D275" s="560" t="s">
        <v>589</v>
      </c>
      <c r="E275" s="485"/>
      <c r="F275" s="491">
        <f t="shared" si="10"/>
        <v>200</v>
      </c>
      <c r="G275" s="492"/>
      <c r="H275" s="1348"/>
      <c r="I275" s="790">
        <v>150</v>
      </c>
      <c r="J275" s="492">
        <v>200</v>
      </c>
      <c r="K275" s="1363"/>
      <c r="L275" s="780">
        <f t="shared" si="12"/>
        <v>200</v>
      </c>
      <c r="M275" s="671"/>
    </row>
    <row r="276" spans="1:13" s="454" customFormat="1" ht="18" customHeight="1" x14ac:dyDescent="0.3">
      <c r="A276" s="755">
        <v>270</v>
      </c>
      <c r="B276" s="484"/>
      <c r="C276" s="485">
        <v>16</v>
      </c>
      <c r="D276" s="490" t="s">
        <v>819</v>
      </c>
      <c r="E276" s="485"/>
      <c r="F276" s="491">
        <f t="shared" si="10"/>
        <v>1750</v>
      </c>
      <c r="G276" s="492"/>
      <c r="H276" s="1348"/>
      <c r="I276" s="790"/>
      <c r="J276" s="492">
        <v>1750</v>
      </c>
      <c r="K276" s="1363"/>
      <c r="L276" s="780">
        <f t="shared" si="12"/>
        <v>1750</v>
      </c>
      <c r="M276" s="671"/>
    </row>
    <row r="277" spans="1:13" s="454" customFormat="1" ht="33" customHeight="1" x14ac:dyDescent="0.3">
      <c r="A277" s="755">
        <v>271</v>
      </c>
      <c r="B277" s="484"/>
      <c r="C277" s="494">
        <v>17</v>
      </c>
      <c r="D277" s="490" t="s">
        <v>1348</v>
      </c>
      <c r="E277" s="485"/>
      <c r="F277" s="491">
        <f t="shared" si="10"/>
        <v>2775</v>
      </c>
      <c r="G277" s="492"/>
      <c r="H277" s="1348"/>
      <c r="I277" s="790"/>
      <c r="J277" s="492">
        <v>2775</v>
      </c>
      <c r="K277" s="1363"/>
      <c r="L277" s="780">
        <f t="shared" si="12"/>
        <v>2775</v>
      </c>
      <c r="M277" s="671"/>
    </row>
    <row r="278" spans="1:13" s="454" customFormat="1" ht="30" customHeight="1" x14ac:dyDescent="0.3">
      <c r="A278" s="755">
        <v>272</v>
      </c>
      <c r="B278" s="484"/>
      <c r="C278" s="494">
        <v>18</v>
      </c>
      <c r="D278" s="490" t="s">
        <v>952</v>
      </c>
      <c r="E278" s="485"/>
      <c r="F278" s="491">
        <f t="shared" si="10"/>
        <v>1400</v>
      </c>
      <c r="G278" s="492"/>
      <c r="H278" s="1348"/>
      <c r="I278" s="790"/>
      <c r="J278" s="492">
        <v>1400</v>
      </c>
      <c r="K278" s="1363"/>
      <c r="L278" s="780">
        <f t="shared" si="12"/>
        <v>1400</v>
      </c>
      <c r="M278" s="671"/>
    </row>
    <row r="279" spans="1:13" s="454" customFormat="1" ht="20.100000000000001" customHeight="1" x14ac:dyDescent="0.3">
      <c r="A279" s="755">
        <v>273</v>
      </c>
      <c r="B279" s="484"/>
      <c r="C279" s="485">
        <v>19</v>
      </c>
      <c r="D279" s="490" t="s">
        <v>1288</v>
      </c>
      <c r="E279" s="485"/>
      <c r="F279" s="491">
        <f t="shared" si="10"/>
        <v>8900</v>
      </c>
      <c r="G279" s="492"/>
      <c r="H279" s="1348"/>
      <c r="I279" s="790"/>
      <c r="J279" s="492">
        <v>8900</v>
      </c>
      <c r="K279" s="1363"/>
      <c r="L279" s="780">
        <f t="shared" si="12"/>
        <v>8900</v>
      </c>
      <c r="M279" s="671"/>
    </row>
    <row r="280" spans="1:13" s="454" customFormat="1" ht="18" customHeight="1" x14ac:dyDescent="0.35">
      <c r="A280" s="755">
        <v>274</v>
      </c>
      <c r="B280" s="484">
        <v>8</v>
      </c>
      <c r="C280" s="485"/>
      <c r="D280" s="682" t="s">
        <v>130</v>
      </c>
      <c r="E280" s="485" t="s">
        <v>24</v>
      </c>
      <c r="F280" s="491"/>
      <c r="G280" s="492"/>
      <c r="H280" s="1348"/>
      <c r="I280" s="790"/>
      <c r="J280" s="492"/>
      <c r="K280" s="1363"/>
      <c r="L280" s="780"/>
      <c r="M280" s="671"/>
    </row>
    <row r="281" spans="1:13" s="454" customFormat="1" ht="18" customHeight="1" x14ac:dyDescent="0.3">
      <c r="A281" s="755">
        <v>275</v>
      </c>
      <c r="B281" s="484"/>
      <c r="C281" s="485">
        <v>1</v>
      </c>
      <c r="D281" s="560" t="s">
        <v>820</v>
      </c>
      <c r="E281" s="485"/>
      <c r="F281" s="491">
        <f t="shared" si="10"/>
        <v>300</v>
      </c>
      <c r="G281" s="492"/>
      <c r="H281" s="1348"/>
      <c r="I281" s="790"/>
      <c r="J281" s="492">
        <v>300</v>
      </c>
      <c r="K281" s="1363"/>
      <c r="L281" s="780">
        <f t="shared" si="12"/>
        <v>300</v>
      </c>
      <c r="M281" s="671"/>
    </row>
    <row r="282" spans="1:13" s="454" customFormat="1" ht="18" customHeight="1" x14ac:dyDescent="0.3">
      <c r="A282" s="755">
        <v>276</v>
      </c>
      <c r="B282" s="484"/>
      <c r="C282" s="485">
        <v>2</v>
      </c>
      <c r="D282" s="560" t="s">
        <v>821</v>
      </c>
      <c r="E282" s="485"/>
      <c r="F282" s="491">
        <f t="shared" si="10"/>
        <v>250</v>
      </c>
      <c r="G282" s="492"/>
      <c r="H282" s="1348"/>
      <c r="I282" s="790"/>
      <c r="J282" s="492">
        <v>250</v>
      </c>
      <c r="K282" s="1363"/>
      <c r="L282" s="780">
        <f t="shared" si="12"/>
        <v>250</v>
      </c>
      <c r="M282" s="671"/>
    </row>
    <row r="283" spans="1:13" s="454" customFormat="1" ht="18" customHeight="1" x14ac:dyDescent="0.3">
      <c r="A283" s="755">
        <v>277</v>
      </c>
      <c r="B283" s="484"/>
      <c r="C283" s="485">
        <v>3</v>
      </c>
      <c r="D283" s="560" t="s">
        <v>803</v>
      </c>
      <c r="E283" s="485"/>
      <c r="F283" s="491">
        <f t="shared" si="10"/>
        <v>250</v>
      </c>
      <c r="G283" s="492"/>
      <c r="H283" s="1348"/>
      <c r="I283" s="790"/>
      <c r="J283" s="492">
        <v>250</v>
      </c>
      <c r="K283" s="1363"/>
      <c r="L283" s="780">
        <f t="shared" si="12"/>
        <v>250</v>
      </c>
      <c r="M283" s="671"/>
    </row>
    <row r="284" spans="1:13" s="454" customFormat="1" ht="81" customHeight="1" x14ac:dyDescent="0.3">
      <c r="A284" s="755">
        <v>278</v>
      </c>
      <c r="B284" s="484"/>
      <c r="C284" s="494">
        <v>4</v>
      </c>
      <c r="D284" s="1706" t="s">
        <v>1324</v>
      </c>
      <c r="E284" s="485"/>
      <c r="F284" s="491">
        <f t="shared" si="10"/>
        <v>1824</v>
      </c>
      <c r="G284" s="492"/>
      <c r="H284" s="1348"/>
      <c r="I284" s="790"/>
      <c r="J284" s="492">
        <v>1824</v>
      </c>
      <c r="K284" s="1363"/>
      <c r="L284" s="780">
        <f t="shared" si="12"/>
        <v>1824</v>
      </c>
      <c r="M284" s="671"/>
    </row>
    <row r="285" spans="1:13" s="454" customFormat="1" ht="22.5" customHeight="1" x14ac:dyDescent="0.35">
      <c r="A285" s="755">
        <v>279</v>
      </c>
      <c r="B285" s="484">
        <v>9</v>
      </c>
      <c r="C285" s="485"/>
      <c r="D285" s="714" t="s">
        <v>559</v>
      </c>
      <c r="E285" s="485" t="s">
        <v>24</v>
      </c>
      <c r="F285" s="491"/>
      <c r="G285" s="492"/>
      <c r="H285" s="1348"/>
      <c r="I285" s="790"/>
      <c r="J285" s="492"/>
      <c r="K285" s="1363"/>
      <c r="L285" s="780"/>
      <c r="M285" s="671"/>
    </row>
    <row r="286" spans="1:13" s="454" customFormat="1" ht="18" customHeight="1" x14ac:dyDescent="0.3">
      <c r="A286" s="755">
        <v>280</v>
      </c>
      <c r="B286" s="484"/>
      <c r="C286" s="485">
        <v>1</v>
      </c>
      <c r="D286" s="560" t="s">
        <v>575</v>
      </c>
      <c r="E286" s="485"/>
      <c r="F286" s="491">
        <f t="shared" ref="F286:F306" si="13">G286+H286+L286+M286</f>
        <v>0</v>
      </c>
      <c r="G286" s="492"/>
      <c r="H286" s="1348"/>
      <c r="I286" s="790">
        <v>90</v>
      </c>
      <c r="J286" s="492">
        <v>0</v>
      </c>
      <c r="K286" s="1363"/>
      <c r="L286" s="780">
        <f t="shared" si="12"/>
        <v>0</v>
      </c>
      <c r="M286" s="671"/>
    </row>
    <row r="287" spans="1:13" s="454" customFormat="1" ht="18" customHeight="1" x14ac:dyDescent="0.3">
      <c r="A287" s="755">
        <v>281</v>
      </c>
      <c r="B287" s="484"/>
      <c r="C287" s="485">
        <v>2</v>
      </c>
      <c r="D287" s="560" t="s">
        <v>576</v>
      </c>
      <c r="E287" s="485"/>
      <c r="F287" s="491">
        <f t="shared" si="13"/>
        <v>0</v>
      </c>
      <c r="G287" s="492"/>
      <c r="H287" s="1348"/>
      <c r="I287" s="790">
        <v>100</v>
      </c>
      <c r="J287" s="492">
        <v>0</v>
      </c>
      <c r="K287" s="1363"/>
      <c r="L287" s="780">
        <f t="shared" si="12"/>
        <v>0</v>
      </c>
      <c r="M287" s="671"/>
    </row>
    <row r="288" spans="1:13" s="454" customFormat="1" ht="18" customHeight="1" x14ac:dyDescent="0.3">
      <c r="A288" s="755">
        <v>282</v>
      </c>
      <c r="B288" s="484"/>
      <c r="C288" s="485">
        <v>3</v>
      </c>
      <c r="D288" s="560" t="s">
        <v>577</v>
      </c>
      <c r="E288" s="485"/>
      <c r="F288" s="491">
        <f t="shared" si="13"/>
        <v>0</v>
      </c>
      <c r="G288" s="492"/>
      <c r="H288" s="1348"/>
      <c r="I288" s="790">
        <v>45</v>
      </c>
      <c r="J288" s="492">
        <v>0</v>
      </c>
      <c r="K288" s="1363"/>
      <c r="L288" s="780">
        <f t="shared" si="12"/>
        <v>0</v>
      </c>
      <c r="M288" s="671"/>
    </row>
    <row r="289" spans="1:13" s="454" customFormat="1" ht="18" customHeight="1" x14ac:dyDescent="0.3">
      <c r="A289" s="755">
        <v>283</v>
      </c>
      <c r="B289" s="484"/>
      <c r="C289" s="485">
        <v>4</v>
      </c>
      <c r="D289" s="560" t="s">
        <v>578</v>
      </c>
      <c r="E289" s="485"/>
      <c r="F289" s="491">
        <f t="shared" si="13"/>
        <v>0</v>
      </c>
      <c r="G289" s="492"/>
      <c r="H289" s="1348"/>
      <c r="I289" s="790">
        <v>300</v>
      </c>
      <c r="J289" s="492">
        <v>0</v>
      </c>
      <c r="K289" s="1363"/>
      <c r="L289" s="780">
        <f t="shared" si="12"/>
        <v>0</v>
      </c>
      <c r="M289" s="671"/>
    </row>
    <row r="290" spans="1:13" s="454" customFormat="1" ht="18" customHeight="1" x14ac:dyDescent="0.3">
      <c r="A290" s="755">
        <v>284</v>
      </c>
      <c r="B290" s="484"/>
      <c r="C290" s="485">
        <v>5</v>
      </c>
      <c r="D290" s="560" t="s">
        <v>579</v>
      </c>
      <c r="E290" s="485"/>
      <c r="F290" s="491">
        <f t="shared" si="13"/>
        <v>0</v>
      </c>
      <c r="G290" s="492"/>
      <c r="H290" s="1348"/>
      <c r="I290" s="790">
        <v>700</v>
      </c>
      <c r="J290" s="492">
        <v>0</v>
      </c>
      <c r="K290" s="1363"/>
      <c r="L290" s="780">
        <f t="shared" si="12"/>
        <v>0</v>
      </c>
      <c r="M290" s="671"/>
    </row>
    <row r="291" spans="1:13" s="454" customFormat="1" ht="18" customHeight="1" x14ac:dyDescent="0.3">
      <c r="A291" s="755">
        <v>285</v>
      </c>
      <c r="B291" s="484"/>
      <c r="C291" s="485">
        <v>6</v>
      </c>
      <c r="D291" s="560" t="s">
        <v>580</v>
      </c>
      <c r="E291" s="485"/>
      <c r="F291" s="491">
        <f t="shared" si="13"/>
        <v>0</v>
      </c>
      <c r="G291" s="492"/>
      <c r="H291" s="1348"/>
      <c r="I291" s="790">
        <v>350</v>
      </c>
      <c r="J291" s="492">
        <v>0</v>
      </c>
      <c r="K291" s="1363"/>
      <c r="L291" s="780">
        <f t="shared" si="12"/>
        <v>0</v>
      </c>
      <c r="M291" s="671"/>
    </row>
    <row r="292" spans="1:13" s="454" customFormat="1" ht="18" customHeight="1" x14ac:dyDescent="0.3">
      <c r="A292" s="755">
        <v>286</v>
      </c>
      <c r="B292" s="484"/>
      <c r="C292" s="485">
        <v>7</v>
      </c>
      <c r="D292" s="560" t="s">
        <v>581</v>
      </c>
      <c r="E292" s="485"/>
      <c r="F292" s="491">
        <f t="shared" si="13"/>
        <v>0</v>
      </c>
      <c r="G292" s="492"/>
      <c r="H292" s="1348"/>
      <c r="I292" s="790">
        <v>1000</v>
      </c>
      <c r="J292" s="492">
        <v>0</v>
      </c>
      <c r="K292" s="1363"/>
      <c r="L292" s="780">
        <f t="shared" si="12"/>
        <v>0</v>
      </c>
      <c r="M292" s="671"/>
    </row>
    <row r="293" spans="1:13" s="454" customFormat="1" ht="18" customHeight="1" x14ac:dyDescent="0.3">
      <c r="A293" s="755">
        <v>287</v>
      </c>
      <c r="B293" s="484"/>
      <c r="C293" s="485">
        <v>8</v>
      </c>
      <c r="D293" s="560" t="s">
        <v>582</v>
      </c>
      <c r="E293" s="485"/>
      <c r="F293" s="491">
        <f t="shared" si="13"/>
        <v>0</v>
      </c>
      <c r="G293" s="492"/>
      <c r="H293" s="1348"/>
      <c r="I293" s="790">
        <v>1800</v>
      </c>
      <c r="J293" s="492">
        <v>0</v>
      </c>
      <c r="K293" s="1363"/>
      <c r="L293" s="780">
        <f t="shared" si="12"/>
        <v>0</v>
      </c>
      <c r="M293" s="671"/>
    </row>
    <row r="294" spans="1:13" s="454" customFormat="1" ht="18" customHeight="1" x14ac:dyDescent="0.3">
      <c r="A294" s="755">
        <v>288</v>
      </c>
      <c r="B294" s="484"/>
      <c r="C294" s="485"/>
      <c r="D294" s="676" t="s">
        <v>943</v>
      </c>
      <c r="E294" s="485"/>
      <c r="F294" s="491"/>
      <c r="G294" s="492"/>
      <c r="H294" s="1348"/>
      <c r="I294" s="790"/>
      <c r="J294" s="492"/>
      <c r="K294" s="1363"/>
      <c r="L294" s="780"/>
      <c r="M294" s="671"/>
    </row>
    <row r="295" spans="1:13" s="454" customFormat="1" ht="63.75" customHeight="1" x14ac:dyDescent="0.3">
      <c r="A295" s="755">
        <v>289</v>
      </c>
      <c r="B295" s="484"/>
      <c r="C295" s="494">
        <v>9</v>
      </c>
      <c r="D295" s="560" t="s">
        <v>1329</v>
      </c>
      <c r="E295" s="485"/>
      <c r="F295" s="491">
        <f t="shared" si="13"/>
        <v>1340</v>
      </c>
      <c r="G295" s="492"/>
      <c r="H295" s="1348"/>
      <c r="I295" s="790"/>
      <c r="J295" s="492">
        <v>1000</v>
      </c>
      <c r="K295" s="1363">
        <v>340</v>
      </c>
      <c r="L295" s="780">
        <f t="shared" si="12"/>
        <v>1340</v>
      </c>
      <c r="M295" s="671"/>
    </row>
    <row r="296" spans="1:13" s="454" customFormat="1" ht="18" customHeight="1" x14ac:dyDescent="0.3">
      <c r="A296" s="755">
        <v>290</v>
      </c>
      <c r="B296" s="484"/>
      <c r="C296" s="494">
        <v>10</v>
      </c>
      <c r="D296" s="560" t="s">
        <v>1420</v>
      </c>
      <c r="E296" s="485"/>
      <c r="F296" s="491">
        <f t="shared" si="13"/>
        <v>210</v>
      </c>
      <c r="G296" s="492"/>
      <c r="H296" s="1348"/>
      <c r="I296" s="790"/>
      <c r="J296" s="492"/>
      <c r="K296" s="1363">
        <v>210</v>
      </c>
      <c r="L296" s="780">
        <f t="shared" si="12"/>
        <v>210</v>
      </c>
      <c r="M296" s="671"/>
    </row>
    <row r="297" spans="1:13" s="454" customFormat="1" ht="18" customHeight="1" x14ac:dyDescent="0.3">
      <c r="A297" s="755">
        <v>291</v>
      </c>
      <c r="B297" s="484"/>
      <c r="C297" s="485"/>
      <c r="D297" s="676" t="s">
        <v>944</v>
      </c>
      <c r="E297" s="485"/>
      <c r="F297" s="491"/>
      <c r="G297" s="492"/>
      <c r="H297" s="1348"/>
      <c r="I297" s="790"/>
      <c r="J297" s="492"/>
      <c r="K297" s="1363"/>
      <c r="L297" s="780"/>
      <c r="M297" s="671"/>
    </row>
    <row r="298" spans="1:13" s="454" customFormat="1" ht="63.75" customHeight="1" x14ac:dyDescent="0.3">
      <c r="A298" s="755">
        <v>292</v>
      </c>
      <c r="B298" s="484"/>
      <c r="C298" s="494">
        <v>11</v>
      </c>
      <c r="D298" s="560" t="s">
        <v>1330</v>
      </c>
      <c r="E298" s="485"/>
      <c r="F298" s="491">
        <f t="shared" si="13"/>
        <v>400</v>
      </c>
      <c r="G298" s="492"/>
      <c r="H298" s="1348"/>
      <c r="I298" s="790"/>
      <c r="J298" s="492">
        <v>400</v>
      </c>
      <c r="K298" s="1363"/>
      <c r="L298" s="780">
        <f t="shared" si="12"/>
        <v>400</v>
      </c>
      <c r="M298" s="671"/>
    </row>
    <row r="299" spans="1:13" s="454" customFormat="1" ht="18" customHeight="1" x14ac:dyDescent="0.3">
      <c r="A299" s="755">
        <v>293</v>
      </c>
      <c r="B299" s="484"/>
      <c r="C299" s="485">
        <v>12</v>
      </c>
      <c r="D299" s="560" t="s">
        <v>946</v>
      </c>
      <c r="E299" s="485"/>
      <c r="F299" s="491">
        <f t="shared" si="13"/>
        <v>400</v>
      </c>
      <c r="G299" s="492"/>
      <c r="H299" s="1348"/>
      <c r="I299" s="790"/>
      <c r="J299" s="492">
        <v>400</v>
      </c>
      <c r="K299" s="1363"/>
      <c r="L299" s="780">
        <f t="shared" si="12"/>
        <v>400</v>
      </c>
      <c r="M299" s="671"/>
    </row>
    <row r="300" spans="1:13" s="454" customFormat="1" ht="18" customHeight="1" x14ac:dyDescent="0.3">
      <c r="A300" s="755">
        <v>294</v>
      </c>
      <c r="B300" s="484"/>
      <c r="C300" s="485">
        <v>13</v>
      </c>
      <c r="D300" s="560" t="s">
        <v>947</v>
      </c>
      <c r="E300" s="485"/>
      <c r="F300" s="491">
        <f t="shared" si="13"/>
        <v>220</v>
      </c>
      <c r="G300" s="492"/>
      <c r="H300" s="1348"/>
      <c r="I300" s="790"/>
      <c r="J300" s="492">
        <v>220</v>
      </c>
      <c r="K300" s="1363"/>
      <c r="L300" s="780">
        <f t="shared" si="12"/>
        <v>220</v>
      </c>
      <c r="M300" s="671"/>
    </row>
    <row r="301" spans="1:13" s="454" customFormat="1" ht="18" customHeight="1" x14ac:dyDescent="0.3">
      <c r="A301" s="755">
        <v>295</v>
      </c>
      <c r="B301" s="484"/>
      <c r="C301" s="485"/>
      <c r="D301" s="676" t="s">
        <v>948</v>
      </c>
      <c r="E301" s="485"/>
      <c r="F301" s="491"/>
      <c r="G301" s="492"/>
      <c r="H301" s="1348"/>
      <c r="I301" s="790"/>
      <c r="J301" s="492"/>
      <c r="K301" s="1363"/>
      <c r="L301" s="780"/>
      <c r="M301" s="671"/>
    </row>
    <row r="302" spans="1:13" s="454" customFormat="1" ht="63" customHeight="1" x14ac:dyDescent="0.3">
      <c r="A302" s="755">
        <v>296</v>
      </c>
      <c r="B302" s="484"/>
      <c r="C302" s="494">
        <v>14</v>
      </c>
      <c r="D302" s="1689" t="s">
        <v>945</v>
      </c>
      <c r="E302" s="485"/>
      <c r="F302" s="491">
        <f t="shared" si="13"/>
        <v>500</v>
      </c>
      <c r="G302" s="492"/>
      <c r="H302" s="1348"/>
      <c r="I302" s="790"/>
      <c r="J302" s="492">
        <v>500</v>
      </c>
      <c r="K302" s="1363"/>
      <c r="L302" s="780">
        <f t="shared" si="12"/>
        <v>500</v>
      </c>
      <c r="M302" s="671"/>
    </row>
    <row r="303" spans="1:13" s="454" customFormat="1" ht="18" customHeight="1" x14ac:dyDescent="0.3">
      <c r="A303" s="755">
        <v>297</v>
      </c>
      <c r="B303" s="484"/>
      <c r="C303" s="485">
        <v>15</v>
      </c>
      <c r="D303" s="560" t="s">
        <v>949</v>
      </c>
      <c r="E303" s="485"/>
      <c r="F303" s="491">
        <f t="shared" si="13"/>
        <v>3450</v>
      </c>
      <c r="G303" s="492"/>
      <c r="H303" s="1348"/>
      <c r="I303" s="790"/>
      <c r="J303" s="492">
        <v>4000</v>
      </c>
      <c r="K303" s="1363">
        <v>-550</v>
      </c>
      <c r="L303" s="780">
        <f t="shared" si="12"/>
        <v>3450</v>
      </c>
      <c r="M303" s="671"/>
    </row>
    <row r="304" spans="1:13" s="454" customFormat="1" ht="18" customHeight="1" x14ac:dyDescent="0.3">
      <c r="A304" s="755">
        <v>298</v>
      </c>
      <c r="B304" s="484"/>
      <c r="C304" s="485">
        <v>16</v>
      </c>
      <c r="D304" s="560" t="s">
        <v>1331</v>
      </c>
      <c r="E304" s="485"/>
      <c r="F304" s="491">
        <f t="shared" si="13"/>
        <v>650</v>
      </c>
      <c r="G304" s="492"/>
      <c r="H304" s="1348"/>
      <c r="I304" s="790"/>
      <c r="J304" s="492">
        <v>650</v>
      </c>
      <c r="K304" s="1363"/>
      <c r="L304" s="780">
        <f t="shared" si="12"/>
        <v>650</v>
      </c>
      <c r="M304" s="671"/>
    </row>
    <row r="305" spans="1:13" s="454" customFormat="1" ht="22.5" customHeight="1" x14ac:dyDescent="0.35">
      <c r="A305" s="755">
        <v>299</v>
      </c>
      <c r="B305" s="484">
        <v>10</v>
      </c>
      <c r="C305" s="487"/>
      <c r="D305" s="677" t="s">
        <v>560</v>
      </c>
      <c r="E305" s="485" t="s">
        <v>24</v>
      </c>
      <c r="F305" s="491"/>
      <c r="G305" s="489"/>
      <c r="H305" s="1351"/>
      <c r="I305" s="792"/>
      <c r="J305" s="489"/>
      <c r="K305" s="1365"/>
      <c r="L305" s="780"/>
      <c r="M305" s="672"/>
    </row>
    <row r="306" spans="1:13" s="454" customFormat="1" ht="18" customHeight="1" x14ac:dyDescent="0.3">
      <c r="A306" s="755">
        <v>300</v>
      </c>
      <c r="B306" s="484"/>
      <c r="C306" s="485">
        <v>1</v>
      </c>
      <c r="D306" s="560" t="s">
        <v>459</v>
      </c>
      <c r="E306" s="485"/>
      <c r="F306" s="491">
        <f t="shared" si="13"/>
        <v>0</v>
      </c>
      <c r="G306" s="492"/>
      <c r="H306" s="1348"/>
      <c r="I306" s="790">
        <v>5000</v>
      </c>
      <c r="J306" s="492">
        <v>0</v>
      </c>
      <c r="K306" s="1363"/>
      <c r="L306" s="780">
        <f t="shared" si="12"/>
        <v>0</v>
      </c>
      <c r="M306" s="671"/>
    </row>
    <row r="307" spans="1:13" s="454" customFormat="1" ht="18" customHeight="1" x14ac:dyDescent="0.3">
      <c r="A307" s="755">
        <v>301</v>
      </c>
      <c r="B307" s="484"/>
      <c r="C307" s="485">
        <v>2</v>
      </c>
      <c r="D307" s="560" t="s">
        <v>839</v>
      </c>
      <c r="E307" s="485"/>
      <c r="F307" s="491">
        <f t="shared" ref="F307:F317" si="14">G307+H307+L307+M307</f>
        <v>2500</v>
      </c>
      <c r="G307" s="492"/>
      <c r="H307" s="1348"/>
      <c r="I307" s="790"/>
      <c r="J307" s="492">
        <v>2500</v>
      </c>
      <c r="K307" s="1363"/>
      <c r="L307" s="780">
        <f t="shared" si="12"/>
        <v>2500</v>
      </c>
      <c r="M307" s="671"/>
    </row>
    <row r="308" spans="1:13" s="454" customFormat="1" ht="18" customHeight="1" x14ac:dyDescent="0.3">
      <c r="A308" s="755">
        <v>302</v>
      </c>
      <c r="B308" s="484"/>
      <c r="C308" s="485">
        <v>3</v>
      </c>
      <c r="D308" s="560" t="s">
        <v>823</v>
      </c>
      <c r="E308" s="485"/>
      <c r="F308" s="491">
        <f t="shared" si="14"/>
        <v>300</v>
      </c>
      <c r="G308" s="492"/>
      <c r="H308" s="1348"/>
      <c r="I308" s="790"/>
      <c r="J308" s="492">
        <v>300</v>
      </c>
      <c r="K308" s="1363"/>
      <c r="L308" s="780">
        <f t="shared" si="12"/>
        <v>300</v>
      </c>
      <c r="M308" s="671"/>
    </row>
    <row r="309" spans="1:13" s="454" customFormat="1" ht="32.25" customHeight="1" x14ac:dyDescent="0.3">
      <c r="A309" s="755">
        <v>303</v>
      </c>
      <c r="B309" s="484"/>
      <c r="C309" s="494">
        <v>4</v>
      </c>
      <c r="D309" s="560" t="s">
        <v>1125</v>
      </c>
      <c r="E309" s="485"/>
      <c r="F309" s="491">
        <f t="shared" si="14"/>
        <v>1640</v>
      </c>
      <c r="G309" s="492"/>
      <c r="H309" s="1348"/>
      <c r="I309" s="790"/>
      <c r="J309" s="492">
        <v>1640</v>
      </c>
      <c r="K309" s="1363"/>
      <c r="L309" s="780">
        <f t="shared" si="12"/>
        <v>1640</v>
      </c>
      <c r="M309" s="671"/>
    </row>
    <row r="310" spans="1:13" s="454" customFormat="1" ht="18" customHeight="1" x14ac:dyDescent="0.3">
      <c r="A310" s="755">
        <v>304</v>
      </c>
      <c r="B310" s="484"/>
      <c r="C310" s="485">
        <v>5</v>
      </c>
      <c r="D310" s="560" t="s">
        <v>824</v>
      </c>
      <c r="E310" s="485"/>
      <c r="F310" s="491">
        <f t="shared" si="14"/>
        <v>600</v>
      </c>
      <c r="G310" s="492"/>
      <c r="H310" s="1348"/>
      <c r="I310" s="790"/>
      <c r="J310" s="492">
        <v>600</v>
      </c>
      <c r="K310" s="1363"/>
      <c r="L310" s="780">
        <f t="shared" si="12"/>
        <v>600</v>
      </c>
      <c r="M310" s="671"/>
    </row>
    <row r="311" spans="1:13" s="454" customFormat="1" ht="18" customHeight="1" x14ac:dyDescent="0.3">
      <c r="A311" s="755">
        <v>305</v>
      </c>
      <c r="B311" s="484"/>
      <c r="C311" s="485">
        <v>6</v>
      </c>
      <c r="D311" s="560" t="s">
        <v>822</v>
      </c>
      <c r="E311" s="485"/>
      <c r="F311" s="491">
        <f t="shared" si="14"/>
        <v>400</v>
      </c>
      <c r="G311" s="492"/>
      <c r="H311" s="1348"/>
      <c r="I311" s="790"/>
      <c r="J311" s="492">
        <v>400</v>
      </c>
      <c r="K311" s="1363"/>
      <c r="L311" s="780">
        <f t="shared" si="12"/>
        <v>400</v>
      </c>
      <c r="M311" s="671"/>
    </row>
    <row r="312" spans="1:13" s="454" customFormat="1" ht="32.25" customHeight="1" x14ac:dyDescent="0.3">
      <c r="A312" s="755">
        <v>306</v>
      </c>
      <c r="B312" s="484"/>
      <c r="C312" s="494">
        <v>7</v>
      </c>
      <c r="D312" s="560" t="s">
        <v>840</v>
      </c>
      <c r="E312" s="485"/>
      <c r="F312" s="491">
        <f t="shared" si="14"/>
        <v>254</v>
      </c>
      <c r="G312" s="492"/>
      <c r="H312" s="1348"/>
      <c r="I312" s="790"/>
      <c r="J312" s="492">
        <v>254</v>
      </c>
      <c r="K312" s="1363"/>
      <c r="L312" s="780">
        <f t="shared" si="12"/>
        <v>254</v>
      </c>
      <c r="M312" s="671"/>
    </row>
    <row r="313" spans="1:13" s="454" customFormat="1" ht="32.25" customHeight="1" x14ac:dyDescent="0.3">
      <c r="A313" s="755">
        <v>307</v>
      </c>
      <c r="B313" s="484"/>
      <c r="C313" s="494">
        <v>8</v>
      </c>
      <c r="D313" s="560" t="s">
        <v>921</v>
      </c>
      <c r="E313" s="485"/>
      <c r="F313" s="491">
        <f t="shared" si="14"/>
        <v>4050</v>
      </c>
      <c r="G313" s="492"/>
      <c r="H313" s="1348"/>
      <c r="I313" s="790"/>
      <c r="J313" s="492">
        <v>4050</v>
      </c>
      <c r="K313" s="1363"/>
      <c r="L313" s="780">
        <f t="shared" si="12"/>
        <v>4050</v>
      </c>
      <c r="M313" s="671"/>
    </row>
    <row r="314" spans="1:13" s="454" customFormat="1" ht="20.100000000000001" customHeight="1" x14ac:dyDescent="0.3">
      <c r="A314" s="755">
        <v>308</v>
      </c>
      <c r="B314" s="484"/>
      <c r="C314" s="494">
        <v>9</v>
      </c>
      <c r="D314" s="560" t="s">
        <v>1126</v>
      </c>
      <c r="E314" s="485"/>
      <c r="F314" s="491">
        <f t="shared" si="14"/>
        <v>254</v>
      </c>
      <c r="G314" s="492"/>
      <c r="H314" s="1348"/>
      <c r="I314" s="790"/>
      <c r="J314" s="492">
        <v>254</v>
      </c>
      <c r="K314" s="1363"/>
      <c r="L314" s="780">
        <f t="shared" si="12"/>
        <v>254</v>
      </c>
      <c r="M314" s="671"/>
    </row>
    <row r="315" spans="1:13" s="454" customFormat="1" ht="20.100000000000001" customHeight="1" x14ac:dyDescent="0.3">
      <c r="A315" s="755">
        <v>309</v>
      </c>
      <c r="B315" s="484"/>
      <c r="C315" s="494">
        <v>10</v>
      </c>
      <c r="D315" s="560" t="s">
        <v>1127</v>
      </c>
      <c r="E315" s="485"/>
      <c r="F315" s="491">
        <f t="shared" si="14"/>
        <v>600</v>
      </c>
      <c r="G315" s="492"/>
      <c r="H315" s="1348"/>
      <c r="I315" s="790"/>
      <c r="J315" s="492">
        <v>600</v>
      </c>
      <c r="K315" s="1363"/>
      <c r="L315" s="780">
        <f t="shared" si="12"/>
        <v>600</v>
      </c>
      <c r="M315" s="671"/>
    </row>
    <row r="316" spans="1:13" s="454" customFormat="1" ht="20.100000000000001" customHeight="1" x14ac:dyDescent="0.3">
      <c r="A316" s="755">
        <v>310</v>
      </c>
      <c r="B316" s="484"/>
      <c r="C316" s="494">
        <v>11</v>
      </c>
      <c r="D316" s="560" t="s">
        <v>1220</v>
      </c>
      <c r="E316" s="485"/>
      <c r="F316" s="491">
        <f t="shared" si="14"/>
        <v>250</v>
      </c>
      <c r="G316" s="492"/>
      <c r="H316" s="1348"/>
      <c r="I316" s="790"/>
      <c r="J316" s="492">
        <v>250</v>
      </c>
      <c r="K316" s="1363"/>
      <c r="L316" s="780">
        <f t="shared" si="12"/>
        <v>250</v>
      </c>
      <c r="M316" s="671"/>
    </row>
    <row r="317" spans="1:13" s="454" customFormat="1" ht="35.25" customHeight="1" x14ac:dyDescent="0.3">
      <c r="A317" s="755">
        <v>311</v>
      </c>
      <c r="B317" s="484"/>
      <c r="C317" s="494">
        <v>12</v>
      </c>
      <c r="D317" s="560" t="s">
        <v>1489</v>
      </c>
      <c r="E317" s="485"/>
      <c r="F317" s="491">
        <f t="shared" si="14"/>
        <v>934</v>
      </c>
      <c r="G317" s="492"/>
      <c r="H317" s="1348"/>
      <c r="I317" s="790"/>
      <c r="J317" s="492">
        <v>600</v>
      </c>
      <c r="K317" s="1363">
        <v>334</v>
      </c>
      <c r="L317" s="780">
        <f t="shared" si="12"/>
        <v>934</v>
      </c>
      <c r="M317" s="671"/>
    </row>
    <row r="318" spans="1:13" s="454" customFormat="1" ht="22.5" customHeight="1" x14ac:dyDescent="0.35">
      <c r="A318" s="755">
        <v>312</v>
      </c>
      <c r="B318" s="496">
        <v>11</v>
      </c>
      <c r="C318" s="497"/>
      <c r="D318" s="714" t="s">
        <v>531</v>
      </c>
      <c r="E318" s="493" t="s">
        <v>24</v>
      </c>
      <c r="F318" s="491"/>
      <c r="G318" s="498"/>
      <c r="H318" s="1352"/>
      <c r="I318" s="793"/>
      <c r="J318" s="1447"/>
      <c r="K318" s="1366"/>
      <c r="L318" s="780"/>
      <c r="M318" s="673"/>
    </row>
    <row r="319" spans="1:13" s="454" customFormat="1" ht="18" customHeight="1" x14ac:dyDescent="0.35">
      <c r="A319" s="755">
        <v>313</v>
      </c>
      <c r="B319" s="496"/>
      <c r="C319" s="485">
        <v>1</v>
      </c>
      <c r="D319" s="560" t="s">
        <v>459</v>
      </c>
      <c r="E319" s="493"/>
      <c r="F319" s="491">
        <f>G319+H319+L319+M319</f>
        <v>0</v>
      </c>
      <c r="G319" s="499"/>
      <c r="H319" s="1353"/>
      <c r="I319" s="794">
        <v>1500</v>
      </c>
      <c r="J319" s="1448">
        <v>0</v>
      </c>
      <c r="K319" s="1367"/>
      <c r="L319" s="780">
        <f t="shared" si="12"/>
        <v>0</v>
      </c>
      <c r="M319" s="647"/>
    </row>
    <row r="320" spans="1:13" s="454" customFormat="1" ht="18" customHeight="1" x14ac:dyDescent="0.35">
      <c r="A320" s="755">
        <v>314</v>
      </c>
      <c r="B320" s="496"/>
      <c r="C320" s="494">
        <v>2</v>
      </c>
      <c r="D320" s="560" t="s">
        <v>568</v>
      </c>
      <c r="E320" s="493"/>
      <c r="F320" s="491">
        <f>G320+H320+L320+M320</f>
        <v>2000</v>
      </c>
      <c r="G320" s="499"/>
      <c r="H320" s="1353"/>
      <c r="I320" s="794">
        <v>2000</v>
      </c>
      <c r="J320" s="1448">
        <v>2000</v>
      </c>
      <c r="K320" s="1367"/>
      <c r="L320" s="780">
        <f t="shared" si="12"/>
        <v>2000</v>
      </c>
      <c r="M320" s="647"/>
    </row>
    <row r="321" spans="1:13" s="454" customFormat="1" ht="18" customHeight="1" x14ac:dyDescent="0.35">
      <c r="A321" s="755">
        <v>315</v>
      </c>
      <c r="B321" s="496"/>
      <c r="C321" s="494">
        <v>3</v>
      </c>
      <c r="D321" s="560" t="s">
        <v>569</v>
      </c>
      <c r="E321" s="493"/>
      <c r="F321" s="491">
        <f>G321+H321+L321+M321</f>
        <v>900</v>
      </c>
      <c r="G321" s="499"/>
      <c r="H321" s="1353"/>
      <c r="I321" s="794">
        <v>900</v>
      </c>
      <c r="J321" s="1448">
        <v>900</v>
      </c>
      <c r="K321" s="1367"/>
      <c r="L321" s="780">
        <f t="shared" si="12"/>
        <v>900</v>
      </c>
      <c r="M321" s="647"/>
    </row>
    <row r="322" spans="1:13" s="454" customFormat="1" ht="69" customHeight="1" x14ac:dyDescent="0.3">
      <c r="A322" s="755">
        <v>316</v>
      </c>
      <c r="B322" s="496"/>
      <c r="C322" s="494">
        <v>4</v>
      </c>
      <c r="D322" s="560" t="s">
        <v>1130</v>
      </c>
      <c r="E322" s="493"/>
      <c r="F322" s="491">
        <f t="shared" ref="F322:F329" si="15">G322+H322+L322+M322</f>
        <v>2327</v>
      </c>
      <c r="G322" s="499"/>
      <c r="H322" s="1353"/>
      <c r="I322" s="794"/>
      <c r="J322" s="460">
        <v>2327</v>
      </c>
      <c r="K322" s="1368"/>
      <c r="L322" s="780">
        <f t="shared" si="12"/>
        <v>2327</v>
      </c>
      <c r="M322" s="647"/>
    </row>
    <row r="323" spans="1:13" s="454" customFormat="1" ht="18" customHeight="1" x14ac:dyDescent="0.35">
      <c r="A323" s="755">
        <v>317</v>
      </c>
      <c r="B323" s="496"/>
      <c r="C323" s="494">
        <v>5</v>
      </c>
      <c r="D323" s="560" t="s">
        <v>825</v>
      </c>
      <c r="E323" s="493"/>
      <c r="F323" s="491">
        <f t="shared" si="15"/>
        <v>200</v>
      </c>
      <c r="G323" s="499"/>
      <c r="H323" s="1353"/>
      <c r="I323" s="794"/>
      <c r="J323" s="1448">
        <v>200</v>
      </c>
      <c r="K323" s="1367"/>
      <c r="L323" s="780">
        <f t="shared" si="12"/>
        <v>200</v>
      </c>
      <c r="M323" s="647"/>
    </row>
    <row r="324" spans="1:13" s="454" customFormat="1" ht="50.25" customHeight="1" x14ac:dyDescent="0.3">
      <c r="A324" s="755">
        <v>318</v>
      </c>
      <c r="B324" s="496"/>
      <c r="C324" s="494">
        <v>6</v>
      </c>
      <c r="D324" s="560" t="s">
        <v>1425</v>
      </c>
      <c r="E324" s="493"/>
      <c r="F324" s="491">
        <f t="shared" si="15"/>
        <v>1313</v>
      </c>
      <c r="G324" s="499"/>
      <c r="H324" s="1353"/>
      <c r="I324" s="794"/>
      <c r="J324" s="460">
        <v>1163</v>
      </c>
      <c r="K324" s="1368">
        <v>150</v>
      </c>
      <c r="L324" s="780">
        <f t="shared" si="12"/>
        <v>1313</v>
      </c>
      <c r="M324" s="647"/>
    </row>
    <row r="325" spans="1:13" s="454" customFormat="1" ht="20.100000000000001" customHeight="1" x14ac:dyDescent="0.3">
      <c r="A325" s="755">
        <v>319</v>
      </c>
      <c r="B325" s="496"/>
      <c r="C325" s="494">
        <v>7</v>
      </c>
      <c r="D325" s="560" t="s">
        <v>1129</v>
      </c>
      <c r="E325" s="493"/>
      <c r="F325" s="491">
        <f t="shared" si="15"/>
        <v>1650</v>
      </c>
      <c r="G325" s="499"/>
      <c r="H325" s="1353"/>
      <c r="I325" s="794"/>
      <c r="J325" s="460">
        <v>1650</v>
      </c>
      <c r="K325" s="1368"/>
      <c r="L325" s="780">
        <f t="shared" si="12"/>
        <v>1650</v>
      </c>
      <c r="M325" s="647"/>
    </row>
    <row r="326" spans="1:13" s="454" customFormat="1" ht="20.100000000000001" customHeight="1" x14ac:dyDescent="0.3">
      <c r="A326" s="755">
        <v>320</v>
      </c>
      <c r="B326" s="496"/>
      <c r="C326" s="494">
        <v>8</v>
      </c>
      <c r="D326" s="560" t="s">
        <v>1131</v>
      </c>
      <c r="E326" s="493"/>
      <c r="F326" s="491">
        <f t="shared" si="15"/>
        <v>30</v>
      </c>
      <c r="G326" s="499"/>
      <c r="H326" s="1353"/>
      <c r="I326" s="794"/>
      <c r="J326" s="460">
        <v>30</v>
      </c>
      <c r="K326" s="1368"/>
      <c r="L326" s="780">
        <f t="shared" si="12"/>
        <v>30</v>
      </c>
      <c r="M326" s="647"/>
    </row>
    <row r="327" spans="1:13" s="454" customFormat="1" ht="20.100000000000001" customHeight="1" x14ac:dyDescent="0.3">
      <c r="A327" s="755">
        <v>321</v>
      </c>
      <c r="B327" s="496"/>
      <c r="C327" s="494">
        <v>9</v>
      </c>
      <c r="D327" s="560" t="s">
        <v>1268</v>
      </c>
      <c r="E327" s="493"/>
      <c r="F327" s="491">
        <f t="shared" si="15"/>
        <v>250</v>
      </c>
      <c r="G327" s="499"/>
      <c r="H327" s="1353"/>
      <c r="I327" s="794"/>
      <c r="J327" s="460">
        <v>250</v>
      </c>
      <c r="K327" s="1368"/>
      <c r="L327" s="780">
        <f t="shared" si="12"/>
        <v>250</v>
      </c>
      <c r="M327" s="647"/>
    </row>
    <row r="328" spans="1:13" s="454" customFormat="1" ht="20.100000000000001" customHeight="1" x14ac:dyDescent="0.3">
      <c r="A328" s="755">
        <v>322</v>
      </c>
      <c r="B328" s="496"/>
      <c r="C328" s="494">
        <v>10</v>
      </c>
      <c r="D328" s="560" t="s">
        <v>1267</v>
      </c>
      <c r="E328" s="493"/>
      <c r="F328" s="491">
        <f t="shared" si="15"/>
        <v>1323</v>
      </c>
      <c r="G328" s="499"/>
      <c r="H328" s="1353"/>
      <c r="I328" s="794"/>
      <c r="J328" s="460">
        <v>1323</v>
      </c>
      <c r="K328" s="1368"/>
      <c r="L328" s="780">
        <f t="shared" si="12"/>
        <v>1323</v>
      </c>
      <c r="M328" s="647"/>
    </row>
    <row r="329" spans="1:13" s="454" customFormat="1" ht="33.75" customHeight="1" x14ac:dyDescent="0.3">
      <c r="A329" s="755">
        <v>323</v>
      </c>
      <c r="B329" s="496"/>
      <c r="C329" s="494">
        <v>11</v>
      </c>
      <c r="D329" s="560" t="s">
        <v>1488</v>
      </c>
      <c r="E329" s="493"/>
      <c r="F329" s="491">
        <f t="shared" si="15"/>
        <v>622</v>
      </c>
      <c r="G329" s="499"/>
      <c r="H329" s="1353"/>
      <c r="I329" s="794"/>
      <c r="J329" s="460">
        <v>400</v>
      </c>
      <c r="K329" s="1368">
        <v>222</v>
      </c>
      <c r="L329" s="780">
        <f t="shared" si="12"/>
        <v>622</v>
      </c>
      <c r="M329" s="647"/>
    </row>
    <row r="330" spans="1:13" s="483" customFormat="1" ht="22.5" customHeight="1" x14ac:dyDescent="0.35">
      <c r="A330" s="755">
        <v>324</v>
      </c>
      <c r="B330" s="496">
        <v>12</v>
      </c>
      <c r="C330" s="500"/>
      <c r="D330" s="677" t="s">
        <v>323</v>
      </c>
      <c r="E330" s="493" t="s">
        <v>24</v>
      </c>
      <c r="F330" s="491"/>
      <c r="G330" s="499"/>
      <c r="H330" s="1353"/>
      <c r="I330" s="794"/>
      <c r="J330" s="1448"/>
      <c r="K330" s="1367"/>
      <c r="L330" s="780"/>
      <c r="M330" s="647"/>
    </row>
    <row r="331" spans="1:13" s="454" customFormat="1" ht="33" x14ac:dyDescent="0.3">
      <c r="A331" s="755">
        <v>325</v>
      </c>
      <c r="B331" s="496"/>
      <c r="C331" s="501">
        <v>1</v>
      </c>
      <c r="D331" s="560" t="s">
        <v>413</v>
      </c>
      <c r="E331" s="463"/>
      <c r="F331" s="491">
        <f>G331+H331+L331+M331</f>
        <v>21500</v>
      </c>
      <c r="G331" s="499"/>
      <c r="H331" s="1353"/>
      <c r="I331" s="795">
        <v>15000</v>
      </c>
      <c r="J331" s="460">
        <v>21500</v>
      </c>
      <c r="K331" s="1368"/>
      <c r="L331" s="780">
        <f t="shared" si="12"/>
        <v>21500</v>
      </c>
      <c r="M331" s="647"/>
    </row>
    <row r="332" spans="1:13" s="454" customFormat="1" ht="18" customHeight="1" x14ac:dyDescent="0.3">
      <c r="A332" s="755">
        <v>326</v>
      </c>
      <c r="B332" s="496"/>
      <c r="C332" s="500">
        <v>2</v>
      </c>
      <c r="D332" s="560" t="s">
        <v>459</v>
      </c>
      <c r="E332" s="493"/>
      <c r="F332" s="491">
        <f>G332+H332+L332+M332</f>
        <v>0</v>
      </c>
      <c r="G332" s="459"/>
      <c r="H332" s="1343"/>
      <c r="I332" s="795">
        <v>2000</v>
      </c>
      <c r="J332" s="460">
        <v>0</v>
      </c>
      <c r="K332" s="1368"/>
      <c r="L332" s="780">
        <f t="shared" si="12"/>
        <v>0</v>
      </c>
      <c r="M332" s="647"/>
    </row>
    <row r="333" spans="1:13" s="454" customFormat="1" ht="18" customHeight="1" x14ac:dyDescent="0.3">
      <c r="A333" s="755">
        <v>327</v>
      </c>
      <c r="B333" s="496"/>
      <c r="C333" s="500">
        <v>3</v>
      </c>
      <c r="D333" s="560" t="s">
        <v>826</v>
      </c>
      <c r="E333" s="493"/>
      <c r="F333" s="491">
        <f t="shared" ref="F333:F337" si="16">G333+H333+L333+M333</f>
        <v>1106</v>
      </c>
      <c r="G333" s="459"/>
      <c r="H333" s="1343"/>
      <c r="I333" s="795"/>
      <c r="J333" s="460">
        <v>1106</v>
      </c>
      <c r="K333" s="1368"/>
      <c r="L333" s="780">
        <f t="shared" si="12"/>
        <v>1106</v>
      </c>
      <c r="M333" s="647"/>
    </row>
    <row r="334" spans="1:13" s="454" customFormat="1" ht="18" customHeight="1" x14ac:dyDescent="0.3">
      <c r="A334" s="755">
        <v>328</v>
      </c>
      <c r="B334" s="496"/>
      <c r="C334" s="500">
        <v>4</v>
      </c>
      <c r="D334" s="560" t="s">
        <v>827</v>
      </c>
      <c r="E334" s="493"/>
      <c r="F334" s="491">
        <f t="shared" si="16"/>
        <v>1737</v>
      </c>
      <c r="G334" s="459"/>
      <c r="H334" s="1343"/>
      <c r="I334" s="795"/>
      <c r="J334" s="460">
        <v>1737</v>
      </c>
      <c r="K334" s="1368"/>
      <c r="L334" s="780">
        <f t="shared" si="12"/>
        <v>1737</v>
      </c>
      <c r="M334" s="647"/>
    </row>
    <row r="335" spans="1:13" s="454" customFormat="1" ht="68.25" customHeight="1" x14ac:dyDescent="0.3">
      <c r="A335" s="755">
        <v>329</v>
      </c>
      <c r="B335" s="496"/>
      <c r="C335" s="501">
        <v>5</v>
      </c>
      <c r="D335" s="560" t="s">
        <v>1263</v>
      </c>
      <c r="E335" s="493"/>
      <c r="F335" s="491">
        <f t="shared" si="16"/>
        <v>1965</v>
      </c>
      <c r="G335" s="459"/>
      <c r="H335" s="1343"/>
      <c r="I335" s="795"/>
      <c r="J335" s="460">
        <v>1965</v>
      </c>
      <c r="K335" s="1368"/>
      <c r="L335" s="780">
        <f t="shared" si="12"/>
        <v>1965</v>
      </c>
      <c r="M335" s="647"/>
    </row>
    <row r="336" spans="1:13" s="454" customFormat="1" ht="33.75" customHeight="1" x14ac:dyDescent="0.3">
      <c r="A336" s="755">
        <v>330</v>
      </c>
      <c r="B336" s="496"/>
      <c r="C336" s="501">
        <v>6</v>
      </c>
      <c r="D336" s="560" t="s">
        <v>921</v>
      </c>
      <c r="E336" s="493"/>
      <c r="F336" s="491">
        <f t="shared" si="16"/>
        <v>2400</v>
      </c>
      <c r="G336" s="459"/>
      <c r="H336" s="1343"/>
      <c r="I336" s="795"/>
      <c r="J336" s="460">
        <v>2400</v>
      </c>
      <c r="K336" s="1368"/>
      <c r="L336" s="780">
        <f t="shared" si="12"/>
        <v>2400</v>
      </c>
      <c r="M336" s="647"/>
    </row>
    <row r="337" spans="1:13" s="454" customFormat="1" ht="20.100000000000001" customHeight="1" x14ac:dyDescent="0.3">
      <c r="A337" s="755">
        <v>331</v>
      </c>
      <c r="B337" s="496"/>
      <c r="C337" s="501">
        <v>7</v>
      </c>
      <c r="D337" s="560" t="s">
        <v>1128</v>
      </c>
      <c r="E337" s="493"/>
      <c r="F337" s="491">
        <f t="shared" si="16"/>
        <v>92</v>
      </c>
      <c r="G337" s="459"/>
      <c r="H337" s="1343"/>
      <c r="I337" s="795"/>
      <c r="J337" s="460">
        <v>92</v>
      </c>
      <c r="K337" s="1368"/>
      <c r="L337" s="780">
        <f t="shared" si="12"/>
        <v>92</v>
      </c>
      <c r="M337" s="647"/>
    </row>
    <row r="338" spans="1:13" s="454" customFormat="1" ht="22.5" customHeight="1" x14ac:dyDescent="0.35">
      <c r="A338" s="755">
        <v>332</v>
      </c>
      <c r="B338" s="496">
        <v>13</v>
      </c>
      <c r="C338" s="500"/>
      <c r="D338" s="677" t="s">
        <v>36</v>
      </c>
      <c r="E338" s="493" t="s">
        <v>24</v>
      </c>
      <c r="F338" s="491"/>
      <c r="G338" s="459"/>
      <c r="H338" s="1343"/>
      <c r="I338" s="795"/>
      <c r="J338" s="460"/>
      <c r="K338" s="1368"/>
      <c r="L338" s="780"/>
      <c r="M338" s="647"/>
    </row>
    <row r="339" spans="1:13" s="454" customFormat="1" ht="66" customHeight="1" x14ac:dyDescent="0.3">
      <c r="A339" s="755">
        <v>333</v>
      </c>
      <c r="B339" s="496"/>
      <c r="C339" s="501">
        <v>1</v>
      </c>
      <c r="D339" s="560" t="s">
        <v>570</v>
      </c>
      <c r="E339" s="493"/>
      <c r="F339" s="491">
        <f>G339+H339+L339+M339</f>
        <v>55440</v>
      </c>
      <c r="G339" s="459"/>
      <c r="H339" s="1343"/>
      <c r="I339" s="795">
        <v>53846</v>
      </c>
      <c r="J339" s="460">
        <v>55440</v>
      </c>
      <c r="K339" s="1368"/>
      <c r="L339" s="780">
        <f t="shared" si="12"/>
        <v>55440</v>
      </c>
      <c r="M339" s="647"/>
    </row>
    <row r="340" spans="1:13" s="454" customFormat="1" ht="18" customHeight="1" x14ac:dyDescent="0.3">
      <c r="A340" s="755">
        <v>334</v>
      </c>
      <c r="B340" s="496"/>
      <c r="C340" s="500">
        <v>2</v>
      </c>
      <c r="D340" s="560" t="s">
        <v>571</v>
      </c>
      <c r="E340" s="493"/>
      <c r="F340" s="491">
        <f>G340+H340+L340+M340</f>
        <v>10000</v>
      </c>
      <c r="G340" s="459"/>
      <c r="H340" s="1343"/>
      <c r="I340" s="795">
        <v>10000</v>
      </c>
      <c r="J340" s="460">
        <v>10000</v>
      </c>
      <c r="K340" s="1368"/>
      <c r="L340" s="780">
        <f t="shared" si="12"/>
        <v>10000</v>
      </c>
      <c r="M340" s="647"/>
    </row>
    <row r="341" spans="1:13" s="454" customFormat="1" ht="18" customHeight="1" x14ac:dyDescent="0.3">
      <c r="A341" s="755">
        <v>335</v>
      </c>
      <c r="B341" s="496"/>
      <c r="C341" s="500">
        <v>3</v>
      </c>
      <c r="D341" s="560" t="s">
        <v>572</v>
      </c>
      <c r="E341" s="493"/>
      <c r="F341" s="491">
        <f>G341+H341+L341+M341</f>
        <v>3174</v>
      </c>
      <c r="G341" s="459"/>
      <c r="H341" s="1343"/>
      <c r="I341" s="795">
        <v>3174</v>
      </c>
      <c r="J341" s="460">
        <v>3174</v>
      </c>
      <c r="K341" s="1368"/>
      <c r="L341" s="780">
        <f t="shared" si="12"/>
        <v>3174</v>
      </c>
      <c r="M341" s="647"/>
    </row>
    <row r="342" spans="1:13" s="454" customFormat="1" ht="18" customHeight="1" x14ac:dyDescent="0.3">
      <c r="A342" s="755">
        <v>336</v>
      </c>
      <c r="B342" s="496"/>
      <c r="C342" s="500">
        <v>4</v>
      </c>
      <c r="D342" s="560" t="s">
        <v>573</v>
      </c>
      <c r="E342" s="493"/>
      <c r="F342" s="491">
        <f t="shared" ref="F342:F394" si="17">G342+H342+L342+M342</f>
        <v>530</v>
      </c>
      <c r="G342" s="459"/>
      <c r="H342" s="1343"/>
      <c r="I342" s="795">
        <v>80</v>
      </c>
      <c r="J342" s="460">
        <v>530</v>
      </c>
      <c r="K342" s="1368"/>
      <c r="L342" s="780">
        <f t="shared" si="12"/>
        <v>530</v>
      </c>
      <c r="M342" s="647"/>
    </row>
    <row r="343" spans="1:13" s="454" customFormat="1" ht="18" customHeight="1" x14ac:dyDescent="0.3">
      <c r="A343" s="755">
        <v>337</v>
      </c>
      <c r="B343" s="496"/>
      <c r="C343" s="500">
        <v>5</v>
      </c>
      <c r="D343" s="560" t="s">
        <v>574</v>
      </c>
      <c r="E343" s="493"/>
      <c r="F343" s="491">
        <f t="shared" si="17"/>
        <v>333</v>
      </c>
      <c r="G343" s="459"/>
      <c r="H343" s="1343"/>
      <c r="I343" s="795">
        <v>38</v>
      </c>
      <c r="J343" s="460">
        <v>333</v>
      </c>
      <c r="K343" s="1368"/>
      <c r="L343" s="780">
        <f t="shared" si="12"/>
        <v>333</v>
      </c>
      <c r="M343" s="647"/>
    </row>
    <row r="344" spans="1:13" s="454" customFormat="1" ht="18" customHeight="1" x14ac:dyDescent="0.3">
      <c r="A344" s="755">
        <v>338</v>
      </c>
      <c r="B344" s="496"/>
      <c r="C344" s="500">
        <v>6</v>
      </c>
      <c r="D344" s="560" t="s">
        <v>459</v>
      </c>
      <c r="E344" s="493"/>
      <c r="F344" s="491">
        <f t="shared" si="17"/>
        <v>0</v>
      </c>
      <c r="G344" s="459"/>
      <c r="H344" s="1343"/>
      <c r="I344" s="795">
        <v>11866</v>
      </c>
      <c r="J344" s="460">
        <v>0</v>
      </c>
      <c r="K344" s="1368"/>
      <c r="L344" s="780">
        <f t="shared" si="12"/>
        <v>0</v>
      </c>
      <c r="M344" s="647"/>
    </row>
    <row r="345" spans="1:13" s="454" customFormat="1" ht="18" customHeight="1" x14ac:dyDescent="0.3">
      <c r="A345" s="755">
        <v>339</v>
      </c>
      <c r="B345" s="496"/>
      <c r="C345" s="500">
        <v>7</v>
      </c>
      <c r="D345" s="560" t="s">
        <v>859</v>
      </c>
      <c r="E345" s="493"/>
      <c r="F345" s="491">
        <f t="shared" si="17"/>
        <v>232</v>
      </c>
      <c r="G345" s="459"/>
      <c r="H345" s="1343"/>
      <c r="I345" s="795"/>
      <c r="J345" s="460">
        <v>232</v>
      </c>
      <c r="K345" s="1368"/>
      <c r="L345" s="780">
        <f t="shared" si="12"/>
        <v>232</v>
      </c>
      <c r="M345" s="647"/>
    </row>
    <row r="346" spans="1:13" s="454" customFormat="1" ht="18" customHeight="1" x14ac:dyDescent="0.3">
      <c r="A346" s="755">
        <v>340</v>
      </c>
      <c r="B346" s="496"/>
      <c r="C346" s="500">
        <v>8</v>
      </c>
      <c r="D346" s="560" t="s">
        <v>860</v>
      </c>
      <c r="E346" s="493"/>
      <c r="F346" s="491">
        <f t="shared" si="17"/>
        <v>199</v>
      </c>
      <c r="G346" s="459"/>
      <c r="H346" s="1343"/>
      <c r="I346" s="795"/>
      <c r="J346" s="460">
        <v>199</v>
      </c>
      <c r="K346" s="1368"/>
      <c r="L346" s="780">
        <f t="shared" si="12"/>
        <v>199</v>
      </c>
      <c r="M346" s="647"/>
    </row>
    <row r="347" spans="1:13" s="454" customFormat="1" ht="18" customHeight="1" x14ac:dyDescent="0.3">
      <c r="A347" s="755">
        <v>341</v>
      </c>
      <c r="B347" s="496"/>
      <c r="C347" s="500">
        <v>9</v>
      </c>
      <c r="D347" s="560" t="s">
        <v>861</v>
      </c>
      <c r="E347" s="493"/>
      <c r="F347" s="491">
        <f t="shared" si="17"/>
        <v>280</v>
      </c>
      <c r="G347" s="459"/>
      <c r="H347" s="1343"/>
      <c r="I347" s="795"/>
      <c r="J347" s="460">
        <v>280</v>
      </c>
      <c r="K347" s="1368"/>
      <c r="L347" s="780">
        <f t="shared" si="12"/>
        <v>280</v>
      </c>
      <c r="M347" s="647"/>
    </row>
    <row r="348" spans="1:13" s="454" customFormat="1" ht="18" customHeight="1" x14ac:dyDescent="0.3">
      <c r="A348" s="755">
        <v>342</v>
      </c>
      <c r="B348" s="496"/>
      <c r="C348" s="500">
        <v>10</v>
      </c>
      <c r="D348" s="560" t="s">
        <v>862</v>
      </c>
      <c r="E348" s="493"/>
      <c r="F348" s="491">
        <f t="shared" si="17"/>
        <v>200</v>
      </c>
      <c r="G348" s="459"/>
      <c r="H348" s="1343"/>
      <c r="I348" s="795"/>
      <c r="J348" s="460">
        <v>200</v>
      </c>
      <c r="K348" s="1368"/>
      <c r="L348" s="780">
        <f t="shared" ref="L348:L397" si="18">SUM(J348:K348)</f>
        <v>200</v>
      </c>
      <c r="M348" s="647"/>
    </row>
    <row r="349" spans="1:13" s="454" customFormat="1" ht="18" customHeight="1" x14ac:dyDescent="0.3">
      <c r="A349" s="755">
        <v>343</v>
      </c>
      <c r="B349" s="496"/>
      <c r="C349" s="500">
        <v>11</v>
      </c>
      <c r="D349" s="560" t="s">
        <v>863</v>
      </c>
      <c r="E349" s="493"/>
      <c r="F349" s="491">
        <f t="shared" si="17"/>
        <v>199</v>
      </c>
      <c r="G349" s="459"/>
      <c r="H349" s="1343"/>
      <c r="I349" s="795"/>
      <c r="J349" s="460">
        <v>199</v>
      </c>
      <c r="K349" s="1368"/>
      <c r="L349" s="780">
        <f t="shared" si="18"/>
        <v>199</v>
      </c>
      <c r="M349" s="647"/>
    </row>
    <row r="350" spans="1:13" s="454" customFormat="1" ht="18" customHeight="1" x14ac:dyDescent="0.3">
      <c r="A350" s="755">
        <v>344</v>
      </c>
      <c r="B350" s="496"/>
      <c r="C350" s="500">
        <v>12</v>
      </c>
      <c r="D350" s="560" t="s">
        <v>864</v>
      </c>
      <c r="E350" s="493"/>
      <c r="F350" s="491">
        <f t="shared" si="17"/>
        <v>7020</v>
      </c>
      <c r="G350" s="459"/>
      <c r="H350" s="1343"/>
      <c r="I350" s="795"/>
      <c r="J350" s="460">
        <v>7020</v>
      </c>
      <c r="K350" s="1368"/>
      <c r="L350" s="780">
        <f t="shared" si="18"/>
        <v>7020</v>
      </c>
      <c r="M350" s="647"/>
    </row>
    <row r="351" spans="1:13" s="454" customFormat="1" ht="18" customHeight="1" x14ac:dyDescent="0.3">
      <c r="A351" s="755">
        <v>345</v>
      </c>
      <c r="B351" s="496"/>
      <c r="C351" s="500">
        <v>13</v>
      </c>
      <c r="D351" s="560" t="s">
        <v>865</v>
      </c>
      <c r="E351" s="493"/>
      <c r="F351" s="491">
        <f t="shared" si="17"/>
        <v>150</v>
      </c>
      <c r="G351" s="459"/>
      <c r="H351" s="1343"/>
      <c r="I351" s="795"/>
      <c r="J351" s="460">
        <v>150</v>
      </c>
      <c r="K351" s="1368"/>
      <c r="L351" s="780">
        <f t="shared" si="18"/>
        <v>150</v>
      </c>
      <c r="M351" s="647"/>
    </row>
    <row r="352" spans="1:13" s="454" customFormat="1" ht="18" customHeight="1" x14ac:dyDescent="0.3">
      <c r="A352" s="755">
        <v>346</v>
      </c>
      <c r="B352" s="496"/>
      <c r="C352" s="500">
        <v>14</v>
      </c>
      <c r="D352" s="560" t="s">
        <v>866</v>
      </c>
      <c r="E352" s="493"/>
      <c r="F352" s="491">
        <f t="shared" si="17"/>
        <v>1986</v>
      </c>
      <c r="G352" s="459"/>
      <c r="H352" s="1343"/>
      <c r="I352" s="795"/>
      <c r="J352" s="460">
        <v>1986</v>
      </c>
      <c r="K352" s="1368"/>
      <c r="L352" s="780">
        <f t="shared" si="18"/>
        <v>1986</v>
      </c>
      <c r="M352" s="647"/>
    </row>
    <row r="353" spans="1:13" s="454" customFormat="1" ht="35.25" customHeight="1" x14ac:dyDescent="0.3">
      <c r="A353" s="755">
        <v>347</v>
      </c>
      <c r="B353" s="496"/>
      <c r="C353" s="501">
        <v>15</v>
      </c>
      <c r="D353" s="560" t="s">
        <v>1276</v>
      </c>
      <c r="E353" s="493"/>
      <c r="F353" s="491">
        <f t="shared" si="17"/>
        <v>3670</v>
      </c>
      <c r="G353" s="459"/>
      <c r="H353" s="1343"/>
      <c r="I353" s="795"/>
      <c r="J353" s="460">
        <v>2170</v>
      </c>
      <c r="K353" s="1368">
        <v>1500</v>
      </c>
      <c r="L353" s="780">
        <f t="shared" si="18"/>
        <v>3670</v>
      </c>
      <c r="M353" s="647"/>
    </row>
    <row r="354" spans="1:13" s="454" customFormat="1" ht="18" customHeight="1" x14ac:dyDescent="0.3">
      <c r="A354" s="755">
        <v>348</v>
      </c>
      <c r="B354" s="496"/>
      <c r="C354" s="500">
        <v>16</v>
      </c>
      <c r="D354" s="560" t="s">
        <v>858</v>
      </c>
      <c r="E354" s="493"/>
      <c r="F354" s="491">
        <f t="shared" si="17"/>
        <v>10080</v>
      </c>
      <c r="G354" s="459"/>
      <c r="H354" s="1343"/>
      <c r="I354" s="795"/>
      <c r="J354" s="460">
        <v>10080</v>
      </c>
      <c r="K354" s="1368"/>
      <c r="L354" s="780">
        <f t="shared" si="18"/>
        <v>10080</v>
      </c>
      <c r="M354" s="647"/>
    </row>
    <row r="355" spans="1:13" s="454" customFormat="1" ht="100.5" customHeight="1" x14ac:dyDescent="0.3">
      <c r="A355" s="755">
        <v>349</v>
      </c>
      <c r="B355" s="496"/>
      <c r="C355" s="501">
        <v>17</v>
      </c>
      <c r="D355" s="560" t="s">
        <v>1275</v>
      </c>
      <c r="E355" s="493"/>
      <c r="F355" s="491">
        <f t="shared" si="17"/>
        <v>2800</v>
      </c>
      <c r="G355" s="459"/>
      <c r="H355" s="1343"/>
      <c r="I355" s="795"/>
      <c r="J355" s="460">
        <v>2300</v>
      </c>
      <c r="K355" s="1368">
        <v>500</v>
      </c>
      <c r="L355" s="780">
        <f t="shared" si="18"/>
        <v>2800</v>
      </c>
      <c r="M355" s="647"/>
    </row>
    <row r="356" spans="1:13" s="454" customFormat="1" ht="30.75" customHeight="1" x14ac:dyDescent="0.3">
      <c r="A356" s="755">
        <v>350</v>
      </c>
      <c r="B356" s="496"/>
      <c r="C356" s="501">
        <v>18</v>
      </c>
      <c r="D356" s="560" t="s">
        <v>1270</v>
      </c>
      <c r="E356" s="493"/>
      <c r="F356" s="491">
        <f t="shared" si="17"/>
        <v>3500</v>
      </c>
      <c r="G356" s="459"/>
      <c r="H356" s="1343"/>
      <c r="I356" s="795"/>
      <c r="J356" s="460">
        <v>3500</v>
      </c>
      <c r="K356" s="1368"/>
      <c r="L356" s="780">
        <f t="shared" si="18"/>
        <v>3500</v>
      </c>
      <c r="M356" s="647"/>
    </row>
    <row r="357" spans="1:13" s="454" customFormat="1" ht="20.100000000000001" customHeight="1" x14ac:dyDescent="0.3">
      <c r="A357" s="755">
        <v>351</v>
      </c>
      <c r="B357" s="496"/>
      <c r="C357" s="501">
        <v>19</v>
      </c>
      <c r="D357" s="560" t="s">
        <v>1271</v>
      </c>
      <c r="E357" s="493"/>
      <c r="F357" s="491">
        <f t="shared" si="17"/>
        <v>8000</v>
      </c>
      <c r="G357" s="459"/>
      <c r="H357" s="1343"/>
      <c r="I357" s="795"/>
      <c r="J357" s="460">
        <v>10000</v>
      </c>
      <c r="K357" s="1368">
        <v>-2000</v>
      </c>
      <c r="L357" s="780">
        <f t="shared" si="18"/>
        <v>8000</v>
      </c>
      <c r="M357" s="647"/>
    </row>
    <row r="358" spans="1:13" s="454" customFormat="1" ht="20.100000000000001" customHeight="1" x14ac:dyDescent="0.3">
      <c r="A358" s="755">
        <v>352</v>
      </c>
      <c r="B358" s="496"/>
      <c r="C358" s="501">
        <v>20</v>
      </c>
      <c r="D358" s="560" t="s">
        <v>1272</v>
      </c>
      <c r="E358" s="493"/>
      <c r="F358" s="491">
        <f t="shared" si="17"/>
        <v>1500</v>
      </c>
      <c r="G358" s="459"/>
      <c r="H358" s="1343"/>
      <c r="I358" s="795"/>
      <c r="J358" s="460">
        <v>1500</v>
      </c>
      <c r="K358" s="1368"/>
      <c r="L358" s="780">
        <f t="shared" si="18"/>
        <v>1500</v>
      </c>
      <c r="M358" s="647"/>
    </row>
    <row r="359" spans="1:13" s="454" customFormat="1" ht="20.100000000000001" customHeight="1" x14ac:dyDescent="0.3">
      <c r="A359" s="755">
        <v>353</v>
      </c>
      <c r="B359" s="496"/>
      <c r="C359" s="501">
        <v>21</v>
      </c>
      <c r="D359" s="560" t="s">
        <v>1273</v>
      </c>
      <c r="E359" s="493"/>
      <c r="F359" s="491">
        <f t="shared" si="17"/>
        <v>500</v>
      </c>
      <c r="G359" s="459"/>
      <c r="H359" s="1343"/>
      <c r="I359" s="795"/>
      <c r="J359" s="460">
        <v>500</v>
      </c>
      <c r="K359" s="1368"/>
      <c r="L359" s="780">
        <f t="shared" si="18"/>
        <v>500</v>
      </c>
      <c r="M359" s="647"/>
    </row>
    <row r="360" spans="1:13" s="454" customFormat="1" ht="20.100000000000001" customHeight="1" x14ac:dyDescent="0.3">
      <c r="A360" s="755">
        <v>354</v>
      </c>
      <c r="B360" s="496"/>
      <c r="C360" s="501">
        <v>22</v>
      </c>
      <c r="D360" s="560" t="s">
        <v>1274</v>
      </c>
      <c r="E360" s="493"/>
      <c r="F360" s="491">
        <f t="shared" si="17"/>
        <v>200</v>
      </c>
      <c r="G360" s="459"/>
      <c r="H360" s="1343"/>
      <c r="I360" s="795"/>
      <c r="J360" s="460">
        <v>200</v>
      </c>
      <c r="K360" s="1368"/>
      <c r="L360" s="780">
        <f t="shared" si="18"/>
        <v>200</v>
      </c>
      <c r="M360" s="647"/>
    </row>
    <row r="361" spans="1:13" s="454" customFormat="1" ht="20.100000000000001" customHeight="1" x14ac:dyDescent="0.3">
      <c r="A361" s="755">
        <v>355</v>
      </c>
      <c r="B361" s="496"/>
      <c r="C361" s="501">
        <v>23</v>
      </c>
      <c r="D361" s="560" t="s">
        <v>1277</v>
      </c>
      <c r="E361" s="493"/>
      <c r="F361" s="491">
        <f t="shared" si="17"/>
        <v>500</v>
      </c>
      <c r="G361" s="459"/>
      <c r="H361" s="1343"/>
      <c r="I361" s="795"/>
      <c r="J361" s="460">
        <v>500</v>
      </c>
      <c r="K361" s="1368"/>
      <c r="L361" s="780">
        <f t="shared" si="18"/>
        <v>500</v>
      </c>
      <c r="M361" s="647"/>
    </row>
    <row r="362" spans="1:13" s="454" customFormat="1" ht="20.100000000000001" customHeight="1" x14ac:dyDescent="0.3">
      <c r="A362" s="755">
        <v>356</v>
      </c>
      <c r="B362" s="496"/>
      <c r="C362" s="501">
        <v>24</v>
      </c>
      <c r="D362" s="560" t="s">
        <v>1278</v>
      </c>
      <c r="E362" s="493"/>
      <c r="F362" s="491">
        <f t="shared" si="17"/>
        <v>1000</v>
      </c>
      <c r="G362" s="459"/>
      <c r="H362" s="1343"/>
      <c r="I362" s="795"/>
      <c r="J362" s="460">
        <v>1000</v>
      </c>
      <c r="K362" s="1368"/>
      <c r="L362" s="780">
        <f t="shared" si="18"/>
        <v>1000</v>
      </c>
      <c r="M362" s="647"/>
    </row>
    <row r="363" spans="1:13" s="454" customFormat="1" ht="20.100000000000001" customHeight="1" x14ac:dyDescent="0.3">
      <c r="A363" s="755">
        <v>357</v>
      </c>
      <c r="B363" s="496"/>
      <c r="C363" s="501">
        <v>25</v>
      </c>
      <c r="D363" s="560" t="s">
        <v>1279</v>
      </c>
      <c r="E363" s="493"/>
      <c r="F363" s="491">
        <f t="shared" si="17"/>
        <v>650</v>
      </c>
      <c r="G363" s="459"/>
      <c r="H363" s="1343"/>
      <c r="I363" s="795"/>
      <c r="J363" s="460">
        <v>650</v>
      </c>
      <c r="K363" s="1368"/>
      <c r="L363" s="780">
        <f t="shared" si="18"/>
        <v>650</v>
      </c>
      <c r="M363" s="647"/>
    </row>
    <row r="364" spans="1:13" s="454" customFormat="1" ht="20.100000000000001" customHeight="1" x14ac:dyDescent="0.3">
      <c r="A364" s="755">
        <v>358</v>
      </c>
      <c r="B364" s="496"/>
      <c r="C364" s="501">
        <v>26</v>
      </c>
      <c r="D364" s="560" t="s">
        <v>1334</v>
      </c>
      <c r="E364" s="493"/>
      <c r="F364" s="491">
        <f t="shared" si="17"/>
        <v>4000</v>
      </c>
      <c r="G364" s="459"/>
      <c r="H364" s="1343"/>
      <c r="I364" s="795"/>
      <c r="J364" s="460">
        <v>2000</v>
      </c>
      <c r="K364" s="1368">
        <v>2000</v>
      </c>
      <c r="L364" s="780">
        <f t="shared" si="18"/>
        <v>4000</v>
      </c>
      <c r="M364" s="647"/>
    </row>
    <row r="365" spans="1:13" s="454" customFormat="1" ht="20.100000000000001" customHeight="1" x14ac:dyDescent="0.3">
      <c r="A365" s="755">
        <v>359</v>
      </c>
      <c r="B365" s="496"/>
      <c r="C365" s="501">
        <v>27</v>
      </c>
      <c r="D365" s="560" t="s">
        <v>1335</v>
      </c>
      <c r="E365" s="493"/>
      <c r="F365" s="491">
        <f t="shared" si="17"/>
        <v>850</v>
      </c>
      <c r="G365" s="459"/>
      <c r="H365" s="1343"/>
      <c r="I365" s="795"/>
      <c r="J365" s="460">
        <v>850</v>
      </c>
      <c r="K365" s="1368"/>
      <c r="L365" s="780">
        <f t="shared" si="18"/>
        <v>850</v>
      </c>
      <c r="M365" s="647"/>
    </row>
    <row r="366" spans="1:13" s="454" customFormat="1" ht="20.100000000000001" customHeight="1" x14ac:dyDescent="0.3">
      <c r="A366" s="755">
        <v>360</v>
      </c>
      <c r="B366" s="496"/>
      <c r="C366" s="501">
        <v>28</v>
      </c>
      <c r="D366" s="560" t="s">
        <v>1336</v>
      </c>
      <c r="E366" s="493"/>
      <c r="F366" s="491">
        <f t="shared" si="17"/>
        <v>5500</v>
      </c>
      <c r="G366" s="459"/>
      <c r="H366" s="1343"/>
      <c r="I366" s="795"/>
      <c r="J366" s="460">
        <v>5000</v>
      </c>
      <c r="K366" s="1368">
        <v>500</v>
      </c>
      <c r="L366" s="780">
        <f t="shared" si="18"/>
        <v>5500</v>
      </c>
      <c r="M366" s="647"/>
    </row>
    <row r="367" spans="1:13" s="454" customFormat="1" ht="20.100000000000001" customHeight="1" x14ac:dyDescent="0.3">
      <c r="A367" s="755">
        <v>361</v>
      </c>
      <c r="B367" s="496"/>
      <c r="C367" s="501">
        <v>29</v>
      </c>
      <c r="D367" s="560" t="s">
        <v>1337</v>
      </c>
      <c r="E367" s="493"/>
      <c r="F367" s="491">
        <f t="shared" si="17"/>
        <v>200</v>
      </c>
      <c r="G367" s="459"/>
      <c r="H367" s="1343"/>
      <c r="I367" s="795"/>
      <c r="J367" s="460">
        <v>200</v>
      </c>
      <c r="K367" s="1368"/>
      <c r="L367" s="780">
        <f t="shared" si="18"/>
        <v>200</v>
      </c>
      <c r="M367" s="647"/>
    </row>
    <row r="368" spans="1:13" s="454" customFormat="1" ht="22.5" customHeight="1" x14ac:dyDescent="0.35">
      <c r="A368" s="755">
        <v>362</v>
      </c>
      <c r="B368" s="662">
        <v>14</v>
      </c>
      <c r="C368" s="497"/>
      <c r="D368" s="677" t="s">
        <v>538</v>
      </c>
      <c r="E368" s="493" t="s">
        <v>25</v>
      </c>
      <c r="F368" s="491"/>
      <c r="G368" s="498"/>
      <c r="H368" s="1352"/>
      <c r="I368" s="793"/>
      <c r="J368" s="1447"/>
      <c r="K368" s="1366"/>
      <c r="L368" s="780"/>
      <c r="M368" s="673"/>
    </row>
    <row r="369" spans="1:13" s="454" customFormat="1" ht="49.5" customHeight="1" x14ac:dyDescent="0.3">
      <c r="A369" s="755">
        <v>363</v>
      </c>
      <c r="B369" s="496"/>
      <c r="C369" s="501">
        <v>1</v>
      </c>
      <c r="D369" s="560" t="s">
        <v>1446</v>
      </c>
      <c r="E369" s="493"/>
      <c r="F369" s="491">
        <f t="shared" si="17"/>
        <v>323</v>
      </c>
      <c r="G369" s="499"/>
      <c r="H369" s="1353"/>
      <c r="I369" s="795">
        <v>4000</v>
      </c>
      <c r="J369" s="460">
        <v>278</v>
      </c>
      <c r="K369" s="1368">
        <v>45</v>
      </c>
      <c r="L369" s="780">
        <f t="shared" si="18"/>
        <v>323</v>
      </c>
      <c r="M369" s="647"/>
    </row>
    <row r="370" spans="1:13" s="454" customFormat="1" ht="18" customHeight="1" x14ac:dyDescent="0.3">
      <c r="A370" s="755">
        <v>364</v>
      </c>
      <c r="B370" s="496"/>
      <c r="C370" s="500">
        <v>2</v>
      </c>
      <c r="D370" s="560" t="s">
        <v>1332</v>
      </c>
      <c r="E370" s="493"/>
      <c r="F370" s="491">
        <f t="shared" si="17"/>
        <v>203</v>
      </c>
      <c r="G370" s="499"/>
      <c r="H370" s="1353"/>
      <c r="I370" s="795"/>
      <c r="J370" s="460">
        <v>203</v>
      </c>
      <c r="K370" s="1368"/>
      <c r="L370" s="780">
        <f t="shared" si="18"/>
        <v>203</v>
      </c>
      <c r="M370" s="647"/>
    </row>
    <row r="371" spans="1:13" s="454" customFormat="1" ht="18" customHeight="1" x14ac:dyDescent="0.35">
      <c r="A371" s="755">
        <v>365</v>
      </c>
      <c r="B371" s="496"/>
      <c r="C371" s="500">
        <v>3</v>
      </c>
      <c r="D371" s="560" t="s">
        <v>828</v>
      </c>
      <c r="E371" s="493"/>
      <c r="F371" s="491">
        <f>G371+H371+L371+M371</f>
        <v>2974</v>
      </c>
      <c r="G371" s="499"/>
      <c r="H371" s="1353"/>
      <c r="I371" s="794"/>
      <c r="J371" s="1448">
        <v>3019</v>
      </c>
      <c r="K371" s="1367">
        <v>-45</v>
      </c>
      <c r="L371" s="780">
        <f t="shared" si="18"/>
        <v>2974</v>
      </c>
      <c r="M371" s="647"/>
    </row>
    <row r="372" spans="1:13" s="454" customFormat="1" ht="18" customHeight="1" x14ac:dyDescent="0.35">
      <c r="A372" s="755">
        <v>366</v>
      </c>
      <c r="B372" s="496"/>
      <c r="C372" s="500">
        <v>4</v>
      </c>
      <c r="D372" s="560" t="s">
        <v>829</v>
      </c>
      <c r="E372" s="493"/>
      <c r="F372" s="491">
        <f t="shared" si="17"/>
        <v>500</v>
      </c>
      <c r="G372" s="499"/>
      <c r="H372" s="1353"/>
      <c r="I372" s="794"/>
      <c r="J372" s="1448">
        <v>500</v>
      </c>
      <c r="K372" s="1367"/>
      <c r="L372" s="780">
        <f t="shared" si="18"/>
        <v>500</v>
      </c>
      <c r="M372" s="647"/>
    </row>
    <row r="373" spans="1:13" s="454" customFormat="1" ht="33" customHeight="1" x14ac:dyDescent="0.3">
      <c r="A373" s="755">
        <v>367</v>
      </c>
      <c r="B373" s="496"/>
      <c r="C373" s="501">
        <v>5</v>
      </c>
      <c r="D373" s="560" t="s">
        <v>553</v>
      </c>
      <c r="E373" s="493"/>
      <c r="F373" s="491">
        <f t="shared" si="17"/>
        <v>3342</v>
      </c>
      <c r="G373" s="499"/>
      <c r="H373" s="1353"/>
      <c r="I373" s="795">
        <v>1879</v>
      </c>
      <c r="J373" s="460">
        <v>3342</v>
      </c>
      <c r="K373" s="1368"/>
      <c r="L373" s="780">
        <f t="shared" si="18"/>
        <v>3342</v>
      </c>
      <c r="M373" s="647"/>
    </row>
    <row r="374" spans="1:13" s="454" customFormat="1" ht="22.5" customHeight="1" x14ac:dyDescent="0.35">
      <c r="A374" s="755">
        <v>368</v>
      </c>
      <c r="B374" s="496">
        <v>15</v>
      </c>
      <c r="C374" s="500"/>
      <c r="D374" s="677" t="s">
        <v>164</v>
      </c>
      <c r="E374" s="493"/>
      <c r="F374" s="491"/>
      <c r="G374" s="499"/>
      <c r="H374" s="1353"/>
      <c r="I374" s="796"/>
      <c r="J374" s="1449"/>
      <c r="K374" s="1369"/>
      <c r="L374" s="780"/>
      <c r="M374" s="647"/>
    </row>
    <row r="375" spans="1:13" s="454" customFormat="1" ht="18" customHeight="1" x14ac:dyDescent="0.3">
      <c r="A375" s="755">
        <v>369</v>
      </c>
      <c r="B375" s="496"/>
      <c r="C375" s="500">
        <v>1</v>
      </c>
      <c r="D375" s="560" t="s">
        <v>459</v>
      </c>
      <c r="E375" s="493"/>
      <c r="F375" s="491">
        <f t="shared" si="17"/>
        <v>0</v>
      </c>
      <c r="G375" s="499"/>
      <c r="H375" s="1353"/>
      <c r="I375" s="796">
        <v>1500</v>
      </c>
      <c r="J375" s="1449">
        <v>0</v>
      </c>
      <c r="K375" s="1369"/>
      <c r="L375" s="780">
        <f t="shared" si="18"/>
        <v>0</v>
      </c>
      <c r="M375" s="647"/>
    </row>
    <row r="376" spans="1:13" s="454" customFormat="1" ht="18" customHeight="1" x14ac:dyDescent="0.3">
      <c r="A376" s="755">
        <v>370</v>
      </c>
      <c r="B376" s="496"/>
      <c r="C376" s="500">
        <v>2</v>
      </c>
      <c r="D376" s="560" t="s">
        <v>830</v>
      </c>
      <c r="E376" s="493"/>
      <c r="F376" s="491">
        <f t="shared" si="17"/>
        <v>251</v>
      </c>
      <c r="G376" s="499"/>
      <c r="H376" s="1353"/>
      <c r="I376" s="796"/>
      <c r="J376" s="1449">
        <v>251</v>
      </c>
      <c r="K376" s="1369"/>
      <c r="L376" s="780">
        <f t="shared" si="18"/>
        <v>251</v>
      </c>
      <c r="M376" s="647"/>
    </row>
    <row r="377" spans="1:13" s="454" customFormat="1" ht="18" customHeight="1" x14ac:dyDescent="0.3">
      <c r="A377" s="755">
        <v>371</v>
      </c>
      <c r="B377" s="496"/>
      <c r="C377" s="500">
        <v>3</v>
      </c>
      <c r="D377" s="560" t="s">
        <v>831</v>
      </c>
      <c r="E377" s="493"/>
      <c r="F377" s="491">
        <f t="shared" si="17"/>
        <v>388</v>
      </c>
      <c r="G377" s="499"/>
      <c r="H377" s="1353"/>
      <c r="I377" s="796"/>
      <c r="J377" s="1449">
        <v>388</v>
      </c>
      <c r="K377" s="1369"/>
      <c r="L377" s="780">
        <f t="shared" si="18"/>
        <v>388</v>
      </c>
      <c r="M377" s="647"/>
    </row>
    <row r="378" spans="1:13" s="454" customFormat="1" ht="78" customHeight="1" x14ac:dyDescent="0.3">
      <c r="A378" s="755">
        <v>372</v>
      </c>
      <c r="B378" s="496"/>
      <c r="C378" s="501">
        <v>4</v>
      </c>
      <c r="D378" s="1706" t="s">
        <v>1340</v>
      </c>
      <c r="E378" s="493"/>
      <c r="F378" s="491">
        <f t="shared" si="17"/>
        <v>1822</v>
      </c>
      <c r="G378" s="499"/>
      <c r="H378" s="1353"/>
      <c r="I378" s="796"/>
      <c r="J378" s="460">
        <v>1769</v>
      </c>
      <c r="K378" s="1368">
        <v>53</v>
      </c>
      <c r="L378" s="780">
        <f t="shared" si="18"/>
        <v>1822</v>
      </c>
      <c r="M378" s="647"/>
    </row>
    <row r="379" spans="1:13" s="454" customFormat="1" ht="207" customHeight="1" x14ac:dyDescent="0.3">
      <c r="A379" s="755">
        <v>373</v>
      </c>
      <c r="B379" s="496"/>
      <c r="C379" s="501">
        <v>5</v>
      </c>
      <c r="D379" s="1706" t="s">
        <v>1468</v>
      </c>
      <c r="E379" s="493"/>
      <c r="F379" s="491">
        <f t="shared" si="17"/>
        <v>11880</v>
      </c>
      <c r="G379" s="499"/>
      <c r="H379" s="1353"/>
      <c r="I379" s="796"/>
      <c r="J379" s="460">
        <v>11421</v>
      </c>
      <c r="K379" s="1368">
        <f>368+91</f>
        <v>459</v>
      </c>
      <c r="L379" s="780">
        <f t="shared" si="18"/>
        <v>11880</v>
      </c>
      <c r="M379" s="647"/>
    </row>
    <row r="380" spans="1:13" s="454" customFormat="1" ht="18" customHeight="1" x14ac:dyDescent="0.3">
      <c r="A380" s="755">
        <v>374</v>
      </c>
      <c r="B380" s="496"/>
      <c r="C380" s="501">
        <v>6</v>
      </c>
      <c r="D380" s="560" t="s">
        <v>1341</v>
      </c>
      <c r="E380" s="493"/>
      <c r="F380" s="491">
        <f t="shared" si="17"/>
        <v>432</v>
      </c>
      <c r="G380" s="499"/>
      <c r="H380" s="1353"/>
      <c r="I380" s="796"/>
      <c r="J380" s="460">
        <v>432</v>
      </c>
      <c r="K380" s="1368"/>
      <c r="L380" s="780">
        <f t="shared" si="18"/>
        <v>432</v>
      </c>
      <c r="M380" s="647"/>
    </row>
    <row r="381" spans="1:13" s="454" customFormat="1" ht="18" customHeight="1" x14ac:dyDescent="0.3">
      <c r="A381" s="755">
        <v>375</v>
      </c>
      <c r="B381" s="496"/>
      <c r="C381" s="501">
        <v>7</v>
      </c>
      <c r="D381" s="560" t="s">
        <v>1466</v>
      </c>
      <c r="E381" s="493"/>
      <c r="F381" s="491">
        <f t="shared" si="17"/>
        <v>12510</v>
      </c>
      <c r="G381" s="499"/>
      <c r="H381" s="1353"/>
      <c r="I381" s="796"/>
      <c r="J381" s="460"/>
      <c r="K381" s="1368">
        <v>12510</v>
      </c>
      <c r="L381" s="780">
        <f t="shared" si="18"/>
        <v>12510</v>
      </c>
      <c r="M381" s="647"/>
    </row>
    <row r="382" spans="1:13" s="454" customFormat="1" ht="18" customHeight="1" x14ac:dyDescent="0.3">
      <c r="A382" s="755">
        <v>376</v>
      </c>
      <c r="B382" s="496"/>
      <c r="C382" s="501">
        <v>8</v>
      </c>
      <c r="D382" s="560" t="s">
        <v>1467</v>
      </c>
      <c r="E382" s="493"/>
      <c r="F382" s="491">
        <f t="shared" si="17"/>
        <v>279</v>
      </c>
      <c r="G382" s="499"/>
      <c r="H382" s="1353"/>
      <c r="I382" s="796"/>
      <c r="J382" s="460"/>
      <c r="K382" s="1368">
        <v>279</v>
      </c>
      <c r="L382" s="780">
        <f t="shared" si="18"/>
        <v>279</v>
      </c>
      <c r="M382" s="647"/>
    </row>
    <row r="383" spans="1:13" s="454" customFormat="1" ht="22.5" customHeight="1" x14ac:dyDescent="0.35">
      <c r="A383" s="755">
        <v>377</v>
      </c>
      <c r="B383" s="496">
        <v>16</v>
      </c>
      <c r="C383" s="500"/>
      <c r="D383" s="677" t="s">
        <v>287</v>
      </c>
      <c r="E383" s="493" t="s">
        <v>24</v>
      </c>
      <c r="F383" s="491"/>
      <c r="G383" s="499"/>
      <c r="H383" s="1353"/>
      <c r="I383" s="796"/>
      <c r="J383" s="1449"/>
      <c r="K383" s="1369"/>
      <c r="L383" s="780"/>
      <c r="M383" s="647"/>
    </row>
    <row r="384" spans="1:13" s="454" customFormat="1" ht="18" customHeight="1" x14ac:dyDescent="0.3">
      <c r="A384" s="755">
        <v>378</v>
      </c>
      <c r="B384" s="496"/>
      <c r="C384" s="500">
        <v>1</v>
      </c>
      <c r="D384" s="560" t="s">
        <v>459</v>
      </c>
      <c r="E384" s="493"/>
      <c r="F384" s="491">
        <f t="shared" si="17"/>
        <v>0</v>
      </c>
      <c r="G384" s="499"/>
      <c r="H384" s="1353"/>
      <c r="I384" s="796">
        <v>1000</v>
      </c>
      <c r="J384" s="1449">
        <v>0</v>
      </c>
      <c r="K384" s="1369"/>
      <c r="L384" s="780">
        <f t="shared" si="18"/>
        <v>0</v>
      </c>
      <c r="M384" s="647"/>
    </row>
    <row r="385" spans="1:13" s="454" customFormat="1" ht="18" customHeight="1" x14ac:dyDescent="0.3">
      <c r="A385" s="755">
        <v>379</v>
      </c>
      <c r="B385" s="496"/>
      <c r="C385" s="500">
        <v>2</v>
      </c>
      <c r="D385" s="560" t="s">
        <v>832</v>
      </c>
      <c r="E385" s="493"/>
      <c r="F385" s="491">
        <f t="shared" si="17"/>
        <v>720</v>
      </c>
      <c r="G385" s="499"/>
      <c r="H385" s="1353"/>
      <c r="I385" s="796"/>
      <c r="J385" s="460">
        <v>720</v>
      </c>
      <c r="K385" s="1368"/>
      <c r="L385" s="780">
        <f t="shared" si="18"/>
        <v>720</v>
      </c>
      <c r="M385" s="647"/>
    </row>
    <row r="386" spans="1:13" s="454" customFormat="1" ht="18" customHeight="1" x14ac:dyDescent="0.3">
      <c r="A386" s="755">
        <v>380</v>
      </c>
      <c r="B386" s="496"/>
      <c r="C386" s="500">
        <v>3</v>
      </c>
      <c r="D386" s="560" t="s">
        <v>833</v>
      </c>
      <c r="E386" s="493"/>
      <c r="F386" s="491">
        <f t="shared" si="17"/>
        <v>790</v>
      </c>
      <c r="G386" s="499"/>
      <c r="H386" s="1353"/>
      <c r="I386" s="796"/>
      <c r="J386" s="460">
        <v>635</v>
      </c>
      <c r="K386" s="1368">
        <v>155</v>
      </c>
      <c r="L386" s="780">
        <f t="shared" si="18"/>
        <v>790</v>
      </c>
      <c r="M386" s="647"/>
    </row>
    <row r="387" spans="1:13" s="454" customFormat="1" ht="83.25" customHeight="1" x14ac:dyDescent="0.3">
      <c r="A387" s="755">
        <v>381</v>
      </c>
      <c r="B387" s="496"/>
      <c r="C387" s="501">
        <v>4</v>
      </c>
      <c r="D387" s="1689" t="s">
        <v>956</v>
      </c>
      <c r="E387" s="493"/>
      <c r="F387" s="491">
        <f t="shared" si="17"/>
        <v>2770</v>
      </c>
      <c r="G387" s="499"/>
      <c r="H387" s="1353"/>
      <c r="I387" s="796"/>
      <c r="J387" s="460">
        <v>3114</v>
      </c>
      <c r="K387" s="1368">
        <f>1312-1715+59</f>
        <v>-344</v>
      </c>
      <c r="L387" s="780">
        <f t="shared" si="18"/>
        <v>2770</v>
      </c>
      <c r="M387" s="647"/>
    </row>
    <row r="388" spans="1:13" s="454" customFormat="1" ht="141.75" customHeight="1" x14ac:dyDescent="0.3">
      <c r="A388" s="755">
        <v>382</v>
      </c>
      <c r="B388" s="496"/>
      <c r="C388" s="501">
        <v>5</v>
      </c>
      <c r="D388" s="1706" t="s">
        <v>1408</v>
      </c>
      <c r="E388" s="493"/>
      <c r="F388" s="491">
        <f t="shared" si="17"/>
        <v>5646</v>
      </c>
      <c r="G388" s="499"/>
      <c r="H388" s="1353"/>
      <c r="I388" s="796"/>
      <c r="J388" s="460">
        <v>4705</v>
      </c>
      <c r="K388" s="1368">
        <f>41-15+13+88-403+144+12+1062+25-26</f>
        <v>941</v>
      </c>
      <c r="L388" s="780">
        <f t="shared" si="18"/>
        <v>5646</v>
      </c>
      <c r="M388" s="647"/>
    </row>
    <row r="389" spans="1:13" s="454" customFormat="1" ht="18" customHeight="1" x14ac:dyDescent="0.3">
      <c r="A389" s="755">
        <v>383</v>
      </c>
      <c r="B389" s="496"/>
      <c r="C389" s="501">
        <v>6</v>
      </c>
      <c r="D389" s="1667" t="s">
        <v>1338</v>
      </c>
      <c r="E389" s="493"/>
      <c r="F389" s="491">
        <f t="shared" si="17"/>
        <v>204</v>
      </c>
      <c r="G389" s="499"/>
      <c r="H389" s="1353"/>
      <c r="I389" s="796"/>
      <c r="J389" s="460">
        <v>204</v>
      </c>
      <c r="K389" s="1368"/>
      <c r="L389" s="780">
        <f t="shared" si="18"/>
        <v>204</v>
      </c>
      <c r="M389" s="647"/>
    </row>
    <row r="390" spans="1:13" s="454" customFormat="1" ht="18" customHeight="1" x14ac:dyDescent="0.3">
      <c r="A390" s="755">
        <v>384</v>
      </c>
      <c r="B390" s="496"/>
      <c r="C390" s="500"/>
      <c r="D390" s="1051" t="s">
        <v>794</v>
      </c>
      <c r="E390" s="493"/>
      <c r="F390" s="491"/>
      <c r="G390" s="499"/>
      <c r="H390" s="1353"/>
      <c r="I390" s="796"/>
      <c r="J390" s="1368"/>
      <c r="K390" s="1368"/>
      <c r="L390" s="780"/>
      <c r="M390" s="647"/>
    </row>
    <row r="391" spans="1:13" s="454" customFormat="1" ht="18" customHeight="1" x14ac:dyDescent="0.3">
      <c r="A391" s="755">
        <v>385</v>
      </c>
      <c r="B391" s="496"/>
      <c r="C391" s="500">
        <v>7</v>
      </c>
      <c r="D391" s="560" t="s">
        <v>1339</v>
      </c>
      <c r="E391" s="493"/>
      <c r="F391" s="491">
        <f t="shared" si="17"/>
        <v>156</v>
      </c>
      <c r="G391" s="499"/>
      <c r="H391" s="1353"/>
      <c r="I391" s="796"/>
      <c r="J391" s="460">
        <v>908</v>
      </c>
      <c r="K391" s="1368">
        <f>-635-117</f>
        <v>-752</v>
      </c>
      <c r="L391" s="780">
        <f t="shared" si="18"/>
        <v>156</v>
      </c>
      <c r="M391" s="647"/>
    </row>
    <row r="392" spans="1:13" ht="22.5" customHeight="1" x14ac:dyDescent="0.35">
      <c r="A392" s="755">
        <v>386</v>
      </c>
      <c r="B392" s="496">
        <v>17</v>
      </c>
      <c r="C392" s="497"/>
      <c r="D392" s="677" t="s">
        <v>27</v>
      </c>
      <c r="E392" s="493" t="s">
        <v>24</v>
      </c>
      <c r="F392" s="491"/>
      <c r="G392" s="498"/>
      <c r="H392" s="1352"/>
      <c r="I392" s="797"/>
      <c r="J392" s="1450"/>
      <c r="K392" s="1370"/>
      <c r="L392" s="780"/>
      <c r="M392" s="673"/>
    </row>
    <row r="393" spans="1:13" ht="18" customHeight="1" x14ac:dyDescent="0.35">
      <c r="A393" s="755">
        <v>387</v>
      </c>
      <c r="B393" s="502"/>
      <c r="C393" s="503">
        <v>1</v>
      </c>
      <c r="D393" s="560" t="s">
        <v>414</v>
      </c>
      <c r="E393" s="504"/>
      <c r="F393" s="491">
        <f t="shared" si="17"/>
        <v>889</v>
      </c>
      <c r="G393" s="505"/>
      <c r="H393" s="1354"/>
      <c r="I393" s="798">
        <v>889</v>
      </c>
      <c r="J393" s="1451">
        <v>889</v>
      </c>
      <c r="K393" s="1371"/>
      <c r="L393" s="780">
        <f t="shared" si="18"/>
        <v>889</v>
      </c>
      <c r="M393" s="674"/>
    </row>
    <row r="394" spans="1:13" ht="67.5" customHeight="1" x14ac:dyDescent="0.3">
      <c r="A394" s="755">
        <v>388</v>
      </c>
      <c r="B394" s="502"/>
      <c r="C394" s="506">
        <v>2</v>
      </c>
      <c r="D394" s="560" t="s">
        <v>1352</v>
      </c>
      <c r="E394" s="504"/>
      <c r="F394" s="491">
        <f t="shared" si="17"/>
        <v>8788</v>
      </c>
      <c r="G394" s="507"/>
      <c r="H394" s="1355"/>
      <c r="I394" s="799">
        <v>3556</v>
      </c>
      <c r="J394" s="1452">
        <v>8788</v>
      </c>
      <c r="K394" s="1372"/>
      <c r="L394" s="780">
        <f t="shared" si="18"/>
        <v>8788</v>
      </c>
      <c r="M394" s="674"/>
    </row>
    <row r="395" spans="1:13" ht="18" customHeight="1" x14ac:dyDescent="0.35">
      <c r="A395" s="755">
        <v>389</v>
      </c>
      <c r="B395" s="496"/>
      <c r="C395" s="500">
        <v>3</v>
      </c>
      <c r="D395" s="560" t="s">
        <v>37</v>
      </c>
      <c r="E395" s="493"/>
      <c r="F395" s="1601">
        <f>G395+H395+L395+M395</f>
        <v>37799</v>
      </c>
      <c r="G395" s="499"/>
      <c r="H395" s="1353"/>
      <c r="I395" s="1602">
        <v>18380</v>
      </c>
      <c r="J395" s="1603">
        <v>37799</v>
      </c>
      <c r="K395" s="1604"/>
      <c r="L395" s="1605">
        <f t="shared" si="18"/>
        <v>37799</v>
      </c>
      <c r="M395" s="647"/>
    </row>
    <row r="396" spans="1:13" ht="18" customHeight="1" x14ac:dyDescent="0.35">
      <c r="A396" s="755">
        <v>390</v>
      </c>
      <c r="B396" s="496"/>
      <c r="C396" s="1676">
        <v>4</v>
      </c>
      <c r="D396" s="560" t="s">
        <v>1228</v>
      </c>
      <c r="E396" s="1677"/>
      <c r="F396" s="1601">
        <f>G396+H396+L396+M396</f>
        <v>97</v>
      </c>
      <c r="G396" s="499"/>
      <c r="H396" s="1353"/>
      <c r="I396" s="1602"/>
      <c r="J396" s="1603">
        <v>97</v>
      </c>
      <c r="K396" s="1604"/>
      <c r="L396" s="1605">
        <f t="shared" si="18"/>
        <v>97</v>
      </c>
      <c r="M396" s="647"/>
    </row>
    <row r="397" spans="1:13" ht="18" customHeight="1" thickBot="1" x14ac:dyDescent="0.4">
      <c r="A397" s="755">
        <v>391</v>
      </c>
      <c r="B397" s="1593"/>
      <c r="C397" s="1594">
        <v>5</v>
      </c>
      <c r="D397" s="560" t="s">
        <v>1353</v>
      </c>
      <c r="E397" s="1595"/>
      <c r="F397" s="1601">
        <f>G397+H397+L397+M397</f>
        <v>427</v>
      </c>
      <c r="G397" s="1596"/>
      <c r="H397" s="1597"/>
      <c r="I397" s="1598"/>
      <c r="J397" s="1599">
        <v>427</v>
      </c>
      <c r="K397" s="1600"/>
      <c r="L397" s="1605">
        <f t="shared" si="18"/>
        <v>427</v>
      </c>
      <c r="M397" s="1519"/>
    </row>
    <row r="398" spans="1:13" ht="36" customHeight="1" thickBot="1" x14ac:dyDescent="0.35">
      <c r="A398" s="755">
        <v>392</v>
      </c>
      <c r="B398" s="508"/>
      <c r="C398" s="1853" t="s">
        <v>38</v>
      </c>
      <c r="D398" s="1854"/>
      <c r="E398" s="1855"/>
      <c r="F398" s="509">
        <f t="shared" ref="F398:L398" si="19">SUM(F177:F397)</f>
        <v>365324</v>
      </c>
      <c r="G398" s="509">
        <f t="shared" si="19"/>
        <v>0</v>
      </c>
      <c r="H398" s="1356">
        <f t="shared" si="19"/>
        <v>0</v>
      </c>
      <c r="I398" s="800">
        <f t="shared" si="19"/>
        <v>164773</v>
      </c>
      <c r="J398" s="1373">
        <f t="shared" si="19"/>
        <v>346217</v>
      </c>
      <c r="K398" s="1373">
        <f t="shared" si="19"/>
        <v>19107</v>
      </c>
      <c r="L398" s="782">
        <f t="shared" si="19"/>
        <v>365324</v>
      </c>
      <c r="M398" s="650">
        <f>SUM(M177:M396)</f>
        <v>0</v>
      </c>
    </row>
    <row r="399" spans="1:13" ht="36" customHeight="1" thickBot="1" x14ac:dyDescent="0.35">
      <c r="A399" s="755">
        <v>393</v>
      </c>
      <c r="B399" s="510"/>
      <c r="C399" s="1853" t="s">
        <v>324</v>
      </c>
      <c r="D399" s="1854"/>
      <c r="E399" s="1855"/>
      <c r="F399" s="511">
        <f t="shared" ref="F399:M399" si="20">SUM(F398,F176)</f>
        <v>39184963</v>
      </c>
      <c r="G399" s="511">
        <f t="shared" si="20"/>
        <v>996626</v>
      </c>
      <c r="H399" s="1357">
        <f t="shared" si="20"/>
        <v>3357327</v>
      </c>
      <c r="I399" s="801">
        <f t="shared" si="20"/>
        <v>13375985</v>
      </c>
      <c r="J399" s="1374">
        <f t="shared" si="20"/>
        <v>20918665</v>
      </c>
      <c r="K399" s="1374">
        <f t="shared" si="20"/>
        <v>23444</v>
      </c>
      <c r="L399" s="783">
        <f t="shared" si="20"/>
        <v>20942109</v>
      </c>
      <c r="M399" s="651">
        <f t="shared" si="20"/>
        <v>13888901</v>
      </c>
    </row>
    <row r="400" spans="1:13" ht="18" customHeight="1" x14ac:dyDescent="0.35">
      <c r="B400" s="734" t="s">
        <v>28</v>
      </c>
      <c r="D400" s="734"/>
      <c r="E400" s="730"/>
      <c r="F400" s="512"/>
      <c r="G400" s="513"/>
      <c r="H400" s="512"/>
      <c r="I400" s="512"/>
      <c r="J400" s="512"/>
      <c r="K400" s="1375"/>
      <c r="L400" s="512"/>
    </row>
    <row r="401" spans="2:12" ht="18" customHeight="1" x14ac:dyDescent="0.35">
      <c r="B401" s="734" t="s">
        <v>29</v>
      </c>
      <c r="D401" s="734"/>
      <c r="E401" s="730"/>
      <c r="F401" s="731"/>
      <c r="G401" s="513"/>
      <c r="H401" s="512"/>
      <c r="I401" s="512"/>
      <c r="J401" s="512"/>
      <c r="K401" s="1375"/>
      <c r="L401" s="512"/>
    </row>
    <row r="402" spans="2:12" ht="18" customHeight="1" x14ac:dyDescent="0.35">
      <c r="B402" s="734" t="s">
        <v>30</v>
      </c>
      <c r="D402" s="734"/>
      <c r="E402" s="730"/>
      <c r="F402" s="731"/>
      <c r="G402" s="513"/>
      <c r="H402" s="512"/>
      <c r="I402" s="512"/>
      <c r="J402" s="512"/>
      <c r="K402" s="1375"/>
      <c r="L402" s="512"/>
    </row>
    <row r="403" spans="2:12" x14ac:dyDescent="0.35">
      <c r="F403" s="1703">
        <f>+F399-G399-H399-L399-M399</f>
        <v>0</v>
      </c>
    </row>
  </sheetData>
  <mergeCells count="10">
    <mergeCell ref="C176:E176"/>
    <mergeCell ref="C177:D177"/>
    <mergeCell ref="C398:E398"/>
    <mergeCell ref="C399:E399"/>
    <mergeCell ref="B1:D1"/>
    <mergeCell ref="I1:M1"/>
    <mergeCell ref="B2:M2"/>
    <mergeCell ref="B3:M3"/>
    <mergeCell ref="C7:D7"/>
    <mergeCell ref="C161:D161"/>
  </mergeCells>
  <printOptions horizontalCentered="1"/>
  <pageMargins left="0.19685039370078741" right="0.19685039370078741" top="0.55118110236220474" bottom="0.55118110236220474" header="0.31496062992125984" footer="0.31496062992125984"/>
  <pageSetup paperSize="9" scale="55" orientation="portrait" r:id="rId1"/>
  <headerFooter>
    <oddFooter>&amp;C-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R259"/>
  <sheetViews>
    <sheetView view="pageBreakPreview" zoomScaleNormal="100" zoomScaleSheetLayoutView="100" workbookViewId="0">
      <selection activeCell="B1" sqref="B1:E1"/>
    </sheetView>
  </sheetViews>
  <sheetFormatPr defaultColWidth="9.140625" defaultRowHeight="17.25" x14ac:dyDescent="0.35"/>
  <cols>
    <col min="1" max="1" width="4.28515625" style="685" customWidth="1"/>
    <col min="2" max="2" width="4.28515625" style="503" customWidth="1"/>
    <col min="3" max="3" width="3.7109375" style="503" bestFit="1" customWidth="1"/>
    <col min="4" max="4" width="54.7109375" style="439" customWidth="1"/>
    <col min="5" max="5" width="5.7109375" style="686" customWidth="1"/>
    <col min="6" max="7" width="11.7109375" style="461" customWidth="1"/>
    <col min="8" max="8" width="14.7109375" style="568" customWidth="1"/>
    <col min="9" max="9" width="14.7109375" style="461" customWidth="1"/>
    <col min="10" max="10" width="14.7109375" style="1591" customWidth="1"/>
    <col min="11" max="11" width="14.7109375" style="461" customWidth="1"/>
    <col min="12" max="12" width="12.7109375" style="461" customWidth="1"/>
    <col min="13" max="250" width="9.140625" style="436"/>
    <col min="251" max="16384" width="9.140625" style="265"/>
  </cols>
  <sheetData>
    <row r="1" spans="1:252" ht="16.5" x14ac:dyDescent="0.3">
      <c r="A1" s="683"/>
      <c r="B1" s="1859" t="s">
        <v>1501</v>
      </c>
      <c r="C1" s="1859"/>
      <c r="D1" s="1859"/>
      <c r="E1" s="1859"/>
      <c r="F1" s="684"/>
      <c r="G1" s="684"/>
      <c r="H1" s="1841"/>
      <c r="I1" s="1841"/>
      <c r="J1" s="1841"/>
      <c r="K1" s="1841"/>
      <c r="L1" s="1841"/>
      <c r="M1" s="680"/>
      <c r="N1" s="680"/>
      <c r="O1" s="680"/>
      <c r="P1" s="680"/>
      <c r="Q1" s="680"/>
      <c r="R1" s="680"/>
      <c r="S1" s="680"/>
      <c r="T1" s="680"/>
      <c r="U1" s="680"/>
      <c r="V1" s="680"/>
      <c r="W1" s="680"/>
      <c r="X1" s="680"/>
      <c r="Y1" s="680"/>
      <c r="Z1" s="680"/>
      <c r="AA1" s="680"/>
      <c r="AB1" s="680"/>
      <c r="AC1" s="680"/>
      <c r="AD1" s="680"/>
      <c r="AE1" s="680"/>
      <c r="AF1" s="680"/>
      <c r="AG1" s="680"/>
      <c r="AH1" s="680"/>
      <c r="AI1" s="680"/>
      <c r="AJ1" s="680"/>
      <c r="AK1" s="680"/>
      <c r="AL1" s="680"/>
      <c r="AM1" s="680"/>
      <c r="AN1" s="680"/>
      <c r="AO1" s="680"/>
      <c r="AP1" s="680"/>
      <c r="AQ1" s="680"/>
      <c r="AR1" s="680"/>
      <c r="AS1" s="680"/>
      <c r="AT1" s="680"/>
      <c r="AU1" s="680"/>
      <c r="AV1" s="680"/>
      <c r="AW1" s="680"/>
      <c r="AX1" s="680"/>
      <c r="AY1" s="680"/>
      <c r="AZ1" s="680"/>
      <c r="BA1" s="680"/>
      <c r="BB1" s="680"/>
      <c r="BC1" s="680"/>
      <c r="BD1" s="680"/>
      <c r="BE1" s="680"/>
      <c r="BF1" s="680"/>
      <c r="BG1" s="680"/>
      <c r="BH1" s="680"/>
      <c r="BI1" s="680"/>
      <c r="BJ1" s="680"/>
      <c r="BK1" s="680"/>
      <c r="BL1" s="680"/>
      <c r="BM1" s="680"/>
      <c r="BN1" s="680"/>
      <c r="BO1" s="680"/>
      <c r="BP1" s="680"/>
      <c r="BQ1" s="680"/>
      <c r="BR1" s="680"/>
      <c r="BS1" s="680"/>
      <c r="BT1" s="680"/>
      <c r="BU1" s="680"/>
      <c r="BV1" s="680"/>
      <c r="BW1" s="680"/>
      <c r="BX1" s="680"/>
      <c r="BY1" s="680"/>
      <c r="BZ1" s="680"/>
      <c r="CA1" s="680"/>
      <c r="CB1" s="680"/>
      <c r="CC1" s="680"/>
      <c r="CD1" s="680"/>
      <c r="CE1" s="680"/>
      <c r="CF1" s="680"/>
      <c r="CG1" s="680"/>
      <c r="CH1" s="680"/>
      <c r="CI1" s="680"/>
      <c r="CJ1" s="680"/>
      <c r="CK1" s="680"/>
      <c r="CL1" s="680"/>
      <c r="CM1" s="680"/>
      <c r="CN1" s="680"/>
      <c r="CO1" s="680"/>
      <c r="CP1" s="680"/>
      <c r="CQ1" s="680"/>
      <c r="CR1" s="680"/>
      <c r="CS1" s="680"/>
      <c r="CT1" s="680"/>
      <c r="CU1" s="680"/>
      <c r="CV1" s="680"/>
      <c r="CW1" s="680"/>
      <c r="CX1" s="680"/>
      <c r="CY1" s="680"/>
      <c r="CZ1" s="680"/>
      <c r="DA1" s="680"/>
      <c r="DB1" s="680"/>
      <c r="DC1" s="680"/>
      <c r="DD1" s="680"/>
      <c r="DE1" s="680"/>
      <c r="DF1" s="680"/>
      <c r="DG1" s="680"/>
      <c r="DH1" s="680"/>
      <c r="DI1" s="680"/>
      <c r="DJ1" s="680"/>
      <c r="DK1" s="680"/>
      <c r="DL1" s="680"/>
      <c r="DM1" s="680"/>
      <c r="DN1" s="680"/>
      <c r="DO1" s="680"/>
      <c r="DP1" s="680"/>
      <c r="DQ1" s="680"/>
      <c r="DR1" s="680"/>
      <c r="DS1" s="680"/>
      <c r="DT1" s="680"/>
      <c r="DU1" s="680"/>
      <c r="DV1" s="680"/>
      <c r="DW1" s="680"/>
      <c r="DX1" s="680"/>
      <c r="DY1" s="680"/>
      <c r="DZ1" s="680"/>
      <c r="EA1" s="680"/>
      <c r="EB1" s="680"/>
      <c r="EC1" s="680"/>
      <c r="ED1" s="680"/>
      <c r="EE1" s="680"/>
      <c r="EF1" s="680"/>
      <c r="EG1" s="680"/>
      <c r="EH1" s="680"/>
      <c r="EI1" s="680"/>
      <c r="EJ1" s="680"/>
      <c r="EK1" s="680"/>
      <c r="EL1" s="680"/>
      <c r="EM1" s="680"/>
      <c r="EN1" s="680"/>
      <c r="EO1" s="680"/>
      <c r="EP1" s="680"/>
      <c r="EQ1" s="680"/>
      <c r="ER1" s="680"/>
      <c r="ES1" s="680"/>
      <c r="ET1" s="680"/>
      <c r="EU1" s="680"/>
      <c r="EV1" s="680"/>
      <c r="EW1" s="680"/>
      <c r="EX1" s="680"/>
      <c r="EY1" s="680"/>
      <c r="EZ1" s="680"/>
      <c r="FA1" s="680"/>
      <c r="FB1" s="680"/>
      <c r="FC1" s="680"/>
      <c r="FD1" s="680"/>
      <c r="FE1" s="680"/>
      <c r="FF1" s="680"/>
      <c r="FG1" s="680"/>
      <c r="FH1" s="680"/>
      <c r="FI1" s="680"/>
      <c r="FJ1" s="680"/>
      <c r="FK1" s="680"/>
      <c r="FL1" s="680"/>
      <c r="FM1" s="680"/>
      <c r="FN1" s="680"/>
      <c r="FO1" s="680"/>
      <c r="FP1" s="680"/>
      <c r="FQ1" s="680"/>
      <c r="FR1" s="680"/>
      <c r="FS1" s="680"/>
      <c r="FT1" s="680"/>
      <c r="FU1" s="680"/>
      <c r="FV1" s="680"/>
      <c r="FW1" s="680"/>
      <c r="FX1" s="680"/>
      <c r="FY1" s="680"/>
      <c r="FZ1" s="680"/>
      <c r="GA1" s="680"/>
      <c r="GB1" s="680"/>
      <c r="GC1" s="680"/>
      <c r="GD1" s="680"/>
      <c r="GE1" s="680"/>
      <c r="GF1" s="680"/>
      <c r="GG1" s="680"/>
      <c r="GH1" s="680"/>
      <c r="GI1" s="680"/>
      <c r="GJ1" s="680"/>
      <c r="GK1" s="680"/>
      <c r="GL1" s="680"/>
      <c r="GM1" s="680"/>
      <c r="GN1" s="680"/>
      <c r="GO1" s="680"/>
      <c r="GP1" s="680"/>
      <c r="GQ1" s="680"/>
      <c r="GR1" s="680"/>
      <c r="GS1" s="680"/>
      <c r="GT1" s="680"/>
      <c r="GU1" s="680"/>
      <c r="GV1" s="680"/>
      <c r="GW1" s="680"/>
      <c r="GX1" s="680"/>
      <c r="GY1" s="680"/>
      <c r="GZ1" s="680"/>
      <c r="HA1" s="680"/>
      <c r="HB1" s="680"/>
      <c r="HC1" s="680"/>
      <c r="HD1" s="680"/>
      <c r="HE1" s="680"/>
      <c r="HF1" s="680"/>
      <c r="HG1" s="680"/>
      <c r="HH1" s="680"/>
      <c r="HI1" s="680"/>
      <c r="HJ1" s="680"/>
      <c r="HK1" s="680"/>
      <c r="HL1" s="680"/>
      <c r="HM1" s="680"/>
      <c r="HN1" s="680"/>
      <c r="HO1" s="680"/>
      <c r="HP1" s="680"/>
      <c r="HQ1" s="680"/>
      <c r="HR1" s="680"/>
      <c r="HS1" s="680"/>
      <c r="HT1" s="680"/>
      <c r="HU1" s="680"/>
      <c r="HV1" s="680"/>
      <c r="HW1" s="680"/>
      <c r="HX1" s="680"/>
      <c r="HY1" s="680"/>
      <c r="HZ1" s="680"/>
      <c r="IA1" s="680"/>
      <c r="IB1" s="680"/>
      <c r="IC1" s="680"/>
      <c r="ID1" s="680"/>
      <c r="IE1" s="680"/>
      <c r="IF1" s="680"/>
      <c r="IG1" s="680"/>
      <c r="IH1" s="680"/>
      <c r="II1" s="680"/>
      <c r="IJ1" s="680"/>
      <c r="IK1" s="680"/>
      <c r="IL1" s="680"/>
      <c r="IM1" s="680"/>
      <c r="IN1" s="680"/>
      <c r="IO1" s="680"/>
      <c r="IP1" s="680"/>
    </row>
    <row r="2" spans="1:252" x14ac:dyDescent="0.35">
      <c r="B2" s="1842" t="s">
        <v>15</v>
      </c>
      <c r="C2" s="1842"/>
      <c r="D2" s="1842"/>
      <c r="E2" s="1842"/>
      <c r="F2" s="1842"/>
      <c r="G2" s="1842"/>
      <c r="H2" s="1842"/>
      <c r="I2" s="1842"/>
      <c r="J2" s="1842"/>
      <c r="K2" s="1842"/>
      <c r="L2" s="1842"/>
      <c r="M2" s="454"/>
      <c r="N2" s="454"/>
      <c r="O2" s="454"/>
      <c r="P2" s="454"/>
      <c r="Q2" s="454"/>
      <c r="R2" s="454"/>
      <c r="S2" s="454"/>
      <c r="T2" s="454"/>
      <c r="U2" s="454"/>
      <c r="V2" s="454"/>
      <c r="W2" s="454"/>
      <c r="X2" s="454"/>
      <c r="Y2" s="454"/>
      <c r="Z2" s="454"/>
      <c r="AA2" s="454"/>
      <c r="AB2" s="454"/>
      <c r="AC2" s="454"/>
      <c r="AD2" s="454"/>
      <c r="AE2" s="454"/>
      <c r="AF2" s="454"/>
      <c r="AG2" s="454"/>
      <c r="AH2" s="454"/>
      <c r="AI2" s="454"/>
      <c r="AJ2" s="454"/>
      <c r="AK2" s="454"/>
      <c r="AL2" s="454"/>
      <c r="AM2" s="454"/>
      <c r="AN2" s="454"/>
      <c r="AO2" s="454"/>
      <c r="AP2" s="454"/>
      <c r="AQ2" s="454"/>
      <c r="AR2" s="454"/>
      <c r="AS2" s="454"/>
      <c r="AT2" s="454"/>
      <c r="AU2" s="454"/>
      <c r="AV2" s="454"/>
      <c r="AW2" s="454"/>
      <c r="AX2" s="454"/>
      <c r="AY2" s="454"/>
      <c r="AZ2" s="454"/>
      <c r="BA2" s="454"/>
      <c r="BB2" s="454"/>
      <c r="BC2" s="454"/>
      <c r="BD2" s="454"/>
      <c r="BE2" s="454"/>
      <c r="BF2" s="454"/>
      <c r="BG2" s="454"/>
      <c r="BH2" s="454"/>
      <c r="BI2" s="454"/>
      <c r="BJ2" s="454"/>
      <c r="BK2" s="454"/>
      <c r="BL2" s="454"/>
      <c r="BM2" s="454"/>
      <c r="BN2" s="454"/>
      <c r="BO2" s="454"/>
      <c r="BP2" s="454"/>
      <c r="BQ2" s="454"/>
      <c r="BR2" s="454"/>
      <c r="BS2" s="454"/>
      <c r="BT2" s="454"/>
      <c r="BU2" s="454"/>
      <c r="BV2" s="454"/>
      <c r="BW2" s="454"/>
      <c r="BX2" s="454"/>
      <c r="BY2" s="454"/>
      <c r="BZ2" s="454"/>
      <c r="CA2" s="454"/>
      <c r="CB2" s="454"/>
      <c r="CC2" s="454"/>
      <c r="CD2" s="454"/>
      <c r="CE2" s="454"/>
      <c r="CF2" s="454"/>
      <c r="CG2" s="454"/>
      <c r="CH2" s="454"/>
      <c r="CI2" s="454"/>
      <c r="CJ2" s="454"/>
      <c r="CK2" s="454"/>
      <c r="CL2" s="454"/>
      <c r="CM2" s="454"/>
      <c r="CN2" s="454"/>
      <c r="CO2" s="454"/>
      <c r="CP2" s="454"/>
      <c r="CQ2" s="454"/>
      <c r="CR2" s="454"/>
      <c r="CS2" s="454"/>
      <c r="CT2" s="454"/>
      <c r="CU2" s="454"/>
      <c r="CV2" s="454"/>
      <c r="CW2" s="454"/>
      <c r="CX2" s="454"/>
      <c r="CY2" s="454"/>
      <c r="CZ2" s="454"/>
      <c r="DA2" s="454"/>
      <c r="DB2" s="454"/>
      <c r="DC2" s="454"/>
      <c r="DD2" s="454"/>
      <c r="DE2" s="454"/>
      <c r="DF2" s="454"/>
      <c r="DG2" s="454"/>
      <c r="DH2" s="454"/>
      <c r="DI2" s="454"/>
      <c r="DJ2" s="454"/>
      <c r="DK2" s="454"/>
      <c r="DL2" s="454"/>
      <c r="DM2" s="454"/>
      <c r="DN2" s="454"/>
      <c r="DO2" s="454"/>
      <c r="DP2" s="454"/>
      <c r="DQ2" s="454"/>
      <c r="DR2" s="454"/>
      <c r="DS2" s="454"/>
      <c r="DT2" s="454"/>
      <c r="DU2" s="454"/>
      <c r="DV2" s="454"/>
      <c r="DW2" s="454"/>
      <c r="DX2" s="454"/>
      <c r="DY2" s="454"/>
      <c r="DZ2" s="454"/>
      <c r="EA2" s="454"/>
      <c r="EB2" s="454"/>
      <c r="EC2" s="454"/>
      <c r="ED2" s="454"/>
      <c r="EE2" s="454"/>
      <c r="EF2" s="454"/>
      <c r="EG2" s="454"/>
      <c r="EH2" s="454"/>
      <c r="EI2" s="454"/>
      <c r="EJ2" s="454"/>
      <c r="EK2" s="454"/>
      <c r="EL2" s="454"/>
      <c r="EM2" s="454"/>
      <c r="EN2" s="454"/>
      <c r="EO2" s="454"/>
      <c r="EP2" s="454"/>
      <c r="EQ2" s="454"/>
      <c r="ER2" s="454"/>
      <c r="ES2" s="454"/>
      <c r="ET2" s="454"/>
      <c r="EU2" s="454"/>
      <c r="EV2" s="454"/>
      <c r="EW2" s="454"/>
      <c r="EX2" s="454"/>
      <c r="EY2" s="454"/>
      <c r="EZ2" s="454"/>
      <c r="FA2" s="454"/>
      <c r="FB2" s="454"/>
      <c r="FC2" s="454"/>
      <c r="FD2" s="454"/>
      <c r="FE2" s="454"/>
      <c r="FF2" s="454"/>
      <c r="FG2" s="454"/>
      <c r="FH2" s="454"/>
      <c r="FI2" s="454"/>
      <c r="FJ2" s="454"/>
      <c r="FK2" s="454"/>
      <c r="FL2" s="454"/>
      <c r="FM2" s="454"/>
      <c r="FN2" s="454"/>
      <c r="FO2" s="454"/>
      <c r="FP2" s="454"/>
      <c r="FQ2" s="454"/>
      <c r="FR2" s="454"/>
      <c r="FS2" s="454"/>
      <c r="FT2" s="454"/>
      <c r="FU2" s="454"/>
      <c r="FV2" s="454"/>
      <c r="FW2" s="454"/>
      <c r="FX2" s="454"/>
      <c r="FY2" s="454"/>
      <c r="FZ2" s="454"/>
      <c r="GA2" s="454"/>
      <c r="GB2" s="454"/>
      <c r="GC2" s="454"/>
      <c r="GD2" s="454"/>
      <c r="GE2" s="454"/>
      <c r="GF2" s="454"/>
      <c r="GG2" s="454"/>
      <c r="GH2" s="454"/>
      <c r="GI2" s="454"/>
      <c r="GJ2" s="454"/>
      <c r="GK2" s="454"/>
      <c r="GL2" s="454"/>
      <c r="GM2" s="454"/>
      <c r="GN2" s="454"/>
      <c r="GO2" s="454"/>
      <c r="GP2" s="454"/>
      <c r="GQ2" s="454"/>
      <c r="GR2" s="454"/>
      <c r="GS2" s="454"/>
      <c r="GT2" s="454"/>
      <c r="GU2" s="454"/>
      <c r="GV2" s="454"/>
      <c r="GW2" s="454"/>
      <c r="GX2" s="454"/>
      <c r="GY2" s="454"/>
      <c r="GZ2" s="454"/>
      <c r="HA2" s="454"/>
      <c r="HB2" s="454"/>
      <c r="HC2" s="454"/>
      <c r="HD2" s="454"/>
      <c r="HE2" s="454"/>
      <c r="HF2" s="454"/>
      <c r="HG2" s="454"/>
      <c r="HH2" s="454"/>
      <c r="HI2" s="454"/>
      <c r="HJ2" s="454"/>
      <c r="HK2" s="454"/>
      <c r="HL2" s="454"/>
      <c r="HM2" s="454"/>
      <c r="HN2" s="454"/>
      <c r="HO2" s="454"/>
      <c r="HP2" s="454"/>
      <c r="HQ2" s="454"/>
      <c r="HR2" s="454"/>
      <c r="HS2" s="454"/>
      <c r="HT2" s="454"/>
      <c r="HU2" s="454"/>
      <c r="HV2" s="454"/>
      <c r="HW2" s="454"/>
      <c r="HX2" s="454"/>
      <c r="HY2" s="454"/>
      <c r="HZ2" s="454"/>
      <c r="IA2" s="454"/>
      <c r="IB2" s="454"/>
      <c r="IC2" s="454"/>
      <c r="ID2" s="454"/>
      <c r="IE2" s="454"/>
      <c r="IF2" s="454"/>
      <c r="IG2" s="454"/>
      <c r="IH2" s="454"/>
      <c r="II2" s="454"/>
      <c r="IJ2" s="454"/>
      <c r="IK2" s="454"/>
      <c r="IL2" s="454"/>
      <c r="IM2" s="454"/>
      <c r="IN2" s="454"/>
      <c r="IO2" s="454"/>
      <c r="IP2" s="454"/>
      <c r="IQ2" s="546"/>
      <c r="IR2" s="546"/>
    </row>
    <row r="3" spans="1:252" x14ac:dyDescent="0.2">
      <c r="B3" s="1860" t="s">
        <v>1386</v>
      </c>
      <c r="C3" s="1860"/>
      <c r="D3" s="1860"/>
      <c r="E3" s="1860"/>
      <c r="F3" s="1860"/>
      <c r="G3" s="1860"/>
      <c r="H3" s="1860"/>
      <c r="I3" s="1860"/>
      <c r="J3" s="1860"/>
      <c r="K3" s="1860"/>
      <c r="L3" s="1860"/>
      <c r="M3" s="547"/>
      <c r="N3" s="547"/>
      <c r="O3" s="547"/>
      <c r="P3" s="547"/>
      <c r="Q3" s="547"/>
      <c r="R3" s="547"/>
      <c r="S3" s="547"/>
      <c r="T3" s="547"/>
      <c r="U3" s="547"/>
      <c r="V3" s="547"/>
      <c r="W3" s="547"/>
      <c r="X3" s="547"/>
      <c r="Y3" s="547"/>
      <c r="Z3" s="547"/>
      <c r="AA3" s="547"/>
      <c r="AB3" s="547"/>
      <c r="AC3" s="547"/>
      <c r="AD3" s="547"/>
      <c r="AE3" s="547"/>
      <c r="AF3" s="547"/>
      <c r="AG3" s="547"/>
      <c r="AH3" s="547"/>
      <c r="AI3" s="547"/>
      <c r="AJ3" s="547"/>
      <c r="AK3" s="547"/>
      <c r="AL3" s="547"/>
      <c r="AM3" s="547"/>
      <c r="AN3" s="547"/>
      <c r="AO3" s="547"/>
      <c r="AP3" s="547"/>
      <c r="AQ3" s="547"/>
      <c r="AR3" s="547"/>
      <c r="AS3" s="547"/>
      <c r="AT3" s="547"/>
      <c r="AU3" s="547"/>
      <c r="AV3" s="547"/>
      <c r="AW3" s="547"/>
      <c r="AX3" s="547"/>
      <c r="AY3" s="547"/>
      <c r="AZ3" s="547"/>
      <c r="BA3" s="547"/>
      <c r="BB3" s="547"/>
      <c r="BC3" s="547"/>
      <c r="BD3" s="547"/>
      <c r="BE3" s="547"/>
      <c r="BF3" s="547"/>
      <c r="BG3" s="547"/>
      <c r="BH3" s="547"/>
      <c r="BI3" s="547"/>
      <c r="BJ3" s="547"/>
      <c r="BK3" s="547"/>
      <c r="BL3" s="547"/>
      <c r="BM3" s="547"/>
      <c r="BN3" s="547"/>
      <c r="BO3" s="547"/>
      <c r="BP3" s="547"/>
      <c r="BQ3" s="547"/>
      <c r="BR3" s="547"/>
      <c r="BS3" s="547"/>
      <c r="BT3" s="547"/>
      <c r="BU3" s="547"/>
      <c r="BV3" s="547"/>
      <c r="BW3" s="547"/>
      <c r="BX3" s="547"/>
      <c r="BY3" s="547"/>
      <c r="BZ3" s="547"/>
      <c r="CA3" s="547"/>
      <c r="CB3" s="547"/>
      <c r="CC3" s="547"/>
      <c r="CD3" s="547"/>
      <c r="CE3" s="547"/>
      <c r="CF3" s="547"/>
      <c r="CG3" s="547"/>
      <c r="CH3" s="547"/>
      <c r="CI3" s="547"/>
      <c r="CJ3" s="547"/>
      <c r="CK3" s="547"/>
      <c r="CL3" s="547"/>
      <c r="CM3" s="547"/>
      <c r="CN3" s="547"/>
      <c r="CO3" s="547"/>
      <c r="CP3" s="547"/>
      <c r="CQ3" s="547"/>
      <c r="CR3" s="547"/>
      <c r="CS3" s="547"/>
      <c r="CT3" s="547"/>
      <c r="CU3" s="547"/>
      <c r="CV3" s="547"/>
      <c r="CW3" s="547"/>
      <c r="CX3" s="547"/>
      <c r="CY3" s="547"/>
      <c r="CZ3" s="547"/>
      <c r="DA3" s="547"/>
      <c r="DB3" s="547"/>
      <c r="DC3" s="547"/>
      <c r="DD3" s="547"/>
      <c r="DE3" s="547"/>
      <c r="DF3" s="547"/>
      <c r="DG3" s="547"/>
      <c r="DH3" s="547"/>
      <c r="DI3" s="547"/>
      <c r="DJ3" s="547"/>
      <c r="DK3" s="547"/>
      <c r="DL3" s="547"/>
      <c r="DM3" s="547"/>
      <c r="DN3" s="547"/>
      <c r="DO3" s="547"/>
      <c r="DP3" s="547"/>
      <c r="DQ3" s="547"/>
      <c r="DR3" s="547"/>
      <c r="DS3" s="547"/>
      <c r="DT3" s="547"/>
      <c r="DU3" s="547"/>
      <c r="DV3" s="547"/>
      <c r="DW3" s="547"/>
      <c r="DX3" s="547"/>
      <c r="DY3" s="547"/>
      <c r="DZ3" s="547"/>
      <c r="EA3" s="547"/>
      <c r="EB3" s="547"/>
      <c r="EC3" s="547"/>
      <c r="ED3" s="547"/>
      <c r="EE3" s="547"/>
      <c r="EF3" s="547"/>
      <c r="EG3" s="547"/>
      <c r="EH3" s="547"/>
      <c r="EI3" s="547"/>
      <c r="EJ3" s="547"/>
      <c r="EK3" s="547"/>
      <c r="EL3" s="547"/>
      <c r="EM3" s="547"/>
      <c r="EN3" s="547"/>
      <c r="EO3" s="547"/>
      <c r="EP3" s="547"/>
      <c r="EQ3" s="547"/>
      <c r="ER3" s="547"/>
      <c r="ES3" s="547"/>
      <c r="ET3" s="547"/>
      <c r="EU3" s="547"/>
      <c r="EV3" s="547"/>
      <c r="EW3" s="547"/>
      <c r="EX3" s="547"/>
      <c r="EY3" s="547"/>
      <c r="EZ3" s="547"/>
      <c r="FA3" s="547"/>
      <c r="FB3" s="547"/>
      <c r="FC3" s="547"/>
      <c r="FD3" s="547"/>
      <c r="FE3" s="547"/>
      <c r="FF3" s="547"/>
      <c r="FG3" s="547"/>
      <c r="FH3" s="547"/>
      <c r="FI3" s="547"/>
      <c r="FJ3" s="547"/>
      <c r="FK3" s="547"/>
      <c r="FL3" s="547"/>
      <c r="FM3" s="547"/>
      <c r="FN3" s="547"/>
      <c r="FO3" s="547"/>
      <c r="FP3" s="547"/>
      <c r="FQ3" s="547"/>
      <c r="FR3" s="547"/>
      <c r="FS3" s="547"/>
      <c r="FT3" s="547"/>
      <c r="FU3" s="547"/>
      <c r="FV3" s="547"/>
      <c r="FW3" s="547"/>
      <c r="FX3" s="547"/>
      <c r="FY3" s="547"/>
      <c r="FZ3" s="547"/>
      <c r="GA3" s="547"/>
      <c r="GB3" s="547"/>
      <c r="GC3" s="547"/>
      <c r="GD3" s="547"/>
      <c r="GE3" s="547"/>
      <c r="GF3" s="547"/>
      <c r="GG3" s="547"/>
      <c r="GH3" s="547"/>
      <c r="GI3" s="547"/>
      <c r="GJ3" s="547"/>
      <c r="GK3" s="547"/>
      <c r="GL3" s="547"/>
      <c r="GM3" s="547"/>
      <c r="GN3" s="547"/>
      <c r="GO3" s="547"/>
      <c r="GP3" s="547"/>
      <c r="GQ3" s="547"/>
      <c r="GR3" s="547"/>
      <c r="GS3" s="547"/>
      <c r="GT3" s="547"/>
      <c r="GU3" s="547"/>
      <c r="GV3" s="547"/>
      <c r="GW3" s="547"/>
      <c r="GX3" s="547"/>
      <c r="GY3" s="547"/>
      <c r="GZ3" s="547"/>
      <c r="HA3" s="547"/>
      <c r="HB3" s="547"/>
      <c r="HC3" s="547"/>
      <c r="HD3" s="547"/>
      <c r="HE3" s="547"/>
      <c r="HF3" s="547"/>
      <c r="HG3" s="547"/>
      <c r="HH3" s="547"/>
      <c r="HI3" s="547"/>
      <c r="HJ3" s="547"/>
      <c r="HK3" s="547"/>
      <c r="HL3" s="547"/>
      <c r="HM3" s="547"/>
      <c r="HN3" s="547"/>
      <c r="HO3" s="547"/>
      <c r="HP3" s="547"/>
      <c r="HQ3" s="547"/>
      <c r="HR3" s="547"/>
      <c r="HS3" s="547"/>
      <c r="HT3" s="547"/>
      <c r="HU3" s="547"/>
      <c r="HV3" s="547"/>
      <c r="HW3" s="547"/>
      <c r="HX3" s="547"/>
      <c r="HY3" s="547"/>
      <c r="HZ3" s="547"/>
      <c r="IA3" s="547"/>
      <c r="IB3" s="547"/>
      <c r="IC3" s="547"/>
      <c r="ID3" s="547"/>
      <c r="IE3" s="547"/>
      <c r="IF3" s="547"/>
      <c r="IG3" s="547"/>
      <c r="IH3" s="547"/>
      <c r="II3" s="547"/>
      <c r="IJ3" s="547"/>
      <c r="IK3" s="547"/>
      <c r="IL3" s="547"/>
      <c r="IM3" s="547"/>
      <c r="IN3" s="547"/>
      <c r="IO3" s="547"/>
      <c r="IP3" s="547"/>
      <c r="IQ3" s="548"/>
      <c r="IR3" s="548"/>
    </row>
    <row r="4" spans="1:252" x14ac:dyDescent="0.35">
      <c r="H4" s="1861" t="s">
        <v>0</v>
      </c>
      <c r="I4" s="1861"/>
      <c r="J4" s="1861"/>
      <c r="K4" s="1861"/>
      <c r="L4" s="1861"/>
    </row>
    <row r="5" spans="1:252" s="546" customFormat="1" ht="18" thickBot="1" x14ac:dyDescent="0.4">
      <c r="A5" s="685"/>
      <c r="B5" s="503" t="s">
        <v>1</v>
      </c>
      <c r="C5" s="503" t="s">
        <v>3</v>
      </c>
      <c r="D5" s="549" t="s">
        <v>2</v>
      </c>
      <c r="E5" s="549" t="s">
        <v>4</v>
      </c>
      <c r="F5" s="450" t="s">
        <v>5</v>
      </c>
      <c r="G5" s="450" t="s">
        <v>16</v>
      </c>
      <c r="H5" s="550" t="s">
        <v>17</v>
      </c>
      <c r="I5" s="450" t="s">
        <v>18</v>
      </c>
      <c r="J5" s="1580" t="s">
        <v>39</v>
      </c>
      <c r="K5" s="450" t="s">
        <v>31</v>
      </c>
      <c r="L5" s="450" t="s">
        <v>24</v>
      </c>
      <c r="M5" s="503"/>
      <c r="N5" s="503"/>
      <c r="O5" s="503"/>
      <c r="P5" s="503"/>
      <c r="Q5" s="503"/>
      <c r="R5" s="503"/>
      <c r="S5" s="503"/>
      <c r="T5" s="503"/>
      <c r="U5" s="503"/>
      <c r="V5" s="503"/>
      <c r="W5" s="503"/>
      <c r="X5" s="503"/>
      <c r="Y5" s="503"/>
      <c r="Z5" s="503"/>
      <c r="AA5" s="503"/>
      <c r="AB5" s="503"/>
      <c r="AC5" s="503"/>
      <c r="AD5" s="503"/>
      <c r="AE5" s="503"/>
      <c r="AF5" s="503"/>
      <c r="AG5" s="503"/>
      <c r="AH5" s="503"/>
      <c r="AI5" s="503"/>
      <c r="AJ5" s="503"/>
      <c r="AK5" s="503"/>
      <c r="AL5" s="503"/>
      <c r="AM5" s="503"/>
      <c r="AN5" s="503"/>
      <c r="AO5" s="503"/>
      <c r="AP5" s="503"/>
      <c r="AQ5" s="503"/>
      <c r="AR5" s="503"/>
      <c r="AS5" s="503"/>
      <c r="AT5" s="503"/>
      <c r="AU5" s="503"/>
      <c r="AV5" s="503"/>
      <c r="AW5" s="503"/>
      <c r="AX5" s="503"/>
      <c r="AY5" s="503"/>
      <c r="AZ5" s="503"/>
      <c r="BA5" s="503"/>
      <c r="BB5" s="503"/>
      <c r="BC5" s="503"/>
      <c r="BD5" s="503"/>
      <c r="BE5" s="503"/>
      <c r="BF5" s="503"/>
      <c r="BG5" s="503"/>
      <c r="BH5" s="503"/>
      <c r="BI5" s="503"/>
      <c r="BJ5" s="503"/>
      <c r="BK5" s="503"/>
      <c r="BL5" s="503"/>
      <c r="BM5" s="503"/>
      <c r="BN5" s="503"/>
      <c r="BO5" s="503"/>
      <c r="BP5" s="503"/>
      <c r="BQ5" s="503"/>
      <c r="BR5" s="503"/>
      <c r="BS5" s="503"/>
      <c r="BT5" s="503"/>
      <c r="BU5" s="503"/>
      <c r="BV5" s="503"/>
      <c r="BW5" s="503"/>
      <c r="BX5" s="503"/>
      <c r="BY5" s="503"/>
      <c r="BZ5" s="503"/>
      <c r="CA5" s="503"/>
      <c r="CB5" s="503"/>
      <c r="CC5" s="503"/>
      <c r="CD5" s="503"/>
      <c r="CE5" s="503"/>
      <c r="CF5" s="503"/>
      <c r="CG5" s="503"/>
      <c r="CH5" s="503"/>
      <c r="CI5" s="503"/>
      <c r="CJ5" s="503"/>
      <c r="CK5" s="503"/>
      <c r="CL5" s="503"/>
      <c r="CM5" s="503"/>
      <c r="CN5" s="503"/>
      <c r="CO5" s="503"/>
      <c r="CP5" s="503"/>
      <c r="CQ5" s="503"/>
      <c r="CR5" s="503"/>
      <c r="CS5" s="503"/>
      <c r="CT5" s="503"/>
      <c r="CU5" s="503"/>
      <c r="CV5" s="503"/>
      <c r="CW5" s="503"/>
      <c r="CX5" s="503"/>
      <c r="CY5" s="503"/>
      <c r="CZ5" s="503"/>
      <c r="DA5" s="503"/>
      <c r="DB5" s="503"/>
      <c r="DC5" s="503"/>
      <c r="DD5" s="503"/>
      <c r="DE5" s="503"/>
      <c r="DF5" s="503"/>
      <c r="DG5" s="503"/>
      <c r="DH5" s="503"/>
      <c r="DI5" s="503"/>
      <c r="DJ5" s="503"/>
      <c r="DK5" s="503"/>
      <c r="DL5" s="503"/>
      <c r="DM5" s="503"/>
      <c r="DN5" s="503"/>
      <c r="DO5" s="503"/>
      <c r="DP5" s="503"/>
      <c r="DQ5" s="503"/>
      <c r="DR5" s="503"/>
      <c r="DS5" s="503"/>
      <c r="DT5" s="503"/>
      <c r="DU5" s="503"/>
      <c r="DV5" s="503"/>
      <c r="DW5" s="503"/>
      <c r="DX5" s="503"/>
      <c r="DY5" s="503"/>
      <c r="DZ5" s="503"/>
      <c r="EA5" s="503"/>
      <c r="EB5" s="503"/>
      <c r="EC5" s="503"/>
      <c r="ED5" s="503"/>
      <c r="EE5" s="503"/>
      <c r="EF5" s="503"/>
      <c r="EG5" s="503"/>
      <c r="EH5" s="503"/>
      <c r="EI5" s="503"/>
      <c r="EJ5" s="503"/>
      <c r="EK5" s="503"/>
      <c r="EL5" s="503"/>
      <c r="EM5" s="503"/>
      <c r="EN5" s="503"/>
      <c r="EO5" s="503"/>
      <c r="EP5" s="503"/>
      <c r="EQ5" s="503"/>
      <c r="ER5" s="503"/>
      <c r="ES5" s="503"/>
      <c r="ET5" s="503"/>
      <c r="EU5" s="503"/>
      <c r="EV5" s="503"/>
      <c r="EW5" s="503"/>
      <c r="EX5" s="503"/>
      <c r="EY5" s="503"/>
      <c r="EZ5" s="503"/>
      <c r="FA5" s="503"/>
      <c r="FB5" s="503"/>
      <c r="FC5" s="503"/>
      <c r="FD5" s="503"/>
      <c r="FE5" s="503"/>
      <c r="FF5" s="503"/>
      <c r="FG5" s="503"/>
      <c r="FH5" s="503"/>
      <c r="FI5" s="503"/>
      <c r="FJ5" s="503"/>
      <c r="FK5" s="503"/>
      <c r="FL5" s="503"/>
      <c r="FM5" s="503"/>
      <c r="FN5" s="503"/>
      <c r="FO5" s="503"/>
      <c r="FP5" s="503"/>
      <c r="FQ5" s="503"/>
      <c r="FR5" s="503"/>
      <c r="FS5" s="503"/>
      <c r="FT5" s="503"/>
      <c r="FU5" s="503"/>
      <c r="FV5" s="503"/>
      <c r="FW5" s="503"/>
      <c r="FX5" s="503"/>
      <c r="FY5" s="503"/>
      <c r="FZ5" s="503"/>
      <c r="GA5" s="503"/>
      <c r="GB5" s="503"/>
      <c r="GC5" s="503"/>
      <c r="GD5" s="503"/>
      <c r="GE5" s="503"/>
      <c r="GF5" s="503"/>
      <c r="GG5" s="503"/>
      <c r="GH5" s="503"/>
      <c r="GI5" s="503"/>
      <c r="GJ5" s="503"/>
      <c r="GK5" s="503"/>
      <c r="GL5" s="503"/>
      <c r="GM5" s="503"/>
      <c r="GN5" s="503"/>
      <c r="GO5" s="503"/>
      <c r="GP5" s="503"/>
      <c r="GQ5" s="503"/>
      <c r="GR5" s="503"/>
      <c r="GS5" s="503"/>
      <c r="GT5" s="503"/>
      <c r="GU5" s="503"/>
      <c r="GV5" s="503"/>
      <c r="GW5" s="503"/>
      <c r="GX5" s="503"/>
      <c r="GY5" s="503"/>
      <c r="GZ5" s="503"/>
      <c r="HA5" s="503"/>
      <c r="HB5" s="503"/>
      <c r="HC5" s="503"/>
      <c r="HD5" s="503"/>
      <c r="HE5" s="503"/>
      <c r="HF5" s="503"/>
      <c r="HG5" s="503"/>
      <c r="HH5" s="503"/>
      <c r="HI5" s="503"/>
      <c r="HJ5" s="503"/>
      <c r="HK5" s="503"/>
      <c r="HL5" s="503"/>
      <c r="HM5" s="503"/>
      <c r="HN5" s="503"/>
      <c r="HO5" s="503"/>
      <c r="HP5" s="503"/>
      <c r="HQ5" s="503"/>
      <c r="HR5" s="503"/>
      <c r="HS5" s="503"/>
      <c r="HT5" s="503"/>
      <c r="HU5" s="503"/>
      <c r="HV5" s="503"/>
      <c r="HW5" s="503"/>
      <c r="HX5" s="503"/>
      <c r="HY5" s="503"/>
      <c r="HZ5" s="503"/>
      <c r="IA5" s="503"/>
      <c r="IB5" s="503"/>
      <c r="IC5" s="503"/>
      <c r="ID5" s="503"/>
      <c r="IE5" s="503"/>
      <c r="IF5" s="503"/>
      <c r="IG5" s="503"/>
      <c r="IH5" s="503"/>
      <c r="II5" s="503"/>
      <c r="IJ5" s="503"/>
      <c r="IK5" s="503"/>
      <c r="IL5" s="503"/>
      <c r="IM5" s="503"/>
      <c r="IN5" s="503"/>
      <c r="IO5" s="503"/>
      <c r="IP5" s="503"/>
    </row>
    <row r="6" spans="1:252" ht="99.75" thickBot="1" x14ac:dyDescent="0.35">
      <c r="B6" s="445" t="s">
        <v>19</v>
      </c>
      <c r="C6" s="446" t="s">
        <v>20</v>
      </c>
      <c r="D6" s="447" t="s">
        <v>6</v>
      </c>
      <c r="E6" s="448" t="s">
        <v>321</v>
      </c>
      <c r="F6" s="449" t="s">
        <v>22</v>
      </c>
      <c r="G6" s="1336" t="s">
        <v>930</v>
      </c>
      <c r="H6" s="810" t="s">
        <v>735</v>
      </c>
      <c r="I6" s="1436" t="s">
        <v>1305</v>
      </c>
      <c r="J6" s="811" t="s">
        <v>128</v>
      </c>
      <c r="K6" s="775" t="s">
        <v>1387</v>
      </c>
      <c r="L6" s="551" t="s">
        <v>562</v>
      </c>
    </row>
    <row r="7" spans="1:252" s="546" customFormat="1" x14ac:dyDescent="0.35">
      <c r="A7" s="685">
        <v>1</v>
      </c>
      <c r="B7" s="552">
        <v>18</v>
      </c>
      <c r="C7" s="553"/>
      <c r="D7" s="530" t="s">
        <v>23</v>
      </c>
      <c r="E7" s="452"/>
      <c r="F7" s="554"/>
      <c r="G7" s="1337"/>
      <c r="H7" s="1437"/>
      <c r="I7" s="1442"/>
      <c r="J7" s="1581"/>
      <c r="K7" s="808"/>
      <c r="L7" s="555"/>
      <c r="M7" s="454"/>
      <c r="N7" s="454"/>
      <c r="O7" s="454"/>
      <c r="P7" s="454"/>
      <c r="Q7" s="454"/>
      <c r="R7" s="454"/>
      <c r="S7" s="454"/>
      <c r="T7" s="454"/>
      <c r="U7" s="454"/>
      <c r="V7" s="454"/>
      <c r="W7" s="454"/>
      <c r="X7" s="454"/>
      <c r="Y7" s="454"/>
      <c r="Z7" s="454"/>
      <c r="AA7" s="454"/>
      <c r="AB7" s="454"/>
      <c r="AC7" s="454"/>
      <c r="AD7" s="454"/>
      <c r="AE7" s="454"/>
      <c r="AF7" s="454"/>
      <c r="AG7" s="454"/>
      <c r="AH7" s="454"/>
      <c r="AI7" s="454"/>
      <c r="AJ7" s="454"/>
      <c r="AK7" s="454"/>
      <c r="AL7" s="454"/>
      <c r="AM7" s="454"/>
      <c r="AN7" s="454"/>
      <c r="AO7" s="454"/>
      <c r="AP7" s="454"/>
      <c r="AQ7" s="454"/>
      <c r="AR7" s="454"/>
      <c r="AS7" s="454"/>
      <c r="AT7" s="454"/>
      <c r="AU7" s="454"/>
      <c r="AV7" s="454"/>
      <c r="AW7" s="454"/>
      <c r="AX7" s="454"/>
      <c r="AY7" s="454"/>
      <c r="AZ7" s="454"/>
      <c r="BA7" s="454"/>
      <c r="BB7" s="454"/>
      <c r="BC7" s="454"/>
      <c r="BD7" s="454"/>
      <c r="BE7" s="454"/>
      <c r="BF7" s="454"/>
      <c r="BG7" s="454"/>
      <c r="BH7" s="454"/>
      <c r="BI7" s="454"/>
      <c r="BJ7" s="454"/>
      <c r="BK7" s="454"/>
      <c r="BL7" s="454"/>
      <c r="BM7" s="454"/>
      <c r="BN7" s="454"/>
      <c r="BO7" s="454"/>
      <c r="BP7" s="454"/>
      <c r="BQ7" s="454"/>
      <c r="BR7" s="454"/>
      <c r="BS7" s="454"/>
      <c r="BT7" s="454"/>
      <c r="BU7" s="454"/>
      <c r="BV7" s="454"/>
      <c r="BW7" s="454"/>
      <c r="BX7" s="454"/>
      <c r="BY7" s="454"/>
      <c r="BZ7" s="454"/>
      <c r="CA7" s="454"/>
      <c r="CB7" s="454"/>
      <c r="CC7" s="454"/>
      <c r="CD7" s="454"/>
      <c r="CE7" s="454"/>
      <c r="CF7" s="454"/>
      <c r="CG7" s="454"/>
      <c r="CH7" s="454"/>
      <c r="CI7" s="454"/>
      <c r="CJ7" s="454"/>
      <c r="CK7" s="454"/>
      <c r="CL7" s="454"/>
      <c r="CM7" s="454"/>
      <c r="CN7" s="454"/>
      <c r="CO7" s="454"/>
      <c r="CP7" s="454"/>
      <c r="CQ7" s="454"/>
      <c r="CR7" s="454"/>
      <c r="CS7" s="454"/>
      <c r="CT7" s="454"/>
      <c r="CU7" s="454"/>
      <c r="CV7" s="454"/>
      <c r="CW7" s="454"/>
      <c r="CX7" s="454"/>
      <c r="CY7" s="454"/>
      <c r="CZ7" s="454"/>
      <c r="DA7" s="454"/>
      <c r="DB7" s="454"/>
      <c r="DC7" s="454"/>
      <c r="DD7" s="454"/>
      <c r="DE7" s="454"/>
      <c r="DF7" s="454"/>
      <c r="DG7" s="454"/>
      <c r="DH7" s="454"/>
      <c r="DI7" s="454"/>
      <c r="DJ7" s="454"/>
      <c r="DK7" s="454"/>
      <c r="DL7" s="454"/>
      <c r="DM7" s="454"/>
      <c r="DN7" s="454"/>
      <c r="DO7" s="454"/>
      <c r="DP7" s="454"/>
      <c r="DQ7" s="454"/>
      <c r="DR7" s="454"/>
      <c r="DS7" s="454"/>
      <c r="DT7" s="454"/>
      <c r="DU7" s="454"/>
      <c r="DV7" s="454"/>
      <c r="DW7" s="454"/>
      <c r="DX7" s="454"/>
      <c r="DY7" s="454"/>
      <c r="DZ7" s="454"/>
      <c r="EA7" s="454"/>
      <c r="EB7" s="454"/>
      <c r="EC7" s="454"/>
      <c r="ED7" s="454"/>
      <c r="EE7" s="454"/>
      <c r="EF7" s="454"/>
      <c r="EG7" s="454"/>
      <c r="EH7" s="454"/>
      <c r="EI7" s="454"/>
      <c r="EJ7" s="454"/>
      <c r="EK7" s="454"/>
      <c r="EL7" s="454"/>
      <c r="EM7" s="454"/>
      <c r="EN7" s="454"/>
      <c r="EO7" s="454"/>
      <c r="EP7" s="454"/>
      <c r="EQ7" s="454"/>
      <c r="ER7" s="454"/>
      <c r="ES7" s="454"/>
      <c r="ET7" s="454"/>
      <c r="EU7" s="454"/>
      <c r="EV7" s="454"/>
      <c r="EW7" s="454"/>
      <c r="EX7" s="454"/>
      <c r="EY7" s="454"/>
      <c r="EZ7" s="454"/>
      <c r="FA7" s="454"/>
      <c r="FB7" s="454"/>
      <c r="FC7" s="454"/>
      <c r="FD7" s="454"/>
      <c r="FE7" s="454"/>
      <c r="FF7" s="454"/>
      <c r="FG7" s="454"/>
      <c r="FH7" s="454"/>
      <c r="FI7" s="454"/>
      <c r="FJ7" s="454"/>
      <c r="FK7" s="454"/>
      <c r="FL7" s="454"/>
      <c r="FM7" s="454"/>
      <c r="FN7" s="454"/>
      <c r="FO7" s="454"/>
      <c r="FP7" s="454"/>
      <c r="FQ7" s="454"/>
      <c r="FR7" s="454"/>
      <c r="FS7" s="454"/>
      <c r="FT7" s="454"/>
      <c r="FU7" s="454"/>
      <c r="FV7" s="454"/>
      <c r="FW7" s="454"/>
      <c r="FX7" s="454"/>
      <c r="FY7" s="454"/>
      <c r="FZ7" s="454"/>
      <c r="GA7" s="454"/>
      <c r="GB7" s="454"/>
      <c r="GC7" s="454"/>
      <c r="GD7" s="454"/>
      <c r="GE7" s="454"/>
      <c r="GF7" s="454"/>
      <c r="GG7" s="454"/>
      <c r="GH7" s="454"/>
      <c r="GI7" s="454"/>
      <c r="GJ7" s="454"/>
      <c r="GK7" s="454"/>
      <c r="GL7" s="454"/>
      <c r="GM7" s="454"/>
      <c r="GN7" s="454"/>
      <c r="GO7" s="454"/>
      <c r="GP7" s="454"/>
      <c r="GQ7" s="454"/>
      <c r="GR7" s="454"/>
      <c r="GS7" s="454"/>
      <c r="GT7" s="454"/>
      <c r="GU7" s="454"/>
      <c r="GV7" s="454"/>
      <c r="GW7" s="454"/>
      <c r="GX7" s="454"/>
      <c r="GY7" s="454"/>
      <c r="GZ7" s="454"/>
      <c r="HA7" s="454"/>
      <c r="HB7" s="454"/>
      <c r="HC7" s="454"/>
      <c r="HD7" s="454"/>
      <c r="HE7" s="454"/>
      <c r="HF7" s="454"/>
      <c r="HG7" s="454"/>
      <c r="HH7" s="454"/>
      <c r="HI7" s="454"/>
      <c r="HJ7" s="454"/>
      <c r="HK7" s="454"/>
      <c r="HL7" s="454"/>
      <c r="HM7" s="454"/>
      <c r="HN7" s="454"/>
      <c r="HO7" s="454"/>
      <c r="HP7" s="454"/>
      <c r="HQ7" s="454"/>
      <c r="HR7" s="454"/>
      <c r="HS7" s="454"/>
      <c r="HT7" s="454"/>
      <c r="HU7" s="454"/>
      <c r="HV7" s="454"/>
      <c r="HW7" s="454"/>
      <c r="HX7" s="454"/>
      <c r="HY7" s="454"/>
      <c r="HZ7" s="454"/>
      <c r="IA7" s="454"/>
      <c r="IB7" s="454"/>
      <c r="IC7" s="454"/>
      <c r="ID7" s="454"/>
      <c r="IE7" s="454"/>
      <c r="IF7" s="454"/>
      <c r="IG7" s="454"/>
      <c r="IH7" s="454"/>
      <c r="II7" s="454"/>
      <c r="IJ7" s="454"/>
      <c r="IK7" s="454"/>
      <c r="IL7" s="454"/>
      <c r="IM7" s="454"/>
      <c r="IN7" s="454"/>
      <c r="IO7" s="454"/>
      <c r="IP7" s="454"/>
    </row>
    <row r="8" spans="1:252" x14ac:dyDescent="0.35">
      <c r="A8" s="685">
        <v>2</v>
      </c>
      <c r="B8" s="713"/>
      <c r="C8" s="556">
        <v>1</v>
      </c>
      <c r="D8" s="490" t="s">
        <v>639</v>
      </c>
      <c r="E8" s="493" t="s">
        <v>24</v>
      </c>
      <c r="F8" s="557">
        <f>G8+K8+L8</f>
        <v>20093</v>
      </c>
      <c r="G8" s="1338">
        <v>10000</v>
      </c>
      <c r="H8" s="1438">
        <v>9000</v>
      </c>
      <c r="I8" s="557">
        <v>10093</v>
      </c>
      <c r="J8" s="1582"/>
      <c r="K8" s="809">
        <f>SUM(I8:J8)</f>
        <v>10093</v>
      </c>
      <c r="L8" s="558"/>
    </row>
    <row r="9" spans="1:252" s="1334" customFormat="1" ht="33" customHeight="1" x14ac:dyDescent="0.2">
      <c r="A9" s="685">
        <v>3</v>
      </c>
      <c r="B9" s="1330"/>
      <c r="C9" s="456">
        <v>2</v>
      </c>
      <c r="D9" s="1331" t="s">
        <v>640</v>
      </c>
      <c r="E9" s="463" t="s">
        <v>25</v>
      </c>
      <c r="F9" s="459">
        <f t="shared" ref="F9:F85" si="0">G9+K9+L9</f>
        <v>1304</v>
      </c>
      <c r="G9" s="1343">
        <v>873</v>
      </c>
      <c r="H9" s="787">
        <v>3000</v>
      </c>
      <c r="I9" s="459">
        <f>5931-5500</f>
        <v>431</v>
      </c>
      <c r="J9" s="1583"/>
      <c r="K9" s="1579">
        <f t="shared" ref="K9:K75" si="1">SUM(I9:J9)</f>
        <v>431</v>
      </c>
      <c r="L9" s="1332"/>
      <c r="M9" s="1333"/>
      <c r="N9" s="1333"/>
      <c r="O9" s="1333"/>
      <c r="P9" s="1333"/>
      <c r="Q9" s="1333"/>
      <c r="R9" s="1333"/>
      <c r="S9" s="1333"/>
      <c r="T9" s="1333"/>
      <c r="U9" s="1333"/>
      <c r="V9" s="1333"/>
      <c r="W9" s="1333"/>
      <c r="X9" s="1333"/>
      <c r="Y9" s="1333"/>
      <c r="Z9" s="1333"/>
      <c r="AA9" s="1333"/>
      <c r="AB9" s="1333"/>
      <c r="AC9" s="1333"/>
      <c r="AD9" s="1333"/>
      <c r="AE9" s="1333"/>
      <c r="AF9" s="1333"/>
      <c r="AG9" s="1333"/>
      <c r="AH9" s="1333"/>
      <c r="AI9" s="1333"/>
      <c r="AJ9" s="1333"/>
      <c r="AK9" s="1333"/>
      <c r="AL9" s="1333"/>
      <c r="AM9" s="1333"/>
      <c r="AN9" s="1333"/>
      <c r="AO9" s="1333"/>
      <c r="AP9" s="1333"/>
      <c r="AQ9" s="1333"/>
      <c r="AR9" s="1333"/>
      <c r="AS9" s="1333"/>
      <c r="AT9" s="1333"/>
      <c r="AU9" s="1333"/>
      <c r="AV9" s="1333"/>
      <c r="AW9" s="1333"/>
      <c r="AX9" s="1333"/>
      <c r="AY9" s="1333"/>
      <c r="AZ9" s="1333"/>
      <c r="BA9" s="1333"/>
      <c r="BB9" s="1333"/>
      <c r="BC9" s="1333"/>
      <c r="BD9" s="1333"/>
      <c r="BE9" s="1333"/>
      <c r="BF9" s="1333"/>
      <c r="BG9" s="1333"/>
      <c r="BH9" s="1333"/>
      <c r="BI9" s="1333"/>
      <c r="BJ9" s="1333"/>
      <c r="BK9" s="1333"/>
      <c r="BL9" s="1333"/>
      <c r="BM9" s="1333"/>
      <c r="BN9" s="1333"/>
      <c r="BO9" s="1333"/>
      <c r="BP9" s="1333"/>
      <c r="BQ9" s="1333"/>
      <c r="BR9" s="1333"/>
      <c r="BS9" s="1333"/>
      <c r="BT9" s="1333"/>
      <c r="BU9" s="1333"/>
      <c r="BV9" s="1333"/>
      <c r="BW9" s="1333"/>
      <c r="BX9" s="1333"/>
      <c r="BY9" s="1333"/>
      <c r="BZ9" s="1333"/>
      <c r="CA9" s="1333"/>
      <c r="CB9" s="1333"/>
      <c r="CC9" s="1333"/>
      <c r="CD9" s="1333"/>
      <c r="CE9" s="1333"/>
      <c r="CF9" s="1333"/>
      <c r="CG9" s="1333"/>
      <c r="CH9" s="1333"/>
      <c r="CI9" s="1333"/>
      <c r="CJ9" s="1333"/>
      <c r="CK9" s="1333"/>
      <c r="CL9" s="1333"/>
      <c r="CM9" s="1333"/>
      <c r="CN9" s="1333"/>
      <c r="CO9" s="1333"/>
      <c r="CP9" s="1333"/>
      <c r="CQ9" s="1333"/>
      <c r="CR9" s="1333"/>
      <c r="CS9" s="1333"/>
      <c r="CT9" s="1333"/>
      <c r="CU9" s="1333"/>
      <c r="CV9" s="1333"/>
      <c r="CW9" s="1333"/>
      <c r="CX9" s="1333"/>
      <c r="CY9" s="1333"/>
      <c r="CZ9" s="1333"/>
      <c r="DA9" s="1333"/>
      <c r="DB9" s="1333"/>
      <c r="DC9" s="1333"/>
      <c r="DD9" s="1333"/>
      <c r="DE9" s="1333"/>
      <c r="DF9" s="1333"/>
      <c r="DG9" s="1333"/>
      <c r="DH9" s="1333"/>
      <c r="DI9" s="1333"/>
      <c r="DJ9" s="1333"/>
      <c r="DK9" s="1333"/>
      <c r="DL9" s="1333"/>
      <c r="DM9" s="1333"/>
      <c r="DN9" s="1333"/>
      <c r="DO9" s="1333"/>
      <c r="DP9" s="1333"/>
      <c r="DQ9" s="1333"/>
      <c r="DR9" s="1333"/>
      <c r="DS9" s="1333"/>
      <c r="DT9" s="1333"/>
      <c r="DU9" s="1333"/>
      <c r="DV9" s="1333"/>
      <c r="DW9" s="1333"/>
      <c r="DX9" s="1333"/>
      <c r="DY9" s="1333"/>
      <c r="DZ9" s="1333"/>
      <c r="EA9" s="1333"/>
      <c r="EB9" s="1333"/>
      <c r="EC9" s="1333"/>
      <c r="ED9" s="1333"/>
      <c r="EE9" s="1333"/>
      <c r="EF9" s="1333"/>
      <c r="EG9" s="1333"/>
      <c r="EH9" s="1333"/>
      <c r="EI9" s="1333"/>
      <c r="EJ9" s="1333"/>
      <c r="EK9" s="1333"/>
      <c r="EL9" s="1333"/>
      <c r="EM9" s="1333"/>
      <c r="EN9" s="1333"/>
      <c r="EO9" s="1333"/>
      <c r="EP9" s="1333"/>
      <c r="EQ9" s="1333"/>
      <c r="ER9" s="1333"/>
      <c r="ES9" s="1333"/>
      <c r="ET9" s="1333"/>
      <c r="EU9" s="1333"/>
      <c r="EV9" s="1333"/>
      <c r="EW9" s="1333"/>
      <c r="EX9" s="1333"/>
      <c r="EY9" s="1333"/>
      <c r="EZ9" s="1333"/>
      <c r="FA9" s="1333"/>
      <c r="FB9" s="1333"/>
      <c r="FC9" s="1333"/>
      <c r="FD9" s="1333"/>
      <c r="FE9" s="1333"/>
      <c r="FF9" s="1333"/>
      <c r="FG9" s="1333"/>
      <c r="FH9" s="1333"/>
      <c r="FI9" s="1333"/>
      <c r="FJ9" s="1333"/>
      <c r="FK9" s="1333"/>
      <c r="FL9" s="1333"/>
      <c r="FM9" s="1333"/>
      <c r="FN9" s="1333"/>
      <c r="FO9" s="1333"/>
      <c r="FP9" s="1333"/>
      <c r="FQ9" s="1333"/>
      <c r="FR9" s="1333"/>
      <c r="FS9" s="1333"/>
      <c r="FT9" s="1333"/>
      <c r="FU9" s="1333"/>
      <c r="FV9" s="1333"/>
      <c r="FW9" s="1333"/>
      <c r="FX9" s="1333"/>
      <c r="FY9" s="1333"/>
      <c r="FZ9" s="1333"/>
      <c r="GA9" s="1333"/>
      <c r="GB9" s="1333"/>
      <c r="GC9" s="1333"/>
      <c r="GD9" s="1333"/>
      <c r="GE9" s="1333"/>
      <c r="GF9" s="1333"/>
      <c r="GG9" s="1333"/>
      <c r="GH9" s="1333"/>
      <c r="GI9" s="1333"/>
      <c r="GJ9" s="1333"/>
      <c r="GK9" s="1333"/>
      <c r="GL9" s="1333"/>
      <c r="GM9" s="1333"/>
      <c r="GN9" s="1333"/>
      <c r="GO9" s="1333"/>
      <c r="GP9" s="1333"/>
      <c r="GQ9" s="1333"/>
      <c r="GR9" s="1333"/>
      <c r="GS9" s="1333"/>
      <c r="GT9" s="1333"/>
      <c r="GU9" s="1333"/>
      <c r="GV9" s="1333"/>
      <c r="GW9" s="1333"/>
      <c r="GX9" s="1333"/>
      <c r="GY9" s="1333"/>
      <c r="GZ9" s="1333"/>
      <c r="HA9" s="1333"/>
      <c r="HB9" s="1333"/>
      <c r="HC9" s="1333"/>
      <c r="HD9" s="1333"/>
      <c r="HE9" s="1333"/>
      <c r="HF9" s="1333"/>
      <c r="HG9" s="1333"/>
      <c r="HH9" s="1333"/>
      <c r="HI9" s="1333"/>
      <c r="HJ9" s="1333"/>
      <c r="HK9" s="1333"/>
      <c r="HL9" s="1333"/>
      <c r="HM9" s="1333"/>
      <c r="HN9" s="1333"/>
      <c r="HO9" s="1333"/>
      <c r="HP9" s="1333"/>
      <c r="HQ9" s="1333"/>
      <c r="HR9" s="1333"/>
      <c r="HS9" s="1333"/>
      <c r="HT9" s="1333"/>
      <c r="HU9" s="1333"/>
      <c r="HV9" s="1333"/>
      <c r="HW9" s="1333"/>
      <c r="HX9" s="1333"/>
      <c r="HY9" s="1333"/>
      <c r="HZ9" s="1333"/>
      <c r="IA9" s="1333"/>
      <c r="IB9" s="1333"/>
      <c r="IC9" s="1333"/>
      <c r="ID9" s="1333"/>
      <c r="IE9" s="1333"/>
      <c r="IF9" s="1333"/>
      <c r="IG9" s="1333"/>
      <c r="IH9" s="1333"/>
      <c r="II9" s="1333"/>
      <c r="IJ9" s="1333"/>
      <c r="IK9" s="1333"/>
      <c r="IL9" s="1333"/>
      <c r="IM9" s="1333"/>
      <c r="IN9" s="1333"/>
      <c r="IO9" s="1333"/>
      <c r="IP9" s="1333"/>
    </row>
    <row r="10" spans="1:252" ht="33" x14ac:dyDescent="0.3">
      <c r="A10" s="685">
        <v>4</v>
      </c>
      <c r="B10" s="713"/>
      <c r="C10" s="456">
        <v>3</v>
      </c>
      <c r="D10" s="490" t="s">
        <v>641</v>
      </c>
      <c r="E10" s="463" t="s">
        <v>25</v>
      </c>
      <c r="F10" s="1148">
        <f t="shared" si="0"/>
        <v>3955</v>
      </c>
      <c r="G10" s="1339">
        <v>1955</v>
      </c>
      <c r="H10" s="1439">
        <v>2000</v>
      </c>
      <c r="I10" s="1148">
        <v>2000</v>
      </c>
      <c r="J10" s="1584"/>
      <c r="K10" s="1579">
        <f t="shared" si="1"/>
        <v>2000</v>
      </c>
      <c r="L10" s="558"/>
    </row>
    <row r="11" spans="1:252" x14ac:dyDescent="0.35">
      <c r="A11" s="685">
        <v>5</v>
      </c>
      <c r="B11" s="713"/>
      <c r="C11" s="556">
        <v>4</v>
      </c>
      <c r="D11" s="490" t="s">
        <v>642</v>
      </c>
      <c r="E11" s="493" t="s">
        <v>25</v>
      </c>
      <c r="F11" s="557">
        <f t="shared" si="0"/>
        <v>315208</v>
      </c>
      <c r="G11" s="1338">
        <v>127108</v>
      </c>
      <c r="H11" s="1438">
        <v>100000</v>
      </c>
      <c r="I11" s="557">
        <v>188100</v>
      </c>
      <c r="J11" s="1582"/>
      <c r="K11" s="809">
        <f t="shared" si="1"/>
        <v>188100</v>
      </c>
      <c r="L11" s="558"/>
    </row>
    <row r="12" spans="1:252" x14ac:dyDescent="0.35">
      <c r="A12" s="685">
        <v>6</v>
      </c>
      <c r="B12" s="713"/>
      <c r="C12" s="556">
        <v>5</v>
      </c>
      <c r="D12" s="490" t="s">
        <v>643</v>
      </c>
      <c r="E12" s="493" t="s">
        <v>24</v>
      </c>
      <c r="F12" s="557">
        <f t="shared" si="0"/>
        <v>30000</v>
      </c>
      <c r="G12" s="1338"/>
      <c r="H12" s="1438">
        <v>30000</v>
      </c>
      <c r="I12" s="557">
        <v>30000</v>
      </c>
      <c r="J12" s="1582"/>
      <c r="K12" s="809">
        <f t="shared" si="1"/>
        <v>30000</v>
      </c>
      <c r="L12" s="558"/>
    </row>
    <row r="13" spans="1:252" x14ac:dyDescent="0.35">
      <c r="A13" s="685">
        <v>7</v>
      </c>
      <c r="B13" s="713"/>
      <c r="C13" s="556">
        <v>6</v>
      </c>
      <c r="D13" s="559" t="s">
        <v>644</v>
      </c>
      <c r="E13" s="493" t="s">
        <v>25</v>
      </c>
      <c r="F13" s="557">
        <f t="shared" si="0"/>
        <v>0</v>
      </c>
      <c r="G13" s="1338"/>
      <c r="H13" s="1438">
        <v>4000</v>
      </c>
      <c r="I13" s="557">
        <v>0</v>
      </c>
      <c r="J13" s="1582"/>
      <c r="K13" s="809">
        <f t="shared" si="1"/>
        <v>0</v>
      </c>
      <c r="L13" s="558"/>
    </row>
    <row r="14" spans="1:252" x14ac:dyDescent="0.35">
      <c r="A14" s="685">
        <v>8</v>
      </c>
      <c r="B14" s="713"/>
      <c r="C14" s="556">
        <v>7</v>
      </c>
      <c r="D14" s="490" t="s">
        <v>645</v>
      </c>
      <c r="E14" s="493" t="s">
        <v>25</v>
      </c>
      <c r="F14" s="557">
        <f t="shared" si="0"/>
        <v>0</v>
      </c>
      <c r="G14" s="1338"/>
      <c r="H14" s="1438">
        <v>1000</v>
      </c>
      <c r="I14" s="557">
        <v>0</v>
      </c>
      <c r="J14" s="1582"/>
      <c r="K14" s="809">
        <f t="shared" si="1"/>
        <v>0</v>
      </c>
      <c r="L14" s="558"/>
    </row>
    <row r="15" spans="1:252" x14ac:dyDescent="0.35">
      <c r="A15" s="685">
        <v>9</v>
      </c>
      <c r="B15" s="713"/>
      <c r="C15" s="556">
        <v>8</v>
      </c>
      <c r="D15" s="490" t="s">
        <v>630</v>
      </c>
      <c r="E15" s="493" t="s">
        <v>25</v>
      </c>
      <c r="F15" s="557">
        <f t="shared" si="0"/>
        <v>11234</v>
      </c>
      <c r="G15" s="1338">
        <v>9999</v>
      </c>
      <c r="H15" s="1438">
        <v>2000</v>
      </c>
      <c r="I15" s="557">
        <f>4735-3500</f>
        <v>1235</v>
      </c>
      <c r="J15" s="1582"/>
      <c r="K15" s="809">
        <f t="shared" si="1"/>
        <v>1235</v>
      </c>
      <c r="L15" s="558"/>
    </row>
    <row r="16" spans="1:252" x14ac:dyDescent="0.35">
      <c r="A16" s="685">
        <v>10</v>
      </c>
      <c r="B16" s="713"/>
      <c r="C16" s="556">
        <v>9</v>
      </c>
      <c r="D16" s="490" t="s">
        <v>940</v>
      </c>
      <c r="E16" s="493" t="s">
        <v>25</v>
      </c>
      <c r="F16" s="557">
        <f t="shared" si="0"/>
        <v>0</v>
      </c>
      <c r="G16" s="1338"/>
      <c r="H16" s="1438">
        <v>130000</v>
      </c>
      <c r="I16" s="557">
        <v>0</v>
      </c>
      <c r="J16" s="1582"/>
      <c r="K16" s="809">
        <f t="shared" si="1"/>
        <v>0</v>
      </c>
      <c r="L16" s="558"/>
    </row>
    <row r="17" spans="1:12" x14ac:dyDescent="0.35">
      <c r="A17" s="685">
        <v>11</v>
      </c>
      <c r="B17" s="713"/>
      <c r="C17" s="556">
        <v>10</v>
      </c>
      <c r="D17" s="490" t="s">
        <v>628</v>
      </c>
      <c r="E17" s="493" t="s">
        <v>25</v>
      </c>
      <c r="F17" s="557">
        <f t="shared" si="0"/>
        <v>11357</v>
      </c>
      <c r="G17" s="1338">
        <v>2350</v>
      </c>
      <c r="H17" s="1438">
        <v>53271</v>
      </c>
      <c r="I17" s="557">
        <v>9007</v>
      </c>
      <c r="J17" s="1582"/>
      <c r="K17" s="809">
        <f t="shared" si="1"/>
        <v>9007</v>
      </c>
      <c r="L17" s="558"/>
    </row>
    <row r="18" spans="1:12" x14ac:dyDescent="0.35">
      <c r="A18" s="685">
        <v>12</v>
      </c>
      <c r="B18" s="713"/>
      <c r="C18" s="556">
        <v>11</v>
      </c>
      <c r="D18" s="490" t="s">
        <v>709</v>
      </c>
      <c r="E18" s="493" t="s">
        <v>25</v>
      </c>
      <c r="F18" s="557">
        <f t="shared" si="0"/>
        <v>28500</v>
      </c>
      <c r="G18" s="1338"/>
      <c r="H18" s="1438"/>
      <c r="I18" s="557">
        <v>28500</v>
      </c>
      <c r="J18" s="1582"/>
      <c r="K18" s="809">
        <f t="shared" si="1"/>
        <v>28500</v>
      </c>
      <c r="L18" s="558"/>
    </row>
    <row r="19" spans="1:12" x14ac:dyDescent="0.35">
      <c r="A19" s="685">
        <v>13</v>
      </c>
      <c r="B19" s="713"/>
      <c r="C19" s="556">
        <v>12</v>
      </c>
      <c r="D19" s="490" t="s">
        <v>710</v>
      </c>
      <c r="E19" s="493" t="s">
        <v>25</v>
      </c>
      <c r="F19" s="557">
        <f t="shared" si="0"/>
        <v>20000</v>
      </c>
      <c r="G19" s="1338"/>
      <c r="H19" s="1438"/>
      <c r="I19" s="557">
        <v>20000</v>
      </c>
      <c r="J19" s="1582"/>
      <c r="K19" s="809">
        <f t="shared" si="1"/>
        <v>20000</v>
      </c>
      <c r="L19" s="558"/>
    </row>
    <row r="20" spans="1:12" ht="20.100000000000001" customHeight="1" x14ac:dyDescent="0.35">
      <c r="A20" s="685">
        <v>14</v>
      </c>
      <c r="B20" s="713"/>
      <c r="C20" s="556">
        <v>13</v>
      </c>
      <c r="D20" s="490" t="s">
        <v>646</v>
      </c>
      <c r="E20" s="493" t="s">
        <v>25</v>
      </c>
      <c r="F20" s="557">
        <f t="shared" si="0"/>
        <v>78000</v>
      </c>
      <c r="G20" s="1338">
        <v>330</v>
      </c>
      <c r="H20" s="1438">
        <v>36000</v>
      </c>
      <c r="I20" s="557">
        <v>77670</v>
      </c>
      <c r="J20" s="1582"/>
      <c r="K20" s="809">
        <f t="shared" si="1"/>
        <v>77670</v>
      </c>
      <c r="L20" s="558"/>
    </row>
    <row r="21" spans="1:12" x14ac:dyDescent="0.35">
      <c r="A21" s="685">
        <v>15</v>
      </c>
      <c r="B21" s="713"/>
      <c r="C21" s="556">
        <v>14</v>
      </c>
      <c r="D21" s="490" t="s">
        <v>339</v>
      </c>
      <c r="E21" s="493" t="s">
        <v>25</v>
      </c>
      <c r="F21" s="557">
        <f t="shared" si="0"/>
        <v>23500</v>
      </c>
      <c r="G21" s="1338"/>
      <c r="H21" s="1438">
        <v>23500</v>
      </c>
      <c r="I21" s="557">
        <v>23500</v>
      </c>
      <c r="J21" s="1582"/>
      <c r="K21" s="809">
        <f t="shared" si="1"/>
        <v>23500</v>
      </c>
      <c r="L21" s="558"/>
    </row>
    <row r="22" spans="1:12" ht="33" x14ac:dyDescent="0.3">
      <c r="A22" s="685">
        <v>16</v>
      </c>
      <c r="B22" s="713"/>
      <c r="C22" s="456">
        <v>15</v>
      </c>
      <c r="D22" s="490" t="s">
        <v>648</v>
      </c>
      <c r="E22" s="463" t="s">
        <v>25</v>
      </c>
      <c r="F22" s="1148">
        <f t="shared" si="0"/>
        <v>635</v>
      </c>
      <c r="G22" s="1339"/>
      <c r="H22" s="1439">
        <v>3850</v>
      </c>
      <c r="I22" s="1148">
        <v>3891</v>
      </c>
      <c r="J22" s="1584">
        <v>-3256</v>
      </c>
      <c r="K22" s="1579">
        <f t="shared" si="1"/>
        <v>635</v>
      </c>
      <c r="L22" s="558"/>
    </row>
    <row r="23" spans="1:12" ht="33" x14ac:dyDescent="0.3">
      <c r="A23" s="685">
        <v>17</v>
      </c>
      <c r="B23" s="713"/>
      <c r="C23" s="456">
        <v>16</v>
      </c>
      <c r="D23" s="490" t="s">
        <v>939</v>
      </c>
      <c r="E23" s="463" t="s">
        <v>25</v>
      </c>
      <c r="F23" s="1148">
        <f t="shared" si="0"/>
        <v>24832</v>
      </c>
      <c r="G23" s="1339"/>
      <c r="H23" s="1439">
        <v>6800</v>
      </c>
      <c r="I23" s="1148">
        <v>24832</v>
      </c>
      <c r="J23" s="1584"/>
      <c r="K23" s="1579">
        <f t="shared" si="1"/>
        <v>24832</v>
      </c>
      <c r="L23" s="558"/>
    </row>
    <row r="24" spans="1:12" x14ac:dyDescent="0.35">
      <c r="A24" s="685">
        <v>18</v>
      </c>
      <c r="B24" s="713"/>
      <c r="C24" s="556">
        <v>17</v>
      </c>
      <c r="D24" s="490" t="s">
        <v>649</v>
      </c>
      <c r="E24" s="463" t="s">
        <v>25</v>
      </c>
      <c r="F24" s="557">
        <f t="shared" si="0"/>
        <v>6900</v>
      </c>
      <c r="G24" s="1338"/>
      <c r="H24" s="1438">
        <v>7500</v>
      </c>
      <c r="I24" s="557">
        <v>6900</v>
      </c>
      <c r="J24" s="1582"/>
      <c r="K24" s="809">
        <f t="shared" si="1"/>
        <v>6900</v>
      </c>
      <c r="L24" s="558"/>
    </row>
    <row r="25" spans="1:12" ht="33" x14ac:dyDescent="0.3">
      <c r="A25" s="685">
        <v>19</v>
      </c>
      <c r="B25" s="713"/>
      <c r="C25" s="456">
        <v>18</v>
      </c>
      <c r="D25" s="490" t="s">
        <v>650</v>
      </c>
      <c r="E25" s="463" t="s">
        <v>25</v>
      </c>
      <c r="F25" s="1148">
        <f t="shared" si="0"/>
        <v>2200</v>
      </c>
      <c r="G25" s="1339"/>
      <c r="H25" s="1439">
        <v>2200</v>
      </c>
      <c r="I25" s="1148">
        <v>2200</v>
      </c>
      <c r="J25" s="1584"/>
      <c r="K25" s="1579">
        <f t="shared" si="1"/>
        <v>2200</v>
      </c>
      <c r="L25" s="558"/>
    </row>
    <row r="26" spans="1:12" x14ac:dyDescent="0.35">
      <c r="A26" s="685">
        <v>20</v>
      </c>
      <c r="B26" s="713"/>
      <c r="C26" s="556">
        <v>19</v>
      </c>
      <c r="D26" s="490" t="s">
        <v>651</v>
      </c>
      <c r="E26" s="463" t="s">
        <v>25</v>
      </c>
      <c r="F26" s="557">
        <f t="shared" si="0"/>
        <v>5000</v>
      </c>
      <c r="G26" s="1338"/>
      <c r="H26" s="1438">
        <v>5000</v>
      </c>
      <c r="I26" s="557">
        <v>5000</v>
      </c>
      <c r="J26" s="1582"/>
      <c r="K26" s="809">
        <f t="shared" si="1"/>
        <v>5000</v>
      </c>
      <c r="L26" s="558"/>
    </row>
    <row r="27" spans="1:12" x14ac:dyDescent="0.35">
      <c r="A27" s="685">
        <v>21</v>
      </c>
      <c r="B27" s="713"/>
      <c r="C27" s="556">
        <v>20</v>
      </c>
      <c r="D27" s="490" t="s">
        <v>652</v>
      </c>
      <c r="E27" s="463" t="s">
        <v>25</v>
      </c>
      <c r="F27" s="557">
        <f t="shared" si="0"/>
        <v>0</v>
      </c>
      <c r="G27" s="1338"/>
      <c r="H27" s="1438">
        <v>1620</v>
      </c>
      <c r="I27" s="557">
        <v>0</v>
      </c>
      <c r="J27" s="1582"/>
      <c r="K27" s="809">
        <f t="shared" si="1"/>
        <v>0</v>
      </c>
      <c r="L27" s="558"/>
    </row>
    <row r="28" spans="1:12" x14ac:dyDescent="0.35">
      <c r="A28" s="685">
        <v>22</v>
      </c>
      <c r="B28" s="713"/>
      <c r="C28" s="556">
        <v>21</v>
      </c>
      <c r="D28" s="490" t="s">
        <v>846</v>
      </c>
      <c r="E28" s="463" t="s">
        <v>24</v>
      </c>
      <c r="F28" s="557">
        <f t="shared" si="0"/>
        <v>1500</v>
      </c>
      <c r="G28" s="1338"/>
      <c r="H28" s="1438"/>
      <c r="I28" s="557">
        <v>1500</v>
      </c>
      <c r="J28" s="1582"/>
      <c r="K28" s="809">
        <f t="shared" si="1"/>
        <v>1500</v>
      </c>
      <c r="L28" s="558"/>
    </row>
    <row r="29" spans="1:12" x14ac:dyDescent="0.35">
      <c r="A29" s="685">
        <v>23</v>
      </c>
      <c r="B29" s="713"/>
      <c r="C29" s="556">
        <v>22</v>
      </c>
      <c r="D29" s="490" t="s">
        <v>848</v>
      </c>
      <c r="E29" s="463" t="s">
        <v>25</v>
      </c>
      <c r="F29" s="557">
        <f t="shared" si="0"/>
        <v>2000</v>
      </c>
      <c r="G29" s="1338"/>
      <c r="H29" s="1438"/>
      <c r="I29" s="557">
        <v>2000</v>
      </c>
      <c r="J29" s="1582"/>
      <c r="K29" s="809">
        <f t="shared" si="1"/>
        <v>2000</v>
      </c>
      <c r="L29" s="558"/>
    </row>
    <row r="30" spans="1:12" x14ac:dyDescent="0.35">
      <c r="A30" s="685">
        <v>24</v>
      </c>
      <c r="B30" s="713"/>
      <c r="C30" s="556">
        <v>23</v>
      </c>
      <c r="D30" s="490" t="s">
        <v>847</v>
      </c>
      <c r="E30" s="463" t="s">
        <v>25</v>
      </c>
      <c r="F30" s="557">
        <f t="shared" si="0"/>
        <v>1200</v>
      </c>
      <c r="G30" s="1338">
        <v>425</v>
      </c>
      <c r="H30" s="1438"/>
      <c r="I30" s="557">
        <v>775</v>
      </c>
      <c r="J30" s="1582"/>
      <c r="K30" s="809">
        <f t="shared" si="1"/>
        <v>775</v>
      </c>
      <c r="L30" s="558"/>
    </row>
    <row r="31" spans="1:12" ht="20.100000000000001" customHeight="1" x14ac:dyDescent="0.35">
      <c r="A31" s="685">
        <v>25</v>
      </c>
      <c r="B31" s="713"/>
      <c r="C31" s="556">
        <v>24</v>
      </c>
      <c r="D31" s="490" t="s">
        <v>1297</v>
      </c>
      <c r="E31" s="463" t="s">
        <v>25</v>
      </c>
      <c r="F31" s="557">
        <f t="shared" si="0"/>
        <v>21000</v>
      </c>
      <c r="G31" s="1338"/>
      <c r="H31" s="1438"/>
      <c r="I31" s="557">
        <v>21000</v>
      </c>
      <c r="J31" s="1582"/>
      <c r="K31" s="809">
        <f t="shared" si="1"/>
        <v>21000</v>
      </c>
      <c r="L31" s="558"/>
    </row>
    <row r="32" spans="1:12" ht="20.100000000000001" customHeight="1" x14ac:dyDescent="0.35">
      <c r="A32" s="685">
        <v>26</v>
      </c>
      <c r="B32" s="713"/>
      <c r="C32" s="556">
        <v>25</v>
      </c>
      <c r="D32" s="490" t="s">
        <v>1298</v>
      </c>
      <c r="E32" s="463" t="s">
        <v>25</v>
      </c>
      <c r="F32" s="557">
        <f t="shared" si="0"/>
        <v>3000</v>
      </c>
      <c r="G32" s="1338"/>
      <c r="H32" s="1438"/>
      <c r="I32" s="557">
        <v>3000</v>
      </c>
      <c r="J32" s="1582"/>
      <c r="K32" s="809">
        <f t="shared" si="1"/>
        <v>3000</v>
      </c>
      <c r="L32" s="558"/>
    </row>
    <row r="33" spans="1:12" ht="20.100000000000001" customHeight="1" x14ac:dyDescent="0.35">
      <c r="A33" s="685">
        <v>27</v>
      </c>
      <c r="B33" s="713"/>
      <c r="C33" s="556"/>
      <c r="D33" s="725" t="s">
        <v>1344</v>
      </c>
      <c r="E33" s="463"/>
      <c r="F33" s="557"/>
      <c r="G33" s="1338"/>
      <c r="H33" s="1438"/>
      <c r="I33" s="557"/>
      <c r="J33" s="1582"/>
      <c r="K33" s="809"/>
      <c r="L33" s="558"/>
    </row>
    <row r="34" spans="1:12" ht="18" customHeight="1" x14ac:dyDescent="0.35">
      <c r="A34" s="685">
        <v>28</v>
      </c>
      <c r="B34" s="713"/>
      <c r="C34" s="556">
        <v>26</v>
      </c>
      <c r="D34" s="1697" t="s">
        <v>1345</v>
      </c>
      <c r="E34" s="463" t="s">
        <v>25</v>
      </c>
      <c r="F34" s="557">
        <f t="shared" si="0"/>
        <v>68500</v>
      </c>
      <c r="G34" s="1338"/>
      <c r="H34" s="1438"/>
      <c r="I34" s="557">
        <v>68500</v>
      </c>
      <c r="J34" s="1582"/>
      <c r="K34" s="809">
        <f t="shared" si="1"/>
        <v>68500</v>
      </c>
      <c r="L34" s="558"/>
    </row>
    <row r="35" spans="1:12" x14ac:dyDescent="0.35">
      <c r="A35" s="685">
        <v>29</v>
      </c>
      <c r="B35" s="713"/>
      <c r="C35" s="556"/>
      <c r="D35" s="724" t="s">
        <v>343</v>
      </c>
      <c r="E35" s="463"/>
      <c r="F35" s="557"/>
      <c r="G35" s="1340"/>
      <c r="H35" s="1440"/>
      <c r="I35" s="1443"/>
      <c r="J35" s="1585"/>
      <c r="K35" s="809"/>
      <c r="L35" s="558"/>
    </row>
    <row r="36" spans="1:12" x14ac:dyDescent="0.35">
      <c r="A36" s="685">
        <v>30</v>
      </c>
      <c r="B36" s="713">
        <v>1</v>
      </c>
      <c r="C36" s="556"/>
      <c r="D36" s="725" t="s">
        <v>337</v>
      </c>
      <c r="E36" s="463" t="s">
        <v>24</v>
      </c>
      <c r="F36" s="557"/>
      <c r="G36" s="1340"/>
      <c r="H36" s="1440"/>
      <c r="I36" s="1443"/>
      <c r="J36" s="1585"/>
      <c r="K36" s="809"/>
      <c r="L36" s="558"/>
    </row>
    <row r="37" spans="1:12" x14ac:dyDescent="0.35">
      <c r="A37" s="685">
        <v>31</v>
      </c>
      <c r="B37" s="713"/>
      <c r="C37" s="556">
        <v>27</v>
      </c>
      <c r="D37" s="560" t="s">
        <v>653</v>
      </c>
      <c r="E37" s="463"/>
      <c r="F37" s="557">
        <f t="shared" si="0"/>
        <v>3000</v>
      </c>
      <c r="G37" s="1338"/>
      <c r="H37" s="1438">
        <v>3000</v>
      </c>
      <c r="I37" s="557">
        <v>3000</v>
      </c>
      <c r="J37" s="1582"/>
      <c r="K37" s="809">
        <f t="shared" si="1"/>
        <v>3000</v>
      </c>
      <c r="L37" s="558"/>
    </row>
    <row r="38" spans="1:12" x14ac:dyDescent="0.35">
      <c r="A38" s="685">
        <v>32</v>
      </c>
      <c r="B38" s="713"/>
      <c r="C38" s="556">
        <v>28</v>
      </c>
      <c r="D38" s="560" t="s">
        <v>654</v>
      </c>
      <c r="E38" s="463"/>
      <c r="F38" s="557">
        <f t="shared" si="0"/>
        <v>7000</v>
      </c>
      <c r="G38" s="1338"/>
      <c r="H38" s="1438">
        <v>7000</v>
      </c>
      <c r="I38" s="557">
        <v>7000</v>
      </c>
      <c r="J38" s="1582"/>
      <c r="K38" s="809">
        <f t="shared" si="1"/>
        <v>7000</v>
      </c>
      <c r="L38" s="558"/>
    </row>
    <row r="39" spans="1:12" x14ac:dyDescent="0.35">
      <c r="A39" s="685">
        <v>33</v>
      </c>
      <c r="B39" s="713"/>
      <c r="C39" s="556">
        <v>29</v>
      </c>
      <c r="D39" s="560" t="s">
        <v>849</v>
      </c>
      <c r="E39" s="463"/>
      <c r="F39" s="557">
        <f t="shared" si="0"/>
        <v>558</v>
      </c>
      <c r="G39" s="1338"/>
      <c r="H39" s="1438"/>
      <c r="I39" s="557">
        <v>558</v>
      </c>
      <c r="J39" s="1582"/>
      <c r="K39" s="809">
        <f t="shared" si="1"/>
        <v>558</v>
      </c>
      <c r="L39" s="558"/>
    </row>
    <row r="40" spans="1:12" x14ac:dyDescent="0.35">
      <c r="A40" s="685">
        <v>34</v>
      </c>
      <c r="B40" s="713"/>
      <c r="C40" s="556">
        <v>30</v>
      </c>
      <c r="D40" s="560" t="s">
        <v>850</v>
      </c>
      <c r="E40" s="463"/>
      <c r="F40" s="557">
        <f t="shared" si="0"/>
        <v>544</v>
      </c>
      <c r="G40" s="1338"/>
      <c r="H40" s="1438"/>
      <c r="I40" s="557">
        <v>544</v>
      </c>
      <c r="J40" s="1582"/>
      <c r="K40" s="809">
        <f t="shared" si="1"/>
        <v>544</v>
      </c>
      <c r="L40" s="558"/>
    </row>
    <row r="41" spans="1:12" x14ac:dyDescent="0.35">
      <c r="A41" s="685">
        <v>35</v>
      </c>
      <c r="B41" s="713">
        <v>2</v>
      </c>
      <c r="C41" s="556"/>
      <c r="D41" s="726" t="s">
        <v>336</v>
      </c>
      <c r="E41" s="463" t="s">
        <v>24</v>
      </c>
      <c r="F41" s="557"/>
      <c r="G41" s="1338"/>
      <c r="H41" s="1438"/>
      <c r="I41" s="557"/>
      <c r="J41" s="1582"/>
      <c r="K41" s="809"/>
      <c r="L41" s="558"/>
    </row>
    <row r="42" spans="1:12" x14ac:dyDescent="0.35">
      <c r="A42" s="685">
        <v>36</v>
      </c>
      <c r="B42" s="713"/>
      <c r="C42" s="556">
        <v>31</v>
      </c>
      <c r="D42" s="560" t="s">
        <v>656</v>
      </c>
      <c r="E42" s="463"/>
      <c r="F42" s="557">
        <f t="shared" si="0"/>
        <v>5000</v>
      </c>
      <c r="G42" s="1338"/>
      <c r="H42" s="1438">
        <v>5000</v>
      </c>
      <c r="I42" s="557">
        <v>5000</v>
      </c>
      <c r="J42" s="1582"/>
      <c r="K42" s="809">
        <f t="shared" si="1"/>
        <v>5000</v>
      </c>
      <c r="L42" s="558"/>
    </row>
    <row r="43" spans="1:12" x14ac:dyDescent="0.35">
      <c r="A43" s="685">
        <v>37</v>
      </c>
      <c r="B43" s="713"/>
      <c r="C43" s="556">
        <v>32</v>
      </c>
      <c r="D43" s="560" t="s">
        <v>655</v>
      </c>
      <c r="E43" s="463"/>
      <c r="F43" s="557">
        <f t="shared" si="0"/>
        <v>6300</v>
      </c>
      <c r="G43" s="1338"/>
      <c r="H43" s="1438">
        <v>5300</v>
      </c>
      <c r="I43" s="557">
        <v>6300</v>
      </c>
      <c r="J43" s="1582"/>
      <c r="K43" s="809">
        <f t="shared" si="1"/>
        <v>6300</v>
      </c>
      <c r="L43" s="558"/>
    </row>
    <row r="44" spans="1:12" x14ac:dyDescent="0.35">
      <c r="A44" s="685">
        <v>38</v>
      </c>
      <c r="B44" s="713"/>
      <c r="C44" s="556"/>
      <c r="D44" s="676" t="s">
        <v>454</v>
      </c>
      <c r="E44" s="463"/>
      <c r="F44" s="557"/>
      <c r="G44" s="1338"/>
      <c r="H44" s="1438"/>
      <c r="I44" s="557"/>
      <c r="J44" s="1582"/>
      <c r="K44" s="809"/>
      <c r="L44" s="558"/>
    </row>
    <row r="45" spans="1:12" x14ac:dyDescent="0.35">
      <c r="A45" s="685">
        <v>39</v>
      </c>
      <c r="B45" s="713"/>
      <c r="C45" s="556">
        <v>33</v>
      </c>
      <c r="D45" s="560" t="s">
        <v>657</v>
      </c>
      <c r="E45" s="463"/>
      <c r="F45" s="557">
        <f t="shared" si="0"/>
        <v>3500</v>
      </c>
      <c r="G45" s="1338"/>
      <c r="H45" s="1438">
        <v>3500</v>
      </c>
      <c r="I45" s="557">
        <v>3500</v>
      </c>
      <c r="J45" s="1582"/>
      <c r="K45" s="809">
        <f t="shared" si="1"/>
        <v>3500</v>
      </c>
      <c r="L45" s="558"/>
    </row>
    <row r="46" spans="1:12" ht="33" x14ac:dyDescent="0.3">
      <c r="A46" s="685">
        <v>40</v>
      </c>
      <c r="B46" s="713"/>
      <c r="C46" s="456">
        <v>34</v>
      </c>
      <c r="D46" s="560" t="s">
        <v>658</v>
      </c>
      <c r="E46" s="463"/>
      <c r="F46" s="557">
        <f t="shared" si="0"/>
        <v>5500</v>
      </c>
      <c r="G46" s="1339"/>
      <c r="H46" s="1439">
        <v>5500</v>
      </c>
      <c r="I46" s="1148">
        <v>5500</v>
      </c>
      <c r="J46" s="1584"/>
      <c r="K46" s="1579">
        <f t="shared" si="1"/>
        <v>5500</v>
      </c>
      <c r="L46" s="558"/>
    </row>
    <row r="47" spans="1:12" ht="33" x14ac:dyDescent="0.3">
      <c r="A47" s="685">
        <v>41</v>
      </c>
      <c r="B47" s="713"/>
      <c r="C47" s="456">
        <v>35</v>
      </c>
      <c r="D47" s="560" t="s">
        <v>659</v>
      </c>
      <c r="E47" s="463"/>
      <c r="F47" s="557">
        <f t="shared" si="0"/>
        <v>9500</v>
      </c>
      <c r="G47" s="1339"/>
      <c r="H47" s="1439">
        <v>9500</v>
      </c>
      <c r="I47" s="1148">
        <v>9500</v>
      </c>
      <c r="J47" s="1584"/>
      <c r="K47" s="1579">
        <f t="shared" si="1"/>
        <v>9500</v>
      </c>
      <c r="L47" s="558"/>
    </row>
    <row r="48" spans="1:12" x14ac:dyDescent="0.35">
      <c r="A48" s="685">
        <v>42</v>
      </c>
      <c r="B48" s="713">
        <v>3</v>
      </c>
      <c r="C48" s="556"/>
      <c r="D48" s="726" t="s">
        <v>283</v>
      </c>
      <c r="E48" s="463" t="s">
        <v>24</v>
      </c>
      <c r="F48" s="557"/>
      <c r="G48" s="1338"/>
      <c r="H48" s="1438"/>
      <c r="I48" s="557"/>
      <c r="J48" s="1582"/>
      <c r="K48" s="809"/>
      <c r="L48" s="558"/>
    </row>
    <row r="49" spans="1:250" x14ac:dyDescent="0.35">
      <c r="A49" s="685">
        <v>43</v>
      </c>
      <c r="B49" s="713"/>
      <c r="C49" s="556"/>
      <c r="D49" s="676" t="s">
        <v>506</v>
      </c>
      <c r="E49" s="463"/>
      <c r="F49" s="557"/>
      <c r="G49" s="1338"/>
      <c r="H49" s="1438"/>
      <c r="I49" s="557"/>
      <c r="J49" s="1582"/>
      <c r="K49" s="809"/>
      <c r="L49" s="558"/>
    </row>
    <row r="50" spans="1:250" x14ac:dyDescent="0.35">
      <c r="A50" s="685">
        <v>44</v>
      </c>
      <c r="B50" s="713"/>
      <c r="C50" s="556">
        <v>36</v>
      </c>
      <c r="D50" s="560" t="s">
        <v>730</v>
      </c>
      <c r="E50" s="463"/>
      <c r="F50" s="557">
        <f t="shared" si="0"/>
        <v>3000</v>
      </c>
      <c r="G50" s="1338"/>
      <c r="H50" s="1438">
        <v>3000</v>
      </c>
      <c r="I50" s="557">
        <v>3000</v>
      </c>
      <c r="J50" s="1582"/>
      <c r="K50" s="809">
        <f t="shared" si="1"/>
        <v>3000</v>
      </c>
      <c r="L50" s="558"/>
    </row>
    <row r="51" spans="1:250" x14ac:dyDescent="0.35">
      <c r="A51" s="685">
        <v>45</v>
      </c>
      <c r="B51" s="713"/>
      <c r="C51" s="556">
        <v>37</v>
      </c>
      <c r="D51" s="560" t="s">
        <v>660</v>
      </c>
      <c r="E51" s="463"/>
      <c r="F51" s="557">
        <f t="shared" si="0"/>
        <v>3500</v>
      </c>
      <c r="G51" s="1338"/>
      <c r="H51" s="1438">
        <v>7500</v>
      </c>
      <c r="I51" s="557">
        <v>3500</v>
      </c>
      <c r="J51" s="1582"/>
      <c r="K51" s="809">
        <f t="shared" si="1"/>
        <v>3500</v>
      </c>
      <c r="L51" s="558"/>
    </row>
    <row r="52" spans="1:250" x14ac:dyDescent="0.35">
      <c r="A52" s="685">
        <v>46</v>
      </c>
      <c r="B52" s="713"/>
      <c r="C52" s="556"/>
      <c r="D52" s="676" t="s">
        <v>507</v>
      </c>
      <c r="E52" s="463"/>
      <c r="F52" s="557"/>
      <c r="G52" s="1338"/>
      <c r="H52" s="1438"/>
      <c r="I52" s="557"/>
      <c r="J52" s="1582"/>
      <c r="K52" s="809"/>
      <c r="L52" s="558"/>
    </row>
    <row r="53" spans="1:250" x14ac:dyDescent="0.35">
      <c r="A53" s="685">
        <v>47</v>
      </c>
      <c r="B53" s="713"/>
      <c r="C53" s="556">
        <v>38</v>
      </c>
      <c r="D53" s="560" t="s">
        <v>661</v>
      </c>
      <c r="E53" s="463"/>
      <c r="F53" s="557">
        <f t="shared" si="0"/>
        <v>7500</v>
      </c>
      <c r="G53" s="1338"/>
      <c r="H53" s="1438">
        <v>7500</v>
      </c>
      <c r="I53" s="557">
        <v>7500</v>
      </c>
      <c r="J53" s="1582"/>
      <c r="K53" s="809">
        <f t="shared" si="1"/>
        <v>7500</v>
      </c>
      <c r="L53" s="558"/>
    </row>
    <row r="54" spans="1:250" x14ac:dyDescent="0.35">
      <c r="A54" s="685">
        <v>48</v>
      </c>
      <c r="B54" s="713"/>
      <c r="C54" s="556">
        <v>39</v>
      </c>
      <c r="D54" s="560" t="s">
        <v>660</v>
      </c>
      <c r="E54" s="463"/>
      <c r="F54" s="557">
        <f t="shared" si="0"/>
        <v>9400</v>
      </c>
      <c r="G54" s="1338"/>
      <c r="H54" s="1438">
        <v>7500</v>
      </c>
      <c r="I54" s="557">
        <v>9400</v>
      </c>
      <c r="J54" s="1582"/>
      <c r="K54" s="809">
        <f t="shared" si="1"/>
        <v>9400</v>
      </c>
      <c r="L54" s="558"/>
    </row>
    <row r="55" spans="1:250" x14ac:dyDescent="0.35">
      <c r="A55" s="685">
        <v>49</v>
      </c>
      <c r="B55" s="713">
        <v>4</v>
      </c>
      <c r="C55" s="556"/>
      <c r="D55" s="726" t="s">
        <v>341</v>
      </c>
      <c r="E55" s="463" t="s">
        <v>24</v>
      </c>
      <c r="F55" s="557"/>
      <c r="G55" s="1338"/>
      <c r="H55" s="1438"/>
      <c r="I55" s="557"/>
      <c r="J55" s="1582"/>
      <c r="K55" s="809"/>
      <c r="L55" s="558"/>
    </row>
    <row r="56" spans="1:250" x14ac:dyDescent="0.35">
      <c r="A56" s="685">
        <v>50</v>
      </c>
      <c r="B56" s="713"/>
      <c r="C56" s="556"/>
      <c r="D56" s="676" t="s">
        <v>456</v>
      </c>
      <c r="E56" s="463"/>
      <c r="F56" s="557"/>
      <c r="G56" s="1338"/>
      <c r="H56" s="1438"/>
      <c r="I56" s="557"/>
      <c r="J56" s="1582"/>
      <c r="K56" s="809"/>
      <c r="L56" s="558"/>
      <c r="M56" s="454"/>
      <c r="N56" s="454"/>
      <c r="O56" s="454"/>
      <c r="P56" s="454"/>
      <c r="Q56" s="454"/>
      <c r="R56" s="454"/>
      <c r="S56" s="454"/>
      <c r="T56" s="454"/>
      <c r="U56" s="454"/>
      <c r="V56" s="454"/>
      <c r="W56" s="454"/>
      <c r="X56" s="454"/>
      <c r="Y56" s="454"/>
      <c r="Z56" s="454"/>
      <c r="AA56" s="454"/>
      <c r="AB56" s="454"/>
      <c r="AC56" s="454"/>
      <c r="AD56" s="454"/>
      <c r="AE56" s="454"/>
      <c r="AF56" s="454"/>
      <c r="AG56" s="454"/>
      <c r="AH56" s="454"/>
      <c r="AI56" s="454"/>
      <c r="AJ56" s="454"/>
      <c r="AK56" s="454"/>
      <c r="AL56" s="454"/>
      <c r="AM56" s="454"/>
      <c r="AN56" s="454"/>
      <c r="AO56" s="454"/>
      <c r="AP56" s="454"/>
      <c r="AQ56" s="454"/>
      <c r="AR56" s="454"/>
      <c r="AS56" s="454"/>
      <c r="AT56" s="454"/>
      <c r="AU56" s="454"/>
      <c r="AV56" s="454"/>
      <c r="AW56" s="454"/>
      <c r="AX56" s="454"/>
      <c r="AY56" s="454"/>
      <c r="AZ56" s="454"/>
      <c r="BA56" s="454"/>
      <c r="BB56" s="454"/>
      <c r="BC56" s="454"/>
      <c r="BD56" s="454"/>
      <c r="BE56" s="454"/>
      <c r="BF56" s="454"/>
      <c r="BG56" s="454"/>
      <c r="BH56" s="454"/>
      <c r="BI56" s="454"/>
      <c r="BJ56" s="454"/>
      <c r="BK56" s="454"/>
      <c r="BL56" s="454"/>
      <c r="BM56" s="454"/>
      <c r="BN56" s="454"/>
      <c r="BO56" s="454"/>
      <c r="BP56" s="454"/>
      <c r="BQ56" s="454"/>
      <c r="BR56" s="454"/>
      <c r="BS56" s="454"/>
      <c r="BT56" s="454"/>
      <c r="BU56" s="454"/>
      <c r="BV56" s="454"/>
      <c r="BW56" s="454"/>
      <c r="BX56" s="454"/>
      <c r="BY56" s="454"/>
      <c r="BZ56" s="454"/>
      <c r="CA56" s="454"/>
      <c r="CB56" s="454"/>
      <c r="CC56" s="454"/>
      <c r="CD56" s="454"/>
      <c r="CE56" s="454"/>
      <c r="CF56" s="454"/>
      <c r="CG56" s="454"/>
      <c r="CH56" s="454"/>
      <c r="CI56" s="454"/>
      <c r="CJ56" s="454"/>
      <c r="CK56" s="454"/>
      <c r="CL56" s="454"/>
      <c r="CM56" s="454"/>
      <c r="CN56" s="454"/>
      <c r="CO56" s="454"/>
      <c r="CP56" s="454"/>
      <c r="CQ56" s="454"/>
      <c r="CR56" s="454"/>
      <c r="CS56" s="454"/>
      <c r="CT56" s="454"/>
      <c r="CU56" s="454"/>
      <c r="CV56" s="454"/>
      <c r="CW56" s="454"/>
      <c r="CX56" s="454"/>
      <c r="CY56" s="454"/>
      <c r="CZ56" s="454"/>
      <c r="DA56" s="454"/>
      <c r="DB56" s="454"/>
      <c r="DC56" s="454"/>
      <c r="DD56" s="454"/>
      <c r="DE56" s="454"/>
      <c r="DF56" s="454"/>
      <c r="DG56" s="454"/>
      <c r="DH56" s="454"/>
      <c r="DI56" s="454"/>
      <c r="DJ56" s="454"/>
      <c r="DK56" s="454"/>
      <c r="DL56" s="454"/>
      <c r="DM56" s="454"/>
      <c r="DN56" s="454"/>
      <c r="DO56" s="454"/>
      <c r="DP56" s="454"/>
      <c r="DQ56" s="454"/>
      <c r="DR56" s="454"/>
      <c r="DS56" s="454"/>
      <c r="DT56" s="454"/>
      <c r="DU56" s="454"/>
      <c r="DV56" s="454"/>
      <c r="DW56" s="454"/>
      <c r="DX56" s="454"/>
      <c r="DY56" s="454"/>
      <c r="DZ56" s="454"/>
      <c r="EA56" s="454"/>
      <c r="EB56" s="454"/>
      <c r="EC56" s="454"/>
      <c r="ED56" s="454"/>
      <c r="EE56" s="454"/>
      <c r="EF56" s="454"/>
      <c r="EG56" s="454"/>
      <c r="EH56" s="454"/>
      <c r="EI56" s="454"/>
      <c r="EJ56" s="454"/>
      <c r="EK56" s="454"/>
      <c r="EL56" s="454"/>
      <c r="EM56" s="454"/>
      <c r="EN56" s="454"/>
      <c r="EO56" s="454"/>
      <c r="EP56" s="454"/>
      <c r="EQ56" s="454"/>
      <c r="ER56" s="454"/>
      <c r="ES56" s="454"/>
      <c r="ET56" s="454"/>
      <c r="EU56" s="454"/>
      <c r="EV56" s="454"/>
      <c r="EW56" s="454"/>
      <c r="EX56" s="454"/>
      <c r="EY56" s="454"/>
      <c r="EZ56" s="454"/>
      <c r="FA56" s="454"/>
      <c r="FB56" s="454"/>
      <c r="FC56" s="454"/>
      <c r="FD56" s="454"/>
      <c r="FE56" s="454"/>
      <c r="FF56" s="454"/>
      <c r="FG56" s="454"/>
      <c r="FH56" s="454"/>
      <c r="FI56" s="454"/>
      <c r="FJ56" s="454"/>
      <c r="FK56" s="454"/>
      <c r="FL56" s="454"/>
      <c r="FM56" s="454"/>
      <c r="FN56" s="454"/>
      <c r="FO56" s="454"/>
      <c r="FP56" s="454"/>
      <c r="FQ56" s="454"/>
      <c r="FR56" s="454"/>
      <c r="FS56" s="454"/>
      <c r="FT56" s="454"/>
      <c r="FU56" s="454"/>
      <c r="FV56" s="454"/>
      <c r="FW56" s="454"/>
      <c r="FX56" s="454"/>
      <c r="FY56" s="454"/>
      <c r="FZ56" s="454"/>
      <c r="GA56" s="454"/>
      <c r="GB56" s="454"/>
      <c r="GC56" s="454"/>
      <c r="GD56" s="454"/>
      <c r="GE56" s="454"/>
      <c r="GF56" s="454"/>
      <c r="GG56" s="454"/>
      <c r="GH56" s="454"/>
      <c r="GI56" s="454"/>
      <c r="GJ56" s="454"/>
      <c r="GK56" s="454"/>
      <c r="GL56" s="454"/>
      <c r="GM56" s="454"/>
      <c r="GN56" s="454"/>
      <c r="GO56" s="454"/>
      <c r="GP56" s="454"/>
      <c r="GQ56" s="454"/>
      <c r="GR56" s="454"/>
      <c r="GS56" s="454"/>
      <c r="GT56" s="454"/>
      <c r="GU56" s="454"/>
      <c r="GV56" s="454"/>
      <c r="GW56" s="454"/>
      <c r="GX56" s="454"/>
      <c r="GY56" s="454"/>
      <c r="GZ56" s="454"/>
      <c r="HA56" s="454"/>
      <c r="HB56" s="454"/>
      <c r="HC56" s="454"/>
      <c r="HD56" s="454"/>
      <c r="HE56" s="454"/>
      <c r="HF56" s="454"/>
      <c r="HG56" s="454"/>
      <c r="HH56" s="454"/>
      <c r="HI56" s="454"/>
      <c r="HJ56" s="454"/>
      <c r="HK56" s="454"/>
      <c r="HL56" s="454"/>
      <c r="HM56" s="454"/>
      <c r="HN56" s="454"/>
      <c r="HO56" s="454"/>
      <c r="HP56" s="454"/>
      <c r="HQ56" s="454"/>
      <c r="HR56" s="454"/>
      <c r="HS56" s="454"/>
      <c r="HT56" s="454"/>
      <c r="HU56" s="454"/>
      <c r="HV56" s="454"/>
      <c r="HW56" s="454"/>
      <c r="HX56" s="454"/>
      <c r="HY56" s="454"/>
      <c r="HZ56" s="454"/>
      <c r="IA56" s="454"/>
      <c r="IB56" s="454"/>
      <c r="IC56" s="454"/>
      <c r="ID56" s="454"/>
      <c r="IE56" s="454"/>
      <c r="IF56" s="454"/>
      <c r="IG56" s="454"/>
      <c r="IH56" s="454"/>
      <c r="II56" s="454"/>
      <c r="IJ56" s="454"/>
      <c r="IK56" s="454"/>
      <c r="IL56" s="454"/>
      <c r="IM56" s="454"/>
      <c r="IN56" s="454"/>
      <c r="IO56" s="454"/>
      <c r="IP56" s="454"/>
    </row>
    <row r="57" spans="1:250" x14ac:dyDescent="0.35">
      <c r="A57" s="685">
        <v>51</v>
      </c>
      <c r="B57" s="713"/>
      <c r="C57" s="556">
        <v>40</v>
      </c>
      <c r="D57" s="560" t="s">
        <v>662</v>
      </c>
      <c r="E57" s="463"/>
      <c r="F57" s="557">
        <f t="shared" si="0"/>
        <v>2000</v>
      </c>
      <c r="G57" s="1338"/>
      <c r="H57" s="1438">
        <v>2000</v>
      </c>
      <c r="I57" s="557">
        <v>2000</v>
      </c>
      <c r="J57" s="1582"/>
      <c r="K57" s="809">
        <f t="shared" si="1"/>
        <v>2000</v>
      </c>
      <c r="L57" s="562"/>
    </row>
    <row r="58" spans="1:250" x14ac:dyDescent="0.35">
      <c r="A58" s="685">
        <v>52</v>
      </c>
      <c r="B58" s="713"/>
      <c r="C58" s="556">
        <v>41</v>
      </c>
      <c r="D58" s="560" t="s">
        <v>663</v>
      </c>
      <c r="E58" s="463"/>
      <c r="F58" s="557">
        <f t="shared" si="0"/>
        <v>4800</v>
      </c>
      <c r="G58" s="1338"/>
      <c r="H58" s="1438">
        <v>4800</v>
      </c>
      <c r="I58" s="557">
        <v>4800</v>
      </c>
      <c r="J58" s="1582"/>
      <c r="K58" s="809">
        <f t="shared" si="1"/>
        <v>4800</v>
      </c>
      <c r="L58" s="562"/>
    </row>
    <row r="59" spans="1:250" x14ac:dyDescent="0.35">
      <c r="A59" s="685">
        <v>53</v>
      </c>
      <c r="B59" s="713">
        <v>5</v>
      </c>
      <c r="C59" s="556"/>
      <c r="D59" s="677" t="s">
        <v>342</v>
      </c>
      <c r="E59" s="463" t="s">
        <v>24</v>
      </c>
      <c r="F59" s="557"/>
      <c r="G59" s="1338"/>
      <c r="H59" s="1438"/>
      <c r="I59" s="557"/>
      <c r="J59" s="1582"/>
      <c r="K59" s="809"/>
      <c r="L59" s="558"/>
    </row>
    <row r="60" spans="1:250" ht="33" x14ac:dyDescent="0.3">
      <c r="A60" s="685">
        <v>54</v>
      </c>
      <c r="B60" s="713"/>
      <c r="C60" s="456">
        <v>42</v>
      </c>
      <c r="D60" s="560" t="s">
        <v>665</v>
      </c>
      <c r="E60" s="463"/>
      <c r="F60" s="557">
        <f t="shared" si="0"/>
        <v>13500</v>
      </c>
      <c r="G60" s="1339"/>
      <c r="H60" s="1439">
        <v>13500</v>
      </c>
      <c r="I60" s="1148">
        <v>13500</v>
      </c>
      <c r="J60" s="1584"/>
      <c r="K60" s="1579">
        <f t="shared" si="1"/>
        <v>13500</v>
      </c>
      <c r="L60" s="558"/>
    </row>
    <row r="61" spans="1:250" x14ac:dyDescent="0.35">
      <c r="A61" s="685">
        <v>55</v>
      </c>
      <c r="B61" s="713"/>
      <c r="C61" s="556"/>
      <c r="D61" s="727" t="s">
        <v>664</v>
      </c>
      <c r="E61" s="463"/>
      <c r="F61" s="557"/>
      <c r="G61" s="1338"/>
      <c r="H61" s="1438"/>
      <c r="I61" s="557"/>
      <c r="J61" s="1582"/>
      <c r="K61" s="809"/>
      <c r="L61" s="558"/>
    </row>
    <row r="62" spans="1:250" x14ac:dyDescent="0.35">
      <c r="A62" s="685">
        <v>56</v>
      </c>
      <c r="B62" s="713"/>
      <c r="C62" s="556">
        <v>43</v>
      </c>
      <c r="D62" s="560" t="s">
        <v>666</v>
      </c>
      <c r="E62" s="463"/>
      <c r="F62" s="557">
        <f t="shared" si="0"/>
        <v>1200</v>
      </c>
      <c r="G62" s="1338"/>
      <c r="H62" s="1438">
        <v>1200</v>
      </c>
      <c r="I62" s="557">
        <v>1200</v>
      </c>
      <c r="J62" s="1582"/>
      <c r="K62" s="809">
        <f t="shared" si="1"/>
        <v>1200</v>
      </c>
      <c r="L62" s="558"/>
    </row>
    <row r="63" spans="1:250" x14ac:dyDescent="0.35">
      <c r="A63" s="685">
        <v>57</v>
      </c>
      <c r="B63" s="713"/>
      <c r="C63" s="556">
        <v>44</v>
      </c>
      <c r="D63" s="560" t="s">
        <v>667</v>
      </c>
      <c r="E63" s="463"/>
      <c r="F63" s="557">
        <f t="shared" si="0"/>
        <v>5000</v>
      </c>
      <c r="G63" s="1338"/>
      <c r="H63" s="1438">
        <v>5000</v>
      </c>
      <c r="I63" s="557">
        <v>5000</v>
      </c>
      <c r="J63" s="1582"/>
      <c r="K63" s="809">
        <f t="shared" si="1"/>
        <v>5000</v>
      </c>
      <c r="L63" s="558"/>
    </row>
    <row r="64" spans="1:250" ht="33" x14ac:dyDescent="0.3">
      <c r="A64" s="685">
        <v>58</v>
      </c>
      <c r="B64" s="713"/>
      <c r="C64" s="456">
        <v>45</v>
      </c>
      <c r="D64" s="560" t="s">
        <v>731</v>
      </c>
      <c r="E64" s="463"/>
      <c r="F64" s="1148">
        <f t="shared" si="0"/>
        <v>600</v>
      </c>
      <c r="G64" s="1339"/>
      <c r="H64" s="1439">
        <v>600</v>
      </c>
      <c r="I64" s="1148">
        <v>600</v>
      </c>
      <c r="J64" s="1584"/>
      <c r="K64" s="1579">
        <f t="shared" si="1"/>
        <v>600</v>
      </c>
      <c r="L64" s="558"/>
    </row>
    <row r="65" spans="1:250" x14ac:dyDescent="0.35">
      <c r="A65" s="685">
        <v>59</v>
      </c>
      <c r="B65" s="713">
        <v>7</v>
      </c>
      <c r="C65" s="556"/>
      <c r="D65" s="728" t="s">
        <v>508</v>
      </c>
      <c r="E65" s="463" t="s">
        <v>24</v>
      </c>
      <c r="F65" s="557"/>
      <c r="G65" s="1338"/>
      <c r="H65" s="1438"/>
      <c r="I65" s="557"/>
      <c r="J65" s="1582"/>
      <c r="K65" s="809"/>
      <c r="L65" s="558"/>
    </row>
    <row r="66" spans="1:250" x14ac:dyDescent="0.35">
      <c r="A66" s="685">
        <v>60</v>
      </c>
      <c r="B66" s="713"/>
      <c r="C66" s="556"/>
      <c r="D66" s="676" t="s">
        <v>412</v>
      </c>
      <c r="E66" s="463"/>
      <c r="F66" s="557">
        <f t="shared" si="0"/>
        <v>0</v>
      </c>
      <c r="G66" s="1338"/>
      <c r="H66" s="1438"/>
      <c r="I66" s="557"/>
      <c r="J66" s="1582"/>
      <c r="K66" s="809"/>
      <c r="L66" s="558"/>
    </row>
    <row r="67" spans="1:250" x14ac:dyDescent="0.3">
      <c r="A67" s="685">
        <v>61</v>
      </c>
      <c r="B67" s="713"/>
      <c r="C67" s="456">
        <v>46</v>
      </c>
      <c r="D67" s="757" t="s">
        <v>668</v>
      </c>
      <c r="E67" s="463"/>
      <c r="F67" s="557">
        <f t="shared" si="0"/>
        <v>1600</v>
      </c>
      <c r="G67" s="1341"/>
      <c r="H67" s="1441">
        <v>1600</v>
      </c>
      <c r="I67" s="1444">
        <v>1600</v>
      </c>
      <c r="J67" s="1586"/>
      <c r="K67" s="809">
        <f t="shared" si="1"/>
        <v>1600</v>
      </c>
      <c r="L67" s="558"/>
    </row>
    <row r="68" spans="1:250" x14ac:dyDescent="0.35">
      <c r="A68" s="685">
        <v>62</v>
      </c>
      <c r="B68" s="713"/>
      <c r="C68" s="556"/>
      <c r="D68" s="676" t="s">
        <v>460</v>
      </c>
      <c r="E68" s="463"/>
      <c r="F68" s="557">
        <f t="shared" si="0"/>
        <v>0</v>
      </c>
      <c r="G68" s="1338"/>
      <c r="H68" s="1438"/>
      <c r="I68" s="557"/>
      <c r="J68" s="1582"/>
      <c r="K68" s="809"/>
      <c r="L68" s="558"/>
    </row>
    <row r="69" spans="1:250" x14ac:dyDescent="0.35">
      <c r="A69" s="685">
        <v>63</v>
      </c>
      <c r="B69" s="713"/>
      <c r="C69" s="556">
        <v>47</v>
      </c>
      <c r="D69" s="560" t="s">
        <v>669</v>
      </c>
      <c r="E69" s="463"/>
      <c r="F69" s="557">
        <f t="shared" si="0"/>
        <v>9200</v>
      </c>
      <c r="G69" s="1338"/>
      <c r="H69" s="1438">
        <v>7500</v>
      </c>
      <c r="I69" s="557">
        <v>9200</v>
      </c>
      <c r="J69" s="1582"/>
      <c r="K69" s="809">
        <f t="shared" si="1"/>
        <v>9200</v>
      </c>
      <c r="L69" s="558"/>
    </row>
    <row r="70" spans="1:250" x14ac:dyDescent="0.35">
      <c r="A70" s="685">
        <v>64</v>
      </c>
      <c r="B70" s="713"/>
      <c r="C70" s="556"/>
      <c r="D70" s="676" t="s">
        <v>461</v>
      </c>
      <c r="E70" s="463"/>
      <c r="F70" s="557">
        <f t="shared" si="0"/>
        <v>0</v>
      </c>
      <c r="G70" s="1338"/>
      <c r="H70" s="1438"/>
      <c r="I70" s="557"/>
      <c r="J70" s="1582"/>
      <c r="K70" s="809"/>
      <c r="L70" s="558"/>
    </row>
    <row r="71" spans="1:250" x14ac:dyDescent="0.35">
      <c r="A71" s="685">
        <v>65</v>
      </c>
      <c r="B71" s="713"/>
      <c r="C71" s="556">
        <v>48</v>
      </c>
      <c r="D71" s="560" t="s">
        <v>670</v>
      </c>
      <c r="E71" s="463"/>
      <c r="F71" s="557">
        <f t="shared" si="0"/>
        <v>10000</v>
      </c>
      <c r="G71" s="1338"/>
      <c r="H71" s="1438">
        <v>10000</v>
      </c>
      <c r="I71" s="557">
        <v>10000</v>
      </c>
      <c r="J71" s="1582"/>
      <c r="K71" s="809">
        <f t="shared" si="1"/>
        <v>10000</v>
      </c>
      <c r="L71" s="558"/>
    </row>
    <row r="72" spans="1:250" x14ac:dyDescent="0.35">
      <c r="A72" s="685">
        <v>66</v>
      </c>
      <c r="B72" s="713"/>
      <c r="C72" s="556">
        <v>49</v>
      </c>
      <c r="D72" s="560" t="s">
        <v>671</v>
      </c>
      <c r="E72" s="463"/>
      <c r="F72" s="557">
        <f t="shared" si="0"/>
        <v>6300</v>
      </c>
      <c r="G72" s="1338"/>
      <c r="H72" s="1438">
        <v>6300</v>
      </c>
      <c r="I72" s="557">
        <v>6300</v>
      </c>
      <c r="J72" s="1582"/>
      <c r="K72" s="809">
        <f t="shared" si="1"/>
        <v>6300</v>
      </c>
      <c r="L72" s="558"/>
    </row>
    <row r="73" spans="1:250" x14ac:dyDescent="0.35">
      <c r="A73" s="685">
        <v>67</v>
      </c>
      <c r="B73" s="713">
        <v>9</v>
      </c>
      <c r="C73" s="556"/>
      <c r="D73" s="728" t="s">
        <v>510</v>
      </c>
      <c r="E73" s="463" t="s">
        <v>24</v>
      </c>
      <c r="F73" s="557"/>
      <c r="G73" s="1338"/>
      <c r="H73" s="1438"/>
      <c r="I73" s="557"/>
      <c r="J73" s="1582"/>
      <c r="K73" s="809"/>
      <c r="L73" s="563"/>
    </row>
    <row r="74" spans="1:250" ht="33" x14ac:dyDescent="0.3">
      <c r="A74" s="685">
        <v>68</v>
      </c>
      <c r="B74" s="713"/>
      <c r="C74" s="456">
        <v>50</v>
      </c>
      <c r="D74" s="560" t="s">
        <v>677</v>
      </c>
      <c r="E74" s="463"/>
      <c r="F74" s="1148">
        <f t="shared" si="0"/>
        <v>2000</v>
      </c>
      <c r="G74" s="1339"/>
      <c r="H74" s="1439">
        <v>2000</v>
      </c>
      <c r="I74" s="1148">
        <v>2000</v>
      </c>
      <c r="J74" s="1584"/>
      <c r="K74" s="1579">
        <f t="shared" si="1"/>
        <v>2000</v>
      </c>
      <c r="L74" s="558"/>
    </row>
    <row r="75" spans="1:250" s="266" customFormat="1" ht="33" x14ac:dyDescent="0.2">
      <c r="A75" s="685">
        <v>69</v>
      </c>
      <c r="B75" s="455"/>
      <c r="C75" s="456">
        <v>51</v>
      </c>
      <c r="D75" s="1331" t="s">
        <v>854</v>
      </c>
      <c r="E75" s="463"/>
      <c r="F75" s="1148">
        <f t="shared" si="0"/>
        <v>2000</v>
      </c>
      <c r="G75" s="1339">
        <v>1942</v>
      </c>
      <c r="H75" s="1439"/>
      <c r="I75" s="1148">
        <v>58</v>
      </c>
      <c r="J75" s="1584"/>
      <c r="K75" s="1579">
        <f t="shared" si="1"/>
        <v>58</v>
      </c>
      <c r="L75" s="1335"/>
      <c r="M75" s="466"/>
      <c r="N75" s="466"/>
      <c r="O75" s="466"/>
      <c r="P75" s="466"/>
      <c r="Q75" s="466"/>
      <c r="R75" s="466"/>
      <c r="S75" s="466"/>
      <c r="T75" s="466"/>
      <c r="U75" s="466"/>
      <c r="V75" s="466"/>
      <c r="W75" s="466"/>
      <c r="X75" s="466"/>
      <c r="Y75" s="466"/>
      <c r="Z75" s="466"/>
      <c r="AA75" s="466"/>
      <c r="AB75" s="466"/>
      <c r="AC75" s="466"/>
      <c r="AD75" s="466"/>
      <c r="AE75" s="466"/>
      <c r="AF75" s="466"/>
      <c r="AG75" s="466"/>
      <c r="AH75" s="466"/>
      <c r="AI75" s="466"/>
      <c r="AJ75" s="466"/>
      <c r="AK75" s="466"/>
      <c r="AL75" s="466"/>
      <c r="AM75" s="466"/>
      <c r="AN75" s="466"/>
      <c r="AO75" s="466"/>
      <c r="AP75" s="466"/>
      <c r="AQ75" s="466"/>
      <c r="AR75" s="466"/>
      <c r="AS75" s="466"/>
      <c r="AT75" s="466"/>
      <c r="AU75" s="466"/>
      <c r="AV75" s="466"/>
      <c r="AW75" s="466"/>
      <c r="AX75" s="466"/>
      <c r="AY75" s="466"/>
      <c r="AZ75" s="466"/>
      <c r="BA75" s="466"/>
      <c r="BB75" s="466"/>
      <c r="BC75" s="466"/>
      <c r="BD75" s="466"/>
      <c r="BE75" s="466"/>
      <c r="BF75" s="466"/>
      <c r="BG75" s="466"/>
      <c r="BH75" s="466"/>
      <c r="BI75" s="466"/>
      <c r="BJ75" s="466"/>
      <c r="BK75" s="466"/>
      <c r="BL75" s="466"/>
      <c r="BM75" s="466"/>
      <c r="BN75" s="466"/>
      <c r="BO75" s="466"/>
      <c r="BP75" s="466"/>
      <c r="BQ75" s="466"/>
      <c r="BR75" s="466"/>
      <c r="BS75" s="466"/>
      <c r="BT75" s="466"/>
      <c r="BU75" s="466"/>
      <c r="BV75" s="466"/>
      <c r="BW75" s="466"/>
      <c r="BX75" s="466"/>
      <c r="BY75" s="466"/>
      <c r="BZ75" s="466"/>
      <c r="CA75" s="466"/>
      <c r="CB75" s="466"/>
      <c r="CC75" s="466"/>
      <c r="CD75" s="466"/>
      <c r="CE75" s="466"/>
      <c r="CF75" s="466"/>
      <c r="CG75" s="466"/>
      <c r="CH75" s="466"/>
      <c r="CI75" s="466"/>
      <c r="CJ75" s="466"/>
      <c r="CK75" s="466"/>
      <c r="CL75" s="466"/>
      <c r="CM75" s="466"/>
      <c r="CN75" s="466"/>
      <c r="CO75" s="466"/>
      <c r="CP75" s="466"/>
      <c r="CQ75" s="466"/>
      <c r="CR75" s="466"/>
      <c r="CS75" s="466"/>
      <c r="CT75" s="466"/>
      <c r="CU75" s="466"/>
      <c r="CV75" s="466"/>
      <c r="CW75" s="466"/>
      <c r="CX75" s="466"/>
      <c r="CY75" s="466"/>
      <c r="CZ75" s="466"/>
      <c r="DA75" s="466"/>
      <c r="DB75" s="466"/>
      <c r="DC75" s="466"/>
      <c r="DD75" s="466"/>
      <c r="DE75" s="466"/>
      <c r="DF75" s="466"/>
      <c r="DG75" s="466"/>
      <c r="DH75" s="466"/>
      <c r="DI75" s="466"/>
      <c r="DJ75" s="466"/>
      <c r="DK75" s="466"/>
      <c r="DL75" s="466"/>
      <c r="DM75" s="466"/>
      <c r="DN75" s="466"/>
      <c r="DO75" s="466"/>
      <c r="DP75" s="466"/>
      <c r="DQ75" s="466"/>
      <c r="DR75" s="466"/>
      <c r="DS75" s="466"/>
      <c r="DT75" s="466"/>
      <c r="DU75" s="466"/>
      <c r="DV75" s="466"/>
      <c r="DW75" s="466"/>
      <c r="DX75" s="466"/>
      <c r="DY75" s="466"/>
      <c r="DZ75" s="466"/>
      <c r="EA75" s="466"/>
      <c r="EB75" s="466"/>
      <c r="EC75" s="466"/>
      <c r="ED75" s="466"/>
      <c r="EE75" s="466"/>
      <c r="EF75" s="466"/>
      <c r="EG75" s="466"/>
      <c r="EH75" s="466"/>
      <c r="EI75" s="466"/>
      <c r="EJ75" s="466"/>
      <c r="EK75" s="466"/>
      <c r="EL75" s="466"/>
      <c r="EM75" s="466"/>
      <c r="EN75" s="466"/>
      <c r="EO75" s="466"/>
      <c r="EP75" s="466"/>
      <c r="EQ75" s="466"/>
      <c r="ER75" s="466"/>
      <c r="ES75" s="466"/>
      <c r="ET75" s="466"/>
      <c r="EU75" s="466"/>
      <c r="EV75" s="466"/>
      <c r="EW75" s="466"/>
      <c r="EX75" s="466"/>
      <c r="EY75" s="466"/>
      <c r="EZ75" s="466"/>
      <c r="FA75" s="466"/>
      <c r="FB75" s="466"/>
      <c r="FC75" s="466"/>
      <c r="FD75" s="466"/>
      <c r="FE75" s="466"/>
      <c r="FF75" s="466"/>
      <c r="FG75" s="466"/>
      <c r="FH75" s="466"/>
      <c r="FI75" s="466"/>
      <c r="FJ75" s="466"/>
      <c r="FK75" s="466"/>
      <c r="FL75" s="466"/>
      <c r="FM75" s="466"/>
      <c r="FN75" s="466"/>
      <c r="FO75" s="466"/>
      <c r="FP75" s="466"/>
      <c r="FQ75" s="466"/>
      <c r="FR75" s="466"/>
      <c r="FS75" s="466"/>
      <c r="FT75" s="466"/>
      <c r="FU75" s="466"/>
      <c r="FV75" s="466"/>
      <c r="FW75" s="466"/>
      <c r="FX75" s="466"/>
      <c r="FY75" s="466"/>
      <c r="FZ75" s="466"/>
      <c r="GA75" s="466"/>
      <c r="GB75" s="466"/>
      <c r="GC75" s="466"/>
      <c r="GD75" s="466"/>
      <c r="GE75" s="466"/>
      <c r="GF75" s="466"/>
      <c r="GG75" s="466"/>
      <c r="GH75" s="466"/>
      <c r="GI75" s="466"/>
      <c r="GJ75" s="466"/>
      <c r="GK75" s="466"/>
      <c r="GL75" s="466"/>
      <c r="GM75" s="466"/>
      <c r="GN75" s="466"/>
      <c r="GO75" s="466"/>
      <c r="GP75" s="466"/>
      <c r="GQ75" s="466"/>
      <c r="GR75" s="466"/>
      <c r="GS75" s="466"/>
      <c r="GT75" s="466"/>
      <c r="GU75" s="466"/>
      <c r="GV75" s="466"/>
      <c r="GW75" s="466"/>
      <c r="GX75" s="466"/>
      <c r="GY75" s="466"/>
      <c r="GZ75" s="466"/>
      <c r="HA75" s="466"/>
      <c r="HB75" s="466"/>
      <c r="HC75" s="466"/>
      <c r="HD75" s="466"/>
      <c r="HE75" s="466"/>
      <c r="HF75" s="466"/>
      <c r="HG75" s="466"/>
      <c r="HH75" s="466"/>
      <c r="HI75" s="466"/>
      <c r="HJ75" s="466"/>
      <c r="HK75" s="466"/>
      <c r="HL75" s="466"/>
      <c r="HM75" s="466"/>
      <c r="HN75" s="466"/>
      <c r="HO75" s="466"/>
      <c r="HP75" s="466"/>
      <c r="HQ75" s="466"/>
      <c r="HR75" s="466"/>
      <c r="HS75" s="466"/>
      <c r="HT75" s="466"/>
      <c r="HU75" s="466"/>
      <c r="HV75" s="466"/>
      <c r="HW75" s="466"/>
      <c r="HX75" s="466"/>
      <c r="HY75" s="466"/>
      <c r="HZ75" s="466"/>
      <c r="IA75" s="466"/>
      <c r="IB75" s="466"/>
      <c r="IC75" s="466"/>
      <c r="ID75" s="466"/>
      <c r="IE75" s="466"/>
      <c r="IF75" s="466"/>
      <c r="IG75" s="466"/>
      <c r="IH75" s="466"/>
      <c r="II75" s="466"/>
      <c r="IJ75" s="466"/>
      <c r="IK75" s="466"/>
      <c r="IL75" s="466"/>
      <c r="IM75" s="466"/>
      <c r="IN75" s="466"/>
      <c r="IO75" s="466"/>
      <c r="IP75" s="466"/>
    </row>
    <row r="76" spans="1:250" x14ac:dyDescent="0.35">
      <c r="A76" s="685">
        <v>70</v>
      </c>
      <c r="B76" s="713"/>
      <c r="C76" s="456"/>
      <c r="D76" s="728" t="s">
        <v>855</v>
      </c>
      <c r="E76" s="463"/>
      <c r="F76" s="557"/>
      <c r="G76" s="1339"/>
      <c r="H76" s="1439"/>
      <c r="I76" s="1148"/>
      <c r="J76" s="1584"/>
      <c r="K76" s="809"/>
      <c r="L76" s="558"/>
    </row>
    <row r="77" spans="1:250" x14ac:dyDescent="0.3">
      <c r="A77" s="685">
        <v>71</v>
      </c>
      <c r="B77" s="713"/>
      <c r="C77" s="456">
        <v>52</v>
      </c>
      <c r="D77" s="1147" t="s">
        <v>856</v>
      </c>
      <c r="E77" s="463"/>
      <c r="F77" s="557">
        <f t="shared" si="0"/>
        <v>3454</v>
      </c>
      <c r="G77" s="1339">
        <v>3454</v>
      </c>
      <c r="H77" s="1439"/>
      <c r="I77" s="1148">
        <v>0</v>
      </c>
      <c r="J77" s="1584"/>
      <c r="K77" s="809">
        <f t="shared" ref="K77:K101" si="2">SUM(I77:J77)</f>
        <v>0</v>
      </c>
      <c r="L77" s="558"/>
    </row>
    <row r="78" spans="1:250" x14ac:dyDescent="0.35">
      <c r="A78" s="685">
        <v>72</v>
      </c>
      <c r="B78" s="713">
        <v>10</v>
      </c>
      <c r="C78" s="556"/>
      <c r="D78" s="728" t="s">
        <v>564</v>
      </c>
      <c r="E78" s="463" t="s">
        <v>24</v>
      </c>
      <c r="F78" s="557"/>
      <c r="G78" s="1338"/>
      <c r="H78" s="1438"/>
      <c r="I78" s="557"/>
      <c r="J78" s="1582"/>
      <c r="K78" s="809"/>
      <c r="L78" s="558"/>
    </row>
    <row r="79" spans="1:250" x14ac:dyDescent="0.35">
      <c r="A79" s="685">
        <v>73</v>
      </c>
      <c r="B79" s="713"/>
      <c r="C79" s="556">
        <v>53</v>
      </c>
      <c r="D79" s="560" t="s">
        <v>672</v>
      </c>
      <c r="E79" s="463"/>
      <c r="F79" s="557">
        <f t="shared" si="0"/>
        <v>2800</v>
      </c>
      <c r="G79" s="1338"/>
      <c r="H79" s="1438">
        <v>2800</v>
      </c>
      <c r="I79" s="557">
        <v>2800</v>
      </c>
      <c r="J79" s="1582"/>
      <c r="K79" s="809">
        <f t="shared" si="2"/>
        <v>2800</v>
      </c>
      <c r="L79" s="558"/>
    </row>
    <row r="80" spans="1:250" x14ac:dyDescent="0.35">
      <c r="A80" s="685">
        <v>74</v>
      </c>
      <c r="B80" s="713">
        <v>11</v>
      </c>
      <c r="C80" s="556"/>
      <c r="D80" s="759" t="s">
        <v>531</v>
      </c>
      <c r="E80" s="561" t="s">
        <v>24</v>
      </c>
      <c r="F80" s="557"/>
      <c r="G80" s="1338"/>
      <c r="H80" s="1438"/>
      <c r="I80" s="557"/>
      <c r="J80" s="1582"/>
      <c r="K80" s="809"/>
      <c r="L80" s="558"/>
    </row>
    <row r="81" spans="1:250" x14ac:dyDescent="0.35">
      <c r="A81" s="685">
        <v>75</v>
      </c>
      <c r="B81" s="713"/>
      <c r="C81" s="556"/>
      <c r="D81" s="676" t="s">
        <v>673</v>
      </c>
      <c r="E81" s="463"/>
      <c r="F81" s="557"/>
      <c r="G81" s="1338"/>
      <c r="H81" s="1438"/>
      <c r="I81" s="557"/>
      <c r="J81" s="1582"/>
      <c r="K81" s="809"/>
      <c r="L81" s="558"/>
    </row>
    <row r="82" spans="1:250" x14ac:dyDescent="0.35">
      <c r="A82" s="685">
        <v>76</v>
      </c>
      <c r="B82" s="713"/>
      <c r="C82" s="556">
        <v>54</v>
      </c>
      <c r="D82" s="560" t="s">
        <v>509</v>
      </c>
      <c r="E82" s="463"/>
      <c r="F82" s="557">
        <f t="shared" si="0"/>
        <v>2500</v>
      </c>
      <c r="G82" s="1338"/>
      <c r="H82" s="1438">
        <v>2500</v>
      </c>
      <c r="I82" s="557">
        <v>2500</v>
      </c>
      <c r="J82" s="1582"/>
      <c r="K82" s="809">
        <f t="shared" si="2"/>
        <v>2500</v>
      </c>
      <c r="L82" s="558"/>
    </row>
    <row r="83" spans="1:250" x14ac:dyDescent="0.35">
      <c r="A83" s="685">
        <v>77</v>
      </c>
      <c r="B83" s="713"/>
      <c r="C83" s="556"/>
      <c r="D83" s="676" t="s">
        <v>711</v>
      </c>
      <c r="E83" s="463"/>
      <c r="F83" s="557"/>
      <c r="G83" s="1338"/>
      <c r="H83" s="1438"/>
      <c r="I83" s="557"/>
      <c r="J83" s="1582"/>
      <c r="K83" s="809"/>
      <c r="L83" s="558"/>
    </row>
    <row r="84" spans="1:250" x14ac:dyDescent="0.35">
      <c r="A84" s="685">
        <v>78</v>
      </c>
      <c r="B84" s="713"/>
      <c r="C84" s="556">
        <v>55</v>
      </c>
      <c r="D84" s="560" t="s">
        <v>509</v>
      </c>
      <c r="E84" s="463"/>
      <c r="F84" s="557">
        <f t="shared" si="0"/>
        <v>2900</v>
      </c>
      <c r="G84" s="1338"/>
      <c r="H84" s="1438"/>
      <c r="I84" s="557">
        <v>2900</v>
      </c>
      <c r="J84" s="1582"/>
      <c r="K84" s="809">
        <f t="shared" si="2"/>
        <v>2900</v>
      </c>
      <c r="L84" s="558"/>
    </row>
    <row r="85" spans="1:250" x14ac:dyDescent="0.35">
      <c r="A85" s="685">
        <v>79</v>
      </c>
      <c r="B85" s="713"/>
      <c r="C85" s="556">
        <v>56</v>
      </c>
      <c r="D85" s="560" t="s">
        <v>851</v>
      </c>
      <c r="E85" s="463"/>
      <c r="F85" s="557">
        <f t="shared" si="0"/>
        <v>2100</v>
      </c>
      <c r="G85" s="1338"/>
      <c r="H85" s="1438"/>
      <c r="I85" s="557">
        <v>2100</v>
      </c>
      <c r="J85" s="1582"/>
      <c r="K85" s="809">
        <f t="shared" si="2"/>
        <v>2100</v>
      </c>
      <c r="L85" s="558"/>
    </row>
    <row r="86" spans="1:250" x14ac:dyDescent="0.35">
      <c r="A86" s="685">
        <v>80</v>
      </c>
      <c r="B86" s="713">
        <v>12</v>
      </c>
      <c r="C86" s="556"/>
      <c r="D86" s="677" t="s">
        <v>26</v>
      </c>
      <c r="E86" s="561" t="s">
        <v>24</v>
      </c>
      <c r="F86" s="557"/>
      <c r="G86" s="1338"/>
      <c r="H86" s="1438"/>
      <c r="I86" s="557"/>
      <c r="J86" s="1582"/>
      <c r="K86" s="809"/>
      <c r="L86" s="558"/>
    </row>
    <row r="87" spans="1:250" s="546" customFormat="1" x14ac:dyDescent="0.35">
      <c r="A87" s="685">
        <v>81</v>
      </c>
      <c r="B87" s="713"/>
      <c r="C87" s="556">
        <v>57</v>
      </c>
      <c r="D87" s="560" t="s">
        <v>674</v>
      </c>
      <c r="E87" s="463"/>
      <c r="F87" s="557">
        <f t="shared" ref="F87:F101" si="3">G87+K87+L87</f>
        <v>7150</v>
      </c>
      <c r="G87" s="1338"/>
      <c r="H87" s="1438">
        <v>5150</v>
      </c>
      <c r="I87" s="557">
        <v>7150</v>
      </c>
      <c r="J87" s="1582"/>
      <c r="K87" s="809">
        <f t="shared" si="2"/>
        <v>7150</v>
      </c>
      <c r="L87" s="558"/>
      <c r="M87" s="454"/>
      <c r="N87" s="454"/>
      <c r="O87" s="454"/>
      <c r="P87" s="454"/>
      <c r="Q87" s="454"/>
      <c r="R87" s="454"/>
      <c r="S87" s="454"/>
      <c r="T87" s="454"/>
      <c r="U87" s="454"/>
      <c r="V87" s="454"/>
      <c r="W87" s="454"/>
      <c r="X87" s="454"/>
      <c r="Y87" s="454"/>
      <c r="Z87" s="454"/>
      <c r="AA87" s="454"/>
      <c r="AB87" s="454"/>
      <c r="AC87" s="454"/>
      <c r="AD87" s="454"/>
      <c r="AE87" s="454"/>
      <c r="AF87" s="454"/>
      <c r="AG87" s="454"/>
      <c r="AH87" s="454"/>
      <c r="AI87" s="454"/>
      <c r="AJ87" s="454"/>
      <c r="AK87" s="454"/>
      <c r="AL87" s="454"/>
      <c r="AM87" s="454"/>
      <c r="AN87" s="454"/>
      <c r="AO87" s="454"/>
      <c r="AP87" s="454"/>
      <c r="AQ87" s="454"/>
      <c r="AR87" s="454"/>
      <c r="AS87" s="454"/>
      <c r="AT87" s="454"/>
      <c r="AU87" s="454"/>
      <c r="AV87" s="454"/>
      <c r="AW87" s="454"/>
      <c r="AX87" s="454"/>
      <c r="AY87" s="454"/>
      <c r="AZ87" s="454"/>
      <c r="BA87" s="454"/>
      <c r="BB87" s="454"/>
      <c r="BC87" s="454"/>
      <c r="BD87" s="454"/>
      <c r="BE87" s="454"/>
      <c r="BF87" s="454"/>
      <c r="BG87" s="454"/>
      <c r="BH87" s="454"/>
      <c r="BI87" s="454"/>
      <c r="BJ87" s="454"/>
      <c r="BK87" s="454"/>
      <c r="BL87" s="454"/>
      <c r="BM87" s="454"/>
      <c r="BN87" s="454"/>
      <c r="BO87" s="454"/>
      <c r="BP87" s="454"/>
      <c r="BQ87" s="454"/>
      <c r="BR87" s="454"/>
      <c r="BS87" s="454"/>
      <c r="BT87" s="454"/>
      <c r="BU87" s="454"/>
      <c r="BV87" s="454"/>
      <c r="BW87" s="454"/>
      <c r="BX87" s="454"/>
      <c r="BY87" s="454"/>
      <c r="BZ87" s="454"/>
      <c r="CA87" s="454"/>
      <c r="CB87" s="454"/>
      <c r="CC87" s="454"/>
      <c r="CD87" s="454"/>
      <c r="CE87" s="454"/>
      <c r="CF87" s="454"/>
      <c r="CG87" s="454"/>
      <c r="CH87" s="454"/>
      <c r="CI87" s="454"/>
      <c r="CJ87" s="454"/>
      <c r="CK87" s="454"/>
      <c r="CL87" s="454"/>
      <c r="CM87" s="454"/>
      <c r="CN87" s="454"/>
      <c r="CO87" s="454"/>
      <c r="CP87" s="454"/>
      <c r="CQ87" s="454"/>
      <c r="CR87" s="454"/>
      <c r="CS87" s="454"/>
      <c r="CT87" s="454"/>
      <c r="CU87" s="454"/>
      <c r="CV87" s="454"/>
      <c r="CW87" s="454"/>
      <c r="CX87" s="454"/>
      <c r="CY87" s="454"/>
      <c r="CZ87" s="454"/>
      <c r="DA87" s="454"/>
      <c r="DB87" s="454"/>
      <c r="DC87" s="454"/>
      <c r="DD87" s="454"/>
      <c r="DE87" s="454"/>
      <c r="DF87" s="454"/>
      <c r="DG87" s="454"/>
      <c r="DH87" s="454"/>
      <c r="DI87" s="454"/>
      <c r="DJ87" s="454"/>
      <c r="DK87" s="454"/>
      <c r="DL87" s="454"/>
      <c r="DM87" s="454"/>
      <c r="DN87" s="454"/>
      <c r="DO87" s="454"/>
      <c r="DP87" s="454"/>
      <c r="DQ87" s="454"/>
      <c r="DR87" s="454"/>
      <c r="DS87" s="454"/>
      <c r="DT87" s="454"/>
      <c r="DU87" s="454"/>
      <c r="DV87" s="454"/>
      <c r="DW87" s="454"/>
      <c r="DX87" s="454"/>
      <c r="DY87" s="454"/>
      <c r="DZ87" s="454"/>
      <c r="EA87" s="454"/>
      <c r="EB87" s="454"/>
      <c r="EC87" s="454"/>
      <c r="ED87" s="454"/>
      <c r="EE87" s="454"/>
      <c r="EF87" s="454"/>
      <c r="EG87" s="454"/>
      <c r="EH87" s="454"/>
      <c r="EI87" s="454"/>
      <c r="EJ87" s="454"/>
      <c r="EK87" s="454"/>
      <c r="EL87" s="454"/>
      <c r="EM87" s="454"/>
      <c r="EN87" s="454"/>
      <c r="EO87" s="454"/>
      <c r="EP87" s="454"/>
      <c r="EQ87" s="454"/>
      <c r="ER87" s="454"/>
      <c r="ES87" s="454"/>
      <c r="ET87" s="454"/>
      <c r="EU87" s="454"/>
      <c r="EV87" s="454"/>
      <c r="EW87" s="454"/>
      <c r="EX87" s="454"/>
      <c r="EY87" s="454"/>
      <c r="EZ87" s="454"/>
      <c r="FA87" s="454"/>
      <c r="FB87" s="454"/>
      <c r="FC87" s="454"/>
      <c r="FD87" s="454"/>
      <c r="FE87" s="454"/>
      <c r="FF87" s="454"/>
      <c r="FG87" s="454"/>
      <c r="FH87" s="454"/>
      <c r="FI87" s="454"/>
      <c r="FJ87" s="454"/>
      <c r="FK87" s="454"/>
      <c r="FL87" s="454"/>
      <c r="FM87" s="454"/>
      <c r="FN87" s="454"/>
      <c r="FO87" s="454"/>
      <c r="FP87" s="454"/>
      <c r="FQ87" s="454"/>
      <c r="FR87" s="454"/>
      <c r="FS87" s="454"/>
      <c r="FT87" s="454"/>
      <c r="FU87" s="454"/>
      <c r="FV87" s="454"/>
      <c r="FW87" s="454"/>
      <c r="FX87" s="454"/>
      <c r="FY87" s="454"/>
      <c r="FZ87" s="454"/>
      <c r="GA87" s="454"/>
      <c r="GB87" s="454"/>
      <c r="GC87" s="454"/>
      <c r="GD87" s="454"/>
      <c r="GE87" s="454"/>
      <c r="GF87" s="454"/>
      <c r="GG87" s="454"/>
      <c r="GH87" s="454"/>
      <c r="GI87" s="454"/>
      <c r="GJ87" s="454"/>
      <c r="GK87" s="454"/>
      <c r="GL87" s="454"/>
      <c r="GM87" s="454"/>
      <c r="GN87" s="454"/>
      <c r="GO87" s="454"/>
      <c r="GP87" s="454"/>
      <c r="GQ87" s="454"/>
      <c r="GR87" s="454"/>
      <c r="GS87" s="454"/>
      <c r="GT87" s="454"/>
      <c r="GU87" s="454"/>
      <c r="GV87" s="454"/>
      <c r="GW87" s="454"/>
      <c r="GX87" s="454"/>
      <c r="GY87" s="454"/>
      <c r="GZ87" s="454"/>
      <c r="HA87" s="454"/>
      <c r="HB87" s="454"/>
      <c r="HC87" s="454"/>
      <c r="HD87" s="454"/>
      <c r="HE87" s="454"/>
      <c r="HF87" s="454"/>
      <c r="HG87" s="454"/>
      <c r="HH87" s="454"/>
      <c r="HI87" s="454"/>
      <c r="HJ87" s="454"/>
      <c r="HK87" s="454"/>
      <c r="HL87" s="454"/>
      <c r="HM87" s="454"/>
      <c r="HN87" s="454"/>
      <c r="HO87" s="454"/>
      <c r="HP87" s="454"/>
      <c r="HQ87" s="454"/>
      <c r="HR87" s="454"/>
      <c r="HS87" s="454"/>
      <c r="HT87" s="454"/>
      <c r="HU87" s="454"/>
      <c r="HV87" s="454"/>
      <c r="HW87" s="454"/>
      <c r="HX87" s="454"/>
      <c r="HY87" s="454"/>
      <c r="HZ87" s="454"/>
      <c r="IA87" s="454"/>
      <c r="IB87" s="454"/>
      <c r="IC87" s="454"/>
      <c r="ID87" s="454"/>
      <c r="IE87" s="454"/>
      <c r="IF87" s="454"/>
      <c r="IG87" s="454"/>
      <c r="IH87" s="454"/>
      <c r="II87" s="454"/>
      <c r="IJ87" s="454"/>
      <c r="IK87" s="454"/>
      <c r="IL87" s="454"/>
      <c r="IM87" s="454"/>
      <c r="IN87" s="454"/>
      <c r="IO87" s="454"/>
      <c r="IP87" s="454"/>
    </row>
    <row r="88" spans="1:250" s="546" customFormat="1" x14ac:dyDescent="0.35">
      <c r="A88" s="685">
        <v>82</v>
      </c>
      <c r="B88" s="713"/>
      <c r="C88" s="556">
        <v>58</v>
      </c>
      <c r="D88" s="560" t="s">
        <v>852</v>
      </c>
      <c r="E88" s="463"/>
      <c r="F88" s="557">
        <f t="shared" si="3"/>
        <v>1500</v>
      </c>
      <c r="G88" s="1338"/>
      <c r="H88" s="1438"/>
      <c r="I88" s="557">
        <v>1500</v>
      </c>
      <c r="J88" s="1582"/>
      <c r="K88" s="809">
        <f t="shared" si="2"/>
        <v>1500</v>
      </c>
      <c r="L88" s="558"/>
      <c r="M88" s="454"/>
      <c r="N88" s="454"/>
      <c r="O88" s="454"/>
      <c r="P88" s="454"/>
      <c r="Q88" s="454"/>
      <c r="R88" s="454"/>
      <c r="S88" s="454"/>
      <c r="T88" s="454"/>
      <c r="U88" s="454"/>
      <c r="V88" s="454"/>
      <c r="W88" s="454"/>
      <c r="X88" s="454"/>
      <c r="Y88" s="454"/>
      <c r="Z88" s="454"/>
      <c r="AA88" s="454"/>
      <c r="AB88" s="454"/>
      <c r="AC88" s="454"/>
      <c r="AD88" s="454"/>
      <c r="AE88" s="454"/>
      <c r="AF88" s="454"/>
      <c r="AG88" s="454"/>
      <c r="AH88" s="454"/>
      <c r="AI88" s="454"/>
      <c r="AJ88" s="454"/>
      <c r="AK88" s="454"/>
      <c r="AL88" s="454"/>
      <c r="AM88" s="454"/>
      <c r="AN88" s="454"/>
      <c r="AO88" s="454"/>
      <c r="AP88" s="454"/>
      <c r="AQ88" s="454"/>
      <c r="AR88" s="454"/>
      <c r="AS88" s="454"/>
      <c r="AT88" s="454"/>
      <c r="AU88" s="454"/>
      <c r="AV88" s="454"/>
      <c r="AW88" s="454"/>
      <c r="AX88" s="454"/>
      <c r="AY88" s="454"/>
      <c r="AZ88" s="454"/>
      <c r="BA88" s="454"/>
      <c r="BB88" s="454"/>
      <c r="BC88" s="454"/>
      <c r="BD88" s="454"/>
      <c r="BE88" s="454"/>
      <c r="BF88" s="454"/>
      <c r="BG88" s="454"/>
      <c r="BH88" s="454"/>
      <c r="BI88" s="454"/>
      <c r="BJ88" s="454"/>
      <c r="BK88" s="454"/>
      <c r="BL88" s="454"/>
      <c r="BM88" s="454"/>
      <c r="BN88" s="454"/>
      <c r="BO88" s="454"/>
      <c r="BP88" s="454"/>
      <c r="BQ88" s="454"/>
      <c r="BR88" s="454"/>
      <c r="BS88" s="454"/>
      <c r="BT88" s="454"/>
      <c r="BU88" s="454"/>
      <c r="BV88" s="454"/>
      <c r="BW88" s="454"/>
      <c r="BX88" s="454"/>
      <c r="BY88" s="454"/>
      <c r="BZ88" s="454"/>
      <c r="CA88" s="454"/>
      <c r="CB88" s="454"/>
      <c r="CC88" s="454"/>
      <c r="CD88" s="454"/>
      <c r="CE88" s="454"/>
      <c r="CF88" s="454"/>
      <c r="CG88" s="454"/>
      <c r="CH88" s="454"/>
      <c r="CI88" s="454"/>
      <c r="CJ88" s="454"/>
      <c r="CK88" s="454"/>
      <c r="CL88" s="454"/>
      <c r="CM88" s="454"/>
      <c r="CN88" s="454"/>
      <c r="CO88" s="454"/>
      <c r="CP88" s="454"/>
      <c r="CQ88" s="454"/>
      <c r="CR88" s="454"/>
      <c r="CS88" s="454"/>
      <c r="CT88" s="454"/>
      <c r="CU88" s="454"/>
      <c r="CV88" s="454"/>
      <c r="CW88" s="454"/>
      <c r="CX88" s="454"/>
      <c r="CY88" s="454"/>
      <c r="CZ88" s="454"/>
      <c r="DA88" s="454"/>
      <c r="DB88" s="454"/>
      <c r="DC88" s="454"/>
      <c r="DD88" s="454"/>
      <c r="DE88" s="454"/>
      <c r="DF88" s="454"/>
      <c r="DG88" s="454"/>
      <c r="DH88" s="454"/>
      <c r="DI88" s="454"/>
      <c r="DJ88" s="454"/>
      <c r="DK88" s="454"/>
      <c r="DL88" s="454"/>
      <c r="DM88" s="454"/>
      <c r="DN88" s="454"/>
      <c r="DO88" s="454"/>
      <c r="DP88" s="454"/>
      <c r="DQ88" s="454"/>
      <c r="DR88" s="454"/>
      <c r="DS88" s="454"/>
      <c r="DT88" s="454"/>
      <c r="DU88" s="454"/>
      <c r="DV88" s="454"/>
      <c r="DW88" s="454"/>
      <c r="DX88" s="454"/>
      <c r="DY88" s="454"/>
      <c r="DZ88" s="454"/>
      <c r="EA88" s="454"/>
      <c r="EB88" s="454"/>
      <c r="EC88" s="454"/>
      <c r="ED88" s="454"/>
      <c r="EE88" s="454"/>
      <c r="EF88" s="454"/>
      <c r="EG88" s="454"/>
      <c r="EH88" s="454"/>
      <c r="EI88" s="454"/>
      <c r="EJ88" s="454"/>
      <c r="EK88" s="454"/>
      <c r="EL88" s="454"/>
      <c r="EM88" s="454"/>
      <c r="EN88" s="454"/>
      <c r="EO88" s="454"/>
      <c r="EP88" s="454"/>
      <c r="EQ88" s="454"/>
      <c r="ER88" s="454"/>
      <c r="ES88" s="454"/>
      <c r="ET88" s="454"/>
      <c r="EU88" s="454"/>
      <c r="EV88" s="454"/>
      <c r="EW88" s="454"/>
      <c r="EX88" s="454"/>
      <c r="EY88" s="454"/>
      <c r="EZ88" s="454"/>
      <c r="FA88" s="454"/>
      <c r="FB88" s="454"/>
      <c r="FC88" s="454"/>
      <c r="FD88" s="454"/>
      <c r="FE88" s="454"/>
      <c r="FF88" s="454"/>
      <c r="FG88" s="454"/>
      <c r="FH88" s="454"/>
      <c r="FI88" s="454"/>
      <c r="FJ88" s="454"/>
      <c r="FK88" s="454"/>
      <c r="FL88" s="454"/>
      <c r="FM88" s="454"/>
      <c r="FN88" s="454"/>
      <c r="FO88" s="454"/>
      <c r="FP88" s="454"/>
      <c r="FQ88" s="454"/>
      <c r="FR88" s="454"/>
      <c r="FS88" s="454"/>
      <c r="FT88" s="454"/>
      <c r="FU88" s="454"/>
      <c r="FV88" s="454"/>
      <c r="FW88" s="454"/>
      <c r="FX88" s="454"/>
      <c r="FY88" s="454"/>
      <c r="FZ88" s="454"/>
      <c r="GA88" s="454"/>
      <c r="GB88" s="454"/>
      <c r="GC88" s="454"/>
      <c r="GD88" s="454"/>
      <c r="GE88" s="454"/>
      <c r="GF88" s="454"/>
      <c r="GG88" s="454"/>
      <c r="GH88" s="454"/>
      <c r="GI88" s="454"/>
      <c r="GJ88" s="454"/>
      <c r="GK88" s="454"/>
      <c r="GL88" s="454"/>
      <c r="GM88" s="454"/>
      <c r="GN88" s="454"/>
      <c r="GO88" s="454"/>
      <c r="GP88" s="454"/>
      <c r="GQ88" s="454"/>
      <c r="GR88" s="454"/>
      <c r="GS88" s="454"/>
      <c r="GT88" s="454"/>
      <c r="GU88" s="454"/>
      <c r="GV88" s="454"/>
      <c r="GW88" s="454"/>
      <c r="GX88" s="454"/>
      <c r="GY88" s="454"/>
      <c r="GZ88" s="454"/>
      <c r="HA88" s="454"/>
      <c r="HB88" s="454"/>
      <c r="HC88" s="454"/>
      <c r="HD88" s="454"/>
      <c r="HE88" s="454"/>
      <c r="HF88" s="454"/>
      <c r="HG88" s="454"/>
      <c r="HH88" s="454"/>
      <c r="HI88" s="454"/>
      <c r="HJ88" s="454"/>
      <c r="HK88" s="454"/>
      <c r="HL88" s="454"/>
      <c r="HM88" s="454"/>
      <c r="HN88" s="454"/>
      <c r="HO88" s="454"/>
      <c r="HP88" s="454"/>
      <c r="HQ88" s="454"/>
      <c r="HR88" s="454"/>
      <c r="HS88" s="454"/>
      <c r="HT88" s="454"/>
      <c r="HU88" s="454"/>
      <c r="HV88" s="454"/>
      <c r="HW88" s="454"/>
      <c r="HX88" s="454"/>
      <c r="HY88" s="454"/>
      <c r="HZ88" s="454"/>
      <c r="IA88" s="454"/>
      <c r="IB88" s="454"/>
      <c r="IC88" s="454"/>
      <c r="ID88" s="454"/>
      <c r="IE88" s="454"/>
      <c r="IF88" s="454"/>
      <c r="IG88" s="454"/>
      <c r="IH88" s="454"/>
      <c r="II88" s="454"/>
      <c r="IJ88" s="454"/>
      <c r="IK88" s="454"/>
      <c r="IL88" s="454"/>
      <c r="IM88" s="454"/>
      <c r="IN88" s="454"/>
      <c r="IO88" s="454"/>
      <c r="IP88" s="454"/>
    </row>
    <row r="89" spans="1:250" s="546" customFormat="1" x14ac:dyDescent="0.35">
      <c r="A89" s="685">
        <v>83</v>
      </c>
      <c r="B89" s="713"/>
      <c r="C89" s="556">
        <v>59</v>
      </c>
      <c r="D89" s="560" t="s">
        <v>857</v>
      </c>
      <c r="E89" s="463"/>
      <c r="F89" s="557">
        <f t="shared" si="3"/>
        <v>0</v>
      </c>
      <c r="G89" s="1338"/>
      <c r="H89" s="1438"/>
      <c r="I89" s="557">
        <v>0</v>
      </c>
      <c r="J89" s="1582"/>
      <c r="K89" s="809">
        <f t="shared" si="2"/>
        <v>0</v>
      </c>
      <c r="L89" s="558"/>
      <c r="M89" s="454"/>
      <c r="N89" s="454"/>
      <c r="O89" s="454"/>
      <c r="P89" s="454"/>
      <c r="Q89" s="454"/>
      <c r="R89" s="454"/>
      <c r="S89" s="454"/>
      <c r="T89" s="454"/>
      <c r="U89" s="454"/>
      <c r="V89" s="454"/>
      <c r="W89" s="454"/>
      <c r="X89" s="454"/>
      <c r="Y89" s="454"/>
      <c r="Z89" s="454"/>
      <c r="AA89" s="454"/>
      <c r="AB89" s="454"/>
      <c r="AC89" s="454"/>
      <c r="AD89" s="454"/>
      <c r="AE89" s="454"/>
      <c r="AF89" s="454"/>
      <c r="AG89" s="454"/>
      <c r="AH89" s="454"/>
      <c r="AI89" s="454"/>
      <c r="AJ89" s="454"/>
      <c r="AK89" s="454"/>
      <c r="AL89" s="454"/>
      <c r="AM89" s="454"/>
      <c r="AN89" s="454"/>
      <c r="AO89" s="454"/>
      <c r="AP89" s="454"/>
      <c r="AQ89" s="454"/>
      <c r="AR89" s="454"/>
      <c r="AS89" s="454"/>
      <c r="AT89" s="454"/>
      <c r="AU89" s="454"/>
      <c r="AV89" s="454"/>
      <c r="AW89" s="454"/>
      <c r="AX89" s="454"/>
      <c r="AY89" s="454"/>
      <c r="AZ89" s="454"/>
      <c r="BA89" s="454"/>
      <c r="BB89" s="454"/>
      <c r="BC89" s="454"/>
      <c r="BD89" s="454"/>
      <c r="BE89" s="454"/>
      <c r="BF89" s="454"/>
      <c r="BG89" s="454"/>
      <c r="BH89" s="454"/>
      <c r="BI89" s="454"/>
      <c r="BJ89" s="454"/>
      <c r="BK89" s="454"/>
      <c r="BL89" s="454"/>
      <c r="BM89" s="454"/>
      <c r="BN89" s="454"/>
      <c r="BO89" s="454"/>
      <c r="BP89" s="454"/>
      <c r="BQ89" s="454"/>
      <c r="BR89" s="454"/>
      <c r="BS89" s="454"/>
      <c r="BT89" s="454"/>
      <c r="BU89" s="454"/>
      <c r="BV89" s="454"/>
      <c r="BW89" s="454"/>
      <c r="BX89" s="454"/>
      <c r="BY89" s="454"/>
      <c r="BZ89" s="454"/>
      <c r="CA89" s="454"/>
      <c r="CB89" s="454"/>
      <c r="CC89" s="454"/>
      <c r="CD89" s="454"/>
      <c r="CE89" s="454"/>
      <c r="CF89" s="454"/>
      <c r="CG89" s="454"/>
      <c r="CH89" s="454"/>
      <c r="CI89" s="454"/>
      <c r="CJ89" s="454"/>
      <c r="CK89" s="454"/>
      <c r="CL89" s="454"/>
      <c r="CM89" s="454"/>
      <c r="CN89" s="454"/>
      <c r="CO89" s="454"/>
      <c r="CP89" s="454"/>
      <c r="CQ89" s="454"/>
      <c r="CR89" s="454"/>
      <c r="CS89" s="454"/>
      <c r="CT89" s="454"/>
      <c r="CU89" s="454"/>
      <c r="CV89" s="454"/>
      <c r="CW89" s="454"/>
      <c r="CX89" s="454"/>
      <c r="CY89" s="454"/>
      <c r="CZ89" s="454"/>
      <c r="DA89" s="454"/>
      <c r="DB89" s="454"/>
      <c r="DC89" s="454"/>
      <c r="DD89" s="454"/>
      <c r="DE89" s="454"/>
      <c r="DF89" s="454"/>
      <c r="DG89" s="454"/>
      <c r="DH89" s="454"/>
      <c r="DI89" s="454"/>
      <c r="DJ89" s="454"/>
      <c r="DK89" s="454"/>
      <c r="DL89" s="454"/>
      <c r="DM89" s="454"/>
      <c r="DN89" s="454"/>
      <c r="DO89" s="454"/>
      <c r="DP89" s="454"/>
      <c r="DQ89" s="454"/>
      <c r="DR89" s="454"/>
      <c r="DS89" s="454"/>
      <c r="DT89" s="454"/>
      <c r="DU89" s="454"/>
      <c r="DV89" s="454"/>
      <c r="DW89" s="454"/>
      <c r="DX89" s="454"/>
      <c r="DY89" s="454"/>
      <c r="DZ89" s="454"/>
      <c r="EA89" s="454"/>
      <c r="EB89" s="454"/>
      <c r="EC89" s="454"/>
      <c r="ED89" s="454"/>
      <c r="EE89" s="454"/>
      <c r="EF89" s="454"/>
      <c r="EG89" s="454"/>
      <c r="EH89" s="454"/>
      <c r="EI89" s="454"/>
      <c r="EJ89" s="454"/>
      <c r="EK89" s="454"/>
      <c r="EL89" s="454"/>
      <c r="EM89" s="454"/>
      <c r="EN89" s="454"/>
      <c r="EO89" s="454"/>
      <c r="EP89" s="454"/>
      <c r="EQ89" s="454"/>
      <c r="ER89" s="454"/>
      <c r="ES89" s="454"/>
      <c r="ET89" s="454"/>
      <c r="EU89" s="454"/>
      <c r="EV89" s="454"/>
      <c r="EW89" s="454"/>
      <c r="EX89" s="454"/>
      <c r="EY89" s="454"/>
      <c r="EZ89" s="454"/>
      <c r="FA89" s="454"/>
      <c r="FB89" s="454"/>
      <c r="FC89" s="454"/>
      <c r="FD89" s="454"/>
      <c r="FE89" s="454"/>
      <c r="FF89" s="454"/>
      <c r="FG89" s="454"/>
      <c r="FH89" s="454"/>
      <c r="FI89" s="454"/>
      <c r="FJ89" s="454"/>
      <c r="FK89" s="454"/>
      <c r="FL89" s="454"/>
      <c r="FM89" s="454"/>
      <c r="FN89" s="454"/>
      <c r="FO89" s="454"/>
      <c r="FP89" s="454"/>
      <c r="FQ89" s="454"/>
      <c r="FR89" s="454"/>
      <c r="FS89" s="454"/>
      <c r="FT89" s="454"/>
      <c r="FU89" s="454"/>
      <c r="FV89" s="454"/>
      <c r="FW89" s="454"/>
      <c r="FX89" s="454"/>
      <c r="FY89" s="454"/>
      <c r="FZ89" s="454"/>
      <c r="GA89" s="454"/>
      <c r="GB89" s="454"/>
      <c r="GC89" s="454"/>
      <c r="GD89" s="454"/>
      <c r="GE89" s="454"/>
      <c r="GF89" s="454"/>
      <c r="GG89" s="454"/>
      <c r="GH89" s="454"/>
      <c r="GI89" s="454"/>
      <c r="GJ89" s="454"/>
      <c r="GK89" s="454"/>
      <c r="GL89" s="454"/>
      <c r="GM89" s="454"/>
      <c r="GN89" s="454"/>
      <c r="GO89" s="454"/>
      <c r="GP89" s="454"/>
      <c r="GQ89" s="454"/>
      <c r="GR89" s="454"/>
      <c r="GS89" s="454"/>
      <c r="GT89" s="454"/>
      <c r="GU89" s="454"/>
      <c r="GV89" s="454"/>
      <c r="GW89" s="454"/>
      <c r="GX89" s="454"/>
      <c r="GY89" s="454"/>
      <c r="GZ89" s="454"/>
      <c r="HA89" s="454"/>
      <c r="HB89" s="454"/>
      <c r="HC89" s="454"/>
      <c r="HD89" s="454"/>
      <c r="HE89" s="454"/>
      <c r="HF89" s="454"/>
      <c r="HG89" s="454"/>
      <c r="HH89" s="454"/>
      <c r="HI89" s="454"/>
      <c r="HJ89" s="454"/>
      <c r="HK89" s="454"/>
      <c r="HL89" s="454"/>
      <c r="HM89" s="454"/>
      <c r="HN89" s="454"/>
      <c r="HO89" s="454"/>
      <c r="HP89" s="454"/>
      <c r="HQ89" s="454"/>
      <c r="HR89" s="454"/>
      <c r="HS89" s="454"/>
      <c r="HT89" s="454"/>
      <c r="HU89" s="454"/>
      <c r="HV89" s="454"/>
      <c r="HW89" s="454"/>
      <c r="HX89" s="454"/>
      <c r="HY89" s="454"/>
      <c r="HZ89" s="454"/>
      <c r="IA89" s="454"/>
      <c r="IB89" s="454"/>
      <c r="IC89" s="454"/>
      <c r="ID89" s="454"/>
      <c r="IE89" s="454"/>
      <c r="IF89" s="454"/>
      <c r="IG89" s="454"/>
      <c r="IH89" s="454"/>
      <c r="II89" s="454"/>
      <c r="IJ89" s="454"/>
      <c r="IK89" s="454"/>
      <c r="IL89" s="454"/>
      <c r="IM89" s="454"/>
      <c r="IN89" s="454"/>
      <c r="IO89" s="454"/>
      <c r="IP89" s="454"/>
    </row>
    <row r="90" spans="1:250" s="546" customFormat="1" x14ac:dyDescent="0.35">
      <c r="A90" s="685">
        <v>84</v>
      </c>
      <c r="B90" s="713">
        <v>13</v>
      </c>
      <c r="C90" s="556"/>
      <c r="D90" s="677" t="s">
        <v>36</v>
      </c>
      <c r="E90" s="463"/>
      <c r="F90" s="557"/>
      <c r="G90" s="1338"/>
      <c r="H90" s="1438"/>
      <c r="I90" s="557"/>
      <c r="J90" s="1582"/>
      <c r="K90" s="809"/>
      <c r="L90" s="558"/>
      <c r="M90" s="454"/>
      <c r="N90" s="454"/>
      <c r="O90" s="454"/>
      <c r="P90" s="454"/>
      <c r="Q90" s="454"/>
      <c r="R90" s="454"/>
      <c r="S90" s="454"/>
      <c r="T90" s="454"/>
      <c r="U90" s="454"/>
      <c r="V90" s="454"/>
      <c r="W90" s="454"/>
      <c r="X90" s="454"/>
      <c r="Y90" s="454"/>
      <c r="Z90" s="454"/>
      <c r="AA90" s="454"/>
      <c r="AB90" s="454"/>
      <c r="AC90" s="454"/>
      <c r="AD90" s="454"/>
      <c r="AE90" s="454"/>
      <c r="AF90" s="454"/>
      <c r="AG90" s="454"/>
      <c r="AH90" s="454"/>
      <c r="AI90" s="454"/>
      <c r="AJ90" s="454"/>
      <c r="AK90" s="454"/>
      <c r="AL90" s="454"/>
      <c r="AM90" s="454"/>
      <c r="AN90" s="454"/>
      <c r="AO90" s="454"/>
      <c r="AP90" s="454"/>
      <c r="AQ90" s="454"/>
      <c r="AR90" s="454"/>
      <c r="AS90" s="454"/>
      <c r="AT90" s="454"/>
      <c r="AU90" s="454"/>
      <c r="AV90" s="454"/>
      <c r="AW90" s="454"/>
      <c r="AX90" s="454"/>
      <c r="AY90" s="454"/>
      <c r="AZ90" s="454"/>
      <c r="BA90" s="454"/>
      <c r="BB90" s="454"/>
      <c r="BC90" s="454"/>
      <c r="BD90" s="454"/>
      <c r="BE90" s="454"/>
      <c r="BF90" s="454"/>
      <c r="BG90" s="454"/>
      <c r="BH90" s="454"/>
      <c r="BI90" s="454"/>
      <c r="BJ90" s="454"/>
      <c r="BK90" s="454"/>
      <c r="BL90" s="454"/>
      <c r="BM90" s="454"/>
      <c r="BN90" s="454"/>
      <c r="BO90" s="454"/>
      <c r="BP90" s="454"/>
      <c r="BQ90" s="454"/>
      <c r="BR90" s="454"/>
      <c r="BS90" s="454"/>
      <c r="BT90" s="454"/>
      <c r="BU90" s="454"/>
      <c r="BV90" s="454"/>
      <c r="BW90" s="454"/>
      <c r="BX90" s="454"/>
      <c r="BY90" s="454"/>
      <c r="BZ90" s="454"/>
      <c r="CA90" s="454"/>
      <c r="CB90" s="454"/>
      <c r="CC90" s="454"/>
      <c r="CD90" s="454"/>
      <c r="CE90" s="454"/>
      <c r="CF90" s="454"/>
      <c r="CG90" s="454"/>
      <c r="CH90" s="454"/>
      <c r="CI90" s="454"/>
      <c r="CJ90" s="454"/>
      <c r="CK90" s="454"/>
      <c r="CL90" s="454"/>
      <c r="CM90" s="454"/>
      <c r="CN90" s="454"/>
      <c r="CO90" s="454"/>
      <c r="CP90" s="454"/>
      <c r="CQ90" s="454"/>
      <c r="CR90" s="454"/>
      <c r="CS90" s="454"/>
      <c r="CT90" s="454"/>
      <c r="CU90" s="454"/>
      <c r="CV90" s="454"/>
      <c r="CW90" s="454"/>
      <c r="CX90" s="454"/>
      <c r="CY90" s="454"/>
      <c r="CZ90" s="454"/>
      <c r="DA90" s="454"/>
      <c r="DB90" s="454"/>
      <c r="DC90" s="454"/>
      <c r="DD90" s="454"/>
      <c r="DE90" s="454"/>
      <c r="DF90" s="454"/>
      <c r="DG90" s="454"/>
      <c r="DH90" s="454"/>
      <c r="DI90" s="454"/>
      <c r="DJ90" s="454"/>
      <c r="DK90" s="454"/>
      <c r="DL90" s="454"/>
      <c r="DM90" s="454"/>
      <c r="DN90" s="454"/>
      <c r="DO90" s="454"/>
      <c r="DP90" s="454"/>
      <c r="DQ90" s="454"/>
      <c r="DR90" s="454"/>
      <c r="DS90" s="454"/>
      <c r="DT90" s="454"/>
      <c r="DU90" s="454"/>
      <c r="DV90" s="454"/>
      <c r="DW90" s="454"/>
      <c r="DX90" s="454"/>
      <c r="DY90" s="454"/>
      <c r="DZ90" s="454"/>
      <c r="EA90" s="454"/>
      <c r="EB90" s="454"/>
      <c r="EC90" s="454"/>
      <c r="ED90" s="454"/>
      <c r="EE90" s="454"/>
      <c r="EF90" s="454"/>
      <c r="EG90" s="454"/>
      <c r="EH90" s="454"/>
      <c r="EI90" s="454"/>
      <c r="EJ90" s="454"/>
      <c r="EK90" s="454"/>
      <c r="EL90" s="454"/>
      <c r="EM90" s="454"/>
      <c r="EN90" s="454"/>
      <c r="EO90" s="454"/>
      <c r="EP90" s="454"/>
      <c r="EQ90" s="454"/>
      <c r="ER90" s="454"/>
      <c r="ES90" s="454"/>
      <c r="ET90" s="454"/>
      <c r="EU90" s="454"/>
      <c r="EV90" s="454"/>
      <c r="EW90" s="454"/>
      <c r="EX90" s="454"/>
      <c r="EY90" s="454"/>
      <c r="EZ90" s="454"/>
      <c r="FA90" s="454"/>
      <c r="FB90" s="454"/>
      <c r="FC90" s="454"/>
      <c r="FD90" s="454"/>
      <c r="FE90" s="454"/>
      <c r="FF90" s="454"/>
      <c r="FG90" s="454"/>
      <c r="FH90" s="454"/>
      <c r="FI90" s="454"/>
      <c r="FJ90" s="454"/>
      <c r="FK90" s="454"/>
      <c r="FL90" s="454"/>
      <c r="FM90" s="454"/>
      <c r="FN90" s="454"/>
      <c r="FO90" s="454"/>
      <c r="FP90" s="454"/>
      <c r="FQ90" s="454"/>
      <c r="FR90" s="454"/>
      <c r="FS90" s="454"/>
      <c r="FT90" s="454"/>
      <c r="FU90" s="454"/>
      <c r="FV90" s="454"/>
      <c r="FW90" s="454"/>
      <c r="FX90" s="454"/>
      <c r="FY90" s="454"/>
      <c r="FZ90" s="454"/>
      <c r="GA90" s="454"/>
      <c r="GB90" s="454"/>
      <c r="GC90" s="454"/>
      <c r="GD90" s="454"/>
      <c r="GE90" s="454"/>
      <c r="GF90" s="454"/>
      <c r="GG90" s="454"/>
      <c r="GH90" s="454"/>
      <c r="GI90" s="454"/>
      <c r="GJ90" s="454"/>
      <c r="GK90" s="454"/>
      <c r="GL90" s="454"/>
      <c r="GM90" s="454"/>
      <c r="GN90" s="454"/>
      <c r="GO90" s="454"/>
      <c r="GP90" s="454"/>
      <c r="GQ90" s="454"/>
      <c r="GR90" s="454"/>
      <c r="GS90" s="454"/>
      <c r="GT90" s="454"/>
      <c r="GU90" s="454"/>
      <c r="GV90" s="454"/>
      <c r="GW90" s="454"/>
      <c r="GX90" s="454"/>
      <c r="GY90" s="454"/>
      <c r="GZ90" s="454"/>
      <c r="HA90" s="454"/>
      <c r="HB90" s="454"/>
      <c r="HC90" s="454"/>
      <c r="HD90" s="454"/>
      <c r="HE90" s="454"/>
      <c r="HF90" s="454"/>
      <c r="HG90" s="454"/>
      <c r="HH90" s="454"/>
      <c r="HI90" s="454"/>
      <c r="HJ90" s="454"/>
      <c r="HK90" s="454"/>
      <c r="HL90" s="454"/>
      <c r="HM90" s="454"/>
      <c r="HN90" s="454"/>
      <c r="HO90" s="454"/>
      <c r="HP90" s="454"/>
      <c r="HQ90" s="454"/>
      <c r="HR90" s="454"/>
      <c r="HS90" s="454"/>
      <c r="HT90" s="454"/>
      <c r="HU90" s="454"/>
      <c r="HV90" s="454"/>
      <c r="HW90" s="454"/>
      <c r="HX90" s="454"/>
      <c r="HY90" s="454"/>
      <c r="HZ90" s="454"/>
      <c r="IA90" s="454"/>
      <c r="IB90" s="454"/>
      <c r="IC90" s="454"/>
      <c r="ID90" s="454"/>
      <c r="IE90" s="454"/>
      <c r="IF90" s="454"/>
      <c r="IG90" s="454"/>
      <c r="IH90" s="454"/>
      <c r="II90" s="454"/>
      <c r="IJ90" s="454"/>
      <c r="IK90" s="454"/>
      <c r="IL90" s="454"/>
      <c r="IM90" s="454"/>
      <c r="IN90" s="454"/>
      <c r="IO90" s="454"/>
      <c r="IP90" s="454"/>
    </row>
    <row r="91" spans="1:250" s="546" customFormat="1" ht="33" x14ac:dyDescent="0.3">
      <c r="A91" s="685">
        <v>85</v>
      </c>
      <c r="B91" s="713"/>
      <c r="C91" s="456">
        <v>60</v>
      </c>
      <c r="D91" s="560" t="s">
        <v>853</v>
      </c>
      <c r="E91" s="463"/>
      <c r="F91" s="1148">
        <f t="shared" si="3"/>
        <v>2170</v>
      </c>
      <c r="G91" s="1339">
        <v>1249</v>
      </c>
      <c r="H91" s="1439"/>
      <c r="I91" s="1148">
        <v>921</v>
      </c>
      <c r="J91" s="1584"/>
      <c r="K91" s="1579">
        <f t="shared" si="2"/>
        <v>921</v>
      </c>
      <c r="L91" s="558"/>
      <c r="M91" s="454"/>
      <c r="N91" s="454"/>
      <c r="O91" s="454"/>
      <c r="P91" s="454"/>
      <c r="Q91" s="454"/>
      <c r="R91" s="454"/>
      <c r="S91" s="454"/>
      <c r="T91" s="454"/>
      <c r="U91" s="454"/>
      <c r="V91" s="454"/>
      <c r="W91" s="454"/>
      <c r="X91" s="454"/>
      <c r="Y91" s="454"/>
      <c r="Z91" s="454"/>
      <c r="AA91" s="454"/>
      <c r="AB91" s="454"/>
      <c r="AC91" s="454"/>
      <c r="AD91" s="454"/>
      <c r="AE91" s="454"/>
      <c r="AF91" s="454"/>
      <c r="AG91" s="454"/>
      <c r="AH91" s="454"/>
      <c r="AI91" s="454"/>
      <c r="AJ91" s="454"/>
      <c r="AK91" s="454"/>
      <c r="AL91" s="454"/>
      <c r="AM91" s="454"/>
      <c r="AN91" s="454"/>
      <c r="AO91" s="454"/>
      <c r="AP91" s="454"/>
      <c r="AQ91" s="454"/>
      <c r="AR91" s="454"/>
      <c r="AS91" s="454"/>
      <c r="AT91" s="454"/>
      <c r="AU91" s="454"/>
      <c r="AV91" s="454"/>
      <c r="AW91" s="454"/>
      <c r="AX91" s="454"/>
      <c r="AY91" s="454"/>
      <c r="AZ91" s="454"/>
      <c r="BA91" s="454"/>
      <c r="BB91" s="454"/>
      <c r="BC91" s="454"/>
      <c r="BD91" s="454"/>
      <c r="BE91" s="454"/>
      <c r="BF91" s="454"/>
      <c r="BG91" s="454"/>
      <c r="BH91" s="454"/>
      <c r="BI91" s="454"/>
      <c r="BJ91" s="454"/>
      <c r="BK91" s="454"/>
      <c r="BL91" s="454"/>
      <c r="BM91" s="454"/>
      <c r="BN91" s="454"/>
      <c r="BO91" s="454"/>
      <c r="BP91" s="454"/>
      <c r="BQ91" s="454"/>
      <c r="BR91" s="454"/>
      <c r="BS91" s="454"/>
      <c r="BT91" s="454"/>
      <c r="BU91" s="454"/>
      <c r="BV91" s="454"/>
      <c r="BW91" s="454"/>
      <c r="BX91" s="454"/>
      <c r="BY91" s="454"/>
      <c r="BZ91" s="454"/>
      <c r="CA91" s="454"/>
      <c r="CB91" s="454"/>
      <c r="CC91" s="454"/>
      <c r="CD91" s="454"/>
      <c r="CE91" s="454"/>
      <c r="CF91" s="454"/>
      <c r="CG91" s="454"/>
      <c r="CH91" s="454"/>
      <c r="CI91" s="454"/>
      <c r="CJ91" s="454"/>
      <c r="CK91" s="454"/>
      <c r="CL91" s="454"/>
      <c r="CM91" s="454"/>
      <c r="CN91" s="454"/>
      <c r="CO91" s="454"/>
      <c r="CP91" s="454"/>
      <c r="CQ91" s="454"/>
      <c r="CR91" s="454"/>
      <c r="CS91" s="454"/>
      <c r="CT91" s="454"/>
      <c r="CU91" s="454"/>
      <c r="CV91" s="454"/>
      <c r="CW91" s="454"/>
      <c r="CX91" s="454"/>
      <c r="CY91" s="454"/>
      <c r="CZ91" s="454"/>
      <c r="DA91" s="454"/>
      <c r="DB91" s="454"/>
      <c r="DC91" s="454"/>
      <c r="DD91" s="454"/>
      <c r="DE91" s="454"/>
      <c r="DF91" s="454"/>
      <c r="DG91" s="454"/>
      <c r="DH91" s="454"/>
      <c r="DI91" s="454"/>
      <c r="DJ91" s="454"/>
      <c r="DK91" s="454"/>
      <c r="DL91" s="454"/>
      <c r="DM91" s="454"/>
      <c r="DN91" s="454"/>
      <c r="DO91" s="454"/>
      <c r="DP91" s="454"/>
      <c r="DQ91" s="454"/>
      <c r="DR91" s="454"/>
      <c r="DS91" s="454"/>
      <c r="DT91" s="454"/>
      <c r="DU91" s="454"/>
      <c r="DV91" s="454"/>
      <c r="DW91" s="454"/>
      <c r="DX91" s="454"/>
      <c r="DY91" s="454"/>
      <c r="DZ91" s="454"/>
      <c r="EA91" s="454"/>
      <c r="EB91" s="454"/>
      <c r="EC91" s="454"/>
      <c r="ED91" s="454"/>
      <c r="EE91" s="454"/>
      <c r="EF91" s="454"/>
      <c r="EG91" s="454"/>
      <c r="EH91" s="454"/>
      <c r="EI91" s="454"/>
      <c r="EJ91" s="454"/>
      <c r="EK91" s="454"/>
      <c r="EL91" s="454"/>
      <c r="EM91" s="454"/>
      <c r="EN91" s="454"/>
      <c r="EO91" s="454"/>
      <c r="EP91" s="454"/>
      <c r="EQ91" s="454"/>
      <c r="ER91" s="454"/>
      <c r="ES91" s="454"/>
      <c r="ET91" s="454"/>
      <c r="EU91" s="454"/>
      <c r="EV91" s="454"/>
      <c r="EW91" s="454"/>
      <c r="EX91" s="454"/>
      <c r="EY91" s="454"/>
      <c r="EZ91" s="454"/>
      <c r="FA91" s="454"/>
      <c r="FB91" s="454"/>
      <c r="FC91" s="454"/>
      <c r="FD91" s="454"/>
      <c r="FE91" s="454"/>
      <c r="FF91" s="454"/>
      <c r="FG91" s="454"/>
      <c r="FH91" s="454"/>
      <c r="FI91" s="454"/>
      <c r="FJ91" s="454"/>
      <c r="FK91" s="454"/>
      <c r="FL91" s="454"/>
      <c r="FM91" s="454"/>
      <c r="FN91" s="454"/>
      <c r="FO91" s="454"/>
      <c r="FP91" s="454"/>
      <c r="FQ91" s="454"/>
      <c r="FR91" s="454"/>
      <c r="FS91" s="454"/>
      <c r="FT91" s="454"/>
      <c r="FU91" s="454"/>
      <c r="FV91" s="454"/>
      <c r="FW91" s="454"/>
      <c r="FX91" s="454"/>
      <c r="FY91" s="454"/>
      <c r="FZ91" s="454"/>
      <c r="GA91" s="454"/>
      <c r="GB91" s="454"/>
      <c r="GC91" s="454"/>
      <c r="GD91" s="454"/>
      <c r="GE91" s="454"/>
      <c r="GF91" s="454"/>
      <c r="GG91" s="454"/>
      <c r="GH91" s="454"/>
      <c r="GI91" s="454"/>
      <c r="GJ91" s="454"/>
      <c r="GK91" s="454"/>
      <c r="GL91" s="454"/>
      <c r="GM91" s="454"/>
      <c r="GN91" s="454"/>
      <c r="GO91" s="454"/>
      <c r="GP91" s="454"/>
      <c r="GQ91" s="454"/>
      <c r="GR91" s="454"/>
      <c r="GS91" s="454"/>
      <c r="GT91" s="454"/>
      <c r="GU91" s="454"/>
      <c r="GV91" s="454"/>
      <c r="GW91" s="454"/>
      <c r="GX91" s="454"/>
      <c r="GY91" s="454"/>
      <c r="GZ91" s="454"/>
      <c r="HA91" s="454"/>
      <c r="HB91" s="454"/>
      <c r="HC91" s="454"/>
      <c r="HD91" s="454"/>
      <c r="HE91" s="454"/>
      <c r="HF91" s="454"/>
      <c r="HG91" s="454"/>
      <c r="HH91" s="454"/>
      <c r="HI91" s="454"/>
      <c r="HJ91" s="454"/>
      <c r="HK91" s="454"/>
      <c r="HL91" s="454"/>
      <c r="HM91" s="454"/>
      <c r="HN91" s="454"/>
      <c r="HO91" s="454"/>
      <c r="HP91" s="454"/>
      <c r="HQ91" s="454"/>
      <c r="HR91" s="454"/>
      <c r="HS91" s="454"/>
      <c r="HT91" s="454"/>
      <c r="HU91" s="454"/>
      <c r="HV91" s="454"/>
      <c r="HW91" s="454"/>
      <c r="HX91" s="454"/>
      <c r="HY91" s="454"/>
      <c r="HZ91" s="454"/>
      <c r="IA91" s="454"/>
      <c r="IB91" s="454"/>
      <c r="IC91" s="454"/>
      <c r="ID91" s="454"/>
      <c r="IE91" s="454"/>
      <c r="IF91" s="454"/>
      <c r="IG91" s="454"/>
      <c r="IH91" s="454"/>
      <c r="II91" s="454"/>
      <c r="IJ91" s="454"/>
      <c r="IK91" s="454"/>
      <c r="IL91" s="454"/>
      <c r="IM91" s="454"/>
      <c r="IN91" s="454"/>
      <c r="IO91" s="454"/>
      <c r="IP91" s="454"/>
    </row>
    <row r="92" spans="1:250" ht="34.5" x14ac:dyDescent="0.35">
      <c r="A92" s="685">
        <v>86</v>
      </c>
      <c r="B92" s="713"/>
      <c r="C92" s="556"/>
      <c r="D92" s="677" t="s">
        <v>675</v>
      </c>
      <c r="E92" s="463" t="s">
        <v>24</v>
      </c>
      <c r="F92" s="557"/>
      <c r="G92" s="1338"/>
      <c r="H92" s="1438"/>
      <c r="I92" s="557"/>
      <c r="J92" s="1582"/>
      <c r="K92" s="809"/>
      <c r="L92" s="558"/>
    </row>
    <row r="93" spans="1:250" x14ac:dyDescent="0.35">
      <c r="A93" s="685">
        <v>87</v>
      </c>
      <c r="B93" s="713"/>
      <c r="C93" s="1535">
        <v>61</v>
      </c>
      <c r="D93" s="1536" t="s">
        <v>676</v>
      </c>
      <c r="E93" s="1537"/>
      <c r="F93" s="1538">
        <f t="shared" si="3"/>
        <v>15000</v>
      </c>
      <c r="G93" s="1539"/>
      <c r="H93" s="1540">
        <v>15000</v>
      </c>
      <c r="I93" s="1538">
        <v>15000</v>
      </c>
      <c r="J93" s="1543"/>
      <c r="K93" s="1541">
        <f t="shared" si="2"/>
        <v>15000</v>
      </c>
      <c r="L93" s="1542"/>
    </row>
    <row r="94" spans="1:250" ht="21.75" customHeight="1" x14ac:dyDescent="0.35">
      <c r="A94" s="685">
        <v>88</v>
      </c>
      <c r="B94" s="713"/>
      <c r="C94" s="1544"/>
      <c r="D94" s="1545" t="s">
        <v>1034</v>
      </c>
      <c r="E94" s="1546"/>
      <c r="F94" s="1548">
        <f>SUM(F8:F93)</f>
        <v>841994</v>
      </c>
      <c r="G94" s="1548">
        <f>SUM(G8:G93)</f>
        <v>159685</v>
      </c>
      <c r="H94" s="1549">
        <f>SUM(H8:H93)</f>
        <v>564991</v>
      </c>
      <c r="I94" s="1548">
        <f t="shared" ref="I94:K94" si="4">SUM(I8:I93)</f>
        <v>685565</v>
      </c>
      <c r="J94" s="1587">
        <f t="shared" si="4"/>
        <v>-3256</v>
      </c>
      <c r="K94" s="1550">
        <f t="shared" si="4"/>
        <v>682309</v>
      </c>
      <c r="L94" s="1547"/>
    </row>
    <row r="95" spans="1:250" ht="28.5" customHeight="1" x14ac:dyDescent="0.35">
      <c r="A95" s="685">
        <v>89</v>
      </c>
      <c r="B95" s="713"/>
      <c r="C95" s="553"/>
      <c r="D95" s="1862" t="s">
        <v>1032</v>
      </c>
      <c r="E95" s="1863"/>
      <c r="F95" s="1530"/>
      <c r="G95" s="1531"/>
      <c r="H95" s="1532"/>
      <c r="I95" s="1530"/>
      <c r="J95" s="1588"/>
      <c r="K95" s="1533"/>
      <c r="L95" s="1534"/>
    </row>
    <row r="96" spans="1:250" x14ac:dyDescent="0.35">
      <c r="A96" s="685">
        <v>90</v>
      </c>
      <c r="B96" s="713">
        <v>9</v>
      </c>
      <c r="C96" s="556"/>
      <c r="D96" s="728" t="s">
        <v>510</v>
      </c>
      <c r="E96" s="463" t="s">
        <v>24</v>
      </c>
      <c r="F96" s="557"/>
      <c r="G96" s="1338"/>
      <c r="H96" s="1438"/>
      <c r="I96" s="557"/>
      <c r="J96" s="1582"/>
      <c r="K96" s="809"/>
      <c r="L96" s="558"/>
    </row>
    <row r="97" spans="1:252" x14ac:dyDescent="0.35">
      <c r="A97" s="685">
        <v>91</v>
      </c>
      <c r="B97" s="713"/>
      <c r="C97" s="743">
        <v>62</v>
      </c>
      <c r="D97" s="1667" t="s">
        <v>1033</v>
      </c>
      <c r="E97" s="1668"/>
      <c r="F97" s="1669">
        <f t="shared" si="3"/>
        <v>380</v>
      </c>
      <c r="G97" s="1670"/>
      <c r="H97" s="1671"/>
      <c r="I97" s="1669">
        <v>380</v>
      </c>
      <c r="J97" s="1672"/>
      <c r="K97" s="1674">
        <f t="shared" si="2"/>
        <v>380</v>
      </c>
      <c r="L97" s="1673"/>
    </row>
    <row r="98" spans="1:252" x14ac:dyDescent="0.35">
      <c r="A98" s="685">
        <v>92</v>
      </c>
      <c r="B98" s="1525">
        <v>2</v>
      </c>
      <c r="C98" s="743"/>
      <c r="D98" s="726" t="s">
        <v>1281</v>
      </c>
      <c r="E98" s="1668" t="s">
        <v>24</v>
      </c>
      <c r="F98" s="1669"/>
      <c r="G98" s="1670"/>
      <c r="H98" s="1671"/>
      <c r="I98" s="1669"/>
      <c r="J98" s="1672"/>
      <c r="K98" s="1674"/>
      <c r="L98" s="1673"/>
    </row>
    <row r="99" spans="1:252" x14ac:dyDescent="0.35">
      <c r="A99" s="685">
        <v>93</v>
      </c>
      <c r="B99" s="713"/>
      <c r="C99" s="556">
        <v>63</v>
      </c>
      <c r="D99" s="560" t="s">
        <v>1282</v>
      </c>
      <c r="E99" s="463"/>
      <c r="F99" s="557">
        <f t="shared" si="3"/>
        <v>3000</v>
      </c>
      <c r="G99" s="1338"/>
      <c r="H99" s="1438"/>
      <c r="I99" s="557">
        <v>3000</v>
      </c>
      <c r="J99" s="1582"/>
      <c r="K99" s="1715">
        <f t="shared" si="2"/>
        <v>3000</v>
      </c>
      <c r="L99" s="1714"/>
    </row>
    <row r="100" spans="1:252" x14ac:dyDescent="0.35">
      <c r="A100" s="685">
        <v>94</v>
      </c>
      <c r="B100" s="552">
        <v>1</v>
      </c>
      <c r="C100" s="553"/>
      <c r="D100" s="726" t="s">
        <v>337</v>
      </c>
      <c r="E100" s="1712" t="s">
        <v>24</v>
      </c>
      <c r="F100" s="557"/>
      <c r="G100" s="1531"/>
      <c r="H100" s="1532"/>
      <c r="I100" s="1530"/>
      <c r="J100" s="1588"/>
      <c r="K100" s="1715"/>
      <c r="L100" s="1713"/>
    </row>
    <row r="101" spans="1:252" x14ac:dyDescent="0.35">
      <c r="A101" s="685">
        <v>95</v>
      </c>
      <c r="B101" s="713"/>
      <c r="C101" s="556">
        <v>64</v>
      </c>
      <c r="D101" s="560" t="s">
        <v>1417</v>
      </c>
      <c r="E101" s="463"/>
      <c r="F101" s="557">
        <f t="shared" si="3"/>
        <v>200</v>
      </c>
      <c r="G101" s="1338"/>
      <c r="H101" s="1438"/>
      <c r="I101" s="557"/>
      <c r="J101" s="1582">
        <v>200</v>
      </c>
      <c r="K101" s="1715">
        <f t="shared" si="2"/>
        <v>200</v>
      </c>
      <c r="L101" s="1714"/>
    </row>
    <row r="102" spans="1:252" ht="22.5" customHeight="1" thickBot="1" x14ac:dyDescent="0.4">
      <c r="A102" s="685">
        <v>96</v>
      </c>
      <c r="B102" s="1525"/>
      <c r="C102" s="1526"/>
      <c r="D102" s="1529" t="s">
        <v>1035</v>
      </c>
      <c r="E102" s="1527"/>
      <c r="F102" s="1551">
        <f>SUM(F97:F101)</f>
        <v>3580</v>
      </c>
      <c r="G102" s="1552">
        <f>SUM(G96:G101)</f>
        <v>0</v>
      </c>
      <c r="H102" s="1553">
        <f>SUM(H96:H101)</f>
        <v>0</v>
      </c>
      <c r="I102" s="1551">
        <f>SUM(I96:I101)</f>
        <v>3380</v>
      </c>
      <c r="J102" s="1589">
        <f>SUM(J97:J101)</f>
        <v>200</v>
      </c>
      <c r="K102" s="1554">
        <f>SUM(K97:K101)</f>
        <v>3580</v>
      </c>
      <c r="L102" s="1528"/>
    </row>
    <row r="103" spans="1:252" ht="18" thickBot="1" x14ac:dyDescent="0.4">
      <c r="A103" s="685">
        <v>97</v>
      </c>
      <c r="B103" s="481"/>
      <c r="C103" s="565"/>
      <c r="D103" s="566" t="s">
        <v>14</v>
      </c>
      <c r="E103" s="687"/>
      <c r="F103" s="567">
        <f>F102+F94</f>
        <v>845574</v>
      </c>
      <c r="G103" s="1342">
        <f t="shared" ref="G103:K103" si="5">G102+G94</f>
        <v>159685</v>
      </c>
      <c r="H103" s="813">
        <f t="shared" si="5"/>
        <v>564991</v>
      </c>
      <c r="I103" s="567">
        <f t="shared" si="5"/>
        <v>688945</v>
      </c>
      <c r="J103" s="1590">
        <f t="shared" si="5"/>
        <v>-3056</v>
      </c>
      <c r="K103" s="812">
        <f t="shared" si="5"/>
        <v>685889</v>
      </c>
      <c r="L103" s="564">
        <f>SUM(L8:L93)</f>
        <v>0</v>
      </c>
    </row>
    <row r="104" spans="1:252" x14ac:dyDescent="0.35">
      <c r="B104" s="1857" t="s">
        <v>28</v>
      </c>
      <c r="C104" s="1857"/>
      <c r="D104" s="1857"/>
      <c r="E104" s="503"/>
      <c r="H104" s="461"/>
    </row>
    <row r="105" spans="1:252" x14ac:dyDescent="0.35">
      <c r="B105" s="723" t="s">
        <v>29</v>
      </c>
      <c r="C105" s="723"/>
      <c r="D105" s="723"/>
      <c r="E105" s="723"/>
      <c r="F105" s="723"/>
      <c r="G105" s="723"/>
      <c r="H105" s="461"/>
    </row>
    <row r="106" spans="1:252" x14ac:dyDescent="0.35">
      <c r="B106" s="1858" t="s">
        <v>30</v>
      </c>
      <c r="C106" s="1858"/>
      <c r="D106" s="1858"/>
      <c r="E106" s="503"/>
      <c r="H106" s="461"/>
    </row>
    <row r="107" spans="1:252" s="461" customFormat="1" x14ac:dyDescent="0.35">
      <c r="A107" s="685"/>
      <c r="B107" s="503"/>
      <c r="C107" s="503"/>
      <c r="D107" s="439"/>
      <c r="E107" s="686"/>
      <c r="F107" s="461">
        <f>+F103-G103-K103-L103</f>
        <v>0</v>
      </c>
      <c r="J107" s="1591"/>
      <c r="M107" s="436"/>
      <c r="N107" s="436"/>
      <c r="O107" s="436"/>
      <c r="P107" s="436"/>
      <c r="Q107" s="436"/>
      <c r="R107" s="436"/>
      <c r="S107" s="436"/>
      <c r="T107" s="436"/>
      <c r="U107" s="436"/>
      <c r="V107" s="436"/>
      <c r="W107" s="436"/>
      <c r="X107" s="436"/>
      <c r="Y107" s="436"/>
      <c r="Z107" s="436"/>
      <c r="AA107" s="436"/>
      <c r="AB107" s="436"/>
      <c r="AC107" s="436"/>
      <c r="AD107" s="436"/>
      <c r="AE107" s="436"/>
      <c r="AF107" s="436"/>
      <c r="AG107" s="436"/>
      <c r="AH107" s="436"/>
      <c r="AI107" s="436"/>
      <c r="AJ107" s="436"/>
      <c r="AK107" s="436"/>
      <c r="AL107" s="436"/>
      <c r="AM107" s="436"/>
      <c r="AN107" s="436"/>
      <c r="AO107" s="436"/>
      <c r="AP107" s="436"/>
      <c r="AQ107" s="436"/>
      <c r="AR107" s="436"/>
      <c r="AS107" s="436"/>
      <c r="AT107" s="436"/>
      <c r="AU107" s="436"/>
      <c r="AV107" s="436"/>
      <c r="AW107" s="436"/>
      <c r="AX107" s="436"/>
      <c r="AY107" s="436"/>
      <c r="AZ107" s="436"/>
      <c r="BA107" s="436"/>
      <c r="BB107" s="436"/>
      <c r="BC107" s="436"/>
      <c r="BD107" s="436"/>
      <c r="BE107" s="436"/>
      <c r="BF107" s="436"/>
      <c r="BG107" s="436"/>
      <c r="BH107" s="436"/>
      <c r="BI107" s="436"/>
      <c r="BJ107" s="436"/>
      <c r="BK107" s="436"/>
      <c r="BL107" s="436"/>
      <c r="BM107" s="436"/>
      <c r="BN107" s="436"/>
      <c r="BO107" s="436"/>
      <c r="BP107" s="436"/>
      <c r="BQ107" s="436"/>
      <c r="BR107" s="436"/>
      <c r="BS107" s="436"/>
      <c r="BT107" s="436"/>
      <c r="BU107" s="436"/>
      <c r="BV107" s="436"/>
      <c r="BW107" s="436"/>
      <c r="BX107" s="436"/>
      <c r="BY107" s="436"/>
      <c r="BZ107" s="436"/>
      <c r="CA107" s="436"/>
      <c r="CB107" s="436"/>
      <c r="CC107" s="436"/>
      <c r="CD107" s="436"/>
      <c r="CE107" s="436"/>
      <c r="CF107" s="436"/>
      <c r="CG107" s="436"/>
      <c r="CH107" s="436"/>
      <c r="CI107" s="436"/>
      <c r="CJ107" s="436"/>
      <c r="CK107" s="436"/>
      <c r="CL107" s="436"/>
      <c r="CM107" s="436"/>
      <c r="CN107" s="436"/>
      <c r="CO107" s="436"/>
      <c r="CP107" s="436"/>
      <c r="CQ107" s="436"/>
      <c r="CR107" s="436"/>
      <c r="CS107" s="436"/>
      <c r="CT107" s="436"/>
      <c r="CU107" s="436"/>
      <c r="CV107" s="436"/>
      <c r="CW107" s="436"/>
      <c r="CX107" s="436"/>
      <c r="CY107" s="436"/>
      <c r="CZ107" s="436"/>
      <c r="DA107" s="436"/>
      <c r="DB107" s="436"/>
      <c r="DC107" s="436"/>
      <c r="DD107" s="436"/>
      <c r="DE107" s="436"/>
      <c r="DF107" s="436"/>
      <c r="DG107" s="436"/>
      <c r="DH107" s="436"/>
      <c r="DI107" s="436"/>
      <c r="DJ107" s="436"/>
      <c r="DK107" s="436"/>
      <c r="DL107" s="436"/>
      <c r="DM107" s="436"/>
      <c r="DN107" s="436"/>
      <c r="DO107" s="436"/>
      <c r="DP107" s="436"/>
      <c r="DQ107" s="436"/>
      <c r="DR107" s="436"/>
      <c r="DS107" s="436"/>
      <c r="DT107" s="436"/>
      <c r="DU107" s="436"/>
      <c r="DV107" s="436"/>
      <c r="DW107" s="436"/>
      <c r="DX107" s="436"/>
      <c r="DY107" s="436"/>
      <c r="DZ107" s="436"/>
      <c r="EA107" s="436"/>
      <c r="EB107" s="436"/>
      <c r="EC107" s="436"/>
      <c r="ED107" s="436"/>
      <c r="EE107" s="436"/>
      <c r="EF107" s="436"/>
      <c r="EG107" s="436"/>
      <c r="EH107" s="436"/>
      <c r="EI107" s="436"/>
      <c r="EJ107" s="436"/>
      <c r="EK107" s="436"/>
      <c r="EL107" s="436"/>
      <c r="EM107" s="436"/>
      <c r="EN107" s="436"/>
      <c r="EO107" s="436"/>
      <c r="EP107" s="436"/>
      <c r="EQ107" s="436"/>
      <c r="ER107" s="436"/>
      <c r="ES107" s="436"/>
      <c r="ET107" s="436"/>
      <c r="EU107" s="436"/>
      <c r="EV107" s="436"/>
      <c r="EW107" s="436"/>
      <c r="EX107" s="436"/>
      <c r="EY107" s="436"/>
      <c r="EZ107" s="436"/>
      <c r="FA107" s="436"/>
      <c r="FB107" s="436"/>
      <c r="FC107" s="436"/>
      <c r="FD107" s="436"/>
      <c r="FE107" s="436"/>
      <c r="FF107" s="436"/>
      <c r="FG107" s="436"/>
      <c r="FH107" s="436"/>
      <c r="FI107" s="436"/>
      <c r="FJ107" s="436"/>
      <c r="FK107" s="436"/>
      <c r="FL107" s="436"/>
      <c r="FM107" s="436"/>
      <c r="FN107" s="436"/>
      <c r="FO107" s="436"/>
      <c r="FP107" s="436"/>
      <c r="FQ107" s="436"/>
      <c r="FR107" s="436"/>
      <c r="FS107" s="436"/>
      <c r="FT107" s="436"/>
      <c r="FU107" s="436"/>
      <c r="FV107" s="436"/>
      <c r="FW107" s="436"/>
      <c r="FX107" s="436"/>
      <c r="FY107" s="436"/>
      <c r="FZ107" s="436"/>
      <c r="GA107" s="436"/>
      <c r="GB107" s="436"/>
      <c r="GC107" s="436"/>
      <c r="GD107" s="436"/>
      <c r="GE107" s="436"/>
      <c r="GF107" s="436"/>
      <c r="GG107" s="436"/>
      <c r="GH107" s="436"/>
      <c r="GI107" s="436"/>
      <c r="GJ107" s="436"/>
      <c r="GK107" s="436"/>
      <c r="GL107" s="436"/>
      <c r="GM107" s="436"/>
      <c r="GN107" s="436"/>
      <c r="GO107" s="436"/>
      <c r="GP107" s="436"/>
      <c r="GQ107" s="436"/>
      <c r="GR107" s="436"/>
      <c r="GS107" s="436"/>
      <c r="GT107" s="436"/>
      <c r="GU107" s="436"/>
      <c r="GV107" s="436"/>
      <c r="GW107" s="436"/>
      <c r="GX107" s="436"/>
      <c r="GY107" s="436"/>
      <c r="GZ107" s="436"/>
      <c r="HA107" s="436"/>
      <c r="HB107" s="436"/>
      <c r="HC107" s="436"/>
      <c r="HD107" s="436"/>
      <c r="HE107" s="436"/>
      <c r="HF107" s="436"/>
      <c r="HG107" s="436"/>
      <c r="HH107" s="436"/>
      <c r="HI107" s="436"/>
      <c r="HJ107" s="436"/>
      <c r="HK107" s="436"/>
      <c r="HL107" s="436"/>
      <c r="HM107" s="436"/>
      <c r="HN107" s="436"/>
      <c r="HO107" s="436"/>
      <c r="HP107" s="436"/>
      <c r="HQ107" s="436"/>
      <c r="HR107" s="436"/>
      <c r="HS107" s="436"/>
      <c r="HT107" s="436"/>
      <c r="HU107" s="436"/>
      <c r="HV107" s="436"/>
      <c r="HW107" s="436"/>
      <c r="HX107" s="436"/>
      <c r="HY107" s="436"/>
      <c r="HZ107" s="436"/>
      <c r="IA107" s="436"/>
      <c r="IB107" s="436"/>
      <c r="IC107" s="436"/>
      <c r="ID107" s="436"/>
      <c r="IE107" s="436"/>
      <c r="IF107" s="436"/>
      <c r="IG107" s="436"/>
      <c r="IH107" s="436"/>
      <c r="II107" s="436"/>
      <c r="IJ107" s="436"/>
      <c r="IK107" s="436"/>
      <c r="IL107" s="436"/>
      <c r="IM107" s="436"/>
      <c r="IN107" s="436"/>
      <c r="IO107" s="436"/>
      <c r="IP107" s="436"/>
      <c r="IQ107" s="265"/>
      <c r="IR107" s="265"/>
    </row>
    <row r="108" spans="1:252" s="461" customFormat="1" x14ac:dyDescent="0.35">
      <c r="A108" s="685"/>
      <c r="B108" s="503"/>
      <c r="C108" s="503"/>
      <c r="D108" s="439"/>
      <c r="E108" s="686"/>
      <c r="J108" s="1591"/>
      <c r="M108" s="436"/>
      <c r="N108" s="436"/>
      <c r="O108" s="436"/>
      <c r="P108" s="436"/>
      <c r="Q108" s="436"/>
      <c r="R108" s="436"/>
      <c r="S108" s="436"/>
      <c r="T108" s="436"/>
      <c r="U108" s="436"/>
      <c r="V108" s="436"/>
      <c r="W108" s="436"/>
      <c r="X108" s="436"/>
      <c r="Y108" s="436"/>
      <c r="Z108" s="436"/>
      <c r="AA108" s="436"/>
      <c r="AB108" s="436"/>
      <c r="AC108" s="436"/>
      <c r="AD108" s="436"/>
      <c r="AE108" s="436"/>
      <c r="AF108" s="436"/>
      <c r="AG108" s="436"/>
      <c r="AH108" s="436"/>
      <c r="AI108" s="436"/>
      <c r="AJ108" s="436"/>
      <c r="AK108" s="436"/>
      <c r="AL108" s="436"/>
      <c r="AM108" s="436"/>
      <c r="AN108" s="436"/>
      <c r="AO108" s="436"/>
      <c r="AP108" s="436"/>
      <c r="AQ108" s="436"/>
      <c r="AR108" s="436"/>
      <c r="AS108" s="436"/>
      <c r="AT108" s="436"/>
      <c r="AU108" s="436"/>
      <c r="AV108" s="436"/>
      <c r="AW108" s="436"/>
      <c r="AX108" s="436"/>
      <c r="AY108" s="436"/>
      <c r="AZ108" s="436"/>
      <c r="BA108" s="436"/>
      <c r="BB108" s="436"/>
      <c r="BC108" s="436"/>
      <c r="BD108" s="436"/>
      <c r="BE108" s="436"/>
      <c r="BF108" s="436"/>
      <c r="BG108" s="436"/>
      <c r="BH108" s="436"/>
      <c r="BI108" s="436"/>
      <c r="BJ108" s="436"/>
      <c r="BK108" s="436"/>
      <c r="BL108" s="436"/>
      <c r="BM108" s="436"/>
      <c r="BN108" s="436"/>
      <c r="BO108" s="436"/>
      <c r="BP108" s="436"/>
      <c r="BQ108" s="436"/>
      <c r="BR108" s="436"/>
      <c r="BS108" s="436"/>
      <c r="BT108" s="436"/>
      <c r="BU108" s="436"/>
      <c r="BV108" s="436"/>
      <c r="BW108" s="436"/>
      <c r="BX108" s="436"/>
      <c r="BY108" s="436"/>
      <c r="BZ108" s="436"/>
      <c r="CA108" s="436"/>
      <c r="CB108" s="436"/>
      <c r="CC108" s="436"/>
      <c r="CD108" s="436"/>
      <c r="CE108" s="436"/>
      <c r="CF108" s="436"/>
      <c r="CG108" s="436"/>
      <c r="CH108" s="436"/>
      <c r="CI108" s="436"/>
      <c r="CJ108" s="436"/>
      <c r="CK108" s="436"/>
      <c r="CL108" s="436"/>
      <c r="CM108" s="436"/>
      <c r="CN108" s="436"/>
      <c r="CO108" s="436"/>
      <c r="CP108" s="436"/>
      <c r="CQ108" s="436"/>
      <c r="CR108" s="436"/>
      <c r="CS108" s="436"/>
      <c r="CT108" s="436"/>
      <c r="CU108" s="436"/>
      <c r="CV108" s="436"/>
      <c r="CW108" s="436"/>
      <c r="CX108" s="436"/>
      <c r="CY108" s="436"/>
      <c r="CZ108" s="436"/>
      <c r="DA108" s="436"/>
      <c r="DB108" s="436"/>
      <c r="DC108" s="436"/>
      <c r="DD108" s="436"/>
      <c r="DE108" s="436"/>
      <c r="DF108" s="436"/>
      <c r="DG108" s="436"/>
      <c r="DH108" s="436"/>
      <c r="DI108" s="436"/>
      <c r="DJ108" s="436"/>
      <c r="DK108" s="436"/>
      <c r="DL108" s="436"/>
      <c r="DM108" s="436"/>
      <c r="DN108" s="436"/>
      <c r="DO108" s="436"/>
      <c r="DP108" s="436"/>
      <c r="DQ108" s="436"/>
      <c r="DR108" s="436"/>
      <c r="DS108" s="436"/>
      <c r="DT108" s="436"/>
      <c r="DU108" s="436"/>
      <c r="DV108" s="436"/>
      <c r="DW108" s="436"/>
      <c r="DX108" s="436"/>
      <c r="DY108" s="436"/>
      <c r="DZ108" s="436"/>
      <c r="EA108" s="436"/>
      <c r="EB108" s="436"/>
      <c r="EC108" s="436"/>
      <c r="ED108" s="436"/>
      <c r="EE108" s="436"/>
      <c r="EF108" s="436"/>
      <c r="EG108" s="436"/>
      <c r="EH108" s="436"/>
      <c r="EI108" s="436"/>
      <c r="EJ108" s="436"/>
      <c r="EK108" s="436"/>
      <c r="EL108" s="436"/>
      <c r="EM108" s="436"/>
      <c r="EN108" s="436"/>
      <c r="EO108" s="436"/>
      <c r="EP108" s="436"/>
      <c r="EQ108" s="436"/>
      <c r="ER108" s="436"/>
      <c r="ES108" s="436"/>
      <c r="ET108" s="436"/>
      <c r="EU108" s="436"/>
      <c r="EV108" s="436"/>
      <c r="EW108" s="436"/>
      <c r="EX108" s="436"/>
      <c r="EY108" s="436"/>
      <c r="EZ108" s="436"/>
      <c r="FA108" s="436"/>
      <c r="FB108" s="436"/>
      <c r="FC108" s="436"/>
      <c r="FD108" s="436"/>
      <c r="FE108" s="436"/>
      <c r="FF108" s="436"/>
      <c r="FG108" s="436"/>
      <c r="FH108" s="436"/>
      <c r="FI108" s="436"/>
      <c r="FJ108" s="436"/>
      <c r="FK108" s="436"/>
      <c r="FL108" s="436"/>
      <c r="FM108" s="436"/>
      <c r="FN108" s="436"/>
      <c r="FO108" s="436"/>
      <c r="FP108" s="436"/>
      <c r="FQ108" s="436"/>
      <c r="FR108" s="436"/>
      <c r="FS108" s="436"/>
      <c r="FT108" s="436"/>
      <c r="FU108" s="436"/>
      <c r="FV108" s="436"/>
      <c r="FW108" s="436"/>
      <c r="FX108" s="436"/>
      <c r="FY108" s="436"/>
      <c r="FZ108" s="436"/>
      <c r="GA108" s="436"/>
      <c r="GB108" s="436"/>
      <c r="GC108" s="436"/>
      <c r="GD108" s="436"/>
      <c r="GE108" s="436"/>
      <c r="GF108" s="436"/>
      <c r="GG108" s="436"/>
      <c r="GH108" s="436"/>
      <c r="GI108" s="436"/>
      <c r="GJ108" s="436"/>
      <c r="GK108" s="436"/>
      <c r="GL108" s="436"/>
      <c r="GM108" s="436"/>
      <c r="GN108" s="436"/>
      <c r="GO108" s="436"/>
      <c r="GP108" s="436"/>
      <c r="GQ108" s="436"/>
      <c r="GR108" s="436"/>
      <c r="GS108" s="436"/>
      <c r="GT108" s="436"/>
      <c r="GU108" s="436"/>
      <c r="GV108" s="436"/>
      <c r="GW108" s="436"/>
      <c r="GX108" s="436"/>
      <c r="GY108" s="436"/>
      <c r="GZ108" s="436"/>
      <c r="HA108" s="436"/>
      <c r="HB108" s="436"/>
      <c r="HC108" s="436"/>
      <c r="HD108" s="436"/>
      <c r="HE108" s="436"/>
      <c r="HF108" s="436"/>
      <c r="HG108" s="436"/>
      <c r="HH108" s="436"/>
      <c r="HI108" s="436"/>
      <c r="HJ108" s="436"/>
      <c r="HK108" s="436"/>
      <c r="HL108" s="436"/>
      <c r="HM108" s="436"/>
      <c r="HN108" s="436"/>
      <c r="HO108" s="436"/>
      <c r="HP108" s="436"/>
      <c r="HQ108" s="436"/>
      <c r="HR108" s="436"/>
      <c r="HS108" s="436"/>
      <c r="HT108" s="436"/>
      <c r="HU108" s="436"/>
      <c r="HV108" s="436"/>
      <c r="HW108" s="436"/>
      <c r="HX108" s="436"/>
      <c r="HY108" s="436"/>
      <c r="HZ108" s="436"/>
      <c r="IA108" s="436"/>
      <c r="IB108" s="436"/>
      <c r="IC108" s="436"/>
      <c r="ID108" s="436"/>
      <c r="IE108" s="436"/>
      <c r="IF108" s="436"/>
      <c r="IG108" s="436"/>
      <c r="IH108" s="436"/>
      <c r="II108" s="436"/>
      <c r="IJ108" s="436"/>
      <c r="IK108" s="436"/>
      <c r="IL108" s="436"/>
      <c r="IM108" s="436"/>
      <c r="IN108" s="436"/>
      <c r="IO108" s="436"/>
      <c r="IP108" s="436"/>
      <c r="IQ108" s="265"/>
      <c r="IR108" s="265"/>
    </row>
    <row r="109" spans="1:252" s="461" customFormat="1" x14ac:dyDescent="0.35">
      <c r="A109" s="685"/>
      <c r="B109" s="503"/>
      <c r="C109" s="503"/>
      <c r="D109" s="439"/>
      <c r="E109" s="686"/>
      <c r="J109" s="1591"/>
      <c r="M109" s="436"/>
      <c r="N109" s="436"/>
      <c r="O109" s="436"/>
      <c r="P109" s="436"/>
      <c r="Q109" s="436"/>
      <c r="R109" s="436"/>
      <c r="S109" s="436"/>
      <c r="T109" s="436"/>
      <c r="U109" s="436"/>
      <c r="V109" s="436"/>
      <c r="W109" s="436"/>
      <c r="X109" s="436"/>
      <c r="Y109" s="436"/>
      <c r="Z109" s="436"/>
      <c r="AA109" s="436"/>
      <c r="AB109" s="436"/>
      <c r="AC109" s="436"/>
      <c r="AD109" s="436"/>
      <c r="AE109" s="436"/>
      <c r="AF109" s="436"/>
      <c r="AG109" s="436"/>
      <c r="AH109" s="436"/>
      <c r="AI109" s="436"/>
      <c r="AJ109" s="436"/>
      <c r="AK109" s="436"/>
      <c r="AL109" s="436"/>
      <c r="AM109" s="436"/>
      <c r="AN109" s="436"/>
      <c r="AO109" s="436"/>
      <c r="AP109" s="436"/>
      <c r="AQ109" s="436"/>
      <c r="AR109" s="436"/>
      <c r="AS109" s="436"/>
      <c r="AT109" s="436"/>
      <c r="AU109" s="436"/>
      <c r="AV109" s="436"/>
      <c r="AW109" s="436"/>
      <c r="AX109" s="436"/>
      <c r="AY109" s="436"/>
      <c r="AZ109" s="436"/>
      <c r="BA109" s="436"/>
      <c r="BB109" s="436"/>
      <c r="BC109" s="436"/>
      <c r="BD109" s="436"/>
      <c r="BE109" s="436"/>
      <c r="BF109" s="436"/>
      <c r="BG109" s="436"/>
      <c r="BH109" s="436"/>
      <c r="BI109" s="436"/>
      <c r="BJ109" s="436"/>
      <c r="BK109" s="436"/>
      <c r="BL109" s="436"/>
      <c r="BM109" s="436"/>
      <c r="BN109" s="436"/>
      <c r="BO109" s="436"/>
      <c r="BP109" s="436"/>
      <c r="BQ109" s="436"/>
      <c r="BR109" s="436"/>
      <c r="BS109" s="436"/>
      <c r="BT109" s="436"/>
      <c r="BU109" s="436"/>
      <c r="BV109" s="436"/>
      <c r="BW109" s="436"/>
      <c r="BX109" s="436"/>
      <c r="BY109" s="436"/>
      <c r="BZ109" s="436"/>
      <c r="CA109" s="436"/>
      <c r="CB109" s="436"/>
      <c r="CC109" s="436"/>
      <c r="CD109" s="436"/>
      <c r="CE109" s="436"/>
      <c r="CF109" s="436"/>
      <c r="CG109" s="436"/>
      <c r="CH109" s="436"/>
      <c r="CI109" s="436"/>
      <c r="CJ109" s="436"/>
      <c r="CK109" s="436"/>
      <c r="CL109" s="436"/>
      <c r="CM109" s="436"/>
      <c r="CN109" s="436"/>
      <c r="CO109" s="436"/>
      <c r="CP109" s="436"/>
      <c r="CQ109" s="436"/>
      <c r="CR109" s="436"/>
      <c r="CS109" s="436"/>
      <c r="CT109" s="436"/>
      <c r="CU109" s="436"/>
      <c r="CV109" s="436"/>
      <c r="CW109" s="436"/>
      <c r="CX109" s="436"/>
      <c r="CY109" s="436"/>
      <c r="CZ109" s="436"/>
      <c r="DA109" s="436"/>
      <c r="DB109" s="436"/>
      <c r="DC109" s="436"/>
      <c r="DD109" s="436"/>
      <c r="DE109" s="436"/>
      <c r="DF109" s="436"/>
      <c r="DG109" s="436"/>
      <c r="DH109" s="436"/>
      <c r="DI109" s="436"/>
      <c r="DJ109" s="436"/>
      <c r="DK109" s="436"/>
      <c r="DL109" s="436"/>
      <c r="DM109" s="436"/>
      <c r="DN109" s="436"/>
      <c r="DO109" s="436"/>
      <c r="DP109" s="436"/>
      <c r="DQ109" s="436"/>
      <c r="DR109" s="436"/>
      <c r="DS109" s="436"/>
      <c r="DT109" s="436"/>
      <c r="DU109" s="436"/>
      <c r="DV109" s="436"/>
      <c r="DW109" s="436"/>
      <c r="DX109" s="436"/>
      <c r="DY109" s="436"/>
      <c r="DZ109" s="436"/>
      <c r="EA109" s="436"/>
      <c r="EB109" s="436"/>
      <c r="EC109" s="436"/>
      <c r="ED109" s="436"/>
      <c r="EE109" s="436"/>
      <c r="EF109" s="436"/>
      <c r="EG109" s="436"/>
      <c r="EH109" s="436"/>
      <c r="EI109" s="436"/>
      <c r="EJ109" s="436"/>
      <c r="EK109" s="436"/>
      <c r="EL109" s="436"/>
      <c r="EM109" s="436"/>
      <c r="EN109" s="436"/>
      <c r="EO109" s="436"/>
      <c r="EP109" s="436"/>
      <c r="EQ109" s="436"/>
      <c r="ER109" s="436"/>
      <c r="ES109" s="436"/>
      <c r="ET109" s="436"/>
      <c r="EU109" s="436"/>
      <c r="EV109" s="436"/>
      <c r="EW109" s="436"/>
      <c r="EX109" s="436"/>
      <c r="EY109" s="436"/>
      <c r="EZ109" s="436"/>
      <c r="FA109" s="436"/>
      <c r="FB109" s="436"/>
      <c r="FC109" s="436"/>
      <c r="FD109" s="436"/>
      <c r="FE109" s="436"/>
      <c r="FF109" s="436"/>
      <c r="FG109" s="436"/>
      <c r="FH109" s="436"/>
      <c r="FI109" s="436"/>
      <c r="FJ109" s="436"/>
      <c r="FK109" s="436"/>
      <c r="FL109" s="436"/>
      <c r="FM109" s="436"/>
      <c r="FN109" s="436"/>
      <c r="FO109" s="436"/>
      <c r="FP109" s="436"/>
      <c r="FQ109" s="436"/>
      <c r="FR109" s="436"/>
      <c r="FS109" s="436"/>
      <c r="FT109" s="436"/>
      <c r="FU109" s="436"/>
      <c r="FV109" s="436"/>
      <c r="FW109" s="436"/>
      <c r="FX109" s="436"/>
      <c r="FY109" s="436"/>
      <c r="FZ109" s="436"/>
      <c r="GA109" s="436"/>
      <c r="GB109" s="436"/>
      <c r="GC109" s="436"/>
      <c r="GD109" s="436"/>
      <c r="GE109" s="436"/>
      <c r="GF109" s="436"/>
      <c r="GG109" s="436"/>
      <c r="GH109" s="436"/>
      <c r="GI109" s="436"/>
      <c r="GJ109" s="436"/>
      <c r="GK109" s="436"/>
      <c r="GL109" s="436"/>
      <c r="GM109" s="436"/>
      <c r="GN109" s="436"/>
      <c r="GO109" s="436"/>
      <c r="GP109" s="436"/>
      <c r="GQ109" s="436"/>
      <c r="GR109" s="436"/>
      <c r="GS109" s="436"/>
      <c r="GT109" s="436"/>
      <c r="GU109" s="436"/>
      <c r="GV109" s="436"/>
      <c r="GW109" s="436"/>
      <c r="GX109" s="436"/>
      <c r="GY109" s="436"/>
      <c r="GZ109" s="436"/>
      <c r="HA109" s="436"/>
      <c r="HB109" s="436"/>
      <c r="HC109" s="436"/>
      <c r="HD109" s="436"/>
      <c r="HE109" s="436"/>
      <c r="HF109" s="436"/>
      <c r="HG109" s="436"/>
      <c r="HH109" s="436"/>
      <c r="HI109" s="436"/>
      <c r="HJ109" s="436"/>
      <c r="HK109" s="436"/>
      <c r="HL109" s="436"/>
      <c r="HM109" s="436"/>
      <c r="HN109" s="436"/>
      <c r="HO109" s="436"/>
      <c r="HP109" s="436"/>
      <c r="HQ109" s="436"/>
      <c r="HR109" s="436"/>
      <c r="HS109" s="436"/>
      <c r="HT109" s="436"/>
      <c r="HU109" s="436"/>
      <c r="HV109" s="436"/>
      <c r="HW109" s="436"/>
      <c r="HX109" s="436"/>
      <c r="HY109" s="436"/>
      <c r="HZ109" s="436"/>
      <c r="IA109" s="436"/>
      <c r="IB109" s="436"/>
      <c r="IC109" s="436"/>
      <c r="ID109" s="436"/>
      <c r="IE109" s="436"/>
      <c r="IF109" s="436"/>
      <c r="IG109" s="436"/>
      <c r="IH109" s="436"/>
      <c r="II109" s="436"/>
      <c r="IJ109" s="436"/>
      <c r="IK109" s="436"/>
      <c r="IL109" s="436"/>
      <c r="IM109" s="436"/>
      <c r="IN109" s="436"/>
      <c r="IO109" s="436"/>
      <c r="IP109" s="436"/>
      <c r="IQ109" s="265"/>
      <c r="IR109" s="265"/>
    </row>
    <row r="110" spans="1:252" s="461" customFormat="1" x14ac:dyDescent="0.35">
      <c r="A110" s="685"/>
      <c r="B110" s="503"/>
      <c r="C110" s="503"/>
      <c r="D110" s="439"/>
      <c r="E110" s="686"/>
      <c r="J110" s="1591"/>
      <c r="M110" s="436"/>
      <c r="N110" s="436"/>
      <c r="O110" s="436"/>
      <c r="P110" s="436"/>
      <c r="Q110" s="436"/>
      <c r="R110" s="436"/>
      <c r="S110" s="436"/>
      <c r="T110" s="436"/>
      <c r="U110" s="436"/>
      <c r="V110" s="436"/>
      <c r="W110" s="436"/>
      <c r="X110" s="436"/>
      <c r="Y110" s="436"/>
      <c r="Z110" s="436"/>
      <c r="AA110" s="436"/>
      <c r="AB110" s="436"/>
      <c r="AC110" s="436"/>
      <c r="AD110" s="436"/>
      <c r="AE110" s="436"/>
      <c r="AF110" s="436"/>
      <c r="AG110" s="436"/>
      <c r="AH110" s="436"/>
      <c r="AI110" s="436"/>
      <c r="AJ110" s="436"/>
      <c r="AK110" s="436"/>
      <c r="AL110" s="436"/>
      <c r="AM110" s="436"/>
      <c r="AN110" s="436"/>
      <c r="AO110" s="436"/>
      <c r="AP110" s="436"/>
      <c r="AQ110" s="436"/>
      <c r="AR110" s="436"/>
      <c r="AS110" s="436"/>
      <c r="AT110" s="436"/>
      <c r="AU110" s="436"/>
      <c r="AV110" s="436"/>
      <c r="AW110" s="436"/>
      <c r="AX110" s="436"/>
      <c r="AY110" s="436"/>
      <c r="AZ110" s="436"/>
      <c r="BA110" s="436"/>
      <c r="BB110" s="436"/>
      <c r="BC110" s="436"/>
      <c r="BD110" s="436"/>
      <c r="BE110" s="436"/>
      <c r="BF110" s="436"/>
      <c r="BG110" s="436"/>
      <c r="BH110" s="436"/>
      <c r="BI110" s="436"/>
      <c r="BJ110" s="436"/>
      <c r="BK110" s="436"/>
      <c r="BL110" s="436"/>
      <c r="BM110" s="436"/>
      <c r="BN110" s="436"/>
      <c r="BO110" s="436"/>
      <c r="BP110" s="436"/>
      <c r="BQ110" s="436"/>
      <c r="BR110" s="436"/>
      <c r="BS110" s="436"/>
      <c r="BT110" s="436"/>
      <c r="BU110" s="436"/>
      <c r="BV110" s="436"/>
      <c r="BW110" s="436"/>
      <c r="BX110" s="436"/>
      <c r="BY110" s="436"/>
      <c r="BZ110" s="436"/>
      <c r="CA110" s="436"/>
      <c r="CB110" s="436"/>
      <c r="CC110" s="436"/>
      <c r="CD110" s="436"/>
      <c r="CE110" s="436"/>
      <c r="CF110" s="436"/>
      <c r="CG110" s="436"/>
      <c r="CH110" s="436"/>
      <c r="CI110" s="436"/>
      <c r="CJ110" s="436"/>
      <c r="CK110" s="436"/>
      <c r="CL110" s="436"/>
      <c r="CM110" s="436"/>
      <c r="CN110" s="436"/>
      <c r="CO110" s="436"/>
      <c r="CP110" s="436"/>
      <c r="CQ110" s="436"/>
      <c r="CR110" s="436"/>
      <c r="CS110" s="436"/>
      <c r="CT110" s="436"/>
      <c r="CU110" s="436"/>
      <c r="CV110" s="436"/>
      <c r="CW110" s="436"/>
      <c r="CX110" s="436"/>
      <c r="CY110" s="436"/>
      <c r="CZ110" s="436"/>
      <c r="DA110" s="436"/>
      <c r="DB110" s="436"/>
      <c r="DC110" s="436"/>
      <c r="DD110" s="436"/>
      <c r="DE110" s="436"/>
      <c r="DF110" s="436"/>
      <c r="DG110" s="436"/>
      <c r="DH110" s="436"/>
      <c r="DI110" s="436"/>
      <c r="DJ110" s="436"/>
      <c r="DK110" s="436"/>
      <c r="DL110" s="436"/>
      <c r="DM110" s="436"/>
      <c r="DN110" s="436"/>
      <c r="DO110" s="436"/>
      <c r="DP110" s="436"/>
      <c r="DQ110" s="436"/>
      <c r="DR110" s="436"/>
      <c r="DS110" s="436"/>
      <c r="DT110" s="436"/>
      <c r="DU110" s="436"/>
      <c r="DV110" s="436"/>
      <c r="DW110" s="436"/>
      <c r="DX110" s="436"/>
      <c r="DY110" s="436"/>
      <c r="DZ110" s="436"/>
      <c r="EA110" s="436"/>
      <c r="EB110" s="436"/>
      <c r="EC110" s="436"/>
      <c r="ED110" s="436"/>
      <c r="EE110" s="436"/>
      <c r="EF110" s="436"/>
      <c r="EG110" s="436"/>
      <c r="EH110" s="436"/>
      <c r="EI110" s="436"/>
      <c r="EJ110" s="436"/>
      <c r="EK110" s="436"/>
      <c r="EL110" s="436"/>
      <c r="EM110" s="436"/>
      <c r="EN110" s="436"/>
      <c r="EO110" s="436"/>
      <c r="EP110" s="436"/>
      <c r="EQ110" s="436"/>
      <c r="ER110" s="436"/>
      <c r="ES110" s="436"/>
      <c r="ET110" s="436"/>
      <c r="EU110" s="436"/>
      <c r="EV110" s="436"/>
      <c r="EW110" s="436"/>
      <c r="EX110" s="436"/>
      <c r="EY110" s="436"/>
      <c r="EZ110" s="436"/>
      <c r="FA110" s="436"/>
      <c r="FB110" s="436"/>
      <c r="FC110" s="436"/>
      <c r="FD110" s="436"/>
      <c r="FE110" s="436"/>
      <c r="FF110" s="436"/>
      <c r="FG110" s="436"/>
      <c r="FH110" s="436"/>
      <c r="FI110" s="436"/>
      <c r="FJ110" s="436"/>
      <c r="FK110" s="436"/>
      <c r="FL110" s="436"/>
      <c r="FM110" s="436"/>
      <c r="FN110" s="436"/>
      <c r="FO110" s="436"/>
      <c r="FP110" s="436"/>
      <c r="FQ110" s="436"/>
      <c r="FR110" s="436"/>
      <c r="FS110" s="436"/>
      <c r="FT110" s="436"/>
      <c r="FU110" s="436"/>
      <c r="FV110" s="436"/>
      <c r="FW110" s="436"/>
      <c r="FX110" s="436"/>
      <c r="FY110" s="436"/>
      <c r="FZ110" s="436"/>
      <c r="GA110" s="436"/>
      <c r="GB110" s="436"/>
      <c r="GC110" s="436"/>
      <c r="GD110" s="436"/>
      <c r="GE110" s="436"/>
      <c r="GF110" s="436"/>
      <c r="GG110" s="436"/>
      <c r="GH110" s="436"/>
      <c r="GI110" s="436"/>
      <c r="GJ110" s="436"/>
      <c r="GK110" s="436"/>
      <c r="GL110" s="436"/>
      <c r="GM110" s="436"/>
      <c r="GN110" s="436"/>
      <c r="GO110" s="436"/>
      <c r="GP110" s="436"/>
      <c r="GQ110" s="436"/>
      <c r="GR110" s="436"/>
      <c r="GS110" s="436"/>
      <c r="GT110" s="436"/>
      <c r="GU110" s="436"/>
      <c r="GV110" s="436"/>
      <c r="GW110" s="436"/>
      <c r="GX110" s="436"/>
      <c r="GY110" s="436"/>
      <c r="GZ110" s="436"/>
      <c r="HA110" s="436"/>
      <c r="HB110" s="436"/>
      <c r="HC110" s="436"/>
      <c r="HD110" s="436"/>
      <c r="HE110" s="436"/>
      <c r="HF110" s="436"/>
      <c r="HG110" s="436"/>
      <c r="HH110" s="436"/>
      <c r="HI110" s="436"/>
      <c r="HJ110" s="436"/>
      <c r="HK110" s="436"/>
      <c r="HL110" s="436"/>
      <c r="HM110" s="436"/>
      <c r="HN110" s="436"/>
      <c r="HO110" s="436"/>
      <c r="HP110" s="436"/>
      <c r="HQ110" s="436"/>
      <c r="HR110" s="436"/>
      <c r="HS110" s="436"/>
      <c r="HT110" s="436"/>
      <c r="HU110" s="436"/>
      <c r="HV110" s="436"/>
      <c r="HW110" s="436"/>
      <c r="HX110" s="436"/>
      <c r="HY110" s="436"/>
      <c r="HZ110" s="436"/>
      <c r="IA110" s="436"/>
      <c r="IB110" s="436"/>
      <c r="IC110" s="436"/>
      <c r="ID110" s="436"/>
      <c r="IE110" s="436"/>
      <c r="IF110" s="436"/>
      <c r="IG110" s="436"/>
      <c r="IH110" s="436"/>
      <c r="II110" s="436"/>
      <c r="IJ110" s="436"/>
      <c r="IK110" s="436"/>
      <c r="IL110" s="436"/>
      <c r="IM110" s="436"/>
      <c r="IN110" s="436"/>
      <c r="IO110" s="436"/>
      <c r="IP110" s="436"/>
      <c r="IQ110" s="265"/>
      <c r="IR110" s="265"/>
    </row>
    <row r="111" spans="1:252" s="461" customFormat="1" x14ac:dyDescent="0.35">
      <c r="A111" s="685"/>
      <c r="B111" s="503"/>
      <c r="C111" s="503"/>
      <c r="D111" s="439"/>
      <c r="E111" s="686"/>
      <c r="J111" s="1591"/>
      <c r="M111" s="436"/>
      <c r="N111" s="436"/>
      <c r="O111" s="436"/>
      <c r="P111" s="436"/>
      <c r="Q111" s="436"/>
      <c r="R111" s="436"/>
      <c r="S111" s="436"/>
      <c r="T111" s="436"/>
      <c r="U111" s="436"/>
      <c r="V111" s="436"/>
      <c r="W111" s="436"/>
      <c r="X111" s="436"/>
      <c r="Y111" s="436"/>
      <c r="Z111" s="436"/>
      <c r="AA111" s="436"/>
      <c r="AB111" s="436"/>
      <c r="AC111" s="436"/>
      <c r="AD111" s="436"/>
      <c r="AE111" s="436"/>
      <c r="AF111" s="436"/>
      <c r="AG111" s="436"/>
      <c r="AH111" s="436"/>
      <c r="AI111" s="436"/>
      <c r="AJ111" s="436"/>
      <c r="AK111" s="436"/>
      <c r="AL111" s="436"/>
      <c r="AM111" s="436"/>
      <c r="AN111" s="436"/>
      <c r="AO111" s="436"/>
      <c r="AP111" s="436"/>
      <c r="AQ111" s="436"/>
      <c r="AR111" s="436"/>
      <c r="AS111" s="436"/>
      <c r="AT111" s="436"/>
      <c r="AU111" s="436"/>
      <c r="AV111" s="436"/>
      <c r="AW111" s="436"/>
      <c r="AX111" s="436"/>
      <c r="AY111" s="436"/>
      <c r="AZ111" s="436"/>
      <c r="BA111" s="436"/>
      <c r="BB111" s="436"/>
      <c r="BC111" s="436"/>
      <c r="BD111" s="436"/>
      <c r="BE111" s="436"/>
      <c r="BF111" s="436"/>
      <c r="BG111" s="436"/>
      <c r="BH111" s="436"/>
      <c r="BI111" s="436"/>
      <c r="BJ111" s="436"/>
      <c r="BK111" s="436"/>
      <c r="BL111" s="436"/>
      <c r="BM111" s="436"/>
      <c r="BN111" s="436"/>
      <c r="BO111" s="436"/>
      <c r="BP111" s="436"/>
      <c r="BQ111" s="436"/>
      <c r="BR111" s="436"/>
      <c r="BS111" s="436"/>
      <c r="BT111" s="436"/>
      <c r="BU111" s="436"/>
      <c r="BV111" s="436"/>
      <c r="BW111" s="436"/>
      <c r="BX111" s="436"/>
      <c r="BY111" s="436"/>
      <c r="BZ111" s="436"/>
      <c r="CA111" s="436"/>
      <c r="CB111" s="436"/>
      <c r="CC111" s="436"/>
      <c r="CD111" s="436"/>
      <c r="CE111" s="436"/>
      <c r="CF111" s="436"/>
      <c r="CG111" s="436"/>
      <c r="CH111" s="436"/>
      <c r="CI111" s="436"/>
      <c r="CJ111" s="436"/>
      <c r="CK111" s="436"/>
      <c r="CL111" s="436"/>
      <c r="CM111" s="436"/>
      <c r="CN111" s="436"/>
      <c r="CO111" s="436"/>
      <c r="CP111" s="436"/>
      <c r="CQ111" s="436"/>
      <c r="CR111" s="436"/>
      <c r="CS111" s="436"/>
      <c r="CT111" s="436"/>
      <c r="CU111" s="436"/>
      <c r="CV111" s="436"/>
      <c r="CW111" s="436"/>
      <c r="CX111" s="436"/>
      <c r="CY111" s="436"/>
      <c r="CZ111" s="436"/>
      <c r="DA111" s="436"/>
      <c r="DB111" s="436"/>
      <c r="DC111" s="436"/>
      <c r="DD111" s="436"/>
      <c r="DE111" s="436"/>
      <c r="DF111" s="436"/>
      <c r="DG111" s="436"/>
      <c r="DH111" s="436"/>
      <c r="DI111" s="436"/>
      <c r="DJ111" s="436"/>
      <c r="DK111" s="436"/>
      <c r="DL111" s="436"/>
      <c r="DM111" s="436"/>
      <c r="DN111" s="436"/>
      <c r="DO111" s="436"/>
      <c r="DP111" s="436"/>
      <c r="DQ111" s="436"/>
      <c r="DR111" s="436"/>
      <c r="DS111" s="436"/>
      <c r="DT111" s="436"/>
      <c r="DU111" s="436"/>
      <c r="DV111" s="436"/>
      <c r="DW111" s="436"/>
      <c r="DX111" s="436"/>
      <c r="DY111" s="436"/>
      <c r="DZ111" s="436"/>
      <c r="EA111" s="436"/>
      <c r="EB111" s="436"/>
      <c r="EC111" s="436"/>
      <c r="ED111" s="436"/>
      <c r="EE111" s="436"/>
      <c r="EF111" s="436"/>
      <c r="EG111" s="436"/>
      <c r="EH111" s="436"/>
      <c r="EI111" s="436"/>
      <c r="EJ111" s="436"/>
      <c r="EK111" s="436"/>
      <c r="EL111" s="436"/>
      <c r="EM111" s="436"/>
      <c r="EN111" s="436"/>
      <c r="EO111" s="436"/>
      <c r="EP111" s="436"/>
      <c r="EQ111" s="436"/>
      <c r="ER111" s="436"/>
      <c r="ES111" s="436"/>
      <c r="ET111" s="436"/>
      <c r="EU111" s="436"/>
      <c r="EV111" s="436"/>
      <c r="EW111" s="436"/>
      <c r="EX111" s="436"/>
      <c r="EY111" s="436"/>
      <c r="EZ111" s="436"/>
      <c r="FA111" s="436"/>
      <c r="FB111" s="436"/>
      <c r="FC111" s="436"/>
      <c r="FD111" s="436"/>
      <c r="FE111" s="436"/>
      <c r="FF111" s="436"/>
      <c r="FG111" s="436"/>
      <c r="FH111" s="436"/>
      <c r="FI111" s="436"/>
      <c r="FJ111" s="436"/>
      <c r="FK111" s="436"/>
      <c r="FL111" s="436"/>
      <c r="FM111" s="436"/>
      <c r="FN111" s="436"/>
      <c r="FO111" s="436"/>
      <c r="FP111" s="436"/>
      <c r="FQ111" s="436"/>
      <c r="FR111" s="436"/>
      <c r="FS111" s="436"/>
      <c r="FT111" s="436"/>
      <c r="FU111" s="436"/>
      <c r="FV111" s="436"/>
      <c r="FW111" s="436"/>
      <c r="FX111" s="436"/>
      <c r="FY111" s="436"/>
      <c r="FZ111" s="436"/>
      <c r="GA111" s="436"/>
      <c r="GB111" s="436"/>
      <c r="GC111" s="436"/>
      <c r="GD111" s="436"/>
      <c r="GE111" s="436"/>
      <c r="GF111" s="436"/>
      <c r="GG111" s="436"/>
      <c r="GH111" s="436"/>
      <c r="GI111" s="436"/>
      <c r="GJ111" s="436"/>
      <c r="GK111" s="436"/>
      <c r="GL111" s="436"/>
      <c r="GM111" s="436"/>
      <c r="GN111" s="436"/>
      <c r="GO111" s="436"/>
      <c r="GP111" s="436"/>
      <c r="GQ111" s="436"/>
      <c r="GR111" s="436"/>
      <c r="GS111" s="436"/>
      <c r="GT111" s="436"/>
      <c r="GU111" s="436"/>
      <c r="GV111" s="436"/>
      <c r="GW111" s="436"/>
      <c r="GX111" s="436"/>
      <c r="GY111" s="436"/>
      <c r="GZ111" s="436"/>
      <c r="HA111" s="436"/>
      <c r="HB111" s="436"/>
      <c r="HC111" s="436"/>
      <c r="HD111" s="436"/>
      <c r="HE111" s="436"/>
      <c r="HF111" s="436"/>
      <c r="HG111" s="436"/>
      <c r="HH111" s="436"/>
      <c r="HI111" s="436"/>
      <c r="HJ111" s="436"/>
      <c r="HK111" s="436"/>
      <c r="HL111" s="436"/>
      <c r="HM111" s="436"/>
      <c r="HN111" s="436"/>
      <c r="HO111" s="436"/>
      <c r="HP111" s="436"/>
      <c r="HQ111" s="436"/>
      <c r="HR111" s="436"/>
      <c r="HS111" s="436"/>
      <c r="HT111" s="436"/>
      <c r="HU111" s="436"/>
      <c r="HV111" s="436"/>
      <c r="HW111" s="436"/>
      <c r="HX111" s="436"/>
      <c r="HY111" s="436"/>
      <c r="HZ111" s="436"/>
      <c r="IA111" s="436"/>
      <c r="IB111" s="436"/>
      <c r="IC111" s="436"/>
      <c r="ID111" s="436"/>
      <c r="IE111" s="436"/>
      <c r="IF111" s="436"/>
      <c r="IG111" s="436"/>
      <c r="IH111" s="436"/>
      <c r="II111" s="436"/>
      <c r="IJ111" s="436"/>
      <c r="IK111" s="436"/>
      <c r="IL111" s="436"/>
      <c r="IM111" s="436"/>
      <c r="IN111" s="436"/>
      <c r="IO111" s="436"/>
      <c r="IP111" s="436"/>
      <c r="IQ111" s="265"/>
      <c r="IR111" s="265"/>
    </row>
    <row r="112" spans="1:252" s="461" customFormat="1" x14ac:dyDescent="0.35">
      <c r="A112" s="685"/>
      <c r="B112" s="503"/>
      <c r="C112" s="503"/>
      <c r="D112" s="439"/>
      <c r="E112" s="686"/>
      <c r="J112" s="1591"/>
      <c r="M112" s="436"/>
      <c r="N112" s="436"/>
      <c r="O112" s="436"/>
      <c r="P112" s="436"/>
      <c r="Q112" s="436"/>
      <c r="R112" s="436"/>
      <c r="S112" s="436"/>
      <c r="T112" s="436"/>
      <c r="U112" s="436"/>
      <c r="V112" s="436"/>
      <c r="W112" s="436"/>
      <c r="X112" s="436"/>
      <c r="Y112" s="436"/>
      <c r="Z112" s="436"/>
      <c r="AA112" s="436"/>
      <c r="AB112" s="436"/>
      <c r="AC112" s="436"/>
      <c r="AD112" s="436"/>
      <c r="AE112" s="436"/>
      <c r="AF112" s="436"/>
      <c r="AG112" s="436"/>
      <c r="AH112" s="436"/>
      <c r="AI112" s="436"/>
      <c r="AJ112" s="436"/>
      <c r="AK112" s="436"/>
      <c r="AL112" s="436"/>
      <c r="AM112" s="436"/>
      <c r="AN112" s="436"/>
      <c r="AO112" s="436"/>
      <c r="AP112" s="436"/>
      <c r="AQ112" s="436"/>
      <c r="AR112" s="436"/>
      <c r="AS112" s="436"/>
      <c r="AT112" s="436"/>
      <c r="AU112" s="436"/>
      <c r="AV112" s="436"/>
      <c r="AW112" s="436"/>
      <c r="AX112" s="436"/>
      <c r="AY112" s="436"/>
      <c r="AZ112" s="436"/>
      <c r="BA112" s="436"/>
      <c r="BB112" s="436"/>
      <c r="BC112" s="436"/>
      <c r="BD112" s="436"/>
      <c r="BE112" s="436"/>
      <c r="BF112" s="436"/>
      <c r="BG112" s="436"/>
      <c r="BH112" s="436"/>
      <c r="BI112" s="436"/>
      <c r="BJ112" s="436"/>
      <c r="BK112" s="436"/>
      <c r="BL112" s="436"/>
      <c r="BM112" s="436"/>
      <c r="BN112" s="436"/>
      <c r="BO112" s="436"/>
      <c r="BP112" s="436"/>
      <c r="BQ112" s="436"/>
      <c r="BR112" s="436"/>
      <c r="BS112" s="436"/>
      <c r="BT112" s="436"/>
      <c r="BU112" s="436"/>
      <c r="BV112" s="436"/>
      <c r="BW112" s="436"/>
      <c r="BX112" s="436"/>
      <c r="BY112" s="436"/>
      <c r="BZ112" s="436"/>
      <c r="CA112" s="436"/>
      <c r="CB112" s="436"/>
      <c r="CC112" s="436"/>
      <c r="CD112" s="436"/>
      <c r="CE112" s="436"/>
      <c r="CF112" s="436"/>
      <c r="CG112" s="436"/>
      <c r="CH112" s="436"/>
      <c r="CI112" s="436"/>
      <c r="CJ112" s="436"/>
      <c r="CK112" s="436"/>
      <c r="CL112" s="436"/>
      <c r="CM112" s="436"/>
      <c r="CN112" s="436"/>
      <c r="CO112" s="436"/>
      <c r="CP112" s="436"/>
      <c r="CQ112" s="436"/>
      <c r="CR112" s="436"/>
      <c r="CS112" s="436"/>
      <c r="CT112" s="436"/>
      <c r="CU112" s="436"/>
      <c r="CV112" s="436"/>
      <c r="CW112" s="436"/>
      <c r="CX112" s="436"/>
      <c r="CY112" s="436"/>
      <c r="CZ112" s="436"/>
      <c r="DA112" s="436"/>
      <c r="DB112" s="436"/>
      <c r="DC112" s="436"/>
      <c r="DD112" s="436"/>
      <c r="DE112" s="436"/>
      <c r="DF112" s="436"/>
      <c r="DG112" s="436"/>
      <c r="DH112" s="436"/>
      <c r="DI112" s="436"/>
      <c r="DJ112" s="436"/>
      <c r="DK112" s="436"/>
      <c r="DL112" s="436"/>
      <c r="DM112" s="436"/>
      <c r="DN112" s="436"/>
      <c r="DO112" s="436"/>
      <c r="DP112" s="436"/>
      <c r="DQ112" s="436"/>
      <c r="DR112" s="436"/>
      <c r="DS112" s="436"/>
      <c r="DT112" s="436"/>
      <c r="DU112" s="436"/>
      <c r="DV112" s="436"/>
      <c r="DW112" s="436"/>
      <c r="DX112" s="436"/>
      <c r="DY112" s="436"/>
      <c r="DZ112" s="436"/>
      <c r="EA112" s="436"/>
      <c r="EB112" s="436"/>
      <c r="EC112" s="436"/>
      <c r="ED112" s="436"/>
      <c r="EE112" s="436"/>
      <c r="EF112" s="436"/>
      <c r="EG112" s="436"/>
      <c r="EH112" s="436"/>
      <c r="EI112" s="436"/>
      <c r="EJ112" s="436"/>
      <c r="EK112" s="436"/>
      <c r="EL112" s="436"/>
      <c r="EM112" s="436"/>
      <c r="EN112" s="436"/>
      <c r="EO112" s="436"/>
      <c r="EP112" s="436"/>
      <c r="EQ112" s="436"/>
      <c r="ER112" s="436"/>
      <c r="ES112" s="436"/>
      <c r="ET112" s="436"/>
      <c r="EU112" s="436"/>
      <c r="EV112" s="436"/>
      <c r="EW112" s="436"/>
      <c r="EX112" s="436"/>
      <c r="EY112" s="436"/>
      <c r="EZ112" s="436"/>
      <c r="FA112" s="436"/>
      <c r="FB112" s="436"/>
      <c r="FC112" s="436"/>
      <c r="FD112" s="436"/>
      <c r="FE112" s="436"/>
      <c r="FF112" s="436"/>
      <c r="FG112" s="436"/>
      <c r="FH112" s="436"/>
      <c r="FI112" s="436"/>
      <c r="FJ112" s="436"/>
      <c r="FK112" s="436"/>
      <c r="FL112" s="436"/>
      <c r="FM112" s="436"/>
      <c r="FN112" s="436"/>
      <c r="FO112" s="436"/>
      <c r="FP112" s="436"/>
      <c r="FQ112" s="436"/>
      <c r="FR112" s="436"/>
      <c r="FS112" s="436"/>
      <c r="FT112" s="436"/>
      <c r="FU112" s="436"/>
      <c r="FV112" s="436"/>
      <c r="FW112" s="436"/>
      <c r="FX112" s="436"/>
      <c r="FY112" s="436"/>
      <c r="FZ112" s="436"/>
      <c r="GA112" s="436"/>
      <c r="GB112" s="436"/>
      <c r="GC112" s="436"/>
      <c r="GD112" s="436"/>
      <c r="GE112" s="436"/>
      <c r="GF112" s="436"/>
      <c r="GG112" s="436"/>
      <c r="GH112" s="436"/>
      <c r="GI112" s="436"/>
      <c r="GJ112" s="436"/>
      <c r="GK112" s="436"/>
      <c r="GL112" s="436"/>
      <c r="GM112" s="436"/>
      <c r="GN112" s="436"/>
      <c r="GO112" s="436"/>
      <c r="GP112" s="436"/>
      <c r="GQ112" s="436"/>
      <c r="GR112" s="436"/>
      <c r="GS112" s="436"/>
      <c r="GT112" s="436"/>
      <c r="GU112" s="436"/>
      <c r="GV112" s="436"/>
      <c r="GW112" s="436"/>
      <c r="GX112" s="436"/>
      <c r="GY112" s="436"/>
      <c r="GZ112" s="436"/>
      <c r="HA112" s="436"/>
      <c r="HB112" s="436"/>
      <c r="HC112" s="436"/>
      <c r="HD112" s="436"/>
      <c r="HE112" s="436"/>
      <c r="HF112" s="436"/>
      <c r="HG112" s="436"/>
      <c r="HH112" s="436"/>
      <c r="HI112" s="436"/>
      <c r="HJ112" s="436"/>
      <c r="HK112" s="436"/>
      <c r="HL112" s="436"/>
      <c r="HM112" s="436"/>
      <c r="HN112" s="436"/>
      <c r="HO112" s="436"/>
      <c r="HP112" s="436"/>
      <c r="HQ112" s="436"/>
      <c r="HR112" s="436"/>
      <c r="HS112" s="436"/>
      <c r="HT112" s="436"/>
      <c r="HU112" s="436"/>
      <c r="HV112" s="436"/>
      <c r="HW112" s="436"/>
      <c r="HX112" s="436"/>
      <c r="HY112" s="436"/>
      <c r="HZ112" s="436"/>
      <c r="IA112" s="436"/>
      <c r="IB112" s="436"/>
      <c r="IC112" s="436"/>
      <c r="ID112" s="436"/>
      <c r="IE112" s="436"/>
      <c r="IF112" s="436"/>
      <c r="IG112" s="436"/>
      <c r="IH112" s="436"/>
      <c r="II112" s="436"/>
      <c r="IJ112" s="436"/>
      <c r="IK112" s="436"/>
      <c r="IL112" s="436"/>
      <c r="IM112" s="436"/>
      <c r="IN112" s="436"/>
      <c r="IO112" s="436"/>
      <c r="IP112" s="436"/>
      <c r="IQ112" s="265"/>
      <c r="IR112" s="265"/>
    </row>
    <row r="113" spans="1:252" s="461" customFormat="1" x14ac:dyDescent="0.35">
      <c r="A113" s="685"/>
      <c r="B113" s="503"/>
      <c r="C113" s="503"/>
      <c r="D113" s="439"/>
      <c r="E113" s="686"/>
      <c r="J113" s="1591"/>
      <c r="M113" s="436"/>
      <c r="N113" s="436"/>
      <c r="O113" s="436"/>
      <c r="P113" s="436"/>
      <c r="Q113" s="436"/>
      <c r="R113" s="436"/>
      <c r="S113" s="436"/>
      <c r="T113" s="436"/>
      <c r="U113" s="436"/>
      <c r="V113" s="436"/>
      <c r="W113" s="436"/>
      <c r="X113" s="436"/>
      <c r="Y113" s="436"/>
      <c r="Z113" s="436"/>
      <c r="AA113" s="436"/>
      <c r="AB113" s="436"/>
      <c r="AC113" s="436"/>
      <c r="AD113" s="436"/>
      <c r="AE113" s="436"/>
      <c r="AF113" s="436"/>
      <c r="AG113" s="436"/>
      <c r="AH113" s="436"/>
      <c r="AI113" s="436"/>
      <c r="AJ113" s="436"/>
      <c r="AK113" s="436"/>
      <c r="AL113" s="436"/>
      <c r="AM113" s="436"/>
      <c r="AN113" s="436"/>
      <c r="AO113" s="436"/>
      <c r="AP113" s="436"/>
      <c r="AQ113" s="436"/>
      <c r="AR113" s="436"/>
      <c r="AS113" s="436"/>
      <c r="AT113" s="436"/>
      <c r="AU113" s="436"/>
      <c r="AV113" s="436"/>
      <c r="AW113" s="436"/>
      <c r="AX113" s="436"/>
      <c r="AY113" s="436"/>
      <c r="AZ113" s="436"/>
      <c r="BA113" s="436"/>
      <c r="BB113" s="436"/>
      <c r="BC113" s="436"/>
      <c r="BD113" s="436"/>
      <c r="BE113" s="436"/>
      <c r="BF113" s="436"/>
      <c r="BG113" s="436"/>
      <c r="BH113" s="436"/>
      <c r="BI113" s="436"/>
      <c r="BJ113" s="436"/>
      <c r="BK113" s="436"/>
      <c r="BL113" s="436"/>
      <c r="BM113" s="436"/>
      <c r="BN113" s="436"/>
      <c r="BO113" s="436"/>
      <c r="BP113" s="436"/>
      <c r="BQ113" s="436"/>
      <c r="BR113" s="436"/>
      <c r="BS113" s="436"/>
      <c r="BT113" s="436"/>
      <c r="BU113" s="436"/>
      <c r="BV113" s="436"/>
      <c r="BW113" s="436"/>
      <c r="BX113" s="436"/>
      <c r="BY113" s="436"/>
      <c r="BZ113" s="436"/>
      <c r="CA113" s="436"/>
      <c r="CB113" s="436"/>
      <c r="CC113" s="436"/>
      <c r="CD113" s="436"/>
      <c r="CE113" s="436"/>
      <c r="CF113" s="436"/>
      <c r="CG113" s="436"/>
      <c r="CH113" s="436"/>
      <c r="CI113" s="436"/>
      <c r="CJ113" s="436"/>
      <c r="CK113" s="436"/>
      <c r="CL113" s="436"/>
      <c r="CM113" s="436"/>
      <c r="CN113" s="436"/>
      <c r="CO113" s="436"/>
      <c r="CP113" s="436"/>
      <c r="CQ113" s="436"/>
      <c r="CR113" s="436"/>
      <c r="CS113" s="436"/>
      <c r="CT113" s="436"/>
      <c r="CU113" s="436"/>
      <c r="CV113" s="436"/>
      <c r="CW113" s="436"/>
      <c r="CX113" s="436"/>
      <c r="CY113" s="436"/>
      <c r="CZ113" s="436"/>
      <c r="DA113" s="436"/>
      <c r="DB113" s="436"/>
      <c r="DC113" s="436"/>
      <c r="DD113" s="436"/>
      <c r="DE113" s="436"/>
      <c r="DF113" s="436"/>
      <c r="DG113" s="436"/>
      <c r="DH113" s="436"/>
      <c r="DI113" s="436"/>
      <c r="DJ113" s="436"/>
      <c r="DK113" s="436"/>
      <c r="DL113" s="436"/>
      <c r="DM113" s="436"/>
      <c r="DN113" s="436"/>
      <c r="DO113" s="436"/>
      <c r="DP113" s="436"/>
      <c r="DQ113" s="436"/>
      <c r="DR113" s="436"/>
      <c r="DS113" s="436"/>
      <c r="DT113" s="436"/>
      <c r="DU113" s="436"/>
      <c r="DV113" s="436"/>
      <c r="DW113" s="436"/>
      <c r="DX113" s="436"/>
      <c r="DY113" s="436"/>
      <c r="DZ113" s="436"/>
      <c r="EA113" s="436"/>
      <c r="EB113" s="436"/>
      <c r="EC113" s="436"/>
      <c r="ED113" s="436"/>
      <c r="EE113" s="436"/>
      <c r="EF113" s="436"/>
      <c r="EG113" s="436"/>
      <c r="EH113" s="436"/>
      <c r="EI113" s="436"/>
      <c r="EJ113" s="436"/>
      <c r="EK113" s="436"/>
      <c r="EL113" s="436"/>
      <c r="EM113" s="436"/>
      <c r="EN113" s="436"/>
      <c r="EO113" s="436"/>
      <c r="EP113" s="436"/>
      <c r="EQ113" s="436"/>
      <c r="ER113" s="436"/>
      <c r="ES113" s="436"/>
      <c r="ET113" s="436"/>
      <c r="EU113" s="436"/>
      <c r="EV113" s="436"/>
      <c r="EW113" s="436"/>
      <c r="EX113" s="436"/>
      <c r="EY113" s="436"/>
      <c r="EZ113" s="436"/>
      <c r="FA113" s="436"/>
      <c r="FB113" s="436"/>
      <c r="FC113" s="436"/>
      <c r="FD113" s="436"/>
      <c r="FE113" s="436"/>
      <c r="FF113" s="436"/>
      <c r="FG113" s="436"/>
      <c r="FH113" s="436"/>
      <c r="FI113" s="436"/>
      <c r="FJ113" s="436"/>
      <c r="FK113" s="436"/>
      <c r="FL113" s="436"/>
      <c r="FM113" s="436"/>
      <c r="FN113" s="436"/>
      <c r="FO113" s="436"/>
      <c r="FP113" s="436"/>
      <c r="FQ113" s="436"/>
      <c r="FR113" s="436"/>
      <c r="FS113" s="436"/>
      <c r="FT113" s="436"/>
      <c r="FU113" s="436"/>
      <c r="FV113" s="436"/>
      <c r="FW113" s="436"/>
      <c r="FX113" s="436"/>
      <c r="FY113" s="436"/>
      <c r="FZ113" s="436"/>
      <c r="GA113" s="436"/>
      <c r="GB113" s="436"/>
      <c r="GC113" s="436"/>
      <c r="GD113" s="436"/>
      <c r="GE113" s="436"/>
      <c r="GF113" s="436"/>
      <c r="GG113" s="436"/>
      <c r="GH113" s="436"/>
      <c r="GI113" s="436"/>
      <c r="GJ113" s="436"/>
      <c r="GK113" s="436"/>
      <c r="GL113" s="436"/>
      <c r="GM113" s="436"/>
      <c r="GN113" s="436"/>
      <c r="GO113" s="436"/>
      <c r="GP113" s="436"/>
      <c r="GQ113" s="436"/>
      <c r="GR113" s="436"/>
      <c r="GS113" s="436"/>
      <c r="GT113" s="436"/>
      <c r="GU113" s="436"/>
      <c r="GV113" s="436"/>
      <c r="GW113" s="436"/>
      <c r="GX113" s="436"/>
      <c r="GY113" s="436"/>
      <c r="GZ113" s="436"/>
      <c r="HA113" s="436"/>
      <c r="HB113" s="436"/>
      <c r="HC113" s="436"/>
      <c r="HD113" s="436"/>
      <c r="HE113" s="436"/>
      <c r="HF113" s="436"/>
      <c r="HG113" s="436"/>
      <c r="HH113" s="436"/>
      <c r="HI113" s="436"/>
      <c r="HJ113" s="436"/>
      <c r="HK113" s="436"/>
      <c r="HL113" s="436"/>
      <c r="HM113" s="436"/>
      <c r="HN113" s="436"/>
      <c r="HO113" s="436"/>
      <c r="HP113" s="436"/>
      <c r="HQ113" s="436"/>
      <c r="HR113" s="436"/>
      <c r="HS113" s="436"/>
      <c r="HT113" s="436"/>
      <c r="HU113" s="436"/>
      <c r="HV113" s="436"/>
      <c r="HW113" s="436"/>
      <c r="HX113" s="436"/>
      <c r="HY113" s="436"/>
      <c r="HZ113" s="436"/>
      <c r="IA113" s="436"/>
      <c r="IB113" s="436"/>
      <c r="IC113" s="436"/>
      <c r="ID113" s="436"/>
      <c r="IE113" s="436"/>
      <c r="IF113" s="436"/>
      <c r="IG113" s="436"/>
      <c r="IH113" s="436"/>
      <c r="II113" s="436"/>
      <c r="IJ113" s="436"/>
      <c r="IK113" s="436"/>
      <c r="IL113" s="436"/>
      <c r="IM113" s="436"/>
      <c r="IN113" s="436"/>
      <c r="IO113" s="436"/>
      <c r="IP113" s="436"/>
      <c r="IQ113" s="265"/>
      <c r="IR113" s="265"/>
    </row>
    <row r="114" spans="1:252" s="461" customFormat="1" x14ac:dyDescent="0.35">
      <c r="A114" s="685"/>
      <c r="B114" s="503"/>
      <c r="C114" s="503"/>
      <c r="D114" s="439"/>
      <c r="E114" s="686"/>
      <c r="J114" s="1591"/>
      <c r="M114" s="436"/>
      <c r="N114" s="436"/>
      <c r="O114" s="436"/>
      <c r="P114" s="436"/>
      <c r="Q114" s="436"/>
      <c r="R114" s="436"/>
      <c r="S114" s="436"/>
      <c r="T114" s="436"/>
      <c r="U114" s="436"/>
      <c r="V114" s="436"/>
      <c r="W114" s="436"/>
      <c r="X114" s="436"/>
      <c r="Y114" s="436"/>
      <c r="Z114" s="436"/>
      <c r="AA114" s="436"/>
      <c r="AB114" s="436"/>
      <c r="AC114" s="436"/>
      <c r="AD114" s="436"/>
      <c r="AE114" s="436"/>
      <c r="AF114" s="436"/>
      <c r="AG114" s="436"/>
      <c r="AH114" s="436"/>
      <c r="AI114" s="436"/>
      <c r="AJ114" s="436"/>
      <c r="AK114" s="436"/>
      <c r="AL114" s="436"/>
      <c r="AM114" s="436"/>
      <c r="AN114" s="436"/>
      <c r="AO114" s="436"/>
      <c r="AP114" s="436"/>
      <c r="AQ114" s="436"/>
      <c r="AR114" s="436"/>
      <c r="AS114" s="436"/>
      <c r="AT114" s="436"/>
      <c r="AU114" s="436"/>
      <c r="AV114" s="436"/>
      <c r="AW114" s="436"/>
      <c r="AX114" s="436"/>
      <c r="AY114" s="436"/>
      <c r="AZ114" s="436"/>
      <c r="BA114" s="436"/>
      <c r="BB114" s="436"/>
      <c r="BC114" s="436"/>
      <c r="BD114" s="436"/>
      <c r="BE114" s="436"/>
      <c r="BF114" s="436"/>
      <c r="BG114" s="436"/>
      <c r="BH114" s="436"/>
      <c r="BI114" s="436"/>
      <c r="BJ114" s="436"/>
      <c r="BK114" s="436"/>
      <c r="BL114" s="436"/>
      <c r="BM114" s="436"/>
      <c r="BN114" s="436"/>
      <c r="BO114" s="436"/>
      <c r="BP114" s="436"/>
      <c r="BQ114" s="436"/>
      <c r="BR114" s="436"/>
      <c r="BS114" s="436"/>
      <c r="BT114" s="436"/>
      <c r="BU114" s="436"/>
      <c r="BV114" s="436"/>
      <c r="BW114" s="436"/>
      <c r="BX114" s="436"/>
      <c r="BY114" s="436"/>
      <c r="BZ114" s="436"/>
      <c r="CA114" s="436"/>
      <c r="CB114" s="436"/>
      <c r="CC114" s="436"/>
      <c r="CD114" s="436"/>
      <c r="CE114" s="436"/>
      <c r="CF114" s="436"/>
      <c r="CG114" s="436"/>
      <c r="CH114" s="436"/>
      <c r="CI114" s="436"/>
      <c r="CJ114" s="436"/>
      <c r="CK114" s="436"/>
      <c r="CL114" s="436"/>
      <c r="CM114" s="436"/>
      <c r="CN114" s="436"/>
      <c r="CO114" s="436"/>
      <c r="CP114" s="436"/>
      <c r="CQ114" s="436"/>
      <c r="CR114" s="436"/>
      <c r="CS114" s="436"/>
      <c r="CT114" s="436"/>
      <c r="CU114" s="436"/>
      <c r="CV114" s="436"/>
      <c r="CW114" s="436"/>
      <c r="CX114" s="436"/>
      <c r="CY114" s="436"/>
      <c r="CZ114" s="436"/>
      <c r="DA114" s="436"/>
      <c r="DB114" s="436"/>
      <c r="DC114" s="436"/>
      <c r="DD114" s="436"/>
      <c r="DE114" s="436"/>
      <c r="DF114" s="436"/>
      <c r="DG114" s="436"/>
      <c r="DH114" s="436"/>
      <c r="DI114" s="436"/>
      <c r="DJ114" s="436"/>
      <c r="DK114" s="436"/>
      <c r="DL114" s="436"/>
      <c r="DM114" s="436"/>
      <c r="DN114" s="436"/>
      <c r="DO114" s="436"/>
      <c r="DP114" s="436"/>
      <c r="DQ114" s="436"/>
      <c r="DR114" s="436"/>
      <c r="DS114" s="436"/>
      <c r="DT114" s="436"/>
      <c r="DU114" s="436"/>
      <c r="DV114" s="436"/>
      <c r="DW114" s="436"/>
      <c r="DX114" s="436"/>
      <c r="DY114" s="436"/>
      <c r="DZ114" s="436"/>
      <c r="EA114" s="436"/>
      <c r="EB114" s="436"/>
      <c r="EC114" s="436"/>
      <c r="ED114" s="436"/>
      <c r="EE114" s="436"/>
      <c r="EF114" s="436"/>
      <c r="EG114" s="436"/>
      <c r="EH114" s="436"/>
      <c r="EI114" s="436"/>
      <c r="EJ114" s="436"/>
      <c r="EK114" s="436"/>
      <c r="EL114" s="436"/>
      <c r="EM114" s="436"/>
      <c r="EN114" s="436"/>
      <c r="EO114" s="436"/>
      <c r="EP114" s="436"/>
      <c r="EQ114" s="436"/>
      <c r="ER114" s="436"/>
      <c r="ES114" s="436"/>
      <c r="ET114" s="436"/>
      <c r="EU114" s="436"/>
      <c r="EV114" s="436"/>
      <c r="EW114" s="436"/>
      <c r="EX114" s="436"/>
      <c r="EY114" s="436"/>
      <c r="EZ114" s="436"/>
      <c r="FA114" s="436"/>
      <c r="FB114" s="436"/>
      <c r="FC114" s="436"/>
      <c r="FD114" s="436"/>
      <c r="FE114" s="436"/>
      <c r="FF114" s="436"/>
      <c r="FG114" s="436"/>
      <c r="FH114" s="436"/>
      <c r="FI114" s="436"/>
      <c r="FJ114" s="436"/>
      <c r="FK114" s="436"/>
      <c r="FL114" s="436"/>
      <c r="FM114" s="436"/>
      <c r="FN114" s="436"/>
      <c r="FO114" s="436"/>
      <c r="FP114" s="436"/>
      <c r="FQ114" s="436"/>
      <c r="FR114" s="436"/>
      <c r="FS114" s="436"/>
      <c r="FT114" s="436"/>
      <c r="FU114" s="436"/>
      <c r="FV114" s="436"/>
      <c r="FW114" s="436"/>
      <c r="FX114" s="436"/>
      <c r="FY114" s="436"/>
      <c r="FZ114" s="436"/>
      <c r="GA114" s="436"/>
      <c r="GB114" s="436"/>
      <c r="GC114" s="436"/>
      <c r="GD114" s="436"/>
      <c r="GE114" s="436"/>
      <c r="GF114" s="436"/>
      <c r="GG114" s="436"/>
      <c r="GH114" s="436"/>
      <c r="GI114" s="436"/>
      <c r="GJ114" s="436"/>
      <c r="GK114" s="436"/>
      <c r="GL114" s="436"/>
      <c r="GM114" s="436"/>
      <c r="GN114" s="436"/>
      <c r="GO114" s="436"/>
      <c r="GP114" s="436"/>
      <c r="GQ114" s="436"/>
      <c r="GR114" s="436"/>
      <c r="GS114" s="436"/>
      <c r="GT114" s="436"/>
      <c r="GU114" s="436"/>
      <c r="GV114" s="436"/>
      <c r="GW114" s="436"/>
      <c r="GX114" s="436"/>
      <c r="GY114" s="436"/>
      <c r="GZ114" s="436"/>
      <c r="HA114" s="436"/>
      <c r="HB114" s="436"/>
      <c r="HC114" s="436"/>
      <c r="HD114" s="436"/>
      <c r="HE114" s="436"/>
      <c r="HF114" s="436"/>
      <c r="HG114" s="436"/>
      <c r="HH114" s="436"/>
      <c r="HI114" s="436"/>
      <c r="HJ114" s="436"/>
      <c r="HK114" s="436"/>
      <c r="HL114" s="436"/>
      <c r="HM114" s="436"/>
      <c r="HN114" s="436"/>
      <c r="HO114" s="436"/>
      <c r="HP114" s="436"/>
      <c r="HQ114" s="436"/>
      <c r="HR114" s="436"/>
      <c r="HS114" s="436"/>
      <c r="HT114" s="436"/>
      <c r="HU114" s="436"/>
      <c r="HV114" s="436"/>
      <c r="HW114" s="436"/>
      <c r="HX114" s="436"/>
      <c r="HY114" s="436"/>
      <c r="HZ114" s="436"/>
      <c r="IA114" s="436"/>
      <c r="IB114" s="436"/>
      <c r="IC114" s="436"/>
      <c r="ID114" s="436"/>
      <c r="IE114" s="436"/>
      <c r="IF114" s="436"/>
      <c r="IG114" s="436"/>
      <c r="IH114" s="436"/>
      <c r="II114" s="436"/>
      <c r="IJ114" s="436"/>
      <c r="IK114" s="436"/>
      <c r="IL114" s="436"/>
      <c r="IM114" s="436"/>
      <c r="IN114" s="436"/>
      <c r="IO114" s="436"/>
      <c r="IP114" s="436"/>
      <c r="IQ114" s="265"/>
      <c r="IR114" s="265"/>
    </row>
    <row r="115" spans="1:252" s="461" customFormat="1" x14ac:dyDescent="0.35">
      <c r="A115" s="685"/>
      <c r="B115" s="503"/>
      <c r="C115" s="503"/>
      <c r="D115" s="439"/>
      <c r="E115" s="686"/>
      <c r="J115" s="1591"/>
      <c r="M115" s="436"/>
      <c r="N115" s="436"/>
      <c r="O115" s="436"/>
      <c r="P115" s="436"/>
      <c r="Q115" s="436"/>
      <c r="R115" s="436"/>
      <c r="S115" s="436"/>
      <c r="T115" s="436"/>
      <c r="U115" s="436"/>
      <c r="V115" s="436"/>
      <c r="W115" s="436"/>
      <c r="X115" s="436"/>
      <c r="Y115" s="436"/>
      <c r="Z115" s="436"/>
      <c r="AA115" s="436"/>
      <c r="AB115" s="436"/>
      <c r="AC115" s="436"/>
      <c r="AD115" s="436"/>
      <c r="AE115" s="436"/>
      <c r="AF115" s="436"/>
      <c r="AG115" s="436"/>
      <c r="AH115" s="436"/>
      <c r="AI115" s="436"/>
      <c r="AJ115" s="436"/>
      <c r="AK115" s="436"/>
      <c r="AL115" s="436"/>
      <c r="AM115" s="436"/>
      <c r="AN115" s="436"/>
      <c r="AO115" s="436"/>
      <c r="AP115" s="436"/>
      <c r="AQ115" s="436"/>
      <c r="AR115" s="436"/>
      <c r="AS115" s="436"/>
      <c r="AT115" s="436"/>
      <c r="AU115" s="436"/>
      <c r="AV115" s="436"/>
      <c r="AW115" s="436"/>
      <c r="AX115" s="436"/>
      <c r="AY115" s="436"/>
      <c r="AZ115" s="436"/>
      <c r="BA115" s="436"/>
      <c r="BB115" s="436"/>
      <c r="BC115" s="436"/>
      <c r="BD115" s="436"/>
      <c r="BE115" s="436"/>
      <c r="BF115" s="436"/>
      <c r="BG115" s="436"/>
      <c r="BH115" s="436"/>
      <c r="BI115" s="436"/>
      <c r="BJ115" s="436"/>
      <c r="BK115" s="436"/>
      <c r="BL115" s="436"/>
      <c r="BM115" s="436"/>
      <c r="BN115" s="436"/>
      <c r="BO115" s="436"/>
      <c r="BP115" s="436"/>
      <c r="BQ115" s="436"/>
      <c r="BR115" s="436"/>
      <c r="BS115" s="436"/>
      <c r="BT115" s="436"/>
      <c r="BU115" s="436"/>
      <c r="BV115" s="436"/>
      <c r="BW115" s="436"/>
      <c r="BX115" s="436"/>
      <c r="BY115" s="436"/>
      <c r="BZ115" s="436"/>
      <c r="CA115" s="436"/>
      <c r="CB115" s="436"/>
      <c r="CC115" s="436"/>
      <c r="CD115" s="436"/>
      <c r="CE115" s="436"/>
      <c r="CF115" s="436"/>
      <c r="CG115" s="436"/>
      <c r="CH115" s="436"/>
      <c r="CI115" s="436"/>
      <c r="CJ115" s="436"/>
      <c r="CK115" s="436"/>
      <c r="CL115" s="436"/>
      <c r="CM115" s="436"/>
      <c r="CN115" s="436"/>
      <c r="CO115" s="436"/>
      <c r="CP115" s="436"/>
      <c r="CQ115" s="436"/>
      <c r="CR115" s="436"/>
      <c r="CS115" s="436"/>
      <c r="CT115" s="436"/>
      <c r="CU115" s="436"/>
      <c r="CV115" s="436"/>
      <c r="CW115" s="436"/>
      <c r="CX115" s="436"/>
      <c r="CY115" s="436"/>
      <c r="CZ115" s="436"/>
      <c r="DA115" s="436"/>
      <c r="DB115" s="436"/>
      <c r="DC115" s="436"/>
      <c r="DD115" s="436"/>
      <c r="DE115" s="436"/>
      <c r="DF115" s="436"/>
      <c r="DG115" s="436"/>
      <c r="DH115" s="436"/>
      <c r="DI115" s="436"/>
      <c r="DJ115" s="436"/>
      <c r="DK115" s="436"/>
      <c r="DL115" s="436"/>
      <c r="DM115" s="436"/>
      <c r="DN115" s="436"/>
      <c r="DO115" s="436"/>
      <c r="DP115" s="436"/>
      <c r="DQ115" s="436"/>
      <c r="DR115" s="436"/>
      <c r="DS115" s="436"/>
      <c r="DT115" s="436"/>
      <c r="DU115" s="436"/>
      <c r="DV115" s="436"/>
      <c r="DW115" s="436"/>
      <c r="DX115" s="436"/>
      <c r="DY115" s="436"/>
      <c r="DZ115" s="436"/>
      <c r="EA115" s="436"/>
      <c r="EB115" s="436"/>
      <c r="EC115" s="436"/>
      <c r="ED115" s="436"/>
      <c r="EE115" s="436"/>
      <c r="EF115" s="436"/>
      <c r="EG115" s="436"/>
      <c r="EH115" s="436"/>
      <c r="EI115" s="436"/>
      <c r="EJ115" s="436"/>
      <c r="EK115" s="436"/>
      <c r="EL115" s="436"/>
      <c r="EM115" s="436"/>
      <c r="EN115" s="436"/>
      <c r="EO115" s="436"/>
      <c r="EP115" s="436"/>
      <c r="EQ115" s="436"/>
      <c r="ER115" s="436"/>
      <c r="ES115" s="436"/>
      <c r="ET115" s="436"/>
      <c r="EU115" s="436"/>
      <c r="EV115" s="436"/>
      <c r="EW115" s="436"/>
      <c r="EX115" s="436"/>
      <c r="EY115" s="436"/>
      <c r="EZ115" s="436"/>
      <c r="FA115" s="436"/>
      <c r="FB115" s="436"/>
      <c r="FC115" s="436"/>
      <c r="FD115" s="436"/>
      <c r="FE115" s="436"/>
      <c r="FF115" s="436"/>
      <c r="FG115" s="436"/>
      <c r="FH115" s="436"/>
      <c r="FI115" s="436"/>
      <c r="FJ115" s="436"/>
      <c r="FK115" s="436"/>
      <c r="FL115" s="436"/>
      <c r="FM115" s="436"/>
      <c r="FN115" s="436"/>
      <c r="FO115" s="436"/>
      <c r="FP115" s="436"/>
      <c r="FQ115" s="436"/>
      <c r="FR115" s="436"/>
      <c r="FS115" s="436"/>
      <c r="FT115" s="436"/>
      <c r="FU115" s="436"/>
      <c r="FV115" s="436"/>
      <c r="FW115" s="436"/>
      <c r="FX115" s="436"/>
      <c r="FY115" s="436"/>
      <c r="FZ115" s="436"/>
      <c r="GA115" s="436"/>
      <c r="GB115" s="436"/>
      <c r="GC115" s="436"/>
      <c r="GD115" s="436"/>
      <c r="GE115" s="436"/>
      <c r="GF115" s="436"/>
      <c r="GG115" s="436"/>
      <c r="GH115" s="436"/>
      <c r="GI115" s="436"/>
      <c r="GJ115" s="436"/>
      <c r="GK115" s="436"/>
      <c r="GL115" s="436"/>
      <c r="GM115" s="436"/>
      <c r="GN115" s="436"/>
      <c r="GO115" s="436"/>
      <c r="GP115" s="436"/>
      <c r="GQ115" s="436"/>
      <c r="GR115" s="436"/>
      <c r="GS115" s="436"/>
      <c r="GT115" s="436"/>
      <c r="GU115" s="436"/>
      <c r="GV115" s="436"/>
      <c r="GW115" s="436"/>
      <c r="GX115" s="436"/>
      <c r="GY115" s="436"/>
      <c r="GZ115" s="436"/>
      <c r="HA115" s="436"/>
      <c r="HB115" s="436"/>
      <c r="HC115" s="436"/>
      <c r="HD115" s="436"/>
      <c r="HE115" s="436"/>
      <c r="HF115" s="436"/>
      <c r="HG115" s="436"/>
      <c r="HH115" s="436"/>
      <c r="HI115" s="436"/>
      <c r="HJ115" s="436"/>
      <c r="HK115" s="436"/>
      <c r="HL115" s="436"/>
      <c r="HM115" s="436"/>
      <c r="HN115" s="436"/>
      <c r="HO115" s="436"/>
      <c r="HP115" s="436"/>
      <c r="HQ115" s="436"/>
      <c r="HR115" s="436"/>
      <c r="HS115" s="436"/>
      <c r="HT115" s="436"/>
      <c r="HU115" s="436"/>
      <c r="HV115" s="436"/>
      <c r="HW115" s="436"/>
      <c r="HX115" s="436"/>
      <c r="HY115" s="436"/>
      <c r="HZ115" s="436"/>
      <c r="IA115" s="436"/>
      <c r="IB115" s="436"/>
      <c r="IC115" s="436"/>
      <c r="ID115" s="436"/>
      <c r="IE115" s="436"/>
      <c r="IF115" s="436"/>
      <c r="IG115" s="436"/>
      <c r="IH115" s="436"/>
      <c r="II115" s="436"/>
      <c r="IJ115" s="436"/>
      <c r="IK115" s="436"/>
      <c r="IL115" s="436"/>
      <c r="IM115" s="436"/>
      <c r="IN115" s="436"/>
      <c r="IO115" s="436"/>
      <c r="IP115" s="436"/>
      <c r="IQ115" s="265"/>
      <c r="IR115" s="265"/>
    </row>
    <row r="116" spans="1:252" s="461" customFormat="1" x14ac:dyDescent="0.35">
      <c r="A116" s="685"/>
      <c r="B116" s="503"/>
      <c r="C116" s="503"/>
      <c r="D116" s="439"/>
      <c r="E116" s="686"/>
      <c r="J116" s="1591"/>
      <c r="M116" s="436"/>
      <c r="N116" s="436"/>
      <c r="O116" s="436"/>
      <c r="P116" s="436"/>
      <c r="Q116" s="436"/>
      <c r="R116" s="436"/>
      <c r="S116" s="436"/>
      <c r="T116" s="436"/>
      <c r="U116" s="436"/>
      <c r="V116" s="436"/>
      <c r="W116" s="436"/>
      <c r="X116" s="436"/>
      <c r="Y116" s="436"/>
      <c r="Z116" s="436"/>
      <c r="AA116" s="436"/>
      <c r="AB116" s="436"/>
      <c r="AC116" s="436"/>
      <c r="AD116" s="436"/>
      <c r="AE116" s="436"/>
      <c r="AF116" s="436"/>
      <c r="AG116" s="436"/>
      <c r="AH116" s="436"/>
      <c r="AI116" s="436"/>
      <c r="AJ116" s="436"/>
      <c r="AK116" s="436"/>
      <c r="AL116" s="436"/>
      <c r="AM116" s="436"/>
      <c r="AN116" s="436"/>
      <c r="AO116" s="436"/>
      <c r="AP116" s="436"/>
      <c r="AQ116" s="436"/>
      <c r="AR116" s="436"/>
      <c r="AS116" s="436"/>
      <c r="AT116" s="436"/>
      <c r="AU116" s="436"/>
      <c r="AV116" s="436"/>
      <c r="AW116" s="436"/>
      <c r="AX116" s="436"/>
      <c r="AY116" s="436"/>
      <c r="AZ116" s="436"/>
      <c r="BA116" s="436"/>
      <c r="BB116" s="436"/>
      <c r="BC116" s="436"/>
      <c r="BD116" s="436"/>
      <c r="BE116" s="436"/>
      <c r="BF116" s="436"/>
      <c r="BG116" s="436"/>
      <c r="BH116" s="436"/>
      <c r="BI116" s="436"/>
      <c r="BJ116" s="436"/>
      <c r="BK116" s="436"/>
      <c r="BL116" s="436"/>
      <c r="BM116" s="436"/>
      <c r="BN116" s="436"/>
      <c r="BO116" s="436"/>
      <c r="BP116" s="436"/>
      <c r="BQ116" s="436"/>
      <c r="BR116" s="436"/>
      <c r="BS116" s="436"/>
      <c r="BT116" s="436"/>
      <c r="BU116" s="436"/>
      <c r="BV116" s="436"/>
      <c r="BW116" s="436"/>
      <c r="BX116" s="436"/>
      <c r="BY116" s="436"/>
      <c r="BZ116" s="436"/>
      <c r="CA116" s="436"/>
      <c r="CB116" s="436"/>
      <c r="CC116" s="436"/>
      <c r="CD116" s="436"/>
      <c r="CE116" s="436"/>
      <c r="CF116" s="436"/>
      <c r="CG116" s="436"/>
      <c r="CH116" s="436"/>
      <c r="CI116" s="436"/>
      <c r="CJ116" s="436"/>
      <c r="CK116" s="436"/>
      <c r="CL116" s="436"/>
      <c r="CM116" s="436"/>
      <c r="CN116" s="436"/>
      <c r="CO116" s="436"/>
      <c r="CP116" s="436"/>
      <c r="CQ116" s="436"/>
      <c r="CR116" s="436"/>
      <c r="CS116" s="436"/>
      <c r="CT116" s="436"/>
      <c r="CU116" s="436"/>
      <c r="CV116" s="436"/>
      <c r="CW116" s="436"/>
      <c r="CX116" s="436"/>
      <c r="CY116" s="436"/>
      <c r="CZ116" s="436"/>
      <c r="DA116" s="436"/>
      <c r="DB116" s="436"/>
      <c r="DC116" s="436"/>
      <c r="DD116" s="436"/>
      <c r="DE116" s="436"/>
      <c r="DF116" s="436"/>
      <c r="DG116" s="436"/>
      <c r="DH116" s="436"/>
      <c r="DI116" s="436"/>
      <c r="DJ116" s="436"/>
      <c r="DK116" s="436"/>
      <c r="DL116" s="436"/>
      <c r="DM116" s="436"/>
      <c r="DN116" s="436"/>
      <c r="DO116" s="436"/>
      <c r="DP116" s="436"/>
      <c r="DQ116" s="436"/>
      <c r="DR116" s="436"/>
      <c r="DS116" s="436"/>
      <c r="DT116" s="436"/>
      <c r="DU116" s="436"/>
      <c r="DV116" s="436"/>
      <c r="DW116" s="436"/>
      <c r="DX116" s="436"/>
      <c r="DY116" s="436"/>
      <c r="DZ116" s="436"/>
      <c r="EA116" s="436"/>
      <c r="EB116" s="436"/>
      <c r="EC116" s="436"/>
      <c r="ED116" s="436"/>
      <c r="EE116" s="436"/>
      <c r="EF116" s="436"/>
      <c r="EG116" s="436"/>
      <c r="EH116" s="436"/>
      <c r="EI116" s="436"/>
      <c r="EJ116" s="436"/>
      <c r="EK116" s="436"/>
      <c r="EL116" s="436"/>
      <c r="EM116" s="436"/>
      <c r="EN116" s="436"/>
      <c r="EO116" s="436"/>
      <c r="EP116" s="436"/>
      <c r="EQ116" s="436"/>
      <c r="ER116" s="436"/>
      <c r="ES116" s="436"/>
      <c r="ET116" s="436"/>
      <c r="EU116" s="436"/>
      <c r="EV116" s="436"/>
      <c r="EW116" s="436"/>
      <c r="EX116" s="436"/>
      <c r="EY116" s="436"/>
      <c r="EZ116" s="436"/>
      <c r="FA116" s="436"/>
      <c r="FB116" s="436"/>
      <c r="FC116" s="436"/>
      <c r="FD116" s="436"/>
      <c r="FE116" s="436"/>
      <c r="FF116" s="436"/>
      <c r="FG116" s="436"/>
      <c r="FH116" s="436"/>
      <c r="FI116" s="436"/>
      <c r="FJ116" s="436"/>
      <c r="FK116" s="436"/>
      <c r="FL116" s="436"/>
      <c r="FM116" s="436"/>
      <c r="FN116" s="436"/>
      <c r="FO116" s="436"/>
      <c r="FP116" s="436"/>
      <c r="FQ116" s="436"/>
      <c r="FR116" s="436"/>
      <c r="FS116" s="436"/>
      <c r="FT116" s="436"/>
      <c r="FU116" s="436"/>
      <c r="FV116" s="436"/>
      <c r="FW116" s="436"/>
      <c r="FX116" s="436"/>
      <c r="FY116" s="436"/>
      <c r="FZ116" s="436"/>
      <c r="GA116" s="436"/>
      <c r="GB116" s="436"/>
      <c r="GC116" s="436"/>
      <c r="GD116" s="436"/>
      <c r="GE116" s="436"/>
      <c r="GF116" s="436"/>
      <c r="GG116" s="436"/>
      <c r="GH116" s="436"/>
      <c r="GI116" s="436"/>
      <c r="GJ116" s="436"/>
      <c r="GK116" s="436"/>
      <c r="GL116" s="436"/>
      <c r="GM116" s="436"/>
      <c r="GN116" s="436"/>
      <c r="GO116" s="436"/>
      <c r="GP116" s="436"/>
      <c r="GQ116" s="436"/>
      <c r="GR116" s="436"/>
      <c r="GS116" s="436"/>
      <c r="GT116" s="436"/>
      <c r="GU116" s="436"/>
      <c r="GV116" s="436"/>
      <c r="GW116" s="436"/>
      <c r="GX116" s="436"/>
      <c r="GY116" s="436"/>
      <c r="GZ116" s="436"/>
      <c r="HA116" s="436"/>
      <c r="HB116" s="436"/>
      <c r="HC116" s="436"/>
      <c r="HD116" s="436"/>
      <c r="HE116" s="436"/>
      <c r="HF116" s="436"/>
      <c r="HG116" s="436"/>
      <c r="HH116" s="436"/>
      <c r="HI116" s="436"/>
      <c r="HJ116" s="436"/>
      <c r="HK116" s="436"/>
      <c r="HL116" s="436"/>
      <c r="HM116" s="436"/>
      <c r="HN116" s="436"/>
      <c r="HO116" s="436"/>
      <c r="HP116" s="436"/>
      <c r="HQ116" s="436"/>
      <c r="HR116" s="436"/>
      <c r="HS116" s="436"/>
      <c r="HT116" s="436"/>
      <c r="HU116" s="436"/>
      <c r="HV116" s="436"/>
      <c r="HW116" s="436"/>
      <c r="HX116" s="436"/>
      <c r="HY116" s="436"/>
      <c r="HZ116" s="436"/>
      <c r="IA116" s="436"/>
      <c r="IB116" s="436"/>
      <c r="IC116" s="436"/>
      <c r="ID116" s="436"/>
      <c r="IE116" s="436"/>
      <c r="IF116" s="436"/>
      <c r="IG116" s="436"/>
      <c r="IH116" s="436"/>
      <c r="II116" s="436"/>
      <c r="IJ116" s="436"/>
      <c r="IK116" s="436"/>
      <c r="IL116" s="436"/>
      <c r="IM116" s="436"/>
      <c r="IN116" s="436"/>
      <c r="IO116" s="436"/>
      <c r="IP116" s="436"/>
      <c r="IQ116" s="265"/>
      <c r="IR116" s="265"/>
    </row>
    <row r="117" spans="1:252" s="461" customFormat="1" x14ac:dyDescent="0.35">
      <c r="A117" s="685"/>
      <c r="B117" s="503"/>
      <c r="C117" s="503"/>
      <c r="D117" s="439"/>
      <c r="E117" s="686"/>
      <c r="J117" s="1591"/>
      <c r="M117" s="436"/>
      <c r="N117" s="436"/>
      <c r="O117" s="436"/>
      <c r="P117" s="436"/>
      <c r="Q117" s="436"/>
      <c r="R117" s="436"/>
      <c r="S117" s="436"/>
      <c r="T117" s="436"/>
      <c r="U117" s="436"/>
      <c r="V117" s="436"/>
      <c r="W117" s="436"/>
      <c r="X117" s="436"/>
      <c r="Y117" s="436"/>
      <c r="Z117" s="436"/>
      <c r="AA117" s="436"/>
      <c r="AB117" s="436"/>
      <c r="AC117" s="436"/>
      <c r="AD117" s="436"/>
      <c r="AE117" s="436"/>
      <c r="AF117" s="436"/>
      <c r="AG117" s="436"/>
      <c r="AH117" s="436"/>
      <c r="AI117" s="436"/>
      <c r="AJ117" s="436"/>
      <c r="AK117" s="436"/>
      <c r="AL117" s="436"/>
      <c r="AM117" s="436"/>
      <c r="AN117" s="436"/>
      <c r="AO117" s="436"/>
      <c r="AP117" s="436"/>
      <c r="AQ117" s="436"/>
      <c r="AR117" s="436"/>
      <c r="AS117" s="436"/>
      <c r="AT117" s="436"/>
      <c r="AU117" s="436"/>
      <c r="AV117" s="436"/>
      <c r="AW117" s="436"/>
      <c r="AX117" s="436"/>
      <c r="AY117" s="436"/>
      <c r="AZ117" s="436"/>
      <c r="BA117" s="436"/>
      <c r="BB117" s="436"/>
      <c r="BC117" s="436"/>
      <c r="BD117" s="436"/>
      <c r="BE117" s="436"/>
      <c r="BF117" s="436"/>
      <c r="BG117" s="436"/>
      <c r="BH117" s="436"/>
      <c r="BI117" s="436"/>
      <c r="BJ117" s="436"/>
      <c r="BK117" s="436"/>
      <c r="BL117" s="436"/>
      <c r="BM117" s="436"/>
      <c r="BN117" s="436"/>
      <c r="BO117" s="436"/>
      <c r="BP117" s="436"/>
      <c r="BQ117" s="436"/>
      <c r="BR117" s="436"/>
      <c r="BS117" s="436"/>
      <c r="BT117" s="436"/>
      <c r="BU117" s="436"/>
      <c r="BV117" s="436"/>
      <c r="BW117" s="436"/>
      <c r="BX117" s="436"/>
      <c r="BY117" s="436"/>
      <c r="BZ117" s="436"/>
      <c r="CA117" s="436"/>
      <c r="CB117" s="436"/>
      <c r="CC117" s="436"/>
      <c r="CD117" s="436"/>
      <c r="CE117" s="436"/>
      <c r="CF117" s="436"/>
      <c r="CG117" s="436"/>
      <c r="CH117" s="436"/>
      <c r="CI117" s="436"/>
      <c r="CJ117" s="436"/>
      <c r="CK117" s="436"/>
      <c r="CL117" s="436"/>
      <c r="CM117" s="436"/>
      <c r="CN117" s="436"/>
      <c r="CO117" s="436"/>
      <c r="CP117" s="436"/>
      <c r="CQ117" s="436"/>
      <c r="CR117" s="436"/>
      <c r="CS117" s="436"/>
      <c r="CT117" s="436"/>
      <c r="CU117" s="436"/>
      <c r="CV117" s="436"/>
      <c r="CW117" s="436"/>
      <c r="CX117" s="436"/>
      <c r="CY117" s="436"/>
      <c r="CZ117" s="436"/>
      <c r="DA117" s="436"/>
      <c r="DB117" s="436"/>
      <c r="DC117" s="436"/>
      <c r="DD117" s="436"/>
      <c r="DE117" s="436"/>
      <c r="DF117" s="436"/>
      <c r="DG117" s="436"/>
      <c r="DH117" s="436"/>
      <c r="DI117" s="436"/>
      <c r="DJ117" s="436"/>
      <c r="DK117" s="436"/>
      <c r="DL117" s="436"/>
      <c r="DM117" s="436"/>
      <c r="DN117" s="436"/>
      <c r="DO117" s="436"/>
      <c r="DP117" s="436"/>
      <c r="DQ117" s="436"/>
      <c r="DR117" s="436"/>
      <c r="DS117" s="436"/>
      <c r="DT117" s="436"/>
      <c r="DU117" s="436"/>
      <c r="DV117" s="436"/>
      <c r="DW117" s="436"/>
      <c r="DX117" s="436"/>
      <c r="DY117" s="436"/>
      <c r="DZ117" s="436"/>
      <c r="EA117" s="436"/>
      <c r="EB117" s="436"/>
      <c r="EC117" s="436"/>
      <c r="ED117" s="436"/>
      <c r="EE117" s="436"/>
      <c r="EF117" s="436"/>
      <c r="EG117" s="436"/>
      <c r="EH117" s="436"/>
      <c r="EI117" s="436"/>
      <c r="EJ117" s="436"/>
      <c r="EK117" s="436"/>
      <c r="EL117" s="436"/>
      <c r="EM117" s="436"/>
      <c r="EN117" s="436"/>
      <c r="EO117" s="436"/>
      <c r="EP117" s="436"/>
      <c r="EQ117" s="436"/>
      <c r="ER117" s="436"/>
      <c r="ES117" s="436"/>
      <c r="ET117" s="436"/>
      <c r="EU117" s="436"/>
      <c r="EV117" s="436"/>
      <c r="EW117" s="436"/>
      <c r="EX117" s="436"/>
      <c r="EY117" s="436"/>
      <c r="EZ117" s="436"/>
      <c r="FA117" s="436"/>
      <c r="FB117" s="436"/>
      <c r="FC117" s="436"/>
      <c r="FD117" s="436"/>
      <c r="FE117" s="436"/>
      <c r="FF117" s="436"/>
      <c r="FG117" s="436"/>
      <c r="FH117" s="436"/>
      <c r="FI117" s="436"/>
      <c r="FJ117" s="436"/>
      <c r="FK117" s="436"/>
      <c r="FL117" s="436"/>
      <c r="FM117" s="436"/>
      <c r="FN117" s="436"/>
      <c r="FO117" s="436"/>
      <c r="FP117" s="436"/>
      <c r="FQ117" s="436"/>
      <c r="FR117" s="436"/>
      <c r="FS117" s="436"/>
      <c r="FT117" s="436"/>
      <c r="FU117" s="436"/>
      <c r="FV117" s="436"/>
      <c r="FW117" s="436"/>
      <c r="FX117" s="436"/>
      <c r="FY117" s="436"/>
      <c r="FZ117" s="436"/>
      <c r="GA117" s="436"/>
      <c r="GB117" s="436"/>
      <c r="GC117" s="436"/>
      <c r="GD117" s="436"/>
      <c r="GE117" s="436"/>
      <c r="GF117" s="436"/>
      <c r="GG117" s="436"/>
      <c r="GH117" s="436"/>
      <c r="GI117" s="436"/>
      <c r="GJ117" s="436"/>
      <c r="GK117" s="436"/>
      <c r="GL117" s="436"/>
      <c r="GM117" s="436"/>
      <c r="GN117" s="436"/>
      <c r="GO117" s="436"/>
      <c r="GP117" s="436"/>
      <c r="GQ117" s="436"/>
      <c r="GR117" s="436"/>
      <c r="GS117" s="436"/>
      <c r="GT117" s="436"/>
      <c r="GU117" s="436"/>
      <c r="GV117" s="436"/>
      <c r="GW117" s="436"/>
      <c r="GX117" s="436"/>
      <c r="GY117" s="436"/>
      <c r="GZ117" s="436"/>
      <c r="HA117" s="436"/>
      <c r="HB117" s="436"/>
      <c r="HC117" s="436"/>
      <c r="HD117" s="436"/>
      <c r="HE117" s="436"/>
      <c r="HF117" s="436"/>
      <c r="HG117" s="436"/>
      <c r="HH117" s="436"/>
      <c r="HI117" s="436"/>
      <c r="HJ117" s="436"/>
      <c r="HK117" s="436"/>
      <c r="HL117" s="436"/>
      <c r="HM117" s="436"/>
      <c r="HN117" s="436"/>
      <c r="HO117" s="436"/>
      <c r="HP117" s="436"/>
      <c r="HQ117" s="436"/>
      <c r="HR117" s="436"/>
      <c r="HS117" s="436"/>
      <c r="HT117" s="436"/>
      <c r="HU117" s="436"/>
      <c r="HV117" s="436"/>
      <c r="HW117" s="436"/>
      <c r="HX117" s="436"/>
      <c r="HY117" s="436"/>
      <c r="HZ117" s="436"/>
      <c r="IA117" s="436"/>
      <c r="IB117" s="436"/>
      <c r="IC117" s="436"/>
      <c r="ID117" s="436"/>
      <c r="IE117" s="436"/>
      <c r="IF117" s="436"/>
      <c r="IG117" s="436"/>
      <c r="IH117" s="436"/>
      <c r="II117" s="436"/>
      <c r="IJ117" s="436"/>
      <c r="IK117" s="436"/>
      <c r="IL117" s="436"/>
      <c r="IM117" s="436"/>
      <c r="IN117" s="436"/>
      <c r="IO117" s="436"/>
      <c r="IP117" s="436"/>
      <c r="IQ117" s="265"/>
      <c r="IR117" s="265"/>
    </row>
    <row r="118" spans="1:252" s="461" customFormat="1" x14ac:dyDescent="0.35">
      <c r="A118" s="685"/>
      <c r="B118" s="503"/>
      <c r="C118" s="503"/>
      <c r="D118" s="439"/>
      <c r="E118" s="686"/>
      <c r="J118" s="1591"/>
      <c r="M118" s="436"/>
      <c r="N118" s="436"/>
      <c r="O118" s="436"/>
      <c r="P118" s="436"/>
      <c r="Q118" s="436"/>
      <c r="R118" s="436"/>
      <c r="S118" s="436"/>
      <c r="T118" s="436"/>
      <c r="U118" s="436"/>
      <c r="V118" s="436"/>
      <c r="W118" s="436"/>
      <c r="X118" s="436"/>
      <c r="Y118" s="436"/>
      <c r="Z118" s="436"/>
      <c r="AA118" s="436"/>
      <c r="AB118" s="436"/>
      <c r="AC118" s="436"/>
      <c r="AD118" s="436"/>
      <c r="AE118" s="436"/>
      <c r="AF118" s="436"/>
      <c r="AG118" s="436"/>
      <c r="AH118" s="436"/>
      <c r="AI118" s="436"/>
      <c r="AJ118" s="436"/>
      <c r="AK118" s="436"/>
      <c r="AL118" s="436"/>
      <c r="AM118" s="436"/>
      <c r="AN118" s="436"/>
      <c r="AO118" s="436"/>
      <c r="AP118" s="436"/>
      <c r="AQ118" s="436"/>
      <c r="AR118" s="436"/>
      <c r="AS118" s="436"/>
      <c r="AT118" s="436"/>
      <c r="AU118" s="436"/>
      <c r="AV118" s="436"/>
      <c r="AW118" s="436"/>
      <c r="AX118" s="436"/>
      <c r="AY118" s="436"/>
      <c r="AZ118" s="436"/>
      <c r="BA118" s="436"/>
      <c r="BB118" s="436"/>
      <c r="BC118" s="436"/>
      <c r="BD118" s="436"/>
      <c r="BE118" s="436"/>
      <c r="BF118" s="436"/>
      <c r="BG118" s="436"/>
      <c r="BH118" s="436"/>
      <c r="BI118" s="436"/>
      <c r="BJ118" s="436"/>
      <c r="BK118" s="436"/>
      <c r="BL118" s="436"/>
      <c r="BM118" s="436"/>
      <c r="BN118" s="436"/>
      <c r="BO118" s="436"/>
      <c r="BP118" s="436"/>
      <c r="BQ118" s="436"/>
      <c r="BR118" s="436"/>
      <c r="BS118" s="436"/>
      <c r="BT118" s="436"/>
      <c r="BU118" s="436"/>
      <c r="BV118" s="436"/>
      <c r="BW118" s="436"/>
      <c r="BX118" s="436"/>
      <c r="BY118" s="436"/>
      <c r="BZ118" s="436"/>
      <c r="CA118" s="436"/>
      <c r="CB118" s="436"/>
      <c r="CC118" s="436"/>
      <c r="CD118" s="436"/>
      <c r="CE118" s="436"/>
      <c r="CF118" s="436"/>
      <c r="CG118" s="436"/>
      <c r="CH118" s="436"/>
      <c r="CI118" s="436"/>
      <c r="CJ118" s="436"/>
      <c r="CK118" s="436"/>
      <c r="CL118" s="436"/>
      <c r="CM118" s="436"/>
      <c r="CN118" s="436"/>
      <c r="CO118" s="436"/>
      <c r="CP118" s="436"/>
      <c r="CQ118" s="436"/>
      <c r="CR118" s="436"/>
      <c r="CS118" s="436"/>
      <c r="CT118" s="436"/>
      <c r="CU118" s="436"/>
      <c r="CV118" s="436"/>
      <c r="CW118" s="436"/>
      <c r="CX118" s="436"/>
      <c r="CY118" s="436"/>
      <c r="CZ118" s="436"/>
      <c r="DA118" s="436"/>
      <c r="DB118" s="436"/>
      <c r="DC118" s="436"/>
      <c r="DD118" s="436"/>
      <c r="DE118" s="436"/>
      <c r="DF118" s="436"/>
      <c r="DG118" s="436"/>
      <c r="DH118" s="436"/>
      <c r="DI118" s="436"/>
      <c r="DJ118" s="436"/>
      <c r="DK118" s="436"/>
      <c r="DL118" s="436"/>
      <c r="DM118" s="436"/>
      <c r="DN118" s="436"/>
      <c r="DO118" s="436"/>
      <c r="DP118" s="436"/>
      <c r="DQ118" s="436"/>
      <c r="DR118" s="436"/>
      <c r="DS118" s="436"/>
      <c r="DT118" s="436"/>
      <c r="DU118" s="436"/>
      <c r="DV118" s="436"/>
      <c r="DW118" s="436"/>
      <c r="DX118" s="436"/>
      <c r="DY118" s="436"/>
      <c r="DZ118" s="436"/>
      <c r="EA118" s="436"/>
      <c r="EB118" s="436"/>
      <c r="EC118" s="436"/>
      <c r="ED118" s="436"/>
      <c r="EE118" s="436"/>
      <c r="EF118" s="436"/>
      <c r="EG118" s="436"/>
      <c r="EH118" s="436"/>
      <c r="EI118" s="436"/>
      <c r="EJ118" s="436"/>
      <c r="EK118" s="436"/>
      <c r="EL118" s="436"/>
      <c r="EM118" s="436"/>
      <c r="EN118" s="436"/>
      <c r="EO118" s="436"/>
      <c r="EP118" s="436"/>
      <c r="EQ118" s="436"/>
      <c r="ER118" s="436"/>
      <c r="ES118" s="436"/>
      <c r="ET118" s="436"/>
      <c r="EU118" s="436"/>
      <c r="EV118" s="436"/>
      <c r="EW118" s="436"/>
      <c r="EX118" s="436"/>
      <c r="EY118" s="436"/>
      <c r="EZ118" s="436"/>
      <c r="FA118" s="436"/>
      <c r="FB118" s="436"/>
      <c r="FC118" s="436"/>
      <c r="FD118" s="436"/>
      <c r="FE118" s="436"/>
      <c r="FF118" s="436"/>
      <c r="FG118" s="436"/>
      <c r="FH118" s="436"/>
      <c r="FI118" s="436"/>
      <c r="FJ118" s="436"/>
      <c r="FK118" s="436"/>
      <c r="FL118" s="436"/>
      <c r="FM118" s="436"/>
      <c r="FN118" s="436"/>
      <c r="FO118" s="436"/>
      <c r="FP118" s="436"/>
      <c r="FQ118" s="436"/>
      <c r="FR118" s="436"/>
      <c r="FS118" s="436"/>
      <c r="FT118" s="436"/>
      <c r="FU118" s="436"/>
      <c r="FV118" s="436"/>
      <c r="FW118" s="436"/>
      <c r="FX118" s="436"/>
      <c r="FY118" s="436"/>
      <c r="FZ118" s="436"/>
      <c r="GA118" s="436"/>
      <c r="GB118" s="436"/>
      <c r="GC118" s="436"/>
      <c r="GD118" s="436"/>
      <c r="GE118" s="436"/>
      <c r="GF118" s="436"/>
      <c r="GG118" s="436"/>
      <c r="GH118" s="436"/>
      <c r="GI118" s="436"/>
      <c r="GJ118" s="436"/>
      <c r="GK118" s="436"/>
      <c r="GL118" s="436"/>
      <c r="GM118" s="436"/>
      <c r="GN118" s="436"/>
      <c r="GO118" s="436"/>
      <c r="GP118" s="436"/>
      <c r="GQ118" s="436"/>
      <c r="GR118" s="436"/>
      <c r="GS118" s="436"/>
      <c r="GT118" s="436"/>
      <c r="GU118" s="436"/>
      <c r="GV118" s="436"/>
      <c r="GW118" s="436"/>
      <c r="GX118" s="436"/>
      <c r="GY118" s="436"/>
      <c r="GZ118" s="436"/>
      <c r="HA118" s="436"/>
      <c r="HB118" s="436"/>
      <c r="HC118" s="436"/>
      <c r="HD118" s="436"/>
      <c r="HE118" s="436"/>
      <c r="HF118" s="436"/>
      <c r="HG118" s="436"/>
      <c r="HH118" s="436"/>
      <c r="HI118" s="436"/>
      <c r="HJ118" s="436"/>
      <c r="HK118" s="436"/>
      <c r="HL118" s="436"/>
      <c r="HM118" s="436"/>
      <c r="HN118" s="436"/>
      <c r="HO118" s="436"/>
      <c r="HP118" s="436"/>
      <c r="HQ118" s="436"/>
      <c r="HR118" s="436"/>
      <c r="HS118" s="436"/>
      <c r="HT118" s="436"/>
      <c r="HU118" s="436"/>
      <c r="HV118" s="436"/>
      <c r="HW118" s="436"/>
      <c r="HX118" s="436"/>
      <c r="HY118" s="436"/>
      <c r="HZ118" s="436"/>
      <c r="IA118" s="436"/>
      <c r="IB118" s="436"/>
      <c r="IC118" s="436"/>
      <c r="ID118" s="436"/>
      <c r="IE118" s="436"/>
      <c r="IF118" s="436"/>
      <c r="IG118" s="436"/>
      <c r="IH118" s="436"/>
      <c r="II118" s="436"/>
      <c r="IJ118" s="436"/>
      <c r="IK118" s="436"/>
      <c r="IL118" s="436"/>
      <c r="IM118" s="436"/>
      <c r="IN118" s="436"/>
      <c r="IO118" s="436"/>
      <c r="IP118" s="436"/>
      <c r="IQ118" s="265"/>
      <c r="IR118" s="265"/>
    </row>
    <row r="119" spans="1:252" s="461" customFormat="1" x14ac:dyDescent="0.35">
      <c r="A119" s="685"/>
      <c r="B119" s="503"/>
      <c r="C119" s="503"/>
      <c r="D119" s="439"/>
      <c r="E119" s="686"/>
      <c r="J119" s="1591"/>
      <c r="M119" s="436"/>
      <c r="N119" s="436"/>
      <c r="O119" s="436"/>
      <c r="P119" s="436"/>
      <c r="Q119" s="436"/>
      <c r="R119" s="436"/>
      <c r="S119" s="436"/>
      <c r="T119" s="436"/>
      <c r="U119" s="436"/>
      <c r="V119" s="436"/>
      <c r="W119" s="436"/>
      <c r="X119" s="436"/>
      <c r="Y119" s="436"/>
      <c r="Z119" s="436"/>
      <c r="AA119" s="436"/>
      <c r="AB119" s="436"/>
      <c r="AC119" s="436"/>
      <c r="AD119" s="436"/>
      <c r="AE119" s="436"/>
      <c r="AF119" s="436"/>
      <c r="AG119" s="436"/>
      <c r="AH119" s="436"/>
      <c r="AI119" s="436"/>
      <c r="AJ119" s="436"/>
      <c r="AK119" s="436"/>
      <c r="AL119" s="436"/>
      <c r="AM119" s="436"/>
      <c r="AN119" s="436"/>
      <c r="AO119" s="436"/>
      <c r="AP119" s="436"/>
      <c r="AQ119" s="436"/>
      <c r="AR119" s="436"/>
      <c r="AS119" s="436"/>
      <c r="AT119" s="436"/>
      <c r="AU119" s="436"/>
      <c r="AV119" s="436"/>
      <c r="AW119" s="436"/>
      <c r="AX119" s="436"/>
      <c r="AY119" s="436"/>
      <c r="AZ119" s="436"/>
      <c r="BA119" s="436"/>
      <c r="BB119" s="436"/>
      <c r="BC119" s="436"/>
      <c r="BD119" s="436"/>
      <c r="BE119" s="436"/>
      <c r="BF119" s="436"/>
      <c r="BG119" s="436"/>
      <c r="BH119" s="436"/>
      <c r="BI119" s="436"/>
      <c r="BJ119" s="436"/>
      <c r="BK119" s="436"/>
      <c r="BL119" s="436"/>
      <c r="BM119" s="436"/>
      <c r="BN119" s="436"/>
      <c r="BO119" s="436"/>
      <c r="BP119" s="436"/>
      <c r="BQ119" s="436"/>
      <c r="BR119" s="436"/>
      <c r="BS119" s="436"/>
      <c r="BT119" s="436"/>
      <c r="BU119" s="436"/>
      <c r="BV119" s="436"/>
      <c r="BW119" s="436"/>
      <c r="BX119" s="436"/>
      <c r="BY119" s="436"/>
      <c r="BZ119" s="436"/>
      <c r="CA119" s="436"/>
      <c r="CB119" s="436"/>
      <c r="CC119" s="436"/>
      <c r="CD119" s="436"/>
      <c r="CE119" s="436"/>
      <c r="CF119" s="436"/>
      <c r="CG119" s="436"/>
      <c r="CH119" s="436"/>
      <c r="CI119" s="436"/>
      <c r="CJ119" s="436"/>
      <c r="CK119" s="436"/>
      <c r="CL119" s="436"/>
      <c r="CM119" s="436"/>
      <c r="CN119" s="436"/>
      <c r="CO119" s="436"/>
      <c r="CP119" s="436"/>
      <c r="CQ119" s="436"/>
      <c r="CR119" s="436"/>
      <c r="CS119" s="436"/>
      <c r="CT119" s="436"/>
      <c r="CU119" s="436"/>
      <c r="CV119" s="436"/>
      <c r="CW119" s="436"/>
      <c r="CX119" s="436"/>
      <c r="CY119" s="436"/>
      <c r="CZ119" s="436"/>
      <c r="DA119" s="436"/>
      <c r="DB119" s="436"/>
      <c r="DC119" s="436"/>
      <c r="DD119" s="436"/>
      <c r="DE119" s="436"/>
      <c r="DF119" s="436"/>
      <c r="DG119" s="436"/>
      <c r="DH119" s="436"/>
      <c r="DI119" s="436"/>
      <c r="DJ119" s="436"/>
      <c r="DK119" s="436"/>
      <c r="DL119" s="436"/>
      <c r="DM119" s="436"/>
      <c r="DN119" s="436"/>
      <c r="DO119" s="436"/>
      <c r="DP119" s="436"/>
      <c r="DQ119" s="436"/>
      <c r="DR119" s="436"/>
      <c r="DS119" s="436"/>
      <c r="DT119" s="436"/>
      <c r="DU119" s="436"/>
      <c r="DV119" s="436"/>
      <c r="DW119" s="436"/>
      <c r="DX119" s="436"/>
      <c r="DY119" s="436"/>
      <c r="DZ119" s="436"/>
      <c r="EA119" s="436"/>
      <c r="EB119" s="436"/>
      <c r="EC119" s="436"/>
      <c r="ED119" s="436"/>
      <c r="EE119" s="436"/>
      <c r="EF119" s="436"/>
      <c r="EG119" s="436"/>
      <c r="EH119" s="436"/>
      <c r="EI119" s="436"/>
      <c r="EJ119" s="436"/>
      <c r="EK119" s="436"/>
      <c r="EL119" s="436"/>
      <c r="EM119" s="436"/>
      <c r="EN119" s="436"/>
      <c r="EO119" s="436"/>
      <c r="EP119" s="436"/>
      <c r="EQ119" s="436"/>
      <c r="ER119" s="436"/>
      <c r="ES119" s="436"/>
      <c r="ET119" s="436"/>
      <c r="EU119" s="436"/>
      <c r="EV119" s="436"/>
      <c r="EW119" s="436"/>
      <c r="EX119" s="436"/>
      <c r="EY119" s="436"/>
      <c r="EZ119" s="436"/>
      <c r="FA119" s="436"/>
      <c r="FB119" s="436"/>
      <c r="FC119" s="436"/>
      <c r="FD119" s="436"/>
      <c r="FE119" s="436"/>
      <c r="FF119" s="436"/>
      <c r="FG119" s="436"/>
      <c r="FH119" s="436"/>
      <c r="FI119" s="436"/>
      <c r="FJ119" s="436"/>
      <c r="FK119" s="436"/>
      <c r="FL119" s="436"/>
      <c r="FM119" s="436"/>
      <c r="FN119" s="436"/>
      <c r="FO119" s="436"/>
      <c r="FP119" s="436"/>
      <c r="FQ119" s="436"/>
      <c r="FR119" s="436"/>
      <c r="FS119" s="436"/>
      <c r="FT119" s="436"/>
      <c r="FU119" s="436"/>
      <c r="FV119" s="436"/>
      <c r="FW119" s="436"/>
      <c r="FX119" s="436"/>
      <c r="FY119" s="436"/>
      <c r="FZ119" s="436"/>
      <c r="GA119" s="436"/>
      <c r="GB119" s="436"/>
      <c r="GC119" s="436"/>
      <c r="GD119" s="436"/>
      <c r="GE119" s="436"/>
      <c r="GF119" s="436"/>
      <c r="GG119" s="436"/>
      <c r="GH119" s="436"/>
      <c r="GI119" s="436"/>
      <c r="GJ119" s="436"/>
      <c r="GK119" s="436"/>
      <c r="GL119" s="436"/>
      <c r="GM119" s="436"/>
      <c r="GN119" s="436"/>
      <c r="GO119" s="436"/>
      <c r="GP119" s="436"/>
      <c r="GQ119" s="436"/>
      <c r="GR119" s="436"/>
      <c r="GS119" s="436"/>
      <c r="GT119" s="436"/>
      <c r="GU119" s="436"/>
      <c r="GV119" s="436"/>
      <c r="GW119" s="436"/>
      <c r="GX119" s="436"/>
      <c r="GY119" s="436"/>
      <c r="GZ119" s="436"/>
      <c r="HA119" s="436"/>
      <c r="HB119" s="436"/>
      <c r="HC119" s="436"/>
      <c r="HD119" s="436"/>
      <c r="HE119" s="436"/>
      <c r="HF119" s="436"/>
      <c r="HG119" s="436"/>
      <c r="HH119" s="436"/>
      <c r="HI119" s="436"/>
      <c r="HJ119" s="436"/>
      <c r="HK119" s="436"/>
      <c r="HL119" s="436"/>
      <c r="HM119" s="436"/>
      <c r="HN119" s="436"/>
      <c r="HO119" s="436"/>
      <c r="HP119" s="436"/>
      <c r="HQ119" s="436"/>
      <c r="HR119" s="436"/>
      <c r="HS119" s="436"/>
      <c r="HT119" s="436"/>
      <c r="HU119" s="436"/>
      <c r="HV119" s="436"/>
      <c r="HW119" s="436"/>
      <c r="HX119" s="436"/>
      <c r="HY119" s="436"/>
      <c r="HZ119" s="436"/>
      <c r="IA119" s="436"/>
      <c r="IB119" s="436"/>
      <c r="IC119" s="436"/>
      <c r="ID119" s="436"/>
      <c r="IE119" s="436"/>
      <c r="IF119" s="436"/>
      <c r="IG119" s="436"/>
      <c r="IH119" s="436"/>
      <c r="II119" s="436"/>
      <c r="IJ119" s="436"/>
      <c r="IK119" s="436"/>
      <c r="IL119" s="436"/>
      <c r="IM119" s="436"/>
      <c r="IN119" s="436"/>
      <c r="IO119" s="436"/>
      <c r="IP119" s="436"/>
      <c r="IQ119" s="265"/>
      <c r="IR119" s="265"/>
    </row>
    <row r="120" spans="1:252" s="461" customFormat="1" x14ac:dyDescent="0.35">
      <c r="A120" s="685"/>
      <c r="B120" s="503"/>
      <c r="C120" s="503"/>
      <c r="D120" s="439"/>
      <c r="E120" s="686"/>
      <c r="J120" s="1591"/>
      <c r="M120" s="436"/>
      <c r="N120" s="436"/>
      <c r="O120" s="436"/>
      <c r="P120" s="436"/>
      <c r="Q120" s="436"/>
      <c r="R120" s="436"/>
      <c r="S120" s="436"/>
      <c r="T120" s="436"/>
      <c r="U120" s="436"/>
      <c r="V120" s="436"/>
      <c r="W120" s="436"/>
      <c r="X120" s="436"/>
      <c r="Y120" s="436"/>
      <c r="Z120" s="436"/>
      <c r="AA120" s="436"/>
      <c r="AB120" s="436"/>
      <c r="AC120" s="436"/>
      <c r="AD120" s="436"/>
      <c r="AE120" s="436"/>
      <c r="AF120" s="436"/>
      <c r="AG120" s="436"/>
      <c r="AH120" s="436"/>
      <c r="AI120" s="436"/>
      <c r="AJ120" s="436"/>
      <c r="AK120" s="436"/>
      <c r="AL120" s="436"/>
      <c r="AM120" s="436"/>
      <c r="AN120" s="436"/>
      <c r="AO120" s="436"/>
      <c r="AP120" s="436"/>
      <c r="AQ120" s="436"/>
      <c r="AR120" s="436"/>
      <c r="AS120" s="436"/>
      <c r="AT120" s="436"/>
      <c r="AU120" s="436"/>
      <c r="AV120" s="436"/>
      <c r="AW120" s="436"/>
      <c r="AX120" s="436"/>
      <c r="AY120" s="436"/>
      <c r="AZ120" s="436"/>
      <c r="BA120" s="436"/>
      <c r="BB120" s="436"/>
      <c r="BC120" s="436"/>
      <c r="BD120" s="436"/>
      <c r="BE120" s="436"/>
      <c r="BF120" s="436"/>
      <c r="BG120" s="436"/>
      <c r="BH120" s="436"/>
      <c r="BI120" s="436"/>
      <c r="BJ120" s="436"/>
      <c r="BK120" s="436"/>
      <c r="BL120" s="436"/>
      <c r="BM120" s="436"/>
      <c r="BN120" s="436"/>
      <c r="BO120" s="436"/>
      <c r="BP120" s="436"/>
      <c r="BQ120" s="436"/>
      <c r="BR120" s="436"/>
      <c r="BS120" s="436"/>
      <c r="BT120" s="436"/>
      <c r="BU120" s="436"/>
      <c r="BV120" s="436"/>
      <c r="BW120" s="436"/>
      <c r="BX120" s="436"/>
      <c r="BY120" s="436"/>
      <c r="BZ120" s="436"/>
      <c r="CA120" s="436"/>
      <c r="CB120" s="436"/>
      <c r="CC120" s="436"/>
      <c r="CD120" s="436"/>
      <c r="CE120" s="436"/>
      <c r="CF120" s="436"/>
      <c r="CG120" s="436"/>
      <c r="CH120" s="436"/>
      <c r="CI120" s="436"/>
      <c r="CJ120" s="436"/>
      <c r="CK120" s="436"/>
      <c r="CL120" s="436"/>
      <c r="CM120" s="436"/>
      <c r="CN120" s="436"/>
      <c r="CO120" s="436"/>
      <c r="CP120" s="436"/>
      <c r="CQ120" s="436"/>
      <c r="CR120" s="436"/>
      <c r="CS120" s="436"/>
      <c r="CT120" s="436"/>
      <c r="CU120" s="436"/>
      <c r="CV120" s="436"/>
      <c r="CW120" s="436"/>
      <c r="CX120" s="436"/>
      <c r="CY120" s="436"/>
      <c r="CZ120" s="436"/>
      <c r="DA120" s="436"/>
      <c r="DB120" s="436"/>
      <c r="DC120" s="436"/>
      <c r="DD120" s="436"/>
      <c r="DE120" s="436"/>
      <c r="DF120" s="436"/>
      <c r="DG120" s="436"/>
      <c r="DH120" s="436"/>
      <c r="DI120" s="436"/>
      <c r="DJ120" s="436"/>
      <c r="DK120" s="436"/>
      <c r="DL120" s="436"/>
      <c r="DM120" s="436"/>
      <c r="DN120" s="436"/>
      <c r="DO120" s="436"/>
      <c r="DP120" s="436"/>
      <c r="DQ120" s="436"/>
      <c r="DR120" s="436"/>
      <c r="DS120" s="436"/>
      <c r="DT120" s="436"/>
      <c r="DU120" s="436"/>
      <c r="DV120" s="436"/>
      <c r="DW120" s="436"/>
      <c r="DX120" s="436"/>
      <c r="DY120" s="436"/>
      <c r="DZ120" s="436"/>
      <c r="EA120" s="436"/>
      <c r="EB120" s="436"/>
      <c r="EC120" s="436"/>
      <c r="ED120" s="436"/>
      <c r="EE120" s="436"/>
      <c r="EF120" s="436"/>
      <c r="EG120" s="436"/>
      <c r="EH120" s="436"/>
      <c r="EI120" s="436"/>
      <c r="EJ120" s="436"/>
      <c r="EK120" s="436"/>
      <c r="EL120" s="436"/>
      <c r="EM120" s="436"/>
      <c r="EN120" s="436"/>
      <c r="EO120" s="436"/>
      <c r="EP120" s="436"/>
      <c r="EQ120" s="436"/>
      <c r="ER120" s="436"/>
      <c r="ES120" s="436"/>
      <c r="ET120" s="436"/>
      <c r="EU120" s="436"/>
      <c r="EV120" s="436"/>
      <c r="EW120" s="436"/>
      <c r="EX120" s="436"/>
      <c r="EY120" s="436"/>
      <c r="EZ120" s="436"/>
      <c r="FA120" s="436"/>
      <c r="FB120" s="436"/>
      <c r="FC120" s="436"/>
      <c r="FD120" s="436"/>
      <c r="FE120" s="436"/>
      <c r="FF120" s="436"/>
      <c r="FG120" s="436"/>
      <c r="FH120" s="436"/>
      <c r="FI120" s="436"/>
      <c r="FJ120" s="436"/>
      <c r="FK120" s="436"/>
      <c r="FL120" s="436"/>
      <c r="FM120" s="436"/>
      <c r="FN120" s="436"/>
      <c r="FO120" s="436"/>
      <c r="FP120" s="436"/>
      <c r="FQ120" s="436"/>
      <c r="FR120" s="436"/>
      <c r="FS120" s="436"/>
      <c r="FT120" s="436"/>
      <c r="FU120" s="436"/>
      <c r="FV120" s="436"/>
      <c r="FW120" s="436"/>
      <c r="FX120" s="436"/>
      <c r="FY120" s="436"/>
      <c r="FZ120" s="436"/>
      <c r="GA120" s="436"/>
      <c r="GB120" s="436"/>
      <c r="GC120" s="436"/>
      <c r="GD120" s="436"/>
      <c r="GE120" s="436"/>
      <c r="GF120" s="436"/>
      <c r="GG120" s="436"/>
      <c r="GH120" s="436"/>
      <c r="GI120" s="436"/>
      <c r="GJ120" s="436"/>
      <c r="GK120" s="436"/>
      <c r="GL120" s="436"/>
      <c r="GM120" s="436"/>
      <c r="GN120" s="436"/>
      <c r="GO120" s="436"/>
      <c r="GP120" s="436"/>
      <c r="GQ120" s="436"/>
      <c r="GR120" s="436"/>
      <c r="GS120" s="436"/>
      <c r="GT120" s="436"/>
      <c r="GU120" s="436"/>
      <c r="GV120" s="436"/>
      <c r="GW120" s="436"/>
      <c r="GX120" s="436"/>
      <c r="GY120" s="436"/>
      <c r="GZ120" s="436"/>
      <c r="HA120" s="436"/>
      <c r="HB120" s="436"/>
      <c r="HC120" s="436"/>
      <c r="HD120" s="436"/>
      <c r="HE120" s="436"/>
      <c r="HF120" s="436"/>
      <c r="HG120" s="436"/>
      <c r="HH120" s="436"/>
      <c r="HI120" s="436"/>
      <c r="HJ120" s="436"/>
      <c r="HK120" s="436"/>
      <c r="HL120" s="436"/>
      <c r="HM120" s="436"/>
      <c r="HN120" s="436"/>
      <c r="HO120" s="436"/>
      <c r="HP120" s="436"/>
      <c r="HQ120" s="436"/>
      <c r="HR120" s="436"/>
      <c r="HS120" s="436"/>
      <c r="HT120" s="436"/>
      <c r="HU120" s="436"/>
      <c r="HV120" s="436"/>
      <c r="HW120" s="436"/>
      <c r="HX120" s="436"/>
      <c r="HY120" s="436"/>
      <c r="HZ120" s="436"/>
      <c r="IA120" s="436"/>
      <c r="IB120" s="436"/>
      <c r="IC120" s="436"/>
      <c r="ID120" s="436"/>
      <c r="IE120" s="436"/>
      <c r="IF120" s="436"/>
      <c r="IG120" s="436"/>
      <c r="IH120" s="436"/>
      <c r="II120" s="436"/>
      <c r="IJ120" s="436"/>
      <c r="IK120" s="436"/>
      <c r="IL120" s="436"/>
      <c r="IM120" s="436"/>
      <c r="IN120" s="436"/>
      <c r="IO120" s="436"/>
      <c r="IP120" s="436"/>
      <c r="IQ120" s="265"/>
      <c r="IR120" s="265"/>
    </row>
    <row r="121" spans="1:252" s="461" customFormat="1" x14ac:dyDescent="0.35">
      <c r="A121" s="685"/>
      <c r="B121" s="503"/>
      <c r="C121" s="503"/>
      <c r="D121" s="439"/>
      <c r="E121" s="686"/>
      <c r="J121" s="1591"/>
      <c r="M121" s="436"/>
      <c r="N121" s="436"/>
      <c r="O121" s="436"/>
      <c r="P121" s="436"/>
      <c r="Q121" s="436"/>
      <c r="R121" s="436"/>
      <c r="S121" s="436"/>
      <c r="T121" s="436"/>
      <c r="U121" s="436"/>
      <c r="V121" s="436"/>
      <c r="W121" s="436"/>
      <c r="X121" s="436"/>
      <c r="Y121" s="436"/>
      <c r="Z121" s="436"/>
      <c r="AA121" s="436"/>
      <c r="AB121" s="436"/>
      <c r="AC121" s="436"/>
      <c r="AD121" s="436"/>
      <c r="AE121" s="436"/>
      <c r="AF121" s="436"/>
      <c r="AG121" s="436"/>
      <c r="AH121" s="436"/>
      <c r="AI121" s="436"/>
      <c r="AJ121" s="436"/>
      <c r="AK121" s="436"/>
      <c r="AL121" s="436"/>
      <c r="AM121" s="436"/>
      <c r="AN121" s="436"/>
      <c r="AO121" s="436"/>
      <c r="AP121" s="436"/>
      <c r="AQ121" s="436"/>
      <c r="AR121" s="436"/>
      <c r="AS121" s="436"/>
      <c r="AT121" s="436"/>
      <c r="AU121" s="436"/>
      <c r="AV121" s="436"/>
      <c r="AW121" s="436"/>
      <c r="AX121" s="436"/>
      <c r="AY121" s="436"/>
      <c r="AZ121" s="436"/>
      <c r="BA121" s="436"/>
      <c r="BB121" s="436"/>
      <c r="BC121" s="436"/>
      <c r="BD121" s="436"/>
      <c r="BE121" s="436"/>
      <c r="BF121" s="436"/>
      <c r="BG121" s="436"/>
      <c r="BH121" s="436"/>
      <c r="BI121" s="436"/>
      <c r="BJ121" s="436"/>
      <c r="BK121" s="436"/>
      <c r="BL121" s="436"/>
      <c r="BM121" s="436"/>
      <c r="BN121" s="436"/>
      <c r="BO121" s="436"/>
      <c r="BP121" s="436"/>
      <c r="BQ121" s="436"/>
      <c r="BR121" s="436"/>
      <c r="BS121" s="436"/>
      <c r="BT121" s="436"/>
      <c r="BU121" s="436"/>
      <c r="BV121" s="436"/>
      <c r="BW121" s="436"/>
      <c r="BX121" s="436"/>
      <c r="BY121" s="436"/>
      <c r="BZ121" s="436"/>
      <c r="CA121" s="436"/>
      <c r="CB121" s="436"/>
      <c r="CC121" s="436"/>
      <c r="CD121" s="436"/>
      <c r="CE121" s="436"/>
      <c r="CF121" s="436"/>
      <c r="CG121" s="436"/>
      <c r="CH121" s="436"/>
      <c r="CI121" s="436"/>
      <c r="CJ121" s="436"/>
      <c r="CK121" s="436"/>
      <c r="CL121" s="436"/>
      <c r="CM121" s="436"/>
      <c r="CN121" s="436"/>
      <c r="CO121" s="436"/>
      <c r="CP121" s="436"/>
      <c r="CQ121" s="436"/>
      <c r="CR121" s="436"/>
      <c r="CS121" s="436"/>
      <c r="CT121" s="436"/>
      <c r="CU121" s="436"/>
      <c r="CV121" s="436"/>
      <c r="CW121" s="436"/>
      <c r="CX121" s="436"/>
      <c r="CY121" s="436"/>
      <c r="CZ121" s="436"/>
      <c r="DA121" s="436"/>
      <c r="DB121" s="436"/>
      <c r="DC121" s="436"/>
      <c r="DD121" s="436"/>
      <c r="DE121" s="436"/>
      <c r="DF121" s="436"/>
      <c r="DG121" s="436"/>
      <c r="DH121" s="436"/>
      <c r="DI121" s="436"/>
      <c r="DJ121" s="436"/>
      <c r="DK121" s="436"/>
      <c r="DL121" s="436"/>
      <c r="DM121" s="436"/>
      <c r="DN121" s="436"/>
      <c r="DO121" s="436"/>
      <c r="DP121" s="436"/>
      <c r="DQ121" s="436"/>
      <c r="DR121" s="436"/>
      <c r="DS121" s="436"/>
      <c r="DT121" s="436"/>
      <c r="DU121" s="436"/>
      <c r="DV121" s="436"/>
      <c r="DW121" s="436"/>
      <c r="DX121" s="436"/>
      <c r="DY121" s="436"/>
      <c r="DZ121" s="436"/>
      <c r="EA121" s="436"/>
      <c r="EB121" s="436"/>
      <c r="EC121" s="436"/>
      <c r="ED121" s="436"/>
      <c r="EE121" s="436"/>
      <c r="EF121" s="436"/>
      <c r="EG121" s="436"/>
      <c r="EH121" s="436"/>
      <c r="EI121" s="436"/>
      <c r="EJ121" s="436"/>
      <c r="EK121" s="436"/>
      <c r="EL121" s="436"/>
      <c r="EM121" s="436"/>
      <c r="EN121" s="436"/>
      <c r="EO121" s="436"/>
      <c r="EP121" s="436"/>
      <c r="EQ121" s="436"/>
      <c r="ER121" s="436"/>
      <c r="ES121" s="436"/>
      <c r="ET121" s="436"/>
      <c r="EU121" s="436"/>
      <c r="EV121" s="436"/>
      <c r="EW121" s="436"/>
      <c r="EX121" s="436"/>
      <c r="EY121" s="436"/>
      <c r="EZ121" s="436"/>
      <c r="FA121" s="436"/>
      <c r="FB121" s="436"/>
      <c r="FC121" s="436"/>
      <c r="FD121" s="436"/>
      <c r="FE121" s="436"/>
      <c r="FF121" s="436"/>
      <c r="FG121" s="436"/>
      <c r="FH121" s="436"/>
      <c r="FI121" s="436"/>
      <c r="FJ121" s="436"/>
      <c r="FK121" s="436"/>
      <c r="FL121" s="436"/>
      <c r="FM121" s="436"/>
      <c r="FN121" s="436"/>
      <c r="FO121" s="436"/>
      <c r="FP121" s="436"/>
      <c r="FQ121" s="436"/>
      <c r="FR121" s="436"/>
      <c r="FS121" s="436"/>
      <c r="FT121" s="436"/>
      <c r="FU121" s="436"/>
      <c r="FV121" s="436"/>
      <c r="FW121" s="436"/>
      <c r="FX121" s="436"/>
      <c r="FY121" s="436"/>
      <c r="FZ121" s="436"/>
      <c r="GA121" s="436"/>
      <c r="GB121" s="436"/>
      <c r="GC121" s="436"/>
      <c r="GD121" s="436"/>
      <c r="GE121" s="436"/>
      <c r="GF121" s="436"/>
      <c r="GG121" s="436"/>
      <c r="GH121" s="436"/>
      <c r="GI121" s="436"/>
      <c r="GJ121" s="436"/>
      <c r="GK121" s="436"/>
      <c r="GL121" s="436"/>
      <c r="GM121" s="436"/>
      <c r="GN121" s="436"/>
      <c r="GO121" s="436"/>
      <c r="GP121" s="436"/>
      <c r="GQ121" s="436"/>
      <c r="GR121" s="436"/>
      <c r="GS121" s="436"/>
      <c r="GT121" s="436"/>
      <c r="GU121" s="436"/>
      <c r="GV121" s="436"/>
      <c r="GW121" s="436"/>
      <c r="GX121" s="436"/>
      <c r="GY121" s="436"/>
      <c r="GZ121" s="436"/>
      <c r="HA121" s="436"/>
      <c r="HB121" s="436"/>
      <c r="HC121" s="436"/>
      <c r="HD121" s="436"/>
      <c r="HE121" s="436"/>
      <c r="HF121" s="436"/>
      <c r="HG121" s="436"/>
      <c r="HH121" s="436"/>
      <c r="HI121" s="436"/>
      <c r="HJ121" s="436"/>
      <c r="HK121" s="436"/>
      <c r="HL121" s="436"/>
      <c r="HM121" s="436"/>
      <c r="HN121" s="436"/>
      <c r="HO121" s="436"/>
      <c r="HP121" s="436"/>
      <c r="HQ121" s="436"/>
      <c r="HR121" s="436"/>
      <c r="HS121" s="436"/>
      <c r="HT121" s="436"/>
      <c r="HU121" s="436"/>
      <c r="HV121" s="436"/>
      <c r="HW121" s="436"/>
      <c r="HX121" s="436"/>
      <c r="HY121" s="436"/>
      <c r="HZ121" s="436"/>
      <c r="IA121" s="436"/>
      <c r="IB121" s="436"/>
      <c r="IC121" s="436"/>
      <c r="ID121" s="436"/>
      <c r="IE121" s="436"/>
      <c r="IF121" s="436"/>
      <c r="IG121" s="436"/>
      <c r="IH121" s="436"/>
      <c r="II121" s="436"/>
      <c r="IJ121" s="436"/>
      <c r="IK121" s="436"/>
      <c r="IL121" s="436"/>
      <c r="IM121" s="436"/>
      <c r="IN121" s="436"/>
      <c r="IO121" s="436"/>
      <c r="IP121" s="436"/>
      <c r="IQ121" s="265"/>
      <c r="IR121" s="265"/>
    </row>
    <row r="122" spans="1:252" s="461" customFormat="1" x14ac:dyDescent="0.35">
      <c r="A122" s="685"/>
      <c r="B122" s="503"/>
      <c r="C122" s="503"/>
      <c r="D122" s="439"/>
      <c r="E122" s="686"/>
      <c r="J122" s="1591"/>
      <c r="M122" s="436"/>
      <c r="N122" s="436"/>
      <c r="O122" s="436"/>
      <c r="P122" s="436"/>
      <c r="Q122" s="436"/>
      <c r="R122" s="436"/>
      <c r="S122" s="436"/>
      <c r="T122" s="436"/>
      <c r="U122" s="436"/>
      <c r="V122" s="436"/>
      <c r="W122" s="436"/>
      <c r="X122" s="436"/>
      <c r="Y122" s="436"/>
      <c r="Z122" s="436"/>
      <c r="AA122" s="436"/>
      <c r="AB122" s="436"/>
      <c r="AC122" s="436"/>
      <c r="AD122" s="436"/>
      <c r="AE122" s="436"/>
      <c r="AF122" s="436"/>
      <c r="AG122" s="436"/>
      <c r="AH122" s="436"/>
      <c r="AI122" s="436"/>
      <c r="AJ122" s="436"/>
      <c r="AK122" s="436"/>
      <c r="AL122" s="436"/>
      <c r="AM122" s="436"/>
      <c r="AN122" s="436"/>
      <c r="AO122" s="436"/>
      <c r="AP122" s="436"/>
      <c r="AQ122" s="436"/>
      <c r="AR122" s="436"/>
      <c r="AS122" s="436"/>
      <c r="AT122" s="436"/>
      <c r="AU122" s="436"/>
      <c r="AV122" s="436"/>
      <c r="AW122" s="436"/>
      <c r="AX122" s="436"/>
      <c r="AY122" s="436"/>
      <c r="AZ122" s="436"/>
      <c r="BA122" s="436"/>
      <c r="BB122" s="436"/>
      <c r="BC122" s="436"/>
      <c r="BD122" s="436"/>
      <c r="BE122" s="436"/>
      <c r="BF122" s="436"/>
      <c r="BG122" s="436"/>
      <c r="BH122" s="436"/>
      <c r="BI122" s="436"/>
      <c r="BJ122" s="436"/>
      <c r="BK122" s="436"/>
      <c r="BL122" s="436"/>
      <c r="BM122" s="436"/>
      <c r="BN122" s="436"/>
      <c r="BO122" s="436"/>
      <c r="BP122" s="436"/>
      <c r="BQ122" s="436"/>
      <c r="BR122" s="436"/>
      <c r="BS122" s="436"/>
      <c r="BT122" s="436"/>
      <c r="BU122" s="436"/>
      <c r="BV122" s="436"/>
      <c r="BW122" s="436"/>
      <c r="BX122" s="436"/>
      <c r="BY122" s="436"/>
      <c r="BZ122" s="436"/>
      <c r="CA122" s="436"/>
      <c r="CB122" s="436"/>
      <c r="CC122" s="436"/>
      <c r="CD122" s="436"/>
      <c r="CE122" s="436"/>
      <c r="CF122" s="436"/>
      <c r="CG122" s="436"/>
      <c r="CH122" s="436"/>
      <c r="CI122" s="436"/>
      <c r="CJ122" s="436"/>
      <c r="CK122" s="436"/>
      <c r="CL122" s="436"/>
      <c r="CM122" s="436"/>
      <c r="CN122" s="436"/>
      <c r="CO122" s="436"/>
      <c r="CP122" s="436"/>
      <c r="CQ122" s="436"/>
      <c r="CR122" s="436"/>
      <c r="CS122" s="436"/>
      <c r="CT122" s="436"/>
      <c r="CU122" s="436"/>
      <c r="CV122" s="436"/>
      <c r="CW122" s="436"/>
      <c r="CX122" s="436"/>
      <c r="CY122" s="436"/>
      <c r="CZ122" s="436"/>
      <c r="DA122" s="436"/>
      <c r="DB122" s="436"/>
      <c r="DC122" s="436"/>
      <c r="DD122" s="436"/>
      <c r="DE122" s="436"/>
      <c r="DF122" s="436"/>
      <c r="DG122" s="436"/>
      <c r="DH122" s="436"/>
      <c r="DI122" s="436"/>
      <c r="DJ122" s="436"/>
      <c r="DK122" s="436"/>
      <c r="DL122" s="436"/>
      <c r="DM122" s="436"/>
      <c r="DN122" s="436"/>
      <c r="DO122" s="436"/>
      <c r="DP122" s="436"/>
      <c r="DQ122" s="436"/>
      <c r="DR122" s="436"/>
      <c r="DS122" s="436"/>
      <c r="DT122" s="436"/>
      <c r="DU122" s="436"/>
      <c r="DV122" s="436"/>
      <c r="DW122" s="436"/>
      <c r="DX122" s="436"/>
      <c r="DY122" s="436"/>
      <c r="DZ122" s="436"/>
      <c r="EA122" s="436"/>
      <c r="EB122" s="436"/>
      <c r="EC122" s="436"/>
      <c r="ED122" s="436"/>
      <c r="EE122" s="436"/>
      <c r="EF122" s="436"/>
      <c r="EG122" s="436"/>
      <c r="EH122" s="436"/>
      <c r="EI122" s="436"/>
      <c r="EJ122" s="436"/>
      <c r="EK122" s="436"/>
      <c r="EL122" s="436"/>
      <c r="EM122" s="436"/>
      <c r="EN122" s="436"/>
      <c r="EO122" s="436"/>
      <c r="EP122" s="436"/>
      <c r="EQ122" s="436"/>
      <c r="ER122" s="436"/>
      <c r="ES122" s="436"/>
      <c r="ET122" s="436"/>
      <c r="EU122" s="436"/>
      <c r="EV122" s="436"/>
      <c r="EW122" s="436"/>
      <c r="EX122" s="436"/>
      <c r="EY122" s="436"/>
      <c r="EZ122" s="436"/>
      <c r="FA122" s="436"/>
      <c r="FB122" s="436"/>
      <c r="FC122" s="436"/>
      <c r="FD122" s="436"/>
      <c r="FE122" s="436"/>
      <c r="FF122" s="436"/>
      <c r="FG122" s="436"/>
      <c r="FH122" s="436"/>
      <c r="FI122" s="436"/>
      <c r="FJ122" s="436"/>
      <c r="FK122" s="436"/>
      <c r="FL122" s="436"/>
      <c r="FM122" s="436"/>
      <c r="FN122" s="436"/>
      <c r="FO122" s="436"/>
      <c r="FP122" s="436"/>
      <c r="FQ122" s="436"/>
      <c r="FR122" s="436"/>
      <c r="FS122" s="436"/>
      <c r="FT122" s="436"/>
      <c r="FU122" s="436"/>
      <c r="FV122" s="436"/>
      <c r="FW122" s="436"/>
      <c r="FX122" s="436"/>
      <c r="FY122" s="436"/>
      <c r="FZ122" s="436"/>
      <c r="GA122" s="436"/>
      <c r="GB122" s="436"/>
      <c r="GC122" s="436"/>
      <c r="GD122" s="436"/>
      <c r="GE122" s="436"/>
      <c r="GF122" s="436"/>
      <c r="GG122" s="436"/>
      <c r="GH122" s="436"/>
      <c r="GI122" s="436"/>
      <c r="GJ122" s="436"/>
      <c r="GK122" s="436"/>
      <c r="GL122" s="436"/>
      <c r="GM122" s="436"/>
      <c r="GN122" s="436"/>
      <c r="GO122" s="436"/>
      <c r="GP122" s="436"/>
      <c r="GQ122" s="436"/>
      <c r="GR122" s="436"/>
      <c r="GS122" s="436"/>
      <c r="GT122" s="436"/>
      <c r="GU122" s="436"/>
      <c r="GV122" s="436"/>
      <c r="GW122" s="436"/>
      <c r="GX122" s="436"/>
      <c r="GY122" s="436"/>
      <c r="GZ122" s="436"/>
      <c r="HA122" s="436"/>
      <c r="HB122" s="436"/>
      <c r="HC122" s="436"/>
      <c r="HD122" s="436"/>
      <c r="HE122" s="436"/>
      <c r="HF122" s="436"/>
      <c r="HG122" s="436"/>
      <c r="HH122" s="436"/>
      <c r="HI122" s="436"/>
      <c r="HJ122" s="436"/>
      <c r="HK122" s="436"/>
      <c r="HL122" s="436"/>
      <c r="HM122" s="436"/>
      <c r="HN122" s="436"/>
      <c r="HO122" s="436"/>
      <c r="HP122" s="436"/>
      <c r="HQ122" s="436"/>
      <c r="HR122" s="436"/>
      <c r="HS122" s="436"/>
      <c r="HT122" s="436"/>
      <c r="HU122" s="436"/>
      <c r="HV122" s="436"/>
      <c r="HW122" s="436"/>
      <c r="HX122" s="436"/>
      <c r="HY122" s="436"/>
      <c r="HZ122" s="436"/>
      <c r="IA122" s="436"/>
      <c r="IB122" s="436"/>
      <c r="IC122" s="436"/>
      <c r="ID122" s="436"/>
      <c r="IE122" s="436"/>
      <c r="IF122" s="436"/>
      <c r="IG122" s="436"/>
      <c r="IH122" s="436"/>
      <c r="II122" s="436"/>
      <c r="IJ122" s="436"/>
      <c r="IK122" s="436"/>
      <c r="IL122" s="436"/>
      <c r="IM122" s="436"/>
      <c r="IN122" s="436"/>
      <c r="IO122" s="436"/>
      <c r="IP122" s="436"/>
      <c r="IQ122" s="265"/>
      <c r="IR122" s="265"/>
    </row>
    <row r="123" spans="1:252" s="461" customFormat="1" x14ac:dyDescent="0.35">
      <c r="A123" s="685"/>
      <c r="B123" s="503"/>
      <c r="C123" s="503"/>
      <c r="D123" s="439"/>
      <c r="E123" s="686"/>
      <c r="J123" s="1591"/>
      <c r="M123" s="436"/>
      <c r="N123" s="436"/>
      <c r="O123" s="436"/>
      <c r="P123" s="436"/>
      <c r="Q123" s="436"/>
      <c r="R123" s="436"/>
      <c r="S123" s="436"/>
      <c r="T123" s="436"/>
      <c r="U123" s="436"/>
      <c r="V123" s="436"/>
      <c r="W123" s="436"/>
      <c r="X123" s="436"/>
      <c r="Y123" s="436"/>
      <c r="Z123" s="436"/>
      <c r="AA123" s="436"/>
      <c r="AB123" s="436"/>
      <c r="AC123" s="436"/>
      <c r="AD123" s="436"/>
      <c r="AE123" s="436"/>
      <c r="AF123" s="436"/>
      <c r="AG123" s="436"/>
      <c r="AH123" s="436"/>
      <c r="AI123" s="436"/>
      <c r="AJ123" s="436"/>
      <c r="AK123" s="436"/>
      <c r="AL123" s="436"/>
      <c r="AM123" s="436"/>
      <c r="AN123" s="436"/>
      <c r="AO123" s="436"/>
      <c r="AP123" s="436"/>
      <c r="AQ123" s="436"/>
      <c r="AR123" s="436"/>
      <c r="AS123" s="436"/>
      <c r="AT123" s="436"/>
      <c r="AU123" s="436"/>
      <c r="AV123" s="436"/>
      <c r="AW123" s="436"/>
      <c r="AX123" s="436"/>
      <c r="AY123" s="436"/>
      <c r="AZ123" s="436"/>
      <c r="BA123" s="436"/>
      <c r="BB123" s="436"/>
      <c r="BC123" s="436"/>
      <c r="BD123" s="436"/>
      <c r="BE123" s="436"/>
      <c r="BF123" s="436"/>
      <c r="BG123" s="436"/>
      <c r="BH123" s="436"/>
      <c r="BI123" s="436"/>
      <c r="BJ123" s="436"/>
      <c r="BK123" s="436"/>
      <c r="BL123" s="436"/>
      <c r="BM123" s="436"/>
      <c r="BN123" s="436"/>
      <c r="BO123" s="436"/>
      <c r="BP123" s="436"/>
      <c r="BQ123" s="436"/>
      <c r="BR123" s="436"/>
      <c r="BS123" s="436"/>
      <c r="BT123" s="436"/>
      <c r="BU123" s="436"/>
      <c r="BV123" s="436"/>
      <c r="BW123" s="436"/>
      <c r="BX123" s="436"/>
      <c r="BY123" s="436"/>
      <c r="BZ123" s="436"/>
      <c r="CA123" s="436"/>
      <c r="CB123" s="436"/>
      <c r="CC123" s="436"/>
      <c r="CD123" s="436"/>
      <c r="CE123" s="436"/>
      <c r="CF123" s="436"/>
      <c r="CG123" s="436"/>
      <c r="CH123" s="436"/>
      <c r="CI123" s="436"/>
      <c r="CJ123" s="436"/>
      <c r="CK123" s="436"/>
      <c r="CL123" s="436"/>
      <c r="CM123" s="436"/>
      <c r="CN123" s="436"/>
      <c r="CO123" s="436"/>
      <c r="CP123" s="436"/>
      <c r="CQ123" s="436"/>
      <c r="CR123" s="436"/>
      <c r="CS123" s="436"/>
      <c r="CT123" s="436"/>
      <c r="CU123" s="436"/>
      <c r="CV123" s="436"/>
      <c r="CW123" s="436"/>
      <c r="CX123" s="436"/>
      <c r="CY123" s="436"/>
      <c r="CZ123" s="436"/>
      <c r="DA123" s="436"/>
      <c r="DB123" s="436"/>
      <c r="DC123" s="436"/>
      <c r="DD123" s="436"/>
      <c r="DE123" s="436"/>
      <c r="DF123" s="436"/>
      <c r="DG123" s="436"/>
      <c r="DH123" s="436"/>
      <c r="DI123" s="436"/>
      <c r="DJ123" s="436"/>
      <c r="DK123" s="436"/>
      <c r="DL123" s="436"/>
      <c r="DM123" s="436"/>
      <c r="DN123" s="436"/>
      <c r="DO123" s="436"/>
      <c r="DP123" s="436"/>
      <c r="DQ123" s="436"/>
      <c r="DR123" s="436"/>
      <c r="DS123" s="436"/>
      <c r="DT123" s="436"/>
      <c r="DU123" s="436"/>
      <c r="DV123" s="436"/>
      <c r="DW123" s="436"/>
      <c r="DX123" s="436"/>
      <c r="DY123" s="436"/>
      <c r="DZ123" s="436"/>
      <c r="EA123" s="436"/>
      <c r="EB123" s="436"/>
      <c r="EC123" s="436"/>
      <c r="ED123" s="436"/>
      <c r="EE123" s="436"/>
      <c r="EF123" s="436"/>
      <c r="EG123" s="436"/>
      <c r="EH123" s="436"/>
      <c r="EI123" s="436"/>
      <c r="EJ123" s="436"/>
      <c r="EK123" s="436"/>
      <c r="EL123" s="436"/>
      <c r="EM123" s="436"/>
      <c r="EN123" s="436"/>
      <c r="EO123" s="436"/>
      <c r="EP123" s="436"/>
      <c r="EQ123" s="436"/>
      <c r="ER123" s="436"/>
      <c r="ES123" s="436"/>
      <c r="ET123" s="436"/>
      <c r="EU123" s="436"/>
      <c r="EV123" s="436"/>
      <c r="EW123" s="436"/>
      <c r="EX123" s="436"/>
      <c r="EY123" s="436"/>
      <c r="EZ123" s="436"/>
      <c r="FA123" s="436"/>
      <c r="FB123" s="436"/>
      <c r="FC123" s="436"/>
      <c r="FD123" s="436"/>
      <c r="FE123" s="436"/>
      <c r="FF123" s="436"/>
      <c r="FG123" s="436"/>
      <c r="FH123" s="436"/>
      <c r="FI123" s="436"/>
      <c r="FJ123" s="436"/>
      <c r="FK123" s="436"/>
      <c r="FL123" s="436"/>
      <c r="FM123" s="436"/>
      <c r="FN123" s="436"/>
      <c r="FO123" s="436"/>
      <c r="FP123" s="436"/>
      <c r="FQ123" s="436"/>
      <c r="FR123" s="436"/>
      <c r="FS123" s="436"/>
      <c r="FT123" s="436"/>
      <c r="FU123" s="436"/>
      <c r="FV123" s="436"/>
      <c r="FW123" s="436"/>
      <c r="FX123" s="436"/>
      <c r="FY123" s="436"/>
      <c r="FZ123" s="436"/>
      <c r="GA123" s="436"/>
      <c r="GB123" s="436"/>
      <c r="GC123" s="436"/>
      <c r="GD123" s="436"/>
      <c r="GE123" s="436"/>
      <c r="GF123" s="436"/>
      <c r="GG123" s="436"/>
      <c r="GH123" s="436"/>
      <c r="GI123" s="436"/>
      <c r="GJ123" s="436"/>
      <c r="GK123" s="436"/>
      <c r="GL123" s="436"/>
      <c r="GM123" s="436"/>
      <c r="GN123" s="436"/>
      <c r="GO123" s="436"/>
      <c r="GP123" s="436"/>
      <c r="GQ123" s="436"/>
      <c r="GR123" s="436"/>
      <c r="GS123" s="436"/>
      <c r="GT123" s="436"/>
      <c r="GU123" s="436"/>
      <c r="GV123" s="436"/>
      <c r="GW123" s="436"/>
      <c r="GX123" s="436"/>
      <c r="GY123" s="436"/>
      <c r="GZ123" s="436"/>
      <c r="HA123" s="436"/>
      <c r="HB123" s="436"/>
      <c r="HC123" s="436"/>
      <c r="HD123" s="436"/>
      <c r="HE123" s="436"/>
      <c r="HF123" s="436"/>
      <c r="HG123" s="436"/>
      <c r="HH123" s="436"/>
      <c r="HI123" s="436"/>
      <c r="HJ123" s="436"/>
      <c r="HK123" s="436"/>
      <c r="HL123" s="436"/>
      <c r="HM123" s="436"/>
      <c r="HN123" s="436"/>
      <c r="HO123" s="436"/>
      <c r="HP123" s="436"/>
      <c r="HQ123" s="436"/>
      <c r="HR123" s="436"/>
      <c r="HS123" s="436"/>
      <c r="HT123" s="436"/>
      <c r="HU123" s="436"/>
      <c r="HV123" s="436"/>
      <c r="HW123" s="436"/>
      <c r="HX123" s="436"/>
      <c r="HY123" s="436"/>
      <c r="HZ123" s="436"/>
      <c r="IA123" s="436"/>
      <c r="IB123" s="436"/>
      <c r="IC123" s="436"/>
      <c r="ID123" s="436"/>
      <c r="IE123" s="436"/>
      <c r="IF123" s="436"/>
      <c r="IG123" s="436"/>
      <c r="IH123" s="436"/>
      <c r="II123" s="436"/>
      <c r="IJ123" s="436"/>
      <c r="IK123" s="436"/>
      <c r="IL123" s="436"/>
      <c r="IM123" s="436"/>
      <c r="IN123" s="436"/>
      <c r="IO123" s="436"/>
      <c r="IP123" s="436"/>
      <c r="IQ123" s="265"/>
      <c r="IR123" s="265"/>
    </row>
    <row r="124" spans="1:252" s="461" customFormat="1" x14ac:dyDescent="0.35">
      <c r="A124" s="685"/>
      <c r="B124" s="503"/>
      <c r="C124" s="503"/>
      <c r="D124" s="439"/>
      <c r="E124" s="686"/>
      <c r="J124" s="1591"/>
      <c r="M124" s="436"/>
      <c r="N124" s="436"/>
      <c r="O124" s="436"/>
      <c r="P124" s="436"/>
      <c r="Q124" s="436"/>
      <c r="R124" s="436"/>
      <c r="S124" s="436"/>
      <c r="T124" s="436"/>
      <c r="U124" s="436"/>
      <c r="V124" s="436"/>
      <c r="W124" s="436"/>
      <c r="X124" s="436"/>
      <c r="Y124" s="436"/>
      <c r="Z124" s="436"/>
      <c r="AA124" s="436"/>
      <c r="AB124" s="436"/>
      <c r="AC124" s="436"/>
      <c r="AD124" s="436"/>
      <c r="AE124" s="436"/>
      <c r="AF124" s="436"/>
      <c r="AG124" s="436"/>
      <c r="AH124" s="436"/>
      <c r="AI124" s="436"/>
      <c r="AJ124" s="436"/>
      <c r="AK124" s="436"/>
      <c r="AL124" s="436"/>
      <c r="AM124" s="436"/>
      <c r="AN124" s="436"/>
      <c r="AO124" s="436"/>
      <c r="AP124" s="436"/>
      <c r="AQ124" s="436"/>
      <c r="AR124" s="436"/>
      <c r="AS124" s="436"/>
      <c r="AT124" s="436"/>
      <c r="AU124" s="436"/>
      <c r="AV124" s="436"/>
      <c r="AW124" s="436"/>
      <c r="AX124" s="436"/>
      <c r="AY124" s="436"/>
      <c r="AZ124" s="436"/>
      <c r="BA124" s="436"/>
      <c r="BB124" s="436"/>
      <c r="BC124" s="436"/>
      <c r="BD124" s="436"/>
      <c r="BE124" s="436"/>
      <c r="BF124" s="436"/>
      <c r="BG124" s="436"/>
      <c r="BH124" s="436"/>
      <c r="BI124" s="436"/>
      <c r="BJ124" s="436"/>
      <c r="BK124" s="436"/>
      <c r="BL124" s="436"/>
      <c r="BM124" s="436"/>
      <c r="BN124" s="436"/>
      <c r="BO124" s="436"/>
      <c r="BP124" s="436"/>
      <c r="BQ124" s="436"/>
      <c r="BR124" s="436"/>
      <c r="BS124" s="436"/>
      <c r="BT124" s="436"/>
      <c r="BU124" s="436"/>
      <c r="BV124" s="436"/>
      <c r="BW124" s="436"/>
      <c r="BX124" s="436"/>
      <c r="BY124" s="436"/>
      <c r="BZ124" s="436"/>
      <c r="CA124" s="436"/>
      <c r="CB124" s="436"/>
      <c r="CC124" s="436"/>
      <c r="CD124" s="436"/>
      <c r="CE124" s="436"/>
      <c r="CF124" s="436"/>
      <c r="CG124" s="436"/>
      <c r="CH124" s="436"/>
      <c r="CI124" s="436"/>
      <c r="CJ124" s="436"/>
      <c r="CK124" s="436"/>
      <c r="CL124" s="436"/>
      <c r="CM124" s="436"/>
      <c r="CN124" s="436"/>
      <c r="CO124" s="436"/>
      <c r="CP124" s="436"/>
      <c r="CQ124" s="436"/>
      <c r="CR124" s="436"/>
      <c r="CS124" s="436"/>
      <c r="CT124" s="436"/>
      <c r="CU124" s="436"/>
      <c r="CV124" s="436"/>
      <c r="CW124" s="436"/>
      <c r="CX124" s="436"/>
      <c r="CY124" s="436"/>
      <c r="CZ124" s="436"/>
      <c r="DA124" s="436"/>
      <c r="DB124" s="436"/>
      <c r="DC124" s="436"/>
      <c r="DD124" s="436"/>
      <c r="DE124" s="436"/>
      <c r="DF124" s="436"/>
      <c r="DG124" s="436"/>
      <c r="DH124" s="436"/>
      <c r="DI124" s="436"/>
      <c r="DJ124" s="436"/>
      <c r="DK124" s="436"/>
      <c r="DL124" s="436"/>
      <c r="DM124" s="436"/>
      <c r="DN124" s="436"/>
      <c r="DO124" s="436"/>
      <c r="DP124" s="436"/>
      <c r="DQ124" s="436"/>
      <c r="DR124" s="436"/>
      <c r="DS124" s="436"/>
      <c r="DT124" s="436"/>
      <c r="DU124" s="436"/>
      <c r="DV124" s="436"/>
      <c r="DW124" s="436"/>
      <c r="DX124" s="436"/>
      <c r="DY124" s="436"/>
      <c r="DZ124" s="436"/>
      <c r="EA124" s="436"/>
      <c r="EB124" s="436"/>
      <c r="EC124" s="436"/>
      <c r="ED124" s="436"/>
      <c r="EE124" s="436"/>
      <c r="EF124" s="436"/>
      <c r="EG124" s="436"/>
      <c r="EH124" s="436"/>
      <c r="EI124" s="436"/>
      <c r="EJ124" s="436"/>
      <c r="EK124" s="436"/>
      <c r="EL124" s="436"/>
      <c r="EM124" s="436"/>
      <c r="EN124" s="436"/>
      <c r="EO124" s="436"/>
      <c r="EP124" s="436"/>
      <c r="EQ124" s="436"/>
      <c r="ER124" s="436"/>
      <c r="ES124" s="436"/>
      <c r="ET124" s="436"/>
      <c r="EU124" s="436"/>
      <c r="EV124" s="436"/>
      <c r="EW124" s="436"/>
      <c r="EX124" s="436"/>
      <c r="EY124" s="436"/>
      <c r="EZ124" s="436"/>
      <c r="FA124" s="436"/>
      <c r="FB124" s="436"/>
      <c r="FC124" s="436"/>
      <c r="FD124" s="436"/>
      <c r="FE124" s="436"/>
      <c r="FF124" s="436"/>
      <c r="FG124" s="436"/>
      <c r="FH124" s="436"/>
      <c r="FI124" s="436"/>
      <c r="FJ124" s="436"/>
      <c r="FK124" s="436"/>
      <c r="FL124" s="436"/>
      <c r="FM124" s="436"/>
      <c r="FN124" s="436"/>
      <c r="FO124" s="436"/>
      <c r="FP124" s="436"/>
      <c r="FQ124" s="436"/>
      <c r="FR124" s="436"/>
      <c r="FS124" s="436"/>
      <c r="FT124" s="436"/>
      <c r="FU124" s="436"/>
      <c r="FV124" s="436"/>
      <c r="FW124" s="436"/>
      <c r="FX124" s="436"/>
      <c r="FY124" s="436"/>
      <c r="FZ124" s="436"/>
      <c r="GA124" s="436"/>
      <c r="GB124" s="436"/>
      <c r="GC124" s="436"/>
      <c r="GD124" s="436"/>
      <c r="GE124" s="436"/>
      <c r="GF124" s="436"/>
      <c r="GG124" s="436"/>
      <c r="GH124" s="436"/>
      <c r="GI124" s="436"/>
      <c r="GJ124" s="436"/>
      <c r="GK124" s="436"/>
      <c r="GL124" s="436"/>
      <c r="GM124" s="436"/>
      <c r="GN124" s="436"/>
      <c r="GO124" s="436"/>
      <c r="GP124" s="436"/>
      <c r="GQ124" s="436"/>
      <c r="GR124" s="436"/>
      <c r="GS124" s="436"/>
      <c r="GT124" s="436"/>
      <c r="GU124" s="436"/>
      <c r="GV124" s="436"/>
      <c r="GW124" s="436"/>
      <c r="GX124" s="436"/>
      <c r="GY124" s="436"/>
      <c r="GZ124" s="436"/>
      <c r="HA124" s="436"/>
      <c r="HB124" s="436"/>
      <c r="HC124" s="436"/>
      <c r="HD124" s="436"/>
      <c r="HE124" s="436"/>
      <c r="HF124" s="436"/>
      <c r="HG124" s="436"/>
      <c r="HH124" s="436"/>
      <c r="HI124" s="436"/>
      <c r="HJ124" s="436"/>
      <c r="HK124" s="436"/>
      <c r="HL124" s="436"/>
      <c r="HM124" s="436"/>
      <c r="HN124" s="436"/>
      <c r="HO124" s="436"/>
      <c r="HP124" s="436"/>
      <c r="HQ124" s="436"/>
      <c r="HR124" s="436"/>
      <c r="HS124" s="436"/>
      <c r="HT124" s="436"/>
      <c r="HU124" s="436"/>
      <c r="HV124" s="436"/>
      <c r="HW124" s="436"/>
      <c r="HX124" s="436"/>
      <c r="HY124" s="436"/>
      <c r="HZ124" s="436"/>
      <c r="IA124" s="436"/>
      <c r="IB124" s="436"/>
      <c r="IC124" s="436"/>
      <c r="ID124" s="436"/>
      <c r="IE124" s="436"/>
      <c r="IF124" s="436"/>
      <c r="IG124" s="436"/>
      <c r="IH124" s="436"/>
      <c r="II124" s="436"/>
      <c r="IJ124" s="436"/>
      <c r="IK124" s="436"/>
      <c r="IL124" s="436"/>
      <c r="IM124" s="436"/>
      <c r="IN124" s="436"/>
      <c r="IO124" s="436"/>
      <c r="IP124" s="436"/>
      <c r="IQ124" s="265"/>
      <c r="IR124" s="265"/>
    </row>
    <row r="125" spans="1:252" s="461" customFormat="1" x14ac:dyDescent="0.35">
      <c r="A125" s="685"/>
      <c r="B125" s="503"/>
      <c r="C125" s="503"/>
      <c r="D125" s="439"/>
      <c r="E125" s="686"/>
      <c r="J125" s="1591"/>
      <c r="M125" s="436"/>
      <c r="N125" s="436"/>
      <c r="O125" s="436"/>
      <c r="P125" s="436"/>
      <c r="Q125" s="436"/>
      <c r="R125" s="436"/>
      <c r="S125" s="436"/>
      <c r="T125" s="436"/>
      <c r="U125" s="436"/>
      <c r="V125" s="436"/>
      <c r="W125" s="436"/>
      <c r="X125" s="436"/>
      <c r="Y125" s="436"/>
      <c r="Z125" s="436"/>
      <c r="AA125" s="436"/>
      <c r="AB125" s="436"/>
      <c r="AC125" s="436"/>
      <c r="AD125" s="436"/>
      <c r="AE125" s="436"/>
      <c r="AF125" s="436"/>
      <c r="AG125" s="436"/>
      <c r="AH125" s="436"/>
      <c r="AI125" s="436"/>
      <c r="AJ125" s="436"/>
      <c r="AK125" s="436"/>
      <c r="AL125" s="436"/>
      <c r="AM125" s="436"/>
      <c r="AN125" s="436"/>
      <c r="AO125" s="436"/>
      <c r="AP125" s="436"/>
      <c r="AQ125" s="436"/>
      <c r="AR125" s="436"/>
      <c r="AS125" s="436"/>
      <c r="AT125" s="436"/>
      <c r="AU125" s="436"/>
      <c r="AV125" s="436"/>
      <c r="AW125" s="436"/>
      <c r="AX125" s="436"/>
      <c r="AY125" s="436"/>
      <c r="AZ125" s="436"/>
      <c r="BA125" s="436"/>
      <c r="BB125" s="436"/>
      <c r="BC125" s="436"/>
      <c r="BD125" s="436"/>
      <c r="BE125" s="436"/>
      <c r="BF125" s="436"/>
      <c r="BG125" s="436"/>
      <c r="BH125" s="436"/>
      <c r="BI125" s="436"/>
      <c r="BJ125" s="436"/>
      <c r="BK125" s="436"/>
      <c r="BL125" s="436"/>
      <c r="BM125" s="436"/>
      <c r="BN125" s="436"/>
      <c r="BO125" s="436"/>
      <c r="BP125" s="436"/>
      <c r="BQ125" s="436"/>
      <c r="BR125" s="436"/>
      <c r="BS125" s="436"/>
      <c r="BT125" s="436"/>
      <c r="BU125" s="436"/>
      <c r="BV125" s="436"/>
      <c r="BW125" s="436"/>
      <c r="BX125" s="436"/>
      <c r="BY125" s="436"/>
      <c r="BZ125" s="436"/>
      <c r="CA125" s="436"/>
      <c r="CB125" s="436"/>
      <c r="CC125" s="436"/>
      <c r="CD125" s="436"/>
      <c r="CE125" s="436"/>
      <c r="CF125" s="436"/>
      <c r="CG125" s="436"/>
      <c r="CH125" s="436"/>
      <c r="CI125" s="436"/>
      <c r="CJ125" s="436"/>
      <c r="CK125" s="436"/>
      <c r="CL125" s="436"/>
      <c r="CM125" s="436"/>
      <c r="CN125" s="436"/>
      <c r="CO125" s="436"/>
      <c r="CP125" s="436"/>
      <c r="CQ125" s="436"/>
      <c r="CR125" s="436"/>
      <c r="CS125" s="436"/>
      <c r="CT125" s="436"/>
      <c r="CU125" s="436"/>
      <c r="CV125" s="436"/>
      <c r="CW125" s="436"/>
      <c r="CX125" s="436"/>
      <c r="CY125" s="436"/>
      <c r="CZ125" s="436"/>
      <c r="DA125" s="436"/>
      <c r="DB125" s="436"/>
      <c r="DC125" s="436"/>
      <c r="DD125" s="436"/>
      <c r="DE125" s="436"/>
      <c r="DF125" s="436"/>
      <c r="DG125" s="436"/>
      <c r="DH125" s="436"/>
      <c r="DI125" s="436"/>
      <c r="DJ125" s="436"/>
      <c r="DK125" s="436"/>
      <c r="DL125" s="436"/>
      <c r="DM125" s="436"/>
      <c r="DN125" s="436"/>
      <c r="DO125" s="436"/>
      <c r="DP125" s="436"/>
      <c r="DQ125" s="436"/>
      <c r="DR125" s="436"/>
      <c r="DS125" s="436"/>
      <c r="DT125" s="436"/>
      <c r="DU125" s="436"/>
      <c r="DV125" s="436"/>
      <c r="DW125" s="436"/>
      <c r="DX125" s="436"/>
      <c r="DY125" s="436"/>
      <c r="DZ125" s="436"/>
      <c r="EA125" s="436"/>
      <c r="EB125" s="436"/>
      <c r="EC125" s="436"/>
      <c r="ED125" s="436"/>
      <c r="EE125" s="436"/>
      <c r="EF125" s="436"/>
      <c r="EG125" s="436"/>
      <c r="EH125" s="436"/>
      <c r="EI125" s="436"/>
      <c r="EJ125" s="436"/>
      <c r="EK125" s="436"/>
      <c r="EL125" s="436"/>
      <c r="EM125" s="436"/>
      <c r="EN125" s="436"/>
      <c r="EO125" s="436"/>
      <c r="EP125" s="436"/>
      <c r="EQ125" s="436"/>
      <c r="ER125" s="436"/>
      <c r="ES125" s="436"/>
      <c r="ET125" s="436"/>
      <c r="EU125" s="436"/>
      <c r="EV125" s="436"/>
      <c r="EW125" s="436"/>
      <c r="EX125" s="436"/>
      <c r="EY125" s="436"/>
      <c r="EZ125" s="436"/>
      <c r="FA125" s="436"/>
      <c r="FB125" s="436"/>
      <c r="FC125" s="436"/>
      <c r="FD125" s="436"/>
      <c r="FE125" s="436"/>
      <c r="FF125" s="436"/>
      <c r="FG125" s="436"/>
      <c r="FH125" s="436"/>
      <c r="FI125" s="436"/>
      <c r="FJ125" s="436"/>
      <c r="FK125" s="436"/>
      <c r="FL125" s="436"/>
      <c r="FM125" s="436"/>
      <c r="FN125" s="436"/>
      <c r="FO125" s="436"/>
      <c r="FP125" s="436"/>
      <c r="FQ125" s="436"/>
      <c r="FR125" s="436"/>
      <c r="FS125" s="436"/>
      <c r="FT125" s="436"/>
      <c r="FU125" s="436"/>
      <c r="FV125" s="436"/>
      <c r="FW125" s="436"/>
      <c r="FX125" s="436"/>
      <c r="FY125" s="436"/>
      <c r="FZ125" s="436"/>
      <c r="GA125" s="436"/>
      <c r="GB125" s="436"/>
      <c r="GC125" s="436"/>
      <c r="GD125" s="436"/>
      <c r="GE125" s="436"/>
      <c r="GF125" s="436"/>
      <c r="GG125" s="436"/>
      <c r="GH125" s="436"/>
      <c r="GI125" s="436"/>
      <c r="GJ125" s="436"/>
      <c r="GK125" s="436"/>
      <c r="GL125" s="436"/>
      <c r="GM125" s="436"/>
      <c r="GN125" s="436"/>
      <c r="GO125" s="436"/>
      <c r="GP125" s="436"/>
      <c r="GQ125" s="436"/>
      <c r="GR125" s="436"/>
      <c r="GS125" s="436"/>
      <c r="GT125" s="436"/>
      <c r="GU125" s="436"/>
      <c r="GV125" s="436"/>
      <c r="GW125" s="436"/>
      <c r="GX125" s="436"/>
      <c r="GY125" s="436"/>
      <c r="GZ125" s="436"/>
      <c r="HA125" s="436"/>
      <c r="HB125" s="436"/>
      <c r="HC125" s="436"/>
      <c r="HD125" s="436"/>
      <c r="HE125" s="436"/>
      <c r="HF125" s="436"/>
      <c r="HG125" s="436"/>
      <c r="HH125" s="436"/>
      <c r="HI125" s="436"/>
      <c r="HJ125" s="436"/>
      <c r="HK125" s="436"/>
      <c r="HL125" s="436"/>
      <c r="HM125" s="436"/>
      <c r="HN125" s="436"/>
      <c r="HO125" s="436"/>
      <c r="HP125" s="436"/>
      <c r="HQ125" s="436"/>
      <c r="HR125" s="436"/>
      <c r="HS125" s="436"/>
      <c r="HT125" s="436"/>
      <c r="HU125" s="436"/>
      <c r="HV125" s="436"/>
      <c r="HW125" s="436"/>
      <c r="HX125" s="436"/>
      <c r="HY125" s="436"/>
      <c r="HZ125" s="436"/>
      <c r="IA125" s="436"/>
      <c r="IB125" s="436"/>
      <c r="IC125" s="436"/>
      <c r="ID125" s="436"/>
      <c r="IE125" s="436"/>
      <c r="IF125" s="436"/>
      <c r="IG125" s="436"/>
      <c r="IH125" s="436"/>
      <c r="II125" s="436"/>
      <c r="IJ125" s="436"/>
      <c r="IK125" s="436"/>
      <c r="IL125" s="436"/>
      <c r="IM125" s="436"/>
      <c r="IN125" s="436"/>
      <c r="IO125" s="436"/>
      <c r="IP125" s="436"/>
      <c r="IQ125" s="265"/>
      <c r="IR125" s="265"/>
    </row>
    <row r="126" spans="1:252" s="461" customFormat="1" x14ac:dyDescent="0.35">
      <c r="A126" s="685"/>
      <c r="B126" s="503"/>
      <c r="C126" s="503"/>
      <c r="D126" s="439"/>
      <c r="E126" s="686"/>
      <c r="J126" s="1591"/>
      <c r="M126" s="436"/>
      <c r="N126" s="436"/>
      <c r="O126" s="436"/>
      <c r="P126" s="436"/>
      <c r="Q126" s="436"/>
      <c r="R126" s="436"/>
      <c r="S126" s="436"/>
      <c r="T126" s="436"/>
      <c r="U126" s="436"/>
      <c r="V126" s="436"/>
      <c r="W126" s="436"/>
      <c r="X126" s="436"/>
      <c r="Y126" s="436"/>
      <c r="Z126" s="436"/>
      <c r="AA126" s="436"/>
      <c r="AB126" s="436"/>
      <c r="AC126" s="436"/>
      <c r="AD126" s="436"/>
      <c r="AE126" s="436"/>
      <c r="AF126" s="436"/>
      <c r="AG126" s="436"/>
      <c r="AH126" s="436"/>
      <c r="AI126" s="436"/>
      <c r="AJ126" s="436"/>
      <c r="AK126" s="436"/>
      <c r="AL126" s="436"/>
      <c r="AM126" s="436"/>
      <c r="AN126" s="436"/>
      <c r="AO126" s="436"/>
      <c r="AP126" s="436"/>
      <c r="AQ126" s="436"/>
      <c r="AR126" s="436"/>
      <c r="AS126" s="436"/>
      <c r="AT126" s="436"/>
      <c r="AU126" s="436"/>
      <c r="AV126" s="436"/>
      <c r="AW126" s="436"/>
      <c r="AX126" s="436"/>
      <c r="AY126" s="436"/>
      <c r="AZ126" s="436"/>
      <c r="BA126" s="436"/>
      <c r="BB126" s="436"/>
      <c r="BC126" s="436"/>
      <c r="BD126" s="436"/>
      <c r="BE126" s="436"/>
      <c r="BF126" s="436"/>
      <c r="BG126" s="436"/>
      <c r="BH126" s="436"/>
      <c r="BI126" s="436"/>
      <c r="BJ126" s="436"/>
      <c r="BK126" s="436"/>
      <c r="BL126" s="436"/>
      <c r="BM126" s="436"/>
      <c r="BN126" s="436"/>
      <c r="BO126" s="436"/>
      <c r="BP126" s="436"/>
      <c r="BQ126" s="436"/>
      <c r="BR126" s="436"/>
      <c r="BS126" s="436"/>
      <c r="BT126" s="436"/>
      <c r="BU126" s="436"/>
      <c r="BV126" s="436"/>
      <c r="BW126" s="436"/>
      <c r="BX126" s="436"/>
      <c r="BY126" s="436"/>
      <c r="BZ126" s="436"/>
      <c r="CA126" s="436"/>
      <c r="CB126" s="436"/>
      <c r="CC126" s="436"/>
      <c r="CD126" s="436"/>
      <c r="CE126" s="436"/>
      <c r="CF126" s="436"/>
      <c r="CG126" s="436"/>
      <c r="CH126" s="436"/>
      <c r="CI126" s="436"/>
      <c r="CJ126" s="436"/>
      <c r="CK126" s="436"/>
      <c r="CL126" s="436"/>
      <c r="CM126" s="436"/>
      <c r="CN126" s="436"/>
      <c r="CO126" s="436"/>
      <c r="CP126" s="436"/>
      <c r="CQ126" s="436"/>
      <c r="CR126" s="436"/>
      <c r="CS126" s="436"/>
      <c r="CT126" s="436"/>
      <c r="CU126" s="436"/>
      <c r="CV126" s="436"/>
      <c r="CW126" s="436"/>
      <c r="CX126" s="436"/>
      <c r="CY126" s="436"/>
      <c r="CZ126" s="436"/>
      <c r="DA126" s="436"/>
      <c r="DB126" s="436"/>
      <c r="DC126" s="436"/>
      <c r="DD126" s="436"/>
      <c r="DE126" s="436"/>
      <c r="DF126" s="436"/>
      <c r="DG126" s="436"/>
      <c r="DH126" s="436"/>
      <c r="DI126" s="436"/>
      <c r="DJ126" s="436"/>
      <c r="DK126" s="436"/>
      <c r="DL126" s="436"/>
      <c r="DM126" s="436"/>
      <c r="DN126" s="436"/>
      <c r="DO126" s="436"/>
      <c r="DP126" s="436"/>
      <c r="DQ126" s="436"/>
      <c r="DR126" s="436"/>
      <c r="DS126" s="436"/>
      <c r="DT126" s="436"/>
      <c r="DU126" s="436"/>
      <c r="DV126" s="436"/>
      <c r="DW126" s="436"/>
      <c r="DX126" s="436"/>
      <c r="DY126" s="436"/>
      <c r="DZ126" s="436"/>
      <c r="EA126" s="436"/>
      <c r="EB126" s="436"/>
      <c r="EC126" s="436"/>
      <c r="ED126" s="436"/>
      <c r="EE126" s="436"/>
      <c r="EF126" s="436"/>
      <c r="EG126" s="436"/>
      <c r="EH126" s="436"/>
      <c r="EI126" s="436"/>
      <c r="EJ126" s="436"/>
      <c r="EK126" s="436"/>
      <c r="EL126" s="436"/>
      <c r="EM126" s="436"/>
      <c r="EN126" s="436"/>
      <c r="EO126" s="436"/>
      <c r="EP126" s="436"/>
      <c r="EQ126" s="436"/>
      <c r="ER126" s="436"/>
      <c r="ES126" s="436"/>
      <c r="ET126" s="436"/>
      <c r="EU126" s="436"/>
      <c r="EV126" s="436"/>
      <c r="EW126" s="436"/>
      <c r="EX126" s="436"/>
      <c r="EY126" s="436"/>
      <c r="EZ126" s="436"/>
      <c r="FA126" s="436"/>
      <c r="FB126" s="436"/>
      <c r="FC126" s="436"/>
      <c r="FD126" s="436"/>
      <c r="FE126" s="436"/>
      <c r="FF126" s="436"/>
      <c r="FG126" s="436"/>
      <c r="FH126" s="436"/>
      <c r="FI126" s="436"/>
      <c r="FJ126" s="436"/>
      <c r="FK126" s="436"/>
      <c r="FL126" s="436"/>
      <c r="FM126" s="436"/>
      <c r="FN126" s="436"/>
      <c r="FO126" s="436"/>
      <c r="FP126" s="436"/>
      <c r="FQ126" s="436"/>
      <c r="FR126" s="436"/>
      <c r="FS126" s="436"/>
      <c r="FT126" s="436"/>
      <c r="FU126" s="436"/>
      <c r="FV126" s="436"/>
      <c r="FW126" s="436"/>
      <c r="FX126" s="436"/>
      <c r="FY126" s="436"/>
      <c r="FZ126" s="436"/>
      <c r="GA126" s="436"/>
      <c r="GB126" s="436"/>
      <c r="GC126" s="436"/>
      <c r="GD126" s="436"/>
      <c r="GE126" s="436"/>
      <c r="GF126" s="436"/>
      <c r="GG126" s="436"/>
      <c r="GH126" s="436"/>
      <c r="GI126" s="436"/>
      <c r="GJ126" s="436"/>
      <c r="GK126" s="436"/>
      <c r="GL126" s="436"/>
      <c r="GM126" s="436"/>
      <c r="GN126" s="436"/>
      <c r="GO126" s="436"/>
      <c r="GP126" s="436"/>
      <c r="GQ126" s="436"/>
      <c r="GR126" s="436"/>
      <c r="GS126" s="436"/>
      <c r="GT126" s="436"/>
      <c r="GU126" s="436"/>
      <c r="GV126" s="436"/>
      <c r="GW126" s="436"/>
      <c r="GX126" s="436"/>
      <c r="GY126" s="436"/>
      <c r="GZ126" s="436"/>
      <c r="HA126" s="436"/>
      <c r="HB126" s="436"/>
      <c r="HC126" s="436"/>
      <c r="HD126" s="436"/>
      <c r="HE126" s="436"/>
      <c r="HF126" s="436"/>
      <c r="HG126" s="436"/>
      <c r="HH126" s="436"/>
      <c r="HI126" s="436"/>
      <c r="HJ126" s="436"/>
      <c r="HK126" s="436"/>
      <c r="HL126" s="436"/>
      <c r="HM126" s="436"/>
      <c r="HN126" s="436"/>
      <c r="HO126" s="436"/>
      <c r="HP126" s="436"/>
      <c r="HQ126" s="436"/>
      <c r="HR126" s="436"/>
      <c r="HS126" s="436"/>
      <c r="HT126" s="436"/>
      <c r="HU126" s="436"/>
      <c r="HV126" s="436"/>
      <c r="HW126" s="436"/>
      <c r="HX126" s="436"/>
      <c r="HY126" s="436"/>
      <c r="HZ126" s="436"/>
      <c r="IA126" s="436"/>
      <c r="IB126" s="436"/>
      <c r="IC126" s="436"/>
      <c r="ID126" s="436"/>
      <c r="IE126" s="436"/>
      <c r="IF126" s="436"/>
      <c r="IG126" s="436"/>
      <c r="IH126" s="436"/>
      <c r="II126" s="436"/>
      <c r="IJ126" s="436"/>
      <c r="IK126" s="436"/>
      <c r="IL126" s="436"/>
      <c r="IM126" s="436"/>
      <c r="IN126" s="436"/>
      <c r="IO126" s="436"/>
      <c r="IP126" s="436"/>
      <c r="IQ126" s="265"/>
      <c r="IR126" s="265"/>
    </row>
    <row r="127" spans="1:252" s="461" customFormat="1" x14ac:dyDescent="0.35">
      <c r="A127" s="685"/>
      <c r="B127" s="503"/>
      <c r="C127" s="503"/>
      <c r="D127" s="439"/>
      <c r="E127" s="686"/>
      <c r="J127" s="1591"/>
      <c r="M127" s="436"/>
      <c r="N127" s="436"/>
      <c r="O127" s="436"/>
      <c r="P127" s="436"/>
      <c r="Q127" s="436"/>
      <c r="R127" s="436"/>
      <c r="S127" s="436"/>
      <c r="T127" s="436"/>
      <c r="U127" s="436"/>
      <c r="V127" s="436"/>
      <c r="W127" s="436"/>
      <c r="X127" s="436"/>
      <c r="Y127" s="436"/>
      <c r="Z127" s="436"/>
      <c r="AA127" s="436"/>
      <c r="AB127" s="436"/>
      <c r="AC127" s="436"/>
      <c r="AD127" s="436"/>
      <c r="AE127" s="436"/>
      <c r="AF127" s="436"/>
      <c r="AG127" s="436"/>
      <c r="AH127" s="436"/>
      <c r="AI127" s="436"/>
      <c r="AJ127" s="436"/>
      <c r="AK127" s="436"/>
      <c r="AL127" s="436"/>
      <c r="AM127" s="436"/>
      <c r="AN127" s="436"/>
      <c r="AO127" s="436"/>
      <c r="AP127" s="436"/>
      <c r="AQ127" s="436"/>
      <c r="AR127" s="436"/>
      <c r="AS127" s="436"/>
      <c r="AT127" s="436"/>
      <c r="AU127" s="436"/>
      <c r="AV127" s="436"/>
      <c r="AW127" s="436"/>
      <c r="AX127" s="436"/>
      <c r="AY127" s="436"/>
      <c r="AZ127" s="436"/>
      <c r="BA127" s="436"/>
      <c r="BB127" s="436"/>
      <c r="BC127" s="436"/>
      <c r="BD127" s="436"/>
      <c r="BE127" s="436"/>
      <c r="BF127" s="436"/>
      <c r="BG127" s="436"/>
      <c r="BH127" s="436"/>
      <c r="BI127" s="436"/>
      <c r="BJ127" s="436"/>
      <c r="BK127" s="436"/>
      <c r="BL127" s="436"/>
      <c r="BM127" s="436"/>
      <c r="BN127" s="436"/>
      <c r="BO127" s="436"/>
      <c r="BP127" s="436"/>
      <c r="BQ127" s="436"/>
      <c r="BR127" s="436"/>
      <c r="BS127" s="436"/>
      <c r="BT127" s="436"/>
      <c r="BU127" s="436"/>
      <c r="BV127" s="436"/>
      <c r="BW127" s="436"/>
      <c r="BX127" s="436"/>
      <c r="BY127" s="436"/>
      <c r="BZ127" s="436"/>
      <c r="CA127" s="436"/>
      <c r="CB127" s="436"/>
      <c r="CC127" s="436"/>
      <c r="CD127" s="436"/>
      <c r="CE127" s="436"/>
      <c r="CF127" s="436"/>
      <c r="CG127" s="436"/>
      <c r="CH127" s="436"/>
      <c r="CI127" s="436"/>
      <c r="CJ127" s="436"/>
      <c r="CK127" s="436"/>
      <c r="CL127" s="436"/>
      <c r="CM127" s="436"/>
      <c r="CN127" s="436"/>
      <c r="CO127" s="436"/>
      <c r="CP127" s="436"/>
      <c r="CQ127" s="436"/>
      <c r="CR127" s="436"/>
      <c r="CS127" s="436"/>
      <c r="CT127" s="436"/>
      <c r="CU127" s="436"/>
      <c r="CV127" s="436"/>
      <c r="CW127" s="436"/>
      <c r="CX127" s="436"/>
      <c r="CY127" s="436"/>
      <c r="CZ127" s="436"/>
      <c r="DA127" s="436"/>
      <c r="DB127" s="436"/>
      <c r="DC127" s="436"/>
      <c r="DD127" s="436"/>
      <c r="DE127" s="436"/>
      <c r="DF127" s="436"/>
      <c r="DG127" s="436"/>
      <c r="DH127" s="436"/>
      <c r="DI127" s="436"/>
      <c r="DJ127" s="436"/>
      <c r="DK127" s="436"/>
      <c r="DL127" s="436"/>
      <c r="DM127" s="436"/>
      <c r="DN127" s="436"/>
      <c r="DO127" s="436"/>
      <c r="DP127" s="436"/>
      <c r="DQ127" s="436"/>
      <c r="DR127" s="436"/>
      <c r="DS127" s="436"/>
      <c r="DT127" s="436"/>
      <c r="DU127" s="436"/>
      <c r="DV127" s="436"/>
      <c r="DW127" s="436"/>
      <c r="DX127" s="436"/>
      <c r="DY127" s="436"/>
      <c r="DZ127" s="436"/>
      <c r="EA127" s="436"/>
      <c r="EB127" s="436"/>
      <c r="EC127" s="436"/>
      <c r="ED127" s="436"/>
      <c r="EE127" s="436"/>
      <c r="EF127" s="436"/>
      <c r="EG127" s="436"/>
      <c r="EH127" s="436"/>
      <c r="EI127" s="436"/>
      <c r="EJ127" s="436"/>
      <c r="EK127" s="436"/>
      <c r="EL127" s="436"/>
      <c r="EM127" s="436"/>
      <c r="EN127" s="436"/>
      <c r="EO127" s="436"/>
      <c r="EP127" s="436"/>
      <c r="EQ127" s="436"/>
      <c r="ER127" s="436"/>
      <c r="ES127" s="436"/>
      <c r="ET127" s="436"/>
      <c r="EU127" s="436"/>
      <c r="EV127" s="436"/>
      <c r="EW127" s="436"/>
      <c r="EX127" s="436"/>
      <c r="EY127" s="436"/>
      <c r="EZ127" s="436"/>
      <c r="FA127" s="436"/>
      <c r="FB127" s="436"/>
      <c r="FC127" s="436"/>
      <c r="FD127" s="436"/>
      <c r="FE127" s="436"/>
      <c r="FF127" s="436"/>
      <c r="FG127" s="436"/>
      <c r="FH127" s="436"/>
      <c r="FI127" s="436"/>
      <c r="FJ127" s="436"/>
      <c r="FK127" s="436"/>
      <c r="FL127" s="436"/>
      <c r="FM127" s="436"/>
      <c r="FN127" s="436"/>
      <c r="FO127" s="436"/>
      <c r="FP127" s="436"/>
      <c r="FQ127" s="436"/>
      <c r="FR127" s="436"/>
      <c r="FS127" s="436"/>
      <c r="FT127" s="436"/>
      <c r="FU127" s="436"/>
      <c r="FV127" s="436"/>
      <c r="FW127" s="436"/>
      <c r="FX127" s="436"/>
      <c r="FY127" s="436"/>
      <c r="FZ127" s="436"/>
      <c r="GA127" s="436"/>
      <c r="GB127" s="436"/>
      <c r="GC127" s="436"/>
      <c r="GD127" s="436"/>
      <c r="GE127" s="436"/>
      <c r="GF127" s="436"/>
      <c r="GG127" s="436"/>
      <c r="GH127" s="436"/>
      <c r="GI127" s="436"/>
      <c r="GJ127" s="436"/>
      <c r="GK127" s="436"/>
      <c r="GL127" s="436"/>
      <c r="GM127" s="436"/>
      <c r="GN127" s="436"/>
      <c r="GO127" s="436"/>
      <c r="GP127" s="436"/>
      <c r="GQ127" s="436"/>
      <c r="GR127" s="436"/>
      <c r="GS127" s="436"/>
      <c r="GT127" s="436"/>
      <c r="GU127" s="436"/>
      <c r="GV127" s="436"/>
      <c r="GW127" s="436"/>
      <c r="GX127" s="436"/>
      <c r="GY127" s="436"/>
      <c r="GZ127" s="436"/>
      <c r="HA127" s="436"/>
      <c r="HB127" s="436"/>
      <c r="HC127" s="436"/>
      <c r="HD127" s="436"/>
      <c r="HE127" s="436"/>
      <c r="HF127" s="436"/>
      <c r="HG127" s="436"/>
      <c r="HH127" s="436"/>
      <c r="HI127" s="436"/>
      <c r="HJ127" s="436"/>
      <c r="HK127" s="436"/>
      <c r="HL127" s="436"/>
      <c r="HM127" s="436"/>
      <c r="HN127" s="436"/>
      <c r="HO127" s="436"/>
      <c r="HP127" s="436"/>
      <c r="HQ127" s="436"/>
      <c r="HR127" s="436"/>
      <c r="HS127" s="436"/>
      <c r="HT127" s="436"/>
      <c r="HU127" s="436"/>
      <c r="HV127" s="436"/>
      <c r="HW127" s="436"/>
      <c r="HX127" s="436"/>
      <c r="HY127" s="436"/>
      <c r="HZ127" s="436"/>
      <c r="IA127" s="436"/>
      <c r="IB127" s="436"/>
      <c r="IC127" s="436"/>
      <c r="ID127" s="436"/>
      <c r="IE127" s="436"/>
      <c r="IF127" s="436"/>
      <c r="IG127" s="436"/>
      <c r="IH127" s="436"/>
      <c r="II127" s="436"/>
      <c r="IJ127" s="436"/>
      <c r="IK127" s="436"/>
      <c r="IL127" s="436"/>
      <c r="IM127" s="436"/>
      <c r="IN127" s="436"/>
      <c r="IO127" s="436"/>
      <c r="IP127" s="436"/>
      <c r="IQ127" s="265"/>
      <c r="IR127" s="265"/>
    </row>
    <row r="128" spans="1:252" s="461" customFormat="1" x14ac:dyDescent="0.35">
      <c r="A128" s="685"/>
      <c r="B128" s="503"/>
      <c r="C128" s="503"/>
      <c r="D128" s="439"/>
      <c r="E128" s="686"/>
      <c r="J128" s="1591"/>
      <c r="M128" s="436"/>
      <c r="N128" s="436"/>
      <c r="O128" s="436"/>
      <c r="P128" s="436"/>
      <c r="Q128" s="436"/>
      <c r="R128" s="436"/>
      <c r="S128" s="436"/>
      <c r="T128" s="436"/>
      <c r="U128" s="436"/>
      <c r="V128" s="436"/>
      <c r="W128" s="436"/>
      <c r="X128" s="436"/>
      <c r="Y128" s="436"/>
      <c r="Z128" s="436"/>
      <c r="AA128" s="436"/>
      <c r="AB128" s="436"/>
      <c r="AC128" s="436"/>
      <c r="AD128" s="436"/>
      <c r="AE128" s="436"/>
      <c r="AF128" s="436"/>
      <c r="AG128" s="436"/>
      <c r="AH128" s="436"/>
      <c r="AI128" s="436"/>
      <c r="AJ128" s="436"/>
      <c r="AK128" s="436"/>
      <c r="AL128" s="436"/>
      <c r="AM128" s="436"/>
      <c r="AN128" s="436"/>
      <c r="AO128" s="436"/>
      <c r="AP128" s="436"/>
      <c r="AQ128" s="436"/>
      <c r="AR128" s="436"/>
      <c r="AS128" s="436"/>
      <c r="AT128" s="436"/>
      <c r="AU128" s="436"/>
      <c r="AV128" s="436"/>
      <c r="AW128" s="436"/>
      <c r="AX128" s="436"/>
      <c r="AY128" s="436"/>
      <c r="AZ128" s="436"/>
      <c r="BA128" s="436"/>
      <c r="BB128" s="436"/>
      <c r="BC128" s="436"/>
      <c r="BD128" s="436"/>
      <c r="BE128" s="436"/>
      <c r="BF128" s="436"/>
      <c r="BG128" s="436"/>
      <c r="BH128" s="436"/>
      <c r="BI128" s="436"/>
      <c r="BJ128" s="436"/>
      <c r="BK128" s="436"/>
      <c r="BL128" s="436"/>
      <c r="BM128" s="436"/>
      <c r="BN128" s="436"/>
      <c r="BO128" s="436"/>
      <c r="BP128" s="436"/>
      <c r="BQ128" s="436"/>
      <c r="BR128" s="436"/>
      <c r="BS128" s="436"/>
      <c r="BT128" s="436"/>
      <c r="BU128" s="436"/>
      <c r="BV128" s="436"/>
      <c r="BW128" s="436"/>
      <c r="BX128" s="436"/>
      <c r="BY128" s="436"/>
      <c r="BZ128" s="436"/>
      <c r="CA128" s="436"/>
      <c r="CB128" s="436"/>
      <c r="CC128" s="436"/>
      <c r="CD128" s="436"/>
      <c r="CE128" s="436"/>
      <c r="CF128" s="436"/>
      <c r="CG128" s="436"/>
      <c r="CH128" s="436"/>
      <c r="CI128" s="436"/>
      <c r="CJ128" s="436"/>
      <c r="CK128" s="436"/>
      <c r="CL128" s="436"/>
      <c r="CM128" s="436"/>
      <c r="CN128" s="436"/>
      <c r="CO128" s="436"/>
      <c r="CP128" s="436"/>
      <c r="CQ128" s="436"/>
      <c r="CR128" s="436"/>
      <c r="CS128" s="436"/>
      <c r="CT128" s="436"/>
      <c r="CU128" s="436"/>
      <c r="CV128" s="436"/>
      <c r="CW128" s="436"/>
      <c r="CX128" s="436"/>
      <c r="CY128" s="436"/>
      <c r="CZ128" s="436"/>
      <c r="DA128" s="436"/>
      <c r="DB128" s="436"/>
      <c r="DC128" s="436"/>
      <c r="DD128" s="436"/>
      <c r="DE128" s="436"/>
      <c r="DF128" s="436"/>
      <c r="DG128" s="436"/>
      <c r="DH128" s="436"/>
      <c r="DI128" s="436"/>
      <c r="DJ128" s="436"/>
      <c r="DK128" s="436"/>
      <c r="DL128" s="436"/>
      <c r="DM128" s="436"/>
      <c r="DN128" s="436"/>
      <c r="DO128" s="436"/>
      <c r="DP128" s="436"/>
      <c r="DQ128" s="436"/>
      <c r="DR128" s="436"/>
      <c r="DS128" s="436"/>
      <c r="DT128" s="436"/>
      <c r="DU128" s="436"/>
      <c r="DV128" s="436"/>
      <c r="DW128" s="436"/>
      <c r="DX128" s="436"/>
      <c r="DY128" s="436"/>
      <c r="DZ128" s="436"/>
      <c r="EA128" s="436"/>
      <c r="EB128" s="436"/>
      <c r="EC128" s="436"/>
      <c r="ED128" s="436"/>
      <c r="EE128" s="436"/>
      <c r="EF128" s="436"/>
      <c r="EG128" s="436"/>
      <c r="EH128" s="436"/>
      <c r="EI128" s="436"/>
      <c r="EJ128" s="436"/>
      <c r="EK128" s="436"/>
      <c r="EL128" s="436"/>
      <c r="EM128" s="436"/>
      <c r="EN128" s="436"/>
      <c r="EO128" s="436"/>
      <c r="EP128" s="436"/>
      <c r="EQ128" s="436"/>
      <c r="ER128" s="436"/>
      <c r="ES128" s="436"/>
      <c r="ET128" s="436"/>
      <c r="EU128" s="436"/>
      <c r="EV128" s="436"/>
      <c r="EW128" s="436"/>
      <c r="EX128" s="436"/>
      <c r="EY128" s="436"/>
      <c r="EZ128" s="436"/>
      <c r="FA128" s="436"/>
      <c r="FB128" s="436"/>
      <c r="FC128" s="436"/>
      <c r="FD128" s="436"/>
      <c r="FE128" s="436"/>
      <c r="FF128" s="436"/>
      <c r="FG128" s="436"/>
      <c r="FH128" s="436"/>
      <c r="FI128" s="436"/>
      <c r="FJ128" s="436"/>
      <c r="FK128" s="436"/>
      <c r="FL128" s="436"/>
      <c r="FM128" s="436"/>
      <c r="FN128" s="436"/>
      <c r="FO128" s="436"/>
      <c r="FP128" s="436"/>
      <c r="FQ128" s="436"/>
      <c r="FR128" s="436"/>
      <c r="FS128" s="436"/>
      <c r="FT128" s="436"/>
      <c r="FU128" s="436"/>
      <c r="FV128" s="436"/>
      <c r="FW128" s="436"/>
      <c r="FX128" s="436"/>
      <c r="FY128" s="436"/>
      <c r="FZ128" s="436"/>
      <c r="GA128" s="436"/>
      <c r="GB128" s="436"/>
      <c r="GC128" s="436"/>
      <c r="GD128" s="436"/>
      <c r="GE128" s="436"/>
      <c r="GF128" s="436"/>
      <c r="GG128" s="436"/>
      <c r="GH128" s="436"/>
      <c r="GI128" s="436"/>
      <c r="GJ128" s="436"/>
      <c r="GK128" s="436"/>
      <c r="GL128" s="436"/>
      <c r="GM128" s="436"/>
      <c r="GN128" s="436"/>
      <c r="GO128" s="436"/>
      <c r="GP128" s="436"/>
      <c r="GQ128" s="436"/>
      <c r="GR128" s="436"/>
      <c r="GS128" s="436"/>
      <c r="GT128" s="436"/>
      <c r="GU128" s="436"/>
      <c r="GV128" s="436"/>
      <c r="GW128" s="436"/>
      <c r="GX128" s="436"/>
      <c r="GY128" s="436"/>
      <c r="GZ128" s="436"/>
      <c r="HA128" s="436"/>
      <c r="HB128" s="436"/>
      <c r="HC128" s="436"/>
      <c r="HD128" s="436"/>
      <c r="HE128" s="436"/>
      <c r="HF128" s="436"/>
      <c r="HG128" s="436"/>
      <c r="HH128" s="436"/>
      <c r="HI128" s="436"/>
      <c r="HJ128" s="436"/>
      <c r="HK128" s="436"/>
      <c r="HL128" s="436"/>
      <c r="HM128" s="436"/>
      <c r="HN128" s="436"/>
      <c r="HO128" s="436"/>
      <c r="HP128" s="436"/>
      <c r="HQ128" s="436"/>
      <c r="HR128" s="436"/>
      <c r="HS128" s="436"/>
      <c r="HT128" s="436"/>
      <c r="HU128" s="436"/>
      <c r="HV128" s="436"/>
      <c r="HW128" s="436"/>
      <c r="HX128" s="436"/>
      <c r="HY128" s="436"/>
      <c r="HZ128" s="436"/>
      <c r="IA128" s="436"/>
      <c r="IB128" s="436"/>
      <c r="IC128" s="436"/>
      <c r="ID128" s="436"/>
      <c r="IE128" s="436"/>
      <c r="IF128" s="436"/>
      <c r="IG128" s="436"/>
      <c r="IH128" s="436"/>
      <c r="II128" s="436"/>
      <c r="IJ128" s="436"/>
      <c r="IK128" s="436"/>
      <c r="IL128" s="436"/>
      <c r="IM128" s="436"/>
      <c r="IN128" s="436"/>
      <c r="IO128" s="436"/>
      <c r="IP128" s="436"/>
      <c r="IQ128" s="265"/>
      <c r="IR128" s="265"/>
    </row>
    <row r="129" spans="1:252" s="461" customFormat="1" x14ac:dyDescent="0.35">
      <c r="A129" s="685"/>
      <c r="B129" s="503"/>
      <c r="C129" s="503"/>
      <c r="D129" s="439"/>
      <c r="E129" s="686"/>
      <c r="J129" s="1591"/>
      <c r="M129" s="436"/>
      <c r="N129" s="436"/>
      <c r="O129" s="436"/>
      <c r="P129" s="436"/>
      <c r="Q129" s="436"/>
      <c r="R129" s="436"/>
      <c r="S129" s="436"/>
      <c r="T129" s="436"/>
      <c r="U129" s="436"/>
      <c r="V129" s="436"/>
      <c r="W129" s="436"/>
      <c r="X129" s="436"/>
      <c r="Y129" s="436"/>
      <c r="Z129" s="436"/>
      <c r="AA129" s="436"/>
      <c r="AB129" s="436"/>
      <c r="AC129" s="436"/>
      <c r="AD129" s="436"/>
      <c r="AE129" s="436"/>
      <c r="AF129" s="436"/>
      <c r="AG129" s="436"/>
      <c r="AH129" s="436"/>
      <c r="AI129" s="436"/>
      <c r="AJ129" s="436"/>
      <c r="AK129" s="436"/>
      <c r="AL129" s="436"/>
      <c r="AM129" s="436"/>
      <c r="AN129" s="436"/>
      <c r="AO129" s="436"/>
      <c r="AP129" s="436"/>
      <c r="AQ129" s="436"/>
      <c r="AR129" s="436"/>
      <c r="AS129" s="436"/>
      <c r="AT129" s="436"/>
      <c r="AU129" s="436"/>
      <c r="AV129" s="436"/>
      <c r="AW129" s="436"/>
      <c r="AX129" s="436"/>
      <c r="AY129" s="436"/>
      <c r="AZ129" s="436"/>
      <c r="BA129" s="436"/>
      <c r="BB129" s="436"/>
      <c r="BC129" s="436"/>
      <c r="BD129" s="436"/>
      <c r="BE129" s="436"/>
      <c r="BF129" s="436"/>
      <c r="BG129" s="436"/>
      <c r="BH129" s="436"/>
      <c r="BI129" s="436"/>
      <c r="BJ129" s="436"/>
      <c r="BK129" s="436"/>
      <c r="BL129" s="436"/>
      <c r="BM129" s="436"/>
      <c r="BN129" s="436"/>
      <c r="BO129" s="436"/>
      <c r="BP129" s="436"/>
      <c r="BQ129" s="436"/>
      <c r="BR129" s="436"/>
      <c r="BS129" s="436"/>
      <c r="BT129" s="436"/>
      <c r="BU129" s="436"/>
      <c r="BV129" s="436"/>
      <c r="BW129" s="436"/>
      <c r="BX129" s="436"/>
      <c r="BY129" s="436"/>
      <c r="BZ129" s="436"/>
      <c r="CA129" s="436"/>
      <c r="CB129" s="436"/>
      <c r="CC129" s="436"/>
      <c r="CD129" s="436"/>
      <c r="CE129" s="436"/>
      <c r="CF129" s="436"/>
      <c r="CG129" s="436"/>
      <c r="CH129" s="436"/>
      <c r="CI129" s="436"/>
      <c r="CJ129" s="436"/>
      <c r="CK129" s="436"/>
      <c r="CL129" s="436"/>
      <c r="CM129" s="436"/>
      <c r="CN129" s="436"/>
      <c r="CO129" s="436"/>
      <c r="CP129" s="436"/>
      <c r="CQ129" s="436"/>
      <c r="CR129" s="436"/>
      <c r="CS129" s="436"/>
      <c r="CT129" s="436"/>
      <c r="CU129" s="436"/>
      <c r="CV129" s="436"/>
      <c r="CW129" s="436"/>
      <c r="CX129" s="436"/>
      <c r="CY129" s="436"/>
      <c r="CZ129" s="436"/>
      <c r="DA129" s="436"/>
      <c r="DB129" s="436"/>
      <c r="DC129" s="436"/>
      <c r="DD129" s="436"/>
      <c r="DE129" s="436"/>
      <c r="DF129" s="436"/>
      <c r="DG129" s="436"/>
      <c r="DH129" s="436"/>
      <c r="DI129" s="436"/>
      <c r="DJ129" s="436"/>
      <c r="DK129" s="436"/>
      <c r="DL129" s="436"/>
      <c r="DM129" s="436"/>
      <c r="DN129" s="436"/>
      <c r="DO129" s="436"/>
      <c r="DP129" s="436"/>
      <c r="DQ129" s="436"/>
      <c r="DR129" s="436"/>
      <c r="DS129" s="436"/>
      <c r="DT129" s="436"/>
      <c r="DU129" s="436"/>
      <c r="DV129" s="436"/>
      <c r="DW129" s="436"/>
      <c r="DX129" s="436"/>
      <c r="DY129" s="436"/>
      <c r="DZ129" s="436"/>
      <c r="EA129" s="436"/>
      <c r="EB129" s="436"/>
      <c r="EC129" s="436"/>
      <c r="ED129" s="436"/>
      <c r="EE129" s="436"/>
      <c r="EF129" s="436"/>
      <c r="EG129" s="436"/>
      <c r="EH129" s="436"/>
      <c r="EI129" s="436"/>
      <c r="EJ129" s="436"/>
      <c r="EK129" s="436"/>
      <c r="EL129" s="436"/>
      <c r="EM129" s="436"/>
      <c r="EN129" s="436"/>
      <c r="EO129" s="436"/>
      <c r="EP129" s="436"/>
      <c r="EQ129" s="436"/>
      <c r="ER129" s="436"/>
      <c r="ES129" s="436"/>
      <c r="ET129" s="436"/>
      <c r="EU129" s="436"/>
      <c r="EV129" s="436"/>
      <c r="EW129" s="436"/>
      <c r="EX129" s="436"/>
      <c r="EY129" s="436"/>
      <c r="EZ129" s="436"/>
      <c r="FA129" s="436"/>
      <c r="FB129" s="436"/>
      <c r="FC129" s="436"/>
      <c r="FD129" s="436"/>
      <c r="FE129" s="436"/>
      <c r="FF129" s="436"/>
      <c r="FG129" s="436"/>
      <c r="FH129" s="436"/>
      <c r="FI129" s="436"/>
      <c r="FJ129" s="436"/>
      <c r="FK129" s="436"/>
      <c r="FL129" s="436"/>
      <c r="FM129" s="436"/>
      <c r="FN129" s="436"/>
      <c r="FO129" s="436"/>
      <c r="FP129" s="436"/>
      <c r="FQ129" s="436"/>
      <c r="FR129" s="436"/>
      <c r="FS129" s="436"/>
      <c r="FT129" s="436"/>
      <c r="FU129" s="436"/>
      <c r="FV129" s="436"/>
      <c r="FW129" s="436"/>
      <c r="FX129" s="436"/>
      <c r="FY129" s="436"/>
      <c r="FZ129" s="436"/>
      <c r="GA129" s="436"/>
      <c r="GB129" s="436"/>
      <c r="GC129" s="436"/>
      <c r="GD129" s="436"/>
      <c r="GE129" s="436"/>
      <c r="GF129" s="436"/>
      <c r="GG129" s="436"/>
      <c r="GH129" s="436"/>
      <c r="GI129" s="436"/>
      <c r="GJ129" s="436"/>
      <c r="GK129" s="436"/>
      <c r="GL129" s="436"/>
      <c r="GM129" s="436"/>
      <c r="GN129" s="436"/>
      <c r="GO129" s="436"/>
      <c r="GP129" s="436"/>
      <c r="GQ129" s="436"/>
      <c r="GR129" s="436"/>
      <c r="GS129" s="436"/>
      <c r="GT129" s="436"/>
      <c r="GU129" s="436"/>
      <c r="GV129" s="436"/>
      <c r="GW129" s="436"/>
      <c r="GX129" s="436"/>
      <c r="GY129" s="436"/>
      <c r="GZ129" s="436"/>
      <c r="HA129" s="436"/>
      <c r="HB129" s="436"/>
      <c r="HC129" s="436"/>
      <c r="HD129" s="436"/>
      <c r="HE129" s="436"/>
      <c r="HF129" s="436"/>
      <c r="HG129" s="436"/>
      <c r="HH129" s="436"/>
      <c r="HI129" s="436"/>
      <c r="HJ129" s="436"/>
      <c r="HK129" s="436"/>
      <c r="HL129" s="436"/>
      <c r="HM129" s="436"/>
      <c r="HN129" s="436"/>
      <c r="HO129" s="436"/>
      <c r="HP129" s="436"/>
      <c r="HQ129" s="436"/>
      <c r="HR129" s="436"/>
      <c r="HS129" s="436"/>
      <c r="HT129" s="436"/>
      <c r="HU129" s="436"/>
      <c r="HV129" s="436"/>
      <c r="HW129" s="436"/>
      <c r="HX129" s="436"/>
      <c r="HY129" s="436"/>
      <c r="HZ129" s="436"/>
      <c r="IA129" s="436"/>
      <c r="IB129" s="436"/>
      <c r="IC129" s="436"/>
      <c r="ID129" s="436"/>
      <c r="IE129" s="436"/>
      <c r="IF129" s="436"/>
      <c r="IG129" s="436"/>
      <c r="IH129" s="436"/>
      <c r="II129" s="436"/>
      <c r="IJ129" s="436"/>
      <c r="IK129" s="436"/>
      <c r="IL129" s="436"/>
      <c r="IM129" s="436"/>
      <c r="IN129" s="436"/>
      <c r="IO129" s="436"/>
      <c r="IP129" s="436"/>
      <c r="IQ129" s="265"/>
      <c r="IR129" s="265"/>
    </row>
    <row r="130" spans="1:252" s="461" customFormat="1" x14ac:dyDescent="0.35">
      <c r="A130" s="685"/>
      <c r="B130" s="503"/>
      <c r="C130" s="503"/>
      <c r="D130" s="439"/>
      <c r="E130" s="686"/>
      <c r="J130" s="1591"/>
      <c r="M130" s="436"/>
      <c r="N130" s="436"/>
      <c r="O130" s="436"/>
      <c r="P130" s="436"/>
      <c r="Q130" s="436"/>
      <c r="R130" s="436"/>
      <c r="S130" s="436"/>
      <c r="T130" s="436"/>
      <c r="U130" s="436"/>
      <c r="V130" s="436"/>
      <c r="W130" s="436"/>
      <c r="X130" s="436"/>
      <c r="Y130" s="436"/>
      <c r="Z130" s="436"/>
      <c r="AA130" s="436"/>
      <c r="AB130" s="436"/>
      <c r="AC130" s="436"/>
      <c r="AD130" s="436"/>
      <c r="AE130" s="436"/>
      <c r="AF130" s="436"/>
      <c r="AG130" s="436"/>
      <c r="AH130" s="436"/>
      <c r="AI130" s="436"/>
      <c r="AJ130" s="436"/>
      <c r="AK130" s="436"/>
      <c r="AL130" s="436"/>
      <c r="AM130" s="436"/>
      <c r="AN130" s="436"/>
      <c r="AO130" s="436"/>
      <c r="AP130" s="436"/>
      <c r="AQ130" s="436"/>
      <c r="AR130" s="436"/>
      <c r="AS130" s="436"/>
      <c r="AT130" s="436"/>
      <c r="AU130" s="436"/>
      <c r="AV130" s="436"/>
      <c r="AW130" s="436"/>
      <c r="AX130" s="436"/>
      <c r="AY130" s="436"/>
      <c r="AZ130" s="436"/>
      <c r="BA130" s="436"/>
      <c r="BB130" s="436"/>
      <c r="BC130" s="436"/>
      <c r="BD130" s="436"/>
      <c r="BE130" s="436"/>
      <c r="BF130" s="436"/>
      <c r="BG130" s="436"/>
      <c r="BH130" s="436"/>
      <c r="BI130" s="436"/>
      <c r="BJ130" s="436"/>
      <c r="BK130" s="436"/>
      <c r="BL130" s="436"/>
      <c r="BM130" s="436"/>
      <c r="BN130" s="436"/>
      <c r="BO130" s="436"/>
      <c r="BP130" s="436"/>
      <c r="BQ130" s="436"/>
      <c r="BR130" s="436"/>
      <c r="BS130" s="436"/>
      <c r="BT130" s="436"/>
      <c r="BU130" s="436"/>
      <c r="BV130" s="436"/>
      <c r="BW130" s="436"/>
      <c r="BX130" s="436"/>
      <c r="BY130" s="436"/>
      <c r="BZ130" s="436"/>
      <c r="CA130" s="436"/>
      <c r="CB130" s="436"/>
      <c r="CC130" s="436"/>
      <c r="CD130" s="436"/>
      <c r="CE130" s="436"/>
      <c r="CF130" s="436"/>
      <c r="CG130" s="436"/>
      <c r="CH130" s="436"/>
      <c r="CI130" s="436"/>
      <c r="CJ130" s="436"/>
      <c r="CK130" s="436"/>
      <c r="CL130" s="436"/>
      <c r="CM130" s="436"/>
      <c r="CN130" s="436"/>
      <c r="CO130" s="436"/>
      <c r="CP130" s="436"/>
      <c r="CQ130" s="436"/>
      <c r="CR130" s="436"/>
      <c r="CS130" s="436"/>
      <c r="CT130" s="436"/>
      <c r="CU130" s="436"/>
      <c r="CV130" s="436"/>
      <c r="CW130" s="436"/>
      <c r="CX130" s="436"/>
      <c r="CY130" s="436"/>
      <c r="CZ130" s="436"/>
      <c r="DA130" s="436"/>
      <c r="DB130" s="436"/>
      <c r="DC130" s="436"/>
      <c r="DD130" s="436"/>
      <c r="DE130" s="436"/>
      <c r="DF130" s="436"/>
      <c r="DG130" s="436"/>
      <c r="DH130" s="436"/>
      <c r="DI130" s="436"/>
      <c r="DJ130" s="436"/>
      <c r="DK130" s="436"/>
      <c r="DL130" s="436"/>
      <c r="DM130" s="436"/>
      <c r="DN130" s="436"/>
      <c r="DO130" s="436"/>
      <c r="DP130" s="436"/>
      <c r="DQ130" s="436"/>
      <c r="DR130" s="436"/>
      <c r="DS130" s="436"/>
      <c r="DT130" s="436"/>
      <c r="DU130" s="436"/>
      <c r="DV130" s="436"/>
      <c r="DW130" s="436"/>
      <c r="DX130" s="436"/>
      <c r="DY130" s="436"/>
      <c r="DZ130" s="436"/>
      <c r="EA130" s="436"/>
      <c r="EB130" s="436"/>
      <c r="EC130" s="436"/>
      <c r="ED130" s="436"/>
      <c r="EE130" s="436"/>
      <c r="EF130" s="436"/>
      <c r="EG130" s="436"/>
      <c r="EH130" s="436"/>
      <c r="EI130" s="436"/>
      <c r="EJ130" s="436"/>
      <c r="EK130" s="436"/>
      <c r="EL130" s="436"/>
      <c r="EM130" s="436"/>
      <c r="EN130" s="436"/>
      <c r="EO130" s="436"/>
      <c r="EP130" s="436"/>
      <c r="EQ130" s="436"/>
      <c r="ER130" s="436"/>
      <c r="ES130" s="436"/>
      <c r="ET130" s="436"/>
      <c r="EU130" s="436"/>
      <c r="EV130" s="436"/>
      <c r="EW130" s="436"/>
      <c r="EX130" s="436"/>
      <c r="EY130" s="436"/>
      <c r="EZ130" s="436"/>
      <c r="FA130" s="436"/>
      <c r="FB130" s="436"/>
      <c r="FC130" s="436"/>
      <c r="FD130" s="436"/>
      <c r="FE130" s="436"/>
      <c r="FF130" s="436"/>
      <c r="FG130" s="436"/>
      <c r="FH130" s="436"/>
      <c r="FI130" s="436"/>
      <c r="FJ130" s="436"/>
      <c r="FK130" s="436"/>
      <c r="FL130" s="436"/>
      <c r="FM130" s="436"/>
      <c r="FN130" s="436"/>
      <c r="FO130" s="436"/>
      <c r="FP130" s="436"/>
      <c r="FQ130" s="436"/>
      <c r="FR130" s="436"/>
      <c r="FS130" s="436"/>
      <c r="FT130" s="436"/>
      <c r="FU130" s="436"/>
      <c r="FV130" s="436"/>
      <c r="FW130" s="436"/>
      <c r="FX130" s="436"/>
      <c r="FY130" s="436"/>
      <c r="FZ130" s="436"/>
      <c r="GA130" s="436"/>
      <c r="GB130" s="436"/>
      <c r="GC130" s="436"/>
      <c r="GD130" s="436"/>
      <c r="GE130" s="436"/>
      <c r="GF130" s="436"/>
      <c r="GG130" s="436"/>
      <c r="GH130" s="436"/>
      <c r="GI130" s="436"/>
      <c r="GJ130" s="436"/>
      <c r="GK130" s="436"/>
      <c r="GL130" s="436"/>
      <c r="GM130" s="436"/>
      <c r="GN130" s="436"/>
      <c r="GO130" s="436"/>
      <c r="GP130" s="436"/>
      <c r="GQ130" s="436"/>
      <c r="GR130" s="436"/>
      <c r="GS130" s="436"/>
      <c r="GT130" s="436"/>
      <c r="GU130" s="436"/>
      <c r="GV130" s="436"/>
      <c r="GW130" s="436"/>
      <c r="GX130" s="436"/>
      <c r="GY130" s="436"/>
      <c r="GZ130" s="436"/>
      <c r="HA130" s="436"/>
      <c r="HB130" s="436"/>
      <c r="HC130" s="436"/>
      <c r="HD130" s="436"/>
      <c r="HE130" s="436"/>
      <c r="HF130" s="436"/>
      <c r="HG130" s="436"/>
      <c r="HH130" s="436"/>
      <c r="HI130" s="436"/>
      <c r="HJ130" s="436"/>
      <c r="HK130" s="436"/>
      <c r="HL130" s="436"/>
      <c r="HM130" s="436"/>
      <c r="HN130" s="436"/>
      <c r="HO130" s="436"/>
      <c r="HP130" s="436"/>
      <c r="HQ130" s="436"/>
      <c r="HR130" s="436"/>
      <c r="HS130" s="436"/>
      <c r="HT130" s="436"/>
      <c r="HU130" s="436"/>
      <c r="HV130" s="436"/>
      <c r="HW130" s="436"/>
      <c r="HX130" s="436"/>
      <c r="HY130" s="436"/>
      <c r="HZ130" s="436"/>
      <c r="IA130" s="436"/>
      <c r="IB130" s="436"/>
      <c r="IC130" s="436"/>
      <c r="ID130" s="436"/>
      <c r="IE130" s="436"/>
      <c r="IF130" s="436"/>
      <c r="IG130" s="436"/>
      <c r="IH130" s="436"/>
      <c r="II130" s="436"/>
      <c r="IJ130" s="436"/>
      <c r="IK130" s="436"/>
      <c r="IL130" s="436"/>
      <c r="IM130" s="436"/>
      <c r="IN130" s="436"/>
      <c r="IO130" s="436"/>
      <c r="IP130" s="436"/>
      <c r="IQ130" s="265"/>
      <c r="IR130" s="265"/>
    </row>
    <row r="131" spans="1:252" s="461" customFormat="1" x14ac:dyDescent="0.35">
      <c r="A131" s="685"/>
      <c r="B131" s="503"/>
      <c r="C131" s="503"/>
      <c r="D131" s="439"/>
      <c r="E131" s="686"/>
      <c r="J131" s="1591"/>
      <c r="M131" s="436"/>
      <c r="N131" s="436"/>
      <c r="O131" s="436"/>
      <c r="P131" s="436"/>
      <c r="Q131" s="436"/>
      <c r="R131" s="436"/>
      <c r="S131" s="436"/>
      <c r="T131" s="436"/>
      <c r="U131" s="436"/>
      <c r="V131" s="436"/>
      <c r="W131" s="436"/>
      <c r="X131" s="436"/>
      <c r="Y131" s="436"/>
      <c r="Z131" s="436"/>
      <c r="AA131" s="436"/>
      <c r="AB131" s="436"/>
      <c r="AC131" s="436"/>
      <c r="AD131" s="436"/>
      <c r="AE131" s="436"/>
      <c r="AF131" s="436"/>
      <c r="AG131" s="436"/>
      <c r="AH131" s="436"/>
      <c r="AI131" s="436"/>
      <c r="AJ131" s="436"/>
      <c r="AK131" s="436"/>
      <c r="AL131" s="436"/>
      <c r="AM131" s="436"/>
      <c r="AN131" s="436"/>
      <c r="AO131" s="436"/>
      <c r="AP131" s="436"/>
      <c r="AQ131" s="436"/>
      <c r="AR131" s="436"/>
      <c r="AS131" s="436"/>
      <c r="AT131" s="436"/>
      <c r="AU131" s="436"/>
      <c r="AV131" s="436"/>
      <c r="AW131" s="436"/>
      <c r="AX131" s="436"/>
      <c r="AY131" s="436"/>
      <c r="AZ131" s="436"/>
      <c r="BA131" s="436"/>
      <c r="BB131" s="436"/>
      <c r="BC131" s="436"/>
      <c r="BD131" s="436"/>
      <c r="BE131" s="436"/>
      <c r="BF131" s="436"/>
      <c r="BG131" s="436"/>
      <c r="BH131" s="436"/>
      <c r="BI131" s="436"/>
      <c r="BJ131" s="436"/>
      <c r="BK131" s="436"/>
      <c r="BL131" s="436"/>
      <c r="BM131" s="436"/>
      <c r="BN131" s="436"/>
      <c r="BO131" s="436"/>
      <c r="BP131" s="436"/>
      <c r="BQ131" s="436"/>
      <c r="BR131" s="436"/>
      <c r="BS131" s="436"/>
      <c r="BT131" s="436"/>
      <c r="BU131" s="436"/>
      <c r="BV131" s="436"/>
      <c r="BW131" s="436"/>
      <c r="BX131" s="436"/>
      <c r="BY131" s="436"/>
      <c r="BZ131" s="436"/>
      <c r="CA131" s="436"/>
      <c r="CB131" s="436"/>
      <c r="CC131" s="436"/>
      <c r="CD131" s="436"/>
      <c r="CE131" s="436"/>
      <c r="CF131" s="436"/>
      <c r="CG131" s="436"/>
      <c r="CH131" s="436"/>
      <c r="CI131" s="436"/>
      <c r="CJ131" s="436"/>
      <c r="CK131" s="436"/>
      <c r="CL131" s="436"/>
      <c r="CM131" s="436"/>
      <c r="CN131" s="436"/>
      <c r="CO131" s="436"/>
      <c r="CP131" s="436"/>
      <c r="CQ131" s="436"/>
      <c r="CR131" s="436"/>
      <c r="CS131" s="436"/>
      <c r="CT131" s="436"/>
      <c r="CU131" s="436"/>
      <c r="CV131" s="436"/>
      <c r="CW131" s="436"/>
      <c r="CX131" s="436"/>
      <c r="CY131" s="436"/>
      <c r="CZ131" s="436"/>
      <c r="DA131" s="436"/>
      <c r="DB131" s="436"/>
      <c r="DC131" s="436"/>
      <c r="DD131" s="436"/>
      <c r="DE131" s="436"/>
      <c r="DF131" s="436"/>
      <c r="DG131" s="436"/>
      <c r="DH131" s="436"/>
      <c r="DI131" s="436"/>
      <c r="DJ131" s="436"/>
      <c r="DK131" s="436"/>
      <c r="DL131" s="436"/>
      <c r="DM131" s="436"/>
      <c r="DN131" s="436"/>
      <c r="DO131" s="436"/>
      <c r="DP131" s="436"/>
      <c r="DQ131" s="436"/>
      <c r="DR131" s="436"/>
      <c r="DS131" s="436"/>
      <c r="DT131" s="436"/>
      <c r="DU131" s="436"/>
      <c r="DV131" s="436"/>
      <c r="DW131" s="436"/>
      <c r="DX131" s="436"/>
      <c r="DY131" s="436"/>
      <c r="DZ131" s="436"/>
      <c r="EA131" s="436"/>
      <c r="EB131" s="436"/>
      <c r="EC131" s="436"/>
      <c r="ED131" s="436"/>
      <c r="EE131" s="436"/>
      <c r="EF131" s="436"/>
      <c r="EG131" s="436"/>
      <c r="EH131" s="436"/>
      <c r="EI131" s="436"/>
      <c r="EJ131" s="436"/>
      <c r="EK131" s="436"/>
      <c r="EL131" s="436"/>
      <c r="EM131" s="436"/>
      <c r="EN131" s="436"/>
      <c r="EO131" s="436"/>
      <c r="EP131" s="436"/>
      <c r="EQ131" s="436"/>
      <c r="ER131" s="436"/>
      <c r="ES131" s="436"/>
      <c r="ET131" s="436"/>
      <c r="EU131" s="436"/>
      <c r="EV131" s="436"/>
      <c r="EW131" s="436"/>
      <c r="EX131" s="436"/>
      <c r="EY131" s="436"/>
      <c r="EZ131" s="436"/>
      <c r="FA131" s="436"/>
      <c r="FB131" s="436"/>
      <c r="FC131" s="436"/>
      <c r="FD131" s="436"/>
      <c r="FE131" s="436"/>
      <c r="FF131" s="436"/>
      <c r="FG131" s="436"/>
      <c r="FH131" s="436"/>
      <c r="FI131" s="436"/>
      <c r="FJ131" s="436"/>
      <c r="FK131" s="436"/>
      <c r="FL131" s="436"/>
      <c r="FM131" s="436"/>
      <c r="FN131" s="436"/>
      <c r="FO131" s="436"/>
      <c r="FP131" s="436"/>
      <c r="FQ131" s="436"/>
      <c r="FR131" s="436"/>
      <c r="FS131" s="436"/>
      <c r="FT131" s="436"/>
      <c r="FU131" s="436"/>
      <c r="FV131" s="436"/>
      <c r="FW131" s="436"/>
      <c r="FX131" s="436"/>
      <c r="FY131" s="436"/>
      <c r="FZ131" s="436"/>
      <c r="GA131" s="436"/>
      <c r="GB131" s="436"/>
      <c r="GC131" s="436"/>
      <c r="GD131" s="436"/>
      <c r="GE131" s="436"/>
      <c r="GF131" s="436"/>
      <c r="GG131" s="436"/>
      <c r="GH131" s="436"/>
      <c r="GI131" s="436"/>
      <c r="GJ131" s="436"/>
      <c r="GK131" s="436"/>
      <c r="GL131" s="436"/>
      <c r="GM131" s="436"/>
      <c r="GN131" s="436"/>
      <c r="GO131" s="436"/>
      <c r="GP131" s="436"/>
      <c r="GQ131" s="436"/>
      <c r="GR131" s="436"/>
      <c r="GS131" s="436"/>
      <c r="GT131" s="436"/>
      <c r="GU131" s="436"/>
      <c r="GV131" s="436"/>
      <c r="GW131" s="436"/>
      <c r="GX131" s="436"/>
      <c r="GY131" s="436"/>
      <c r="GZ131" s="436"/>
      <c r="HA131" s="436"/>
      <c r="HB131" s="436"/>
      <c r="HC131" s="436"/>
      <c r="HD131" s="436"/>
      <c r="HE131" s="436"/>
      <c r="HF131" s="436"/>
      <c r="HG131" s="436"/>
      <c r="HH131" s="436"/>
      <c r="HI131" s="436"/>
      <c r="HJ131" s="436"/>
      <c r="HK131" s="436"/>
      <c r="HL131" s="436"/>
      <c r="HM131" s="436"/>
      <c r="HN131" s="436"/>
      <c r="HO131" s="436"/>
      <c r="HP131" s="436"/>
      <c r="HQ131" s="436"/>
      <c r="HR131" s="436"/>
      <c r="HS131" s="436"/>
      <c r="HT131" s="436"/>
      <c r="HU131" s="436"/>
      <c r="HV131" s="436"/>
      <c r="HW131" s="436"/>
      <c r="HX131" s="436"/>
      <c r="HY131" s="436"/>
      <c r="HZ131" s="436"/>
      <c r="IA131" s="436"/>
      <c r="IB131" s="436"/>
      <c r="IC131" s="436"/>
      <c r="ID131" s="436"/>
      <c r="IE131" s="436"/>
      <c r="IF131" s="436"/>
      <c r="IG131" s="436"/>
      <c r="IH131" s="436"/>
      <c r="II131" s="436"/>
      <c r="IJ131" s="436"/>
      <c r="IK131" s="436"/>
      <c r="IL131" s="436"/>
      <c r="IM131" s="436"/>
      <c r="IN131" s="436"/>
      <c r="IO131" s="436"/>
      <c r="IP131" s="436"/>
      <c r="IQ131" s="265"/>
      <c r="IR131" s="265"/>
    </row>
    <row r="132" spans="1:252" s="461" customFormat="1" x14ac:dyDescent="0.35">
      <c r="A132" s="685"/>
      <c r="B132" s="503"/>
      <c r="C132" s="503"/>
      <c r="D132" s="439"/>
      <c r="E132" s="686"/>
      <c r="J132" s="1591"/>
      <c r="M132" s="436"/>
      <c r="N132" s="436"/>
      <c r="O132" s="436"/>
      <c r="P132" s="436"/>
      <c r="Q132" s="436"/>
      <c r="R132" s="436"/>
      <c r="S132" s="436"/>
      <c r="T132" s="436"/>
      <c r="U132" s="436"/>
      <c r="V132" s="436"/>
      <c r="W132" s="436"/>
      <c r="X132" s="436"/>
      <c r="Y132" s="436"/>
      <c r="Z132" s="436"/>
      <c r="AA132" s="436"/>
      <c r="AB132" s="436"/>
      <c r="AC132" s="436"/>
      <c r="AD132" s="436"/>
      <c r="AE132" s="436"/>
      <c r="AF132" s="436"/>
      <c r="AG132" s="436"/>
      <c r="AH132" s="436"/>
      <c r="AI132" s="436"/>
      <c r="AJ132" s="436"/>
      <c r="AK132" s="436"/>
      <c r="AL132" s="436"/>
      <c r="AM132" s="436"/>
      <c r="AN132" s="436"/>
      <c r="AO132" s="436"/>
      <c r="AP132" s="436"/>
      <c r="AQ132" s="436"/>
      <c r="AR132" s="436"/>
      <c r="AS132" s="436"/>
      <c r="AT132" s="436"/>
      <c r="AU132" s="436"/>
      <c r="AV132" s="436"/>
      <c r="AW132" s="436"/>
      <c r="AX132" s="436"/>
      <c r="AY132" s="436"/>
      <c r="AZ132" s="436"/>
      <c r="BA132" s="436"/>
      <c r="BB132" s="436"/>
      <c r="BC132" s="436"/>
      <c r="BD132" s="436"/>
      <c r="BE132" s="436"/>
      <c r="BF132" s="436"/>
      <c r="BG132" s="436"/>
      <c r="BH132" s="436"/>
      <c r="BI132" s="436"/>
      <c r="BJ132" s="436"/>
      <c r="BK132" s="436"/>
      <c r="BL132" s="436"/>
      <c r="BM132" s="436"/>
      <c r="BN132" s="436"/>
      <c r="BO132" s="436"/>
      <c r="BP132" s="436"/>
      <c r="BQ132" s="436"/>
      <c r="BR132" s="436"/>
      <c r="BS132" s="436"/>
      <c r="BT132" s="436"/>
      <c r="BU132" s="436"/>
      <c r="BV132" s="436"/>
      <c r="BW132" s="436"/>
      <c r="BX132" s="436"/>
      <c r="BY132" s="436"/>
      <c r="BZ132" s="436"/>
      <c r="CA132" s="436"/>
      <c r="CB132" s="436"/>
      <c r="CC132" s="436"/>
      <c r="CD132" s="436"/>
      <c r="CE132" s="436"/>
      <c r="CF132" s="436"/>
      <c r="CG132" s="436"/>
      <c r="CH132" s="436"/>
      <c r="CI132" s="436"/>
      <c r="CJ132" s="436"/>
      <c r="CK132" s="436"/>
      <c r="CL132" s="436"/>
      <c r="CM132" s="436"/>
      <c r="CN132" s="436"/>
      <c r="CO132" s="436"/>
      <c r="CP132" s="436"/>
      <c r="CQ132" s="436"/>
      <c r="CR132" s="436"/>
      <c r="CS132" s="436"/>
      <c r="CT132" s="436"/>
      <c r="CU132" s="436"/>
      <c r="CV132" s="436"/>
      <c r="CW132" s="436"/>
      <c r="CX132" s="436"/>
      <c r="CY132" s="436"/>
      <c r="CZ132" s="436"/>
      <c r="DA132" s="436"/>
      <c r="DB132" s="436"/>
      <c r="DC132" s="436"/>
      <c r="DD132" s="436"/>
      <c r="DE132" s="436"/>
      <c r="DF132" s="436"/>
      <c r="DG132" s="436"/>
      <c r="DH132" s="436"/>
      <c r="DI132" s="436"/>
      <c r="DJ132" s="436"/>
      <c r="DK132" s="436"/>
      <c r="DL132" s="436"/>
      <c r="DM132" s="436"/>
      <c r="DN132" s="436"/>
      <c r="DO132" s="436"/>
      <c r="DP132" s="436"/>
      <c r="DQ132" s="436"/>
      <c r="DR132" s="436"/>
      <c r="DS132" s="436"/>
      <c r="DT132" s="436"/>
      <c r="DU132" s="436"/>
      <c r="DV132" s="436"/>
      <c r="DW132" s="436"/>
      <c r="DX132" s="436"/>
      <c r="DY132" s="436"/>
      <c r="DZ132" s="436"/>
      <c r="EA132" s="436"/>
      <c r="EB132" s="436"/>
      <c r="EC132" s="436"/>
      <c r="ED132" s="436"/>
      <c r="EE132" s="436"/>
      <c r="EF132" s="436"/>
      <c r="EG132" s="436"/>
      <c r="EH132" s="436"/>
      <c r="EI132" s="436"/>
      <c r="EJ132" s="436"/>
      <c r="EK132" s="436"/>
      <c r="EL132" s="436"/>
      <c r="EM132" s="436"/>
      <c r="EN132" s="436"/>
      <c r="EO132" s="436"/>
      <c r="EP132" s="436"/>
      <c r="EQ132" s="436"/>
      <c r="ER132" s="436"/>
      <c r="ES132" s="436"/>
      <c r="ET132" s="436"/>
      <c r="EU132" s="436"/>
      <c r="EV132" s="436"/>
      <c r="EW132" s="436"/>
      <c r="EX132" s="436"/>
      <c r="EY132" s="436"/>
      <c r="EZ132" s="436"/>
      <c r="FA132" s="436"/>
      <c r="FB132" s="436"/>
      <c r="FC132" s="436"/>
      <c r="FD132" s="436"/>
      <c r="FE132" s="436"/>
      <c r="FF132" s="436"/>
      <c r="FG132" s="436"/>
      <c r="FH132" s="436"/>
      <c r="FI132" s="436"/>
      <c r="FJ132" s="436"/>
      <c r="FK132" s="436"/>
      <c r="FL132" s="436"/>
      <c r="FM132" s="436"/>
      <c r="FN132" s="436"/>
      <c r="FO132" s="436"/>
      <c r="FP132" s="436"/>
      <c r="FQ132" s="436"/>
      <c r="FR132" s="436"/>
      <c r="FS132" s="436"/>
      <c r="FT132" s="436"/>
      <c r="FU132" s="436"/>
      <c r="FV132" s="436"/>
      <c r="FW132" s="436"/>
      <c r="FX132" s="436"/>
      <c r="FY132" s="436"/>
      <c r="FZ132" s="436"/>
      <c r="GA132" s="436"/>
      <c r="GB132" s="436"/>
      <c r="GC132" s="436"/>
      <c r="GD132" s="436"/>
      <c r="GE132" s="436"/>
      <c r="GF132" s="436"/>
      <c r="GG132" s="436"/>
      <c r="GH132" s="436"/>
      <c r="GI132" s="436"/>
      <c r="GJ132" s="436"/>
      <c r="GK132" s="436"/>
      <c r="GL132" s="436"/>
      <c r="GM132" s="436"/>
      <c r="GN132" s="436"/>
      <c r="GO132" s="436"/>
      <c r="GP132" s="436"/>
      <c r="GQ132" s="436"/>
      <c r="GR132" s="436"/>
      <c r="GS132" s="436"/>
      <c r="GT132" s="436"/>
      <c r="GU132" s="436"/>
      <c r="GV132" s="436"/>
      <c r="GW132" s="436"/>
      <c r="GX132" s="436"/>
      <c r="GY132" s="436"/>
      <c r="GZ132" s="436"/>
      <c r="HA132" s="436"/>
      <c r="HB132" s="436"/>
      <c r="HC132" s="436"/>
      <c r="HD132" s="436"/>
      <c r="HE132" s="436"/>
      <c r="HF132" s="436"/>
      <c r="HG132" s="436"/>
      <c r="HH132" s="436"/>
      <c r="HI132" s="436"/>
      <c r="HJ132" s="436"/>
      <c r="HK132" s="436"/>
      <c r="HL132" s="436"/>
      <c r="HM132" s="436"/>
      <c r="HN132" s="436"/>
      <c r="HO132" s="436"/>
      <c r="HP132" s="436"/>
      <c r="HQ132" s="436"/>
      <c r="HR132" s="436"/>
      <c r="HS132" s="436"/>
      <c r="HT132" s="436"/>
      <c r="HU132" s="436"/>
      <c r="HV132" s="436"/>
      <c r="HW132" s="436"/>
      <c r="HX132" s="436"/>
      <c r="HY132" s="436"/>
      <c r="HZ132" s="436"/>
      <c r="IA132" s="436"/>
      <c r="IB132" s="436"/>
      <c r="IC132" s="436"/>
      <c r="ID132" s="436"/>
      <c r="IE132" s="436"/>
      <c r="IF132" s="436"/>
      <c r="IG132" s="436"/>
      <c r="IH132" s="436"/>
      <c r="II132" s="436"/>
      <c r="IJ132" s="436"/>
      <c r="IK132" s="436"/>
      <c r="IL132" s="436"/>
      <c r="IM132" s="436"/>
      <c r="IN132" s="436"/>
      <c r="IO132" s="436"/>
      <c r="IP132" s="436"/>
      <c r="IQ132" s="265"/>
      <c r="IR132" s="265"/>
    </row>
    <row r="133" spans="1:252" s="461" customFormat="1" x14ac:dyDescent="0.35">
      <c r="A133" s="685"/>
      <c r="B133" s="503"/>
      <c r="C133" s="503"/>
      <c r="D133" s="439"/>
      <c r="E133" s="686"/>
      <c r="J133" s="1591"/>
      <c r="M133" s="436"/>
      <c r="N133" s="436"/>
      <c r="O133" s="436"/>
      <c r="P133" s="436"/>
      <c r="Q133" s="436"/>
      <c r="R133" s="436"/>
      <c r="S133" s="436"/>
      <c r="T133" s="436"/>
      <c r="U133" s="436"/>
      <c r="V133" s="436"/>
      <c r="W133" s="436"/>
      <c r="X133" s="436"/>
      <c r="Y133" s="436"/>
      <c r="Z133" s="436"/>
      <c r="AA133" s="436"/>
      <c r="AB133" s="436"/>
      <c r="AC133" s="436"/>
      <c r="AD133" s="436"/>
      <c r="AE133" s="436"/>
      <c r="AF133" s="436"/>
      <c r="AG133" s="436"/>
      <c r="AH133" s="436"/>
      <c r="AI133" s="436"/>
      <c r="AJ133" s="436"/>
      <c r="AK133" s="436"/>
      <c r="AL133" s="436"/>
      <c r="AM133" s="436"/>
      <c r="AN133" s="436"/>
      <c r="AO133" s="436"/>
      <c r="AP133" s="436"/>
      <c r="AQ133" s="436"/>
      <c r="AR133" s="436"/>
      <c r="AS133" s="436"/>
      <c r="AT133" s="436"/>
      <c r="AU133" s="436"/>
      <c r="AV133" s="436"/>
      <c r="AW133" s="436"/>
      <c r="AX133" s="436"/>
      <c r="AY133" s="436"/>
      <c r="AZ133" s="436"/>
      <c r="BA133" s="436"/>
      <c r="BB133" s="436"/>
      <c r="BC133" s="436"/>
      <c r="BD133" s="436"/>
      <c r="BE133" s="436"/>
      <c r="BF133" s="436"/>
      <c r="BG133" s="436"/>
      <c r="BH133" s="436"/>
      <c r="BI133" s="436"/>
      <c r="BJ133" s="436"/>
      <c r="BK133" s="436"/>
      <c r="BL133" s="436"/>
      <c r="BM133" s="436"/>
      <c r="BN133" s="436"/>
      <c r="BO133" s="436"/>
      <c r="BP133" s="436"/>
      <c r="BQ133" s="436"/>
      <c r="BR133" s="436"/>
      <c r="BS133" s="436"/>
      <c r="BT133" s="436"/>
      <c r="BU133" s="436"/>
      <c r="BV133" s="436"/>
      <c r="BW133" s="436"/>
      <c r="BX133" s="436"/>
      <c r="BY133" s="436"/>
      <c r="BZ133" s="436"/>
      <c r="CA133" s="436"/>
      <c r="CB133" s="436"/>
      <c r="CC133" s="436"/>
      <c r="CD133" s="436"/>
      <c r="CE133" s="436"/>
      <c r="CF133" s="436"/>
      <c r="CG133" s="436"/>
      <c r="CH133" s="436"/>
      <c r="CI133" s="436"/>
      <c r="CJ133" s="436"/>
      <c r="CK133" s="436"/>
      <c r="CL133" s="436"/>
      <c r="CM133" s="436"/>
      <c r="CN133" s="436"/>
      <c r="CO133" s="436"/>
      <c r="CP133" s="436"/>
      <c r="CQ133" s="436"/>
      <c r="CR133" s="436"/>
      <c r="CS133" s="436"/>
      <c r="CT133" s="436"/>
      <c r="CU133" s="436"/>
      <c r="CV133" s="436"/>
      <c r="CW133" s="436"/>
      <c r="CX133" s="436"/>
      <c r="CY133" s="436"/>
      <c r="CZ133" s="436"/>
      <c r="DA133" s="436"/>
      <c r="DB133" s="436"/>
      <c r="DC133" s="436"/>
      <c r="DD133" s="436"/>
      <c r="DE133" s="436"/>
      <c r="DF133" s="436"/>
      <c r="DG133" s="436"/>
      <c r="DH133" s="436"/>
      <c r="DI133" s="436"/>
      <c r="DJ133" s="436"/>
      <c r="DK133" s="436"/>
      <c r="DL133" s="436"/>
      <c r="DM133" s="436"/>
      <c r="DN133" s="436"/>
      <c r="DO133" s="436"/>
      <c r="DP133" s="436"/>
      <c r="DQ133" s="436"/>
      <c r="DR133" s="436"/>
      <c r="DS133" s="436"/>
      <c r="DT133" s="436"/>
      <c r="DU133" s="436"/>
      <c r="DV133" s="436"/>
      <c r="DW133" s="436"/>
      <c r="DX133" s="436"/>
      <c r="DY133" s="436"/>
      <c r="DZ133" s="436"/>
      <c r="EA133" s="436"/>
      <c r="EB133" s="436"/>
      <c r="EC133" s="436"/>
      <c r="ED133" s="436"/>
      <c r="EE133" s="436"/>
      <c r="EF133" s="436"/>
      <c r="EG133" s="436"/>
      <c r="EH133" s="436"/>
      <c r="EI133" s="436"/>
      <c r="EJ133" s="436"/>
      <c r="EK133" s="436"/>
      <c r="EL133" s="436"/>
      <c r="EM133" s="436"/>
      <c r="EN133" s="436"/>
      <c r="EO133" s="436"/>
      <c r="EP133" s="436"/>
      <c r="EQ133" s="436"/>
      <c r="ER133" s="436"/>
      <c r="ES133" s="436"/>
      <c r="ET133" s="436"/>
      <c r="EU133" s="436"/>
      <c r="EV133" s="436"/>
      <c r="EW133" s="436"/>
      <c r="EX133" s="436"/>
      <c r="EY133" s="436"/>
      <c r="EZ133" s="436"/>
      <c r="FA133" s="436"/>
      <c r="FB133" s="436"/>
      <c r="FC133" s="436"/>
      <c r="FD133" s="436"/>
      <c r="FE133" s="436"/>
      <c r="FF133" s="436"/>
      <c r="FG133" s="436"/>
      <c r="FH133" s="436"/>
      <c r="FI133" s="436"/>
      <c r="FJ133" s="436"/>
      <c r="FK133" s="436"/>
      <c r="FL133" s="436"/>
      <c r="FM133" s="436"/>
      <c r="FN133" s="436"/>
      <c r="FO133" s="436"/>
      <c r="FP133" s="436"/>
      <c r="FQ133" s="436"/>
      <c r="FR133" s="436"/>
      <c r="FS133" s="436"/>
      <c r="FT133" s="436"/>
      <c r="FU133" s="436"/>
      <c r="FV133" s="436"/>
      <c r="FW133" s="436"/>
      <c r="FX133" s="436"/>
      <c r="FY133" s="436"/>
      <c r="FZ133" s="436"/>
      <c r="GA133" s="436"/>
      <c r="GB133" s="436"/>
      <c r="GC133" s="436"/>
      <c r="GD133" s="436"/>
      <c r="GE133" s="436"/>
      <c r="GF133" s="436"/>
      <c r="GG133" s="436"/>
      <c r="GH133" s="436"/>
      <c r="GI133" s="436"/>
      <c r="GJ133" s="436"/>
      <c r="GK133" s="436"/>
      <c r="GL133" s="436"/>
      <c r="GM133" s="436"/>
      <c r="GN133" s="436"/>
      <c r="GO133" s="436"/>
      <c r="GP133" s="436"/>
      <c r="GQ133" s="436"/>
      <c r="GR133" s="436"/>
      <c r="GS133" s="436"/>
      <c r="GT133" s="436"/>
      <c r="GU133" s="436"/>
      <c r="GV133" s="436"/>
      <c r="GW133" s="436"/>
      <c r="GX133" s="436"/>
      <c r="GY133" s="436"/>
      <c r="GZ133" s="436"/>
      <c r="HA133" s="436"/>
      <c r="HB133" s="436"/>
      <c r="HC133" s="436"/>
      <c r="HD133" s="436"/>
      <c r="HE133" s="436"/>
      <c r="HF133" s="436"/>
      <c r="HG133" s="436"/>
      <c r="HH133" s="436"/>
      <c r="HI133" s="436"/>
      <c r="HJ133" s="436"/>
      <c r="HK133" s="436"/>
      <c r="HL133" s="436"/>
      <c r="HM133" s="436"/>
      <c r="HN133" s="436"/>
      <c r="HO133" s="436"/>
      <c r="HP133" s="436"/>
      <c r="HQ133" s="436"/>
      <c r="HR133" s="436"/>
      <c r="HS133" s="436"/>
      <c r="HT133" s="436"/>
      <c r="HU133" s="436"/>
      <c r="HV133" s="436"/>
      <c r="HW133" s="436"/>
      <c r="HX133" s="436"/>
      <c r="HY133" s="436"/>
      <c r="HZ133" s="436"/>
      <c r="IA133" s="436"/>
      <c r="IB133" s="436"/>
      <c r="IC133" s="436"/>
      <c r="ID133" s="436"/>
      <c r="IE133" s="436"/>
      <c r="IF133" s="436"/>
      <c r="IG133" s="436"/>
      <c r="IH133" s="436"/>
      <c r="II133" s="436"/>
      <c r="IJ133" s="436"/>
      <c r="IK133" s="436"/>
      <c r="IL133" s="436"/>
      <c r="IM133" s="436"/>
      <c r="IN133" s="436"/>
      <c r="IO133" s="436"/>
      <c r="IP133" s="436"/>
      <c r="IQ133" s="265"/>
      <c r="IR133" s="265"/>
    </row>
    <row r="134" spans="1:252" s="461" customFormat="1" x14ac:dyDescent="0.35">
      <c r="A134" s="685"/>
      <c r="B134" s="503"/>
      <c r="C134" s="503"/>
      <c r="D134" s="439"/>
      <c r="E134" s="686"/>
      <c r="J134" s="1591"/>
      <c r="M134" s="436"/>
      <c r="N134" s="436"/>
      <c r="O134" s="436"/>
      <c r="P134" s="436"/>
      <c r="Q134" s="436"/>
      <c r="R134" s="436"/>
      <c r="S134" s="436"/>
      <c r="T134" s="436"/>
      <c r="U134" s="436"/>
      <c r="V134" s="436"/>
      <c r="W134" s="436"/>
      <c r="X134" s="436"/>
      <c r="Y134" s="436"/>
      <c r="Z134" s="436"/>
      <c r="AA134" s="436"/>
      <c r="AB134" s="436"/>
      <c r="AC134" s="436"/>
      <c r="AD134" s="436"/>
      <c r="AE134" s="436"/>
      <c r="AF134" s="436"/>
      <c r="AG134" s="436"/>
      <c r="AH134" s="436"/>
      <c r="AI134" s="436"/>
      <c r="AJ134" s="436"/>
      <c r="AK134" s="436"/>
      <c r="AL134" s="436"/>
      <c r="AM134" s="436"/>
      <c r="AN134" s="436"/>
      <c r="AO134" s="436"/>
      <c r="AP134" s="436"/>
      <c r="AQ134" s="436"/>
      <c r="AR134" s="436"/>
      <c r="AS134" s="436"/>
      <c r="AT134" s="436"/>
      <c r="AU134" s="436"/>
      <c r="AV134" s="436"/>
      <c r="AW134" s="436"/>
      <c r="AX134" s="436"/>
      <c r="AY134" s="436"/>
      <c r="AZ134" s="436"/>
      <c r="BA134" s="436"/>
      <c r="BB134" s="436"/>
      <c r="BC134" s="436"/>
      <c r="BD134" s="436"/>
      <c r="BE134" s="436"/>
      <c r="BF134" s="436"/>
      <c r="BG134" s="436"/>
      <c r="BH134" s="436"/>
      <c r="BI134" s="436"/>
      <c r="BJ134" s="436"/>
      <c r="BK134" s="436"/>
      <c r="BL134" s="436"/>
      <c r="BM134" s="436"/>
      <c r="BN134" s="436"/>
      <c r="BO134" s="436"/>
      <c r="BP134" s="436"/>
      <c r="BQ134" s="436"/>
      <c r="BR134" s="436"/>
      <c r="BS134" s="436"/>
      <c r="BT134" s="436"/>
      <c r="BU134" s="436"/>
      <c r="BV134" s="436"/>
      <c r="BW134" s="436"/>
      <c r="BX134" s="436"/>
      <c r="BY134" s="436"/>
      <c r="BZ134" s="436"/>
      <c r="CA134" s="436"/>
      <c r="CB134" s="436"/>
      <c r="CC134" s="436"/>
      <c r="CD134" s="436"/>
      <c r="CE134" s="436"/>
      <c r="CF134" s="436"/>
      <c r="CG134" s="436"/>
      <c r="CH134" s="436"/>
      <c r="CI134" s="436"/>
      <c r="CJ134" s="436"/>
      <c r="CK134" s="436"/>
      <c r="CL134" s="436"/>
      <c r="CM134" s="436"/>
      <c r="CN134" s="436"/>
      <c r="CO134" s="436"/>
      <c r="CP134" s="436"/>
      <c r="CQ134" s="436"/>
      <c r="CR134" s="436"/>
      <c r="CS134" s="436"/>
      <c r="CT134" s="436"/>
      <c r="CU134" s="436"/>
      <c r="CV134" s="436"/>
      <c r="CW134" s="436"/>
      <c r="CX134" s="436"/>
      <c r="CY134" s="436"/>
      <c r="CZ134" s="436"/>
      <c r="DA134" s="436"/>
      <c r="DB134" s="436"/>
      <c r="DC134" s="436"/>
      <c r="DD134" s="436"/>
      <c r="DE134" s="436"/>
      <c r="DF134" s="436"/>
      <c r="DG134" s="436"/>
      <c r="DH134" s="436"/>
      <c r="DI134" s="436"/>
      <c r="DJ134" s="436"/>
      <c r="DK134" s="436"/>
      <c r="DL134" s="436"/>
      <c r="DM134" s="436"/>
      <c r="DN134" s="436"/>
      <c r="DO134" s="436"/>
      <c r="DP134" s="436"/>
      <c r="DQ134" s="436"/>
      <c r="DR134" s="436"/>
      <c r="DS134" s="436"/>
      <c r="DT134" s="436"/>
      <c r="DU134" s="436"/>
      <c r="DV134" s="436"/>
      <c r="DW134" s="436"/>
      <c r="DX134" s="436"/>
      <c r="DY134" s="436"/>
      <c r="DZ134" s="436"/>
      <c r="EA134" s="436"/>
      <c r="EB134" s="436"/>
      <c r="EC134" s="436"/>
      <c r="ED134" s="436"/>
      <c r="EE134" s="436"/>
      <c r="EF134" s="436"/>
      <c r="EG134" s="436"/>
      <c r="EH134" s="436"/>
      <c r="EI134" s="436"/>
      <c r="EJ134" s="436"/>
      <c r="EK134" s="436"/>
      <c r="EL134" s="436"/>
      <c r="EM134" s="436"/>
      <c r="EN134" s="436"/>
      <c r="EO134" s="436"/>
      <c r="EP134" s="436"/>
      <c r="EQ134" s="436"/>
      <c r="ER134" s="436"/>
      <c r="ES134" s="436"/>
      <c r="ET134" s="436"/>
      <c r="EU134" s="436"/>
      <c r="EV134" s="436"/>
      <c r="EW134" s="436"/>
      <c r="EX134" s="436"/>
      <c r="EY134" s="436"/>
      <c r="EZ134" s="436"/>
      <c r="FA134" s="436"/>
      <c r="FB134" s="436"/>
      <c r="FC134" s="436"/>
      <c r="FD134" s="436"/>
      <c r="FE134" s="436"/>
      <c r="FF134" s="436"/>
      <c r="FG134" s="436"/>
      <c r="FH134" s="436"/>
      <c r="FI134" s="436"/>
      <c r="FJ134" s="436"/>
      <c r="FK134" s="436"/>
      <c r="FL134" s="436"/>
      <c r="FM134" s="436"/>
      <c r="FN134" s="436"/>
      <c r="FO134" s="436"/>
      <c r="FP134" s="436"/>
      <c r="FQ134" s="436"/>
      <c r="FR134" s="436"/>
      <c r="FS134" s="436"/>
      <c r="FT134" s="436"/>
      <c r="FU134" s="436"/>
      <c r="FV134" s="436"/>
      <c r="FW134" s="436"/>
      <c r="FX134" s="436"/>
      <c r="FY134" s="436"/>
      <c r="FZ134" s="436"/>
      <c r="GA134" s="436"/>
      <c r="GB134" s="436"/>
      <c r="GC134" s="436"/>
      <c r="GD134" s="436"/>
      <c r="GE134" s="436"/>
      <c r="GF134" s="436"/>
      <c r="GG134" s="436"/>
      <c r="GH134" s="436"/>
      <c r="GI134" s="436"/>
      <c r="GJ134" s="436"/>
      <c r="GK134" s="436"/>
      <c r="GL134" s="436"/>
      <c r="GM134" s="436"/>
      <c r="GN134" s="436"/>
      <c r="GO134" s="436"/>
      <c r="GP134" s="436"/>
      <c r="GQ134" s="436"/>
      <c r="GR134" s="436"/>
      <c r="GS134" s="436"/>
      <c r="GT134" s="436"/>
      <c r="GU134" s="436"/>
      <c r="GV134" s="436"/>
      <c r="GW134" s="436"/>
      <c r="GX134" s="436"/>
      <c r="GY134" s="436"/>
      <c r="GZ134" s="436"/>
      <c r="HA134" s="436"/>
      <c r="HB134" s="436"/>
      <c r="HC134" s="436"/>
      <c r="HD134" s="436"/>
      <c r="HE134" s="436"/>
      <c r="HF134" s="436"/>
      <c r="HG134" s="436"/>
      <c r="HH134" s="436"/>
      <c r="HI134" s="436"/>
      <c r="HJ134" s="436"/>
      <c r="HK134" s="436"/>
      <c r="HL134" s="436"/>
      <c r="HM134" s="436"/>
      <c r="HN134" s="436"/>
      <c r="HO134" s="436"/>
      <c r="HP134" s="436"/>
      <c r="HQ134" s="436"/>
      <c r="HR134" s="436"/>
      <c r="HS134" s="436"/>
      <c r="HT134" s="436"/>
      <c r="HU134" s="436"/>
      <c r="HV134" s="436"/>
      <c r="HW134" s="436"/>
      <c r="HX134" s="436"/>
      <c r="HY134" s="436"/>
      <c r="HZ134" s="436"/>
      <c r="IA134" s="436"/>
      <c r="IB134" s="436"/>
      <c r="IC134" s="436"/>
      <c r="ID134" s="436"/>
      <c r="IE134" s="436"/>
      <c r="IF134" s="436"/>
      <c r="IG134" s="436"/>
      <c r="IH134" s="436"/>
      <c r="II134" s="436"/>
      <c r="IJ134" s="436"/>
      <c r="IK134" s="436"/>
      <c r="IL134" s="436"/>
      <c r="IM134" s="436"/>
      <c r="IN134" s="436"/>
      <c r="IO134" s="436"/>
      <c r="IP134" s="436"/>
      <c r="IQ134" s="265"/>
      <c r="IR134" s="265"/>
    </row>
    <row r="135" spans="1:252" s="461" customFormat="1" x14ac:dyDescent="0.35">
      <c r="A135" s="685"/>
      <c r="B135" s="503"/>
      <c r="C135" s="503"/>
      <c r="D135" s="439"/>
      <c r="E135" s="686"/>
      <c r="J135" s="1591"/>
      <c r="M135" s="436"/>
      <c r="N135" s="436"/>
      <c r="O135" s="436"/>
      <c r="P135" s="436"/>
      <c r="Q135" s="436"/>
      <c r="R135" s="436"/>
      <c r="S135" s="436"/>
      <c r="T135" s="436"/>
      <c r="U135" s="436"/>
      <c r="V135" s="436"/>
      <c r="W135" s="436"/>
      <c r="X135" s="436"/>
      <c r="Y135" s="436"/>
      <c r="Z135" s="436"/>
      <c r="AA135" s="436"/>
      <c r="AB135" s="436"/>
      <c r="AC135" s="436"/>
      <c r="AD135" s="436"/>
      <c r="AE135" s="436"/>
      <c r="AF135" s="436"/>
      <c r="AG135" s="436"/>
      <c r="AH135" s="436"/>
      <c r="AI135" s="436"/>
      <c r="AJ135" s="436"/>
      <c r="AK135" s="436"/>
      <c r="AL135" s="436"/>
      <c r="AM135" s="436"/>
      <c r="AN135" s="436"/>
      <c r="AO135" s="436"/>
      <c r="AP135" s="436"/>
      <c r="AQ135" s="436"/>
      <c r="AR135" s="436"/>
      <c r="AS135" s="436"/>
      <c r="AT135" s="436"/>
      <c r="AU135" s="436"/>
      <c r="AV135" s="436"/>
      <c r="AW135" s="436"/>
      <c r="AX135" s="436"/>
      <c r="AY135" s="436"/>
      <c r="AZ135" s="436"/>
      <c r="BA135" s="436"/>
      <c r="BB135" s="436"/>
      <c r="BC135" s="436"/>
      <c r="BD135" s="436"/>
      <c r="BE135" s="436"/>
      <c r="BF135" s="436"/>
      <c r="BG135" s="436"/>
      <c r="BH135" s="436"/>
      <c r="BI135" s="436"/>
      <c r="BJ135" s="436"/>
      <c r="BK135" s="436"/>
      <c r="BL135" s="436"/>
      <c r="BM135" s="436"/>
      <c r="BN135" s="436"/>
      <c r="BO135" s="436"/>
      <c r="BP135" s="436"/>
      <c r="BQ135" s="436"/>
      <c r="BR135" s="436"/>
      <c r="BS135" s="436"/>
      <c r="BT135" s="436"/>
      <c r="BU135" s="436"/>
      <c r="BV135" s="436"/>
      <c r="BW135" s="436"/>
      <c r="BX135" s="436"/>
      <c r="BY135" s="436"/>
      <c r="BZ135" s="436"/>
      <c r="CA135" s="436"/>
      <c r="CB135" s="436"/>
      <c r="CC135" s="436"/>
      <c r="CD135" s="436"/>
      <c r="CE135" s="436"/>
      <c r="CF135" s="436"/>
      <c r="CG135" s="436"/>
      <c r="CH135" s="436"/>
      <c r="CI135" s="436"/>
      <c r="CJ135" s="436"/>
      <c r="CK135" s="436"/>
      <c r="CL135" s="436"/>
      <c r="CM135" s="436"/>
      <c r="CN135" s="436"/>
      <c r="CO135" s="436"/>
      <c r="CP135" s="436"/>
      <c r="CQ135" s="436"/>
      <c r="CR135" s="436"/>
      <c r="CS135" s="436"/>
      <c r="CT135" s="436"/>
      <c r="CU135" s="436"/>
      <c r="CV135" s="436"/>
      <c r="CW135" s="436"/>
      <c r="CX135" s="436"/>
      <c r="CY135" s="436"/>
      <c r="CZ135" s="436"/>
      <c r="DA135" s="436"/>
      <c r="DB135" s="436"/>
      <c r="DC135" s="436"/>
      <c r="DD135" s="436"/>
      <c r="DE135" s="436"/>
      <c r="DF135" s="436"/>
      <c r="DG135" s="436"/>
      <c r="DH135" s="436"/>
      <c r="DI135" s="436"/>
      <c r="DJ135" s="436"/>
      <c r="DK135" s="436"/>
      <c r="DL135" s="436"/>
      <c r="DM135" s="436"/>
      <c r="DN135" s="436"/>
      <c r="DO135" s="436"/>
      <c r="DP135" s="436"/>
      <c r="DQ135" s="436"/>
      <c r="DR135" s="436"/>
      <c r="DS135" s="436"/>
      <c r="DT135" s="436"/>
      <c r="DU135" s="436"/>
      <c r="DV135" s="436"/>
      <c r="DW135" s="436"/>
      <c r="DX135" s="436"/>
      <c r="DY135" s="436"/>
      <c r="DZ135" s="436"/>
      <c r="EA135" s="436"/>
      <c r="EB135" s="436"/>
      <c r="EC135" s="436"/>
      <c r="ED135" s="436"/>
      <c r="EE135" s="436"/>
      <c r="EF135" s="436"/>
      <c r="EG135" s="436"/>
      <c r="EH135" s="436"/>
      <c r="EI135" s="436"/>
      <c r="EJ135" s="436"/>
      <c r="EK135" s="436"/>
      <c r="EL135" s="436"/>
      <c r="EM135" s="436"/>
      <c r="EN135" s="436"/>
      <c r="EO135" s="436"/>
      <c r="EP135" s="436"/>
      <c r="EQ135" s="436"/>
      <c r="ER135" s="436"/>
      <c r="ES135" s="436"/>
      <c r="ET135" s="436"/>
      <c r="EU135" s="436"/>
      <c r="EV135" s="436"/>
      <c r="EW135" s="436"/>
      <c r="EX135" s="436"/>
      <c r="EY135" s="436"/>
      <c r="EZ135" s="436"/>
      <c r="FA135" s="436"/>
      <c r="FB135" s="436"/>
      <c r="FC135" s="436"/>
      <c r="FD135" s="436"/>
      <c r="FE135" s="436"/>
      <c r="FF135" s="436"/>
      <c r="FG135" s="436"/>
      <c r="FH135" s="436"/>
      <c r="FI135" s="436"/>
      <c r="FJ135" s="436"/>
      <c r="FK135" s="436"/>
      <c r="FL135" s="436"/>
      <c r="FM135" s="436"/>
      <c r="FN135" s="436"/>
      <c r="FO135" s="436"/>
      <c r="FP135" s="436"/>
      <c r="FQ135" s="436"/>
      <c r="FR135" s="436"/>
      <c r="FS135" s="436"/>
      <c r="FT135" s="436"/>
      <c r="FU135" s="436"/>
      <c r="FV135" s="436"/>
      <c r="FW135" s="436"/>
      <c r="FX135" s="436"/>
      <c r="FY135" s="436"/>
      <c r="FZ135" s="436"/>
      <c r="GA135" s="436"/>
      <c r="GB135" s="436"/>
      <c r="GC135" s="436"/>
      <c r="GD135" s="436"/>
      <c r="GE135" s="436"/>
      <c r="GF135" s="436"/>
      <c r="GG135" s="436"/>
      <c r="GH135" s="436"/>
      <c r="GI135" s="436"/>
      <c r="GJ135" s="436"/>
      <c r="GK135" s="436"/>
      <c r="GL135" s="436"/>
      <c r="GM135" s="436"/>
      <c r="GN135" s="436"/>
      <c r="GO135" s="436"/>
      <c r="GP135" s="436"/>
      <c r="GQ135" s="436"/>
      <c r="GR135" s="436"/>
      <c r="GS135" s="436"/>
      <c r="GT135" s="436"/>
      <c r="GU135" s="436"/>
      <c r="GV135" s="436"/>
      <c r="GW135" s="436"/>
      <c r="GX135" s="436"/>
      <c r="GY135" s="436"/>
      <c r="GZ135" s="436"/>
      <c r="HA135" s="436"/>
      <c r="HB135" s="436"/>
      <c r="HC135" s="436"/>
      <c r="HD135" s="436"/>
      <c r="HE135" s="436"/>
      <c r="HF135" s="436"/>
      <c r="HG135" s="436"/>
      <c r="HH135" s="436"/>
      <c r="HI135" s="436"/>
      <c r="HJ135" s="436"/>
      <c r="HK135" s="436"/>
      <c r="HL135" s="436"/>
      <c r="HM135" s="436"/>
      <c r="HN135" s="436"/>
      <c r="HO135" s="436"/>
      <c r="HP135" s="436"/>
      <c r="HQ135" s="436"/>
      <c r="HR135" s="436"/>
      <c r="HS135" s="436"/>
      <c r="HT135" s="436"/>
      <c r="HU135" s="436"/>
      <c r="HV135" s="436"/>
      <c r="HW135" s="436"/>
      <c r="HX135" s="436"/>
      <c r="HY135" s="436"/>
      <c r="HZ135" s="436"/>
      <c r="IA135" s="436"/>
      <c r="IB135" s="436"/>
      <c r="IC135" s="436"/>
      <c r="ID135" s="436"/>
      <c r="IE135" s="436"/>
      <c r="IF135" s="436"/>
      <c r="IG135" s="436"/>
      <c r="IH135" s="436"/>
      <c r="II135" s="436"/>
      <c r="IJ135" s="436"/>
      <c r="IK135" s="436"/>
      <c r="IL135" s="436"/>
      <c r="IM135" s="436"/>
      <c r="IN135" s="436"/>
      <c r="IO135" s="436"/>
      <c r="IP135" s="436"/>
      <c r="IQ135" s="265"/>
      <c r="IR135" s="265"/>
    </row>
    <row r="136" spans="1:252" s="461" customFormat="1" x14ac:dyDescent="0.35">
      <c r="A136" s="685"/>
      <c r="B136" s="503"/>
      <c r="C136" s="503"/>
      <c r="D136" s="439"/>
      <c r="E136" s="686"/>
      <c r="J136" s="1591"/>
      <c r="M136" s="436"/>
      <c r="N136" s="436"/>
      <c r="O136" s="436"/>
      <c r="P136" s="436"/>
      <c r="Q136" s="436"/>
      <c r="R136" s="436"/>
      <c r="S136" s="436"/>
      <c r="T136" s="436"/>
      <c r="U136" s="436"/>
      <c r="V136" s="436"/>
      <c r="W136" s="436"/>
      <c r="X136" s="436"/>
      <c r="Y136" s="436"/>
      <c r="Z136" s="436"/>
      <c r="AA136" s="436"/>
      <c r="AB136" s="436"/>
      <c r="AC136" s="436"/>
      <c r="AD136" s="436"/>
      <c r="AE136" s="436"/>
      <c r="AF136" s="436"/>
      <c r="AG136" s="436"/>
      <c r="AH136" s="436"/>
      <c r="AI136" s="436"/>
      <c r="AJ136" s="436"/>
      <c r="AK136" s="436"/>
      <c r="AL136" s="436"/>
      <c r="AM136" s="436"/>
      <c r="AN136" s="436"/>
      <c r="AO136" s="436"/>
      <c r="AP136" s="436"/>
      <c r="AQ136" s="436"/>
      <c r="AR136" s="436"/>
      <c r="AS136" s="436"/>
      <c r="AT136" s="436"/>
      <c r="AU136" s="436"/>
      <c r="AV136" s="436"/>
      <c r="AW136" s="436"/>
      <c r="AX136" s="436"/>
      <c r="AY136" s="436"/>
      <c r="AZ136" s="436"/>
      <c r="BA136" s="436"/>
      <c r="BB136" s="436"/>
      <c r="BC136" s="436"/>
      <c r="BD136" s="436"/>
      <c r="BE136" s="436"/>
      <c r="BF136" s="436"/>
      <c r="BG136" s="436"/>
      <c r="BH136" s="436"/>
      <c r="BI136" s="436"/>
      <c r="BJ136" s="436"/>
      <c r="BK136" s="436"/>
      <c r="BL136" s="436"/>
      <c r="BM136" s="436"/>
      <c r="BN136" s="436"/>
      <c r="BO136" s="436"/>
      <c r="BP136" s="436"/>
      <c r="BQ136" s="436"/>
      <c r="BR136" s="436"/>
      <c r="BS136" s="436"/>
      <c r="BT136" s="436"/>
      <c r="BU136" s="436"/>
      <c r="BV136" s="436"/>
      <c r="BW136" s="436"/>
      <c r="BX136" s="436"/>
      <c r="BY136" s="436"/>
      <c r="BZ136" s="436"/>
      <c r="CA136" s="436"/>
      <c r="CB136" s="436"/>
      <c r="CC136" s="436"/>
      <c r="CD136" s="436"/>
      <c r="CE136" s="436"/>
      <c r="CF136" s="436"/>
      <c r="CG136" s="436"/>
      <c r="CH136" s="436"/>
      <c r="CI136" s="436"/>
      <c r="CJ136" s="436"/>
      <c r="CK136" s="436"/>
      <c r="CL136" s="436"/>
      <c r="CM136" s="436"/>
      <c r="CN136" s="436"/>
      <c r="CO136" s="436"/>
      <c r="CP136" s="436"/>
      <c r="CQ136" s="436"/>
      <c r="CR136" s="436"/>
      <c r="CS136" s="436"/>
      <c r="CT136" s="436"/>
      <c r="CU136" s="436"/>
      <c r="CV136" s="436"/>
      <c r="CW136" s="436"/>
      <c r="CX136" s="436"/>
      <c r="CY136" s="436"/>
      <c r="CZ136" s="436"/>
      <c r="DA136" s="436"/>
      <c r="DB136" s="436"/>
      <c r="DC136" s="436"/>
      <c r="DD136" s="436"/>
      <c r="DE136" s="436"/>
      <c r="DF136" s="436"/>
      <c r="DG136" s="436"/>
      <c r="DH136" s="436"/>
      <c r="DI136" s="436"/>
      <c r="DJ136" s="436"/>
      <c r="DK136" s="436"/>
      <c r="DL136" s="436"/>
      <c r="DM136" s="436"/>
      <c r="DN136" s="436"/>
      <c r="DO136" s="436"/>
      <c r="DP136" s="436"/>
      <c r="DQ136" s="436"/>
      <c r="DR136" s="436"/>
      <c r="DS136" s="436"/>
      <c r="DT136" s="436"/>
      <c r="DU136" s="436"/>
      <c r="DV136" s="436"/>
      <c r="DW136" s="436"/>
      <c r="DX136" s="436"/>
      <c r="DY136" s="436"/>
      <c r="DZ136" s="436"/>
      <c r="EA136" s="436"/>
      <c r="EB136" s="436"/>
      <c r="EC136" s="436"/>
      <c r="ED136" s="436"/>
      <c r="EE136" s="436"/>
      <c r="EF136" s="436"/>
      <c r="EG136" s="436"/>
      <c r="EH136" s="436"/>
      <c r="EI136" s="436"/>
      <c r="EJ136" s="436"/>
      <c r="EK136" s="436"/>
      <c r="EL136" s="436"/>
      <c r="EM136" s="436"/>
      <c r="EN136" s="436"/>
      <c r="EO136" s="436"/>
      <c r="EP136" s="436"/>
      <c r="EQ136" s="436"/>
      <c r="ER136" s="436"/>
      <c r="ES136" s="436"/>
      <c r="ET136" s="436"/>
      <c r="EU136" s="436"/>
      <c r="EV136" s="436"/>
      <c r="EW136" s="436"/>
      <c r="EX136" s="436"/>
      <c r="EY136" s="436"/>
      <c r="EZ136" s="436"/>
      <c r="FA136" s="436"/>
      <c r="FB136" s="436"/>
      <c r="FC136" s="436"/>
      <c r="FD136" s="436"/>
      <c r="FE136" s="436"/>
      <c r="FF136" s="436"/>
      <c r="FG136" s="436"/>
      <c r="FH136" s="436"/>
      <c r="FI136" s="436"/>
      <c r="FJ136" s="436"/>
      <c r="FK136" s="436"/>
      <c r="FL136" s="436"/>
      <c r="FM136" s="436"/>
      <c r="FN136" s="436"/>
      <c r="FO136" s="436"/>
      <c r="FP136" s="436"/>
      <c r="FQ136" s="436"/>
      <c r="FR136" s="436"/>
      <c r="FS136" s="436"/>
      <c r="FT136" s="436"/>
      <c r="FU136" s="436"/>
      <c r="FV136" s="436"/>
      <c r="FW136" s="436"/>
      <c r="FX136" s="436"/>
      <c r="FY136" s="436"/>
      <c r="FZ136" s="436"/>
      <c r="GA136" s="436"/>
      <c r="GB136" s="436"/>
      <c r="GC136" s="436"/>
      <c r="GD136" s="436"/>
      <c r="GE136" s="436"/>
      <c r="GF136" s="436"/>
      <c r="GG136" s="436"/>
      <c r="GH136" s="436"/>
      <c r="GI136" s="436"/>
      <c r="GJ136" s="436"/>
      <c r="GK136" s="436"/>
      <c r="GL136" s="436"/>
      <c r="GM136" s="436"/>
      <c r="GN136" s="436"/>
      <c r="GO136" s="436"/>
      <c r="GP136" s="436"/>
      <c r="GQ136" s="436"/>
      <c r="GR136" s="436"/>
      <c r="GS136" s="436"/>
      <c r="GT136" s="436"/>
      <c r="GU136" s="436"/>
      <c r="GV136" s="436"/>
      <c r="GW136" s="436"/>
      <c r="GX136" s="436"/>
      <c r="GY136" s="436"/>
      <c r="GZ136" s="436"/>
      <c r="HA136" s="436"/>
      <c r="HB136" s="436"/>
      <c r="HC136" s="436"/>
      <c r="HD136" s="436"/>
      <c r="HE136" s="436"/>
      <c r="HF136" s="436"/>
      <c r="HG136" s="436"/>
      <c r="HH136" s="436"/>
      <c r="HI136" s="436"/>
      <c r="HJ136" s="436"/>
      <c r="HK136" s="436"/>
      <c r="HL136" s="436"/>
      <c r="HM136" s="436"/>
      <c r="HN136" s="436"/>
      <c r="HO136" s="436"/>
      <c r="HP136" s="436"/>
      <c r="HQ136" s="436"/>
      <c r="HR136" s="436"/>
      <c r="HS136" s="436"/>
      <c r="HT136" s="436"/>
      <c r="HU136" s="436"/>
      <c r="HV136" s="436"/>
      <c r="HW136" s="436"/>
      <c r="HX136" s="436"/>
      <c r="HY136" s="436"/>
      <c r="HZ136" s="436"/>
      <c r="IA136" s="436"/>
      <c r="IB136" s="436"/>
      <c r="IC136" s="436"/>
      <c r="ID136" s="436"/>
      <c r="IE136" s="436"/>
      <c r="IF136" s="436"/>
      <c r="IG136" s="436"/>
      <c r="IH136" s="436"/>
      <c r="II136" s="436"/>
      <c r="IJ136" s="436"/>
      <c r="IK136" s="436"/>
      <c r="IL136" s="436"/>
      <c r="IM136" s="436"/>
      <c r="IN136" s="436"/>
      <c r="IO136" s="436"/>
      <c r="IP136" s="436"/>
      <c r="IQ136" s="265"/>
      <c r="IR136" s="265"/>
    </row>
    <row r="137" spans="1:252" s="461" customFormat="1" x14ac:dyDescent="0.35">
      <c r="A137" s="685"/>
      <c r="B137" s="503"/>
      <c r="C137" s="503"/>
      <c r="D137" s="439"/>
      <c r="E137" s="686"/>
      <c r="J137" s="1591"/>
      <c r="M137" s="436"/>
      <c r="N137" s="436"/>
      <c r="O137" s="436"/>
      <c r="P137" s="436"/>
      <c r="Q137" s="436"/>
      <c r="R137" s="436"/>
      <c r="S137" s="436"/>
      <c r="T137" s="436"/>
      <c r="U137" s="436"/>
      <c r="V137" s="436"/>
      <c r="W137" s="436"/>
      <c r="X137" s="436"/>
      <c r="Y137" s="436"/>
      <c r="Z137" s="436"/>
      <c r="AA137" s="436"/>
      <c r="AB137" s="436"/>
      <c r="AC137" s="436"/>
      <c r="AD137" s="436"/>
      <c r="AE137" s="436"/>
      <c r="AF137" s="436"/>
      <c r="AG137" s="436"/>
      <c r="AH137" s="436"/>
      <c r="AI137" s="436"/>
      <c r="AJ137" s="436"/>
      <c r="AK137" s="436"/>
      <c r="AL137" s="436"/>
      <c r="AM137" s="436"/>
      <c r="AN137" s="436"/>
      <c r="AO137" s="436"/>
      <c r="AP137" s="436"/>
      <c r="AQ137" s="436"/>
      <c r="AR137" s="436"/>
      <c r="AS137" s="436"/>
      <c r="AT137" s="436"/>
      <c r="AU137" s="436"/>
      <c r="AV137" s="436"/>
      <c r="AW137" s="436"/>
      <c r="AX137" s="436"/>
      <c r="AY137" s="436"/>
      <c r="AZ137" s="436"/>
      <c r="BA137" s="436"/>
      <c r="BB137" s="436"/>
      <c r="BC137" s="436"/>
      <c r="BD137" s="436"/>
      <c r="BE137" s="436"/>
      <c r="BF137" s="436"/>
      <c r="BG137" s="436"/>
      <c r="BH137" s="436"/>
      <c r="BI137" s="436"/>
      <c r="BJ137" s="436"/>
      <c r="BK137" s="436"/>
      <c r="BL137" s="436"/>
      <c r="BM137" s="436"/>
      <c r="BN137" s="436"/>
      <c r="BO137" s="436"/>
      <c r="BP137" s="436"/>
      <c r="BQ137" s="436"/>
      <c r="BR137" s="436"/>
      <c r="BS137" s="436"/>
      <c r="BT137" s="436"/>
      <c r="BU137" s="436"/>
      <c r="BV137" s="436"/>
      <c r="BW137" s="436"/>
      <c r="BX137" s="436"/>
      <c r="BY137" s="436"/>
      <c r="BZ137" s="436"/>
      <c r="CA137" s="436"/>
      <c r="CB137" s="436"/>
      <c r="CC137" s="436"/>
      <c r="CD137" s="436"/>
      <c r="CE137" s="436"/>
      <c r="CF137" s="436"/>
      <c r="CG137" s="436"/>
      <c r="CH137" s="436"/>
      <c r="CI137" s="436"/>
      <c r="CJ137" s="436"/>
      <c r="CK137" s="436"/>
      <c r="CL137" s="436"/>
      <c r="CM137" s="436"/>
      <c r="CN137" s="436"/>
      <c r="CO137" s="436"/>
      <c r="CP137" s="436"/>
      <c r="CQ137" s="436"/>
      <c r="CR137" s="436"/>
      <c r="CS137" s="436"/>
      <c r="CT137" s="436"/>
      <c r="CU137" s="436"/>
      <c r="CV137" s="436"/>
      <c r="CW137" s="436"/>
      <c r="CX137" s="436"/>
      <c r="CY137" s="436"/>
      <c r="CZ137" s="436"/>
      <c r="DA137" s="436"/>
      <c r="DB137" s="436"/>
      <c r="DC137" s="436"/>
      <c r="DD137" s="436"/>
      <c r="DE137" s="436"/>
      <c r="DF137" s="436"/>
      <c r="DG137" s="436"/>
      <c r="DH137" s="436"/>
      <c r="DI137" s="436"/>
      <c r="DJ137" s="436"/>
      <c r="DK137" s="436"/>
      <c r="DL137" s="436"/>
      <c r="DM137" s="436"/>
      <c r="DN137" s="436"/>
      <c r="DO137" s="436"/>
      <c r="DP137" s="436"/>
      <c r="DQ137" s="436"/>
      <c r="DR137" s="436"/>
      <c r="DS137" s="436"/>
      <c r="DT137" s="436"/>
      <c r="DU137" s="436"/>
      <c r="DV137" s="436"/>
      <c r="DW137" s="436"/>
      <c r="DX137" s="436"/>
      <c r="DY137" s="436"/>
      <c r="DZ137" s="436"/>
      <c r="EA137" s="436"/>
      <c r="EB137" s="436"/>
      <c r="EC137" s="436"/>
      <c r="ED137" s="436"/>
      <c r="EE137" s="436"/>
      <c r="EF137" s="436"/>
      <c r="EG137" s="436"/>
      <c r="EH137" s="436"/>
      <c r="EI137" s="436"/>
      <c r="EJ137" s="436"/>
      <c r="EK137" s="436"/>
      <c r="EL137" s="436"/>
      <c r="EM137" s="436"/>
      <c r="EN137" s="436"/>
      <c r="EO137" s="436"/>
      <c r="EP137" s="436"/>
      <c r="EQ137" s="436"/>
      <c r="ER137" s="436"/>
      <c r="ES137" s="436"/>
      <c r="ET137" s="436"/>
      <c r="EU137" s="436"/>
      <c r="EV137" s="436"/>
      <c r="EW137" s="436"/>
      <c r="EX137" s="436"/>
      <c r="EY137" s="436"/>
      <c r="EZ137" s="436"/>
      <c r="FA137" s="436"/>
      <c r="FB137" s="436"/>
      <c r="FC137" s="436"/>
      <c r="FD137" s="436"/>
      <c r="FE137" s="436"/>
      <c r="FF137" s="436"/>
      <c r="FG137" s="436"/>
      <c r="FH137" s="436"/>
      <c r="FI137" s="436"/>
      <c r="FJ137" s="436"/>
      <c r="FK137" s="436"/>
      <c r="FL137" s="436"/>
      <c r="FM137" s="436"/>
      <c r="FN137" s="436"/>
      <c r="FO137" s="436"/>
      <c r="FP137" s="436"/>
      <c r="FQ137" s="436"/>
      <c r="FR137" s="436"/>
      <c r="FS137" s="436"/>
      <c r="FT137" s="436"/>
      <c r="FU137" s="436"/>
      <c r="FV137" s="436"/>
      <c r="FW137" s="436"/>
      <c r="FX137" s="436"/>
      <c r="FY137" s="436"/>
      <c r="FZ137" s="436"/>
      <c r="GA137" s="436"/>
      <c r="GB137" s="436"/>
      <c r="GC137" s="436"/>
      <c r="GD137" s="436"/>
      <c r="GE137" s="436"/>
      <c r="GF137" s="436"/>
      <c r="GG137" s="436"/>
      <c r="GH137" s="436"/>
      <c r="GI137" s="436"/>
      <c r="GJ137" s="436"/>
      <c r="GK137" s="436"/>
      <c r="GL137" s="436"/>
      <c r="GM137" s="436"/>
      <c r="GN137" s="436"/>
      <c r="GO137" s="436"/>
      <c r="GP137" s="436"/>
      <c r="GQ137" s="436"/>
      <c r="GR137" s="436"/>
      <c r="GS137" s="436"/>
      <c r="GT137" s="436"/>
      <c r="GU137" s="436"/>
      <c r="GV137" s="436"/>
      <c r="GW137" s="436"/>
      <c r="GX137" s="436"/>
      <c r="GY137" s="436"/>
      <c r="GZ137" s="436"/>
      <c r="HA137" s="436"/>
      <c r="HB137" s="436"/>
      <c r="HC137" s="436"/>
      <c r="HD137" s="436"/>
      <c r="HE137" s="436"/>
      <c r="HF137" s="436"/>
      <c r="HG137" s="436"/>
      <c r="HH137" s="436"/>
      <c r="HI137" s="436"/>
      <c r="HJ137" s="436"/>
      <c r="HK137" s="436"/>
      <c r="HL137" s="436"/>
      <c r="HM137" s="436"/>
      <c r="HN137" s="436"/>
      <c r="HO137" s="436"/>
      <c r="HP137" s="436"/>
      <c r="HQ137" s="436"/>
      <c r="HR137" s="436"/>
      <c r="HS137" s="436"/>
      <c r="HT137" s="436"/>
      <c r="HU137" s="436"/>
      <c r="HV137" s="436"/>
      <c r="HW137" s="436"/>
      <c r="HX137" s="436"/>
      <c r="HY137" s="436"/>
      <c r="HZ137" s="436"/>
      <c r="IA137" s="436"/>
      <c r="IB137" s="436"/>
      <c r="IC137" s="436"/>
      <c r="ID137" s="436"/>
      <c r="IE137" s="436"/>
      <c r="IF137" s="436"/>
      <c r="IG137" s="436"/>
      <c r="IH137" s="436"/>
      <c r="II137" s="436"/>
      <c r="IJ137" s="436"/>
      <c r="IK137" s="436"/>
      <c r="IL137" s="436"/>
      <c r="IM137" s="436"/>
      <c r="IN137" s="436"/>
      <c r="IO137" s="436"/>
      <c r="IP137" s="436"/>
      <c r="IQ137" s="265"/>
      <c r="IR137" s="265"/>
    </row>
    <row r="138" spans="1:252" s="461" customFormat="1" x14ac:dyDescent="0.35">
      <c r="A138" s="685"/>
      <c r="B138" s="503"/>
      <c r="C138" s="503"/>
      <c r="D138" s="439"/>
      <c r="E138" s="686"/>
      <c r="J138" s="1591"/>
      <c r="M138" s="436"/>
      <c r="N138" s="436"/>
      <c r="O138" s="436"/>
      <c r="P138" s="436"/>
      <c r="Q138" s="436"/>
      <c r="R138" s="436"/>
      <c r="S138" s="436"/>
      <c r="T138" s="436"/>
      <c r="U138" s="436"/>
      <c r="V138" s="436"/>
      <c r="W138" s="436"/>
      <c r="X138" s="436"/>
      <c r="Y138" s="436"/>
      <c r="Z138" s="436"/>
      <c r="AA138" s="436"/>
      <c r="AB138" s="436"/>
      <c r="AC138" s="436"/>
      <c r="AD138" s="436"/>
      <c r="AE138" s="436"/>
      <c r="AF138" s="436"/>
      <c r="AG138" s="436"/>
      <c r="AH138" s="436"/>
      <c r="AI138" s="436"/>
      <c r="AJ138" s="436"/>
      <c r="AK138" s="436"/>
      <c r="AL138" s="436"/>
      <c r="AM138" s="436"/>
      <c r="AN138" s="436"/>
      <c r="AO138" s="436"/>
      <c r="AP138" s="436"/>
      <c r="AQ138" s="436"/>
      <c r="AR138" s="436"/>
      <c r="AS138" s="436"/>
      <c r="AT138" s="436"/>
      <c r="AU138" s="436"/>
      <c r="AV138" s="436"/>
      <c r="AW138" s="436"/>
      <c r="AX138" s="436"/>
      <c r="AY138" s="436"/>
      <c r="AZ138" s="436"/>
      <c r="BA138" s="436"/>
      <c r="BB138" s="436"/>
      <c r="BC138" s="436"/>
      <c r="BD138" s="436"/>
      <c r="BE138" s="436"/>
      <c r="BF138" s="436"/>
      <c r="BG138" s="436"/>
      <c r="BH138" s="436"/>
      <c r="BI138" s="436"/>
      <c r="BJ138" s="436"/>
      <c r="BK138" s="436"/>
      <c r="BL138" s="436"/>
      <c r="BM138" s="436"/>
      <c r="BN138" s="436"/>
      <c r="BO138" s="436"/>
      <c r="BP138" s="436"/>
      <c r="BQ138" s="436"/>
      <c r="BR138" s="436"/>
      <c r="BS138" s="436"/>
      <c r="BT138" s="436"/>
      <c r="BU138" s="436"/>
      <c r="BV138" s="436"/>
      <c r="BW138" s="436"/>
      <c r="BX138" s="436"/>
      <c r="BY138" s="436"/>
      <c r="BZ138" s="436"/>
      <c r="CA138" s="436"/>
      <c r="CB138" s="436"/>
      <c r="CC138" s="436"/>
      <c r="CD138" s="436"/>
      <c r="CE138" s="436"/>
      <c r="CF138" s="436"/>
      <c r="CG138" s="436"/>
      <c r="CH138" s="436"/>
      <c r="CI138" s="436"/>
      <c r="CJ138" s="436"/>
      <c r="CK138" s="436"/>
      <c r="CL138" s="436"/>
      <c r="CM138" s="436"/>
      <c r="CN138" s="436"/>
      <c r="CO138" s="436"/>
      <c r="CP138" s="436"/>
      <c r="CQ138" s="436"/>
      <c r="CR138" s="436"/>
      <c r="CS138" s="436"/>
      <c r="CT138" s="436"/>
      <c r="CU138" s="436"/>
      <c r="CV138" s="436"/>
      <c r="CW138" s="436"/>
      <c r="CX138" s="436"/>
      <c r="CY138" s="436"/>
      <c r="CZ138" s="436"/>
      <c r="DA138" s="436"/>
      <c r="DB138" s="436"/>
      <c r="DC138" s="436"/>
      <c r="DD138" s="436"/>
      <c r="DE138" s="436"/>
      <c r="DF138" s="436"/>
      <c r="DG138" s="436"/>
      <c r="DH138" s="436"/>
      <c r="DI138" s="436"/>
      <c r="DJ138" s="436"/>
      <c r="DK138" s="436"/>
      <c r="DL138" s="436"/>
      <c r="DM138" s="436"/>
      <c r="DN138" s="436"/>
      <c r="DO138" s="436"/>
      <c r="DP138" s="436"/>
      <c r="DQ138" s="436"/>
      <c r="DR138" s="436"/>
      <c r="DS138" s="436"/>
      <c r="DT138" s="436"/>
      <c r="DU138" s="436"/>
      <c r="DV138" s="436"/>
      <c r="DW138" s="436"/>
      <c r="DX138" s="436"/>
      <c r="DY138" s="436"/>
      <c r="DZ138" s="436"/>
      <c r="EA138" s="436"/>
      <c r="EB138" s="436"/>
      <c r="EC138" s="436"/>
      <c r="ED138" s="436"/>
      <c r="EE138" s="436"/>
      <c r="EF138" s="436"/>
      <c r="EG138" s="436"/>
      <c r="EH138" s="436"/>
      <c r="EI138" s="436"/>
      <c r="EJ138" s="436"/>
      <c r="EK138" s="436"/>
      <c r="EL138" s="436"/>
      <c r="EM138" s="436"/>
      <c r="EN138" s="436"/>
      <c r="EO138" s="436"/>
      <c r="EP138" s="436"/>
      <c r="EQ138" s="436"/>
      <c r="ER138" s="436"/>
      <c r="ES138" s="436"/>
      <c r="ET138" s="436"/>
      <c r="EU138" s="436"/>
      <c r="EV138" s="436"/>
      <c r="EW138" s="436"/>
      <c r="EX138" s="436"/>
      <c r="EY138" s="436"/>
      <c r="EZ138" s="436"/>
      <c r="FA138" s="436"/>
      <c r="FB138" s="436"/>
      <c r="FC138" s="436"/>
      <c r="FD138" s="436"/>
      <c r="FE138" s="436"/>
      <c r="FF138" s="436"/>
      <c r="FG138" s="436"/>
      <c r="FH138" s="436"/>
      <c r="FI138" s="436"/>
      <c r="FJ138" s="436"/>
      <c r="FK138" s="436"/>
      <c r="FL138" s="436"/>
      <c r="FM138" s="436"/>
      <c r="FN138" s="436"/>
      <c r="FO138" s="436"/>
      <c r="FP138" s="436"/>
      <c r="FQ138" s="436"/>
      <c r="FR138" s="436"/>
      <c r="FS138" s="436"/>
      <c r="FT138" s="436"/>
      <c r="FU138" s="436"/>
      <c r="FV138" s="436"/>
      <c r="FW138" s="436"/>
      <c r="FX138" s="436"/>
      <c r="FY138" s="436"/>
      <c r="FZ138" s="436"/>
      <c r="GA138" s="436"/>
      <c r="GB138" s="436"/>
      <c r="GC138" s="436"/>
      <c r="GD138" s="436"/>
      <c r="GE138" s="436"/>
      <c r="GF138" s="436"/>
      <c r="GG138" s="436"/>
      <c r="GH138" s="436"/>
      <c r="GI138" s="436"/>
      <c r="GJ138" s="436"/>
      <c r="GK138" s="436"/>
      <c r="GL138" s="436"/>
      <c r="GM138" s="436"/>
      <c r="GN138" s="436"/>
      <c r="GO138" s="436"/>
      <c r="GP138" s="436"/>
      <c r="GQ138" s="436"/>
      <c r="GR138" s="436"/>
      <c r="GS138" s="436"/>
      <c r="GT138" s="436"/>
      <c r="GU138" s="436"/>
      <c r="GV138" s="436"/>
      <c r="GW138" s="436"/>
      <c r="GX138" s="436"/>
      <c r="GY138" s="436"/>
      <c r="GZ138" s="436"/>
      <c r="HA138" s="436"/>
      <c r="HB138" s="436"/>
      <c r="HC138" s="436"/>
      <c r="HD138" s="436"/>
      <c r="HE138" s="436"/>
      <c r="HF138" s="436"/>
      <c r="HG138" s="436"/>
      <c r="HH138" s="436"/>
      <c r="HI138" s="436"/>
      <c r="HJ138" s="436"/>
      <c r="HK138" s="436"/>
      <c r="HL138" s="436"/>
      <c r="HM138" s="436"/>
      <c r="HN138" s="436"/>
      <c r="HO138" s="436"/>
      <c r="HP138" s="436"/>
      <c r="HQ138" s="436"/>
      <c r="HR138" s="436"/>
      <c r="HS138" s="436"/>
      <c r="HT138" s="436"/>
      <c r="HU138" s="436"/>
      <c r="HV138" s="436"/>
      <c r="HW138" s="436"/>
      <c r="HX138" s="436"/>
      <c r="HY138" s="436"/>
      <c r="HZ138" s="436"/>
      <c r="IA138" s="436"/>
      <c r="IB138" s="436"/>
      <c r="IC138" s="436"/>
      <c r="ID138" s="436"/>
      <c r="IE138" s="436"/>
      <c r="IF138" s="436"/>
      <c r="IG138" s="436"/>
      <c r="IH138" s="436"/>
      <c r="II138" s="436"/>
      <c r="IJ138" s="436"/>
      <c r="IK138" s="436"/>
      <c r="IL138" s="436"/>
      <c r="IM138" s="436"/>
      <c r="IN138" s="436"/>
      <c r="IO138" s="436"/>
      <c r="IP138" s="436"/>
      <c r="IQ138" s="265"/>
      <c r="IR138" s="265"/>
    </row>
    <row r="139" spans="1:252" s="461" customFormat="1" x14ac:dyDescent="0.35">
      <c r="A139" s="685"/>
      <c r="B139" s="503"/>
      <c r="C139" s="503"/>
      <c r="D139" s="439"/>
      <c r="E139" s="686"/>
      <c r="J139" s="1591"/>
      <c r="M139" s="436"/>
      <c r="N139" s="436"/>
      <c r="O139" s="436"/>
      <c r="P139" s="436"/>
      <c r="Q139" s="436"/>
      <c r="R139" s="436"/>
      <c r="S139" s="436"/>
      <c r="T139" s="436"/>
      <c r="U139" s="436"/>
      <c r="V139" s="436"/>
      <c r="W139" s="436"/>
      <c r="X139" s="436"/>
      <c r="Y139" s="436"/>
      <c r="Z139" s="436"/>
      <c r="AA139" s="436"/>
      <c r="AB139" s="436"/>
      <c r="AC139" s="436"/>
      <c r="AD139" s="436"/>
      <c r="AE139" s="436"/>
      <c r="AF139" s="436"/>
      <c r="AG139" s="436"/>
      <c r="AH139" s="436"/>
      <c r="AI139" s="436"/>
      <c r="AJ139" s="436"/>
      <c r="AK139" s="436"/>
      <c r="AL139" s="436"/>
      <c r="AM139" s="436"/>
      <c r="AN139" s="436"/>
      <c r="AO139" s="436"/>
      <c r="AP139" s="436"/>
      <c r="AQ139" s="436"/>
      <c r="AR139" s="436"/>
      <c r="AS139" s="436"/>
      <c r="AT139" s="436"/>
      <c r="AU139" s="436"/>
      <c r="AV139" s="436"/>
      <c r="AW139" s="436"/>
      <c r="AX139" s="436"/>
      <c r="AY139" s="436"/>
      <c r="AZ139" s="436"/>
      <c r="BA139" s="436"/>
      <c r="BB139" s="436"/>
      <c r="BC139" s="436"/>
      <c r="BD139" s="436"/>
      <c r="BE139" s="436"/>
      <c r="BF139" s="436"/>
      <c r="BG139" s="436"/>
      <c r="BH139" s="436"/>
      <c r="BI139" s="436"/>
      <c r="BJ139" s="436"/>
      <c r="BK139" s="436"/>
      <c r="BL139" s="436"/>
      <c r="BM139" s="436"/>
      <c r="BN139" s="436"/>
      <c r="BO139" s="436"/>
      <c r="BP139" s="436"/>
      <c r="BQ139" s="436"/>
      <c r="BR139" s="436"/>
      <c r="BS139" s="436"/>
      <c r="BT139" s="436"/>
      <c r="BU139" s="436"/>
      <c r="BV139" s="436"/>
      <c r="BW139" s="436"/>
      <c r="BX139" s="436"/>
      <c r="BY139" s="436"/>
      <c r="BZ139" s="436"/>
      <c r="CA139" s="436"/>
      <c r="CB139" s="436"/>
      <c r="CC139" s="436"/>
      <c r="CD139" s="436"/>
      <c r="CE139" s="436"/>
      <c r="CF139" s="436"/>
      <c r="CG139" s="436"/>
      <c r="CH139" s="436"/>
      <c r="CI139" s="436"/>
      <c r="CJ139" s="436"/>
      <c r="CK139" s="436"/>
      <c r="CL139" s="436"/>
      <c r="CM139" s="436"/>
      <c r="CN139" s="436"/>
      <c r="CO139" s="436"/>
      <c r="CP139" s="436"/>
      <c r="CQ139" s="436"/>
      <c r="CR139" s="436"/>
      <c r="CS139" s="436"/>
      <c r="CT139" s="436"/>
      <c r="CU139" s="436"/>
      <c r="CV139" s="436"/>
      <c r="CW139" s="436"/>
      <c r="CX139" s="436"/>
      <c r="CY139" s="436"/>
      <c r="CZ139" s="436"/>
      <c r="DA139" s="436"/>
      <c r="DB139" s="436"/>
      <c r="DC139" s="436"/>
      <c r="DD139" s="436"/>
      <c r="DE139" s="436"/>
      <c r="DF139" s="436"/>
      <c r="DG139" s="436"/>
      <c r="DH139" s="436"/>
      <c r="DI139" s="436"/>
      <c r="DJ139" s="436"/>
      <c r="DK139" s="436"/>
      <c r="DL139" s="436"/>
      <c r="DM139" s="436"/>
      <c r="DN139" s="436"/>
      <c r="DO139" s="436"/>
      <c r="DP139" s="436"/>
      <c r="DQ139" s="436"/>
      <c r="DR139" s="436"/>
      <c r="DS139" s="436"/>
      <c r="DT139" s="436"/>
      <c r="DU139" s="436"/>
      <c r="DV139" s="436"/>
      <c r="DW139" s="436"/>
      <c r="DX139" s="436"/>
      <c r="DY139" s="436"/>
      <c r="DZ139" s="436"/>
      <c r="EA139" s="436"/>
      <c r="EB139" s="436"/>
      <c r="EC139" s="436"/>
      <c r="ED139" s="436"/>
      <c r="EE139" s="436"/>
      <c r="EF139" s="436"/>
      <c r="EG139" s="436"/>
      <c r="EH139" s="436"/>
      <c r="EI139" s="436"/>
      <c r="EJ139" s="436"/>
      <c r="EK139" s="436"/>
      <c r="EL139" s="436"/>
      <c r="EM139" s="436"/>
      <c r="EN139" s="436"/>
      <c r="EO139" s="436"/>
      <c r="EP139" s="436"/>
      <c r="EQ139" s="436"/>
      <c r="ER139" s="436"/>
      <c r="ES139" s="436"/>
      <c r="ET139" s="436"/>
      <c r="EU139" s="436"/>
      <c r="EV139" s="436"/>
      <c r="EW139" s="436"/>
      <c r="EX139" s="436"/>
      <c r="EY139" s="436"/>
      <c r="EZ139" s="436"/>
      <c r="FA139" s="436"/>
      <c r="FB139" s="436"/>
      <c r="FC139" s="436"/>
      <c r="FD139" s="436"/>
      <c r="FE139" s="436"/>
      <c r="FF139" s="436"/>
      <c r="FG139" s="436"/>
      <c r="FH139" s="436"/>
      <c r="FI139" s="436"/>
      <c r="FJ139" s="436"/>
      <c r="FK139" s="436"/>
      <c r="FL139" s="436"/>
      <c r="FM139" s="436"/>
      <c r="FN139" s="436"/>
      <c r="FO139" s="436"/>
      <c r="FP139" s="436"/>
      <c r="FQ139" s="436"/>
      <c r="FR139" s="436"/>
      <c r="FS139" s="436"/>
      <c r="FT139" s="436"/>
      <c r="FU139" s="436"/>
      <c r="FV139" s="436"/>
      <c r="FW139" s="436"/>
      <c r="FX139" s="436"/>
      <c r="FY139" s="436"/>
      <c r="FZ139" s="436"/>
      <c r="GA139" s="436"/>
      <c r="GB139" s="436"/>
      <c r="GC139" s="436"/>
      <c r="GD139" s="436"/>
      <c r="GE139" s="436"/>
      <c r="GF139" s="436"/>
      <c r="GG139" s="436"/>
      <c r="GH139" s="436"/>
      <c r="GI139" s="436"/>
      <c r="GJ139" s="436"/>
      <c r="GK139" s="436"/>
      <c r="GL139" s="436"/>
      <c r="GM139" s="436"/>
      <c r="GN139" s="436"/>
      <c r="GO139" s="436"/>
      <c r="GP139" s="436"/>
      <c r="GQ139" s="436"/>
      <c r="GR139" s="436"/>
      <c r="GS139" s="436"/>
      <c r="GT139" s="436"/>
      <c r="GU139" s="436"/>
      <c r="GV139" s="436"/>
      <c r="GW139" s="436"/>
      <c r="GX139" s="436"/>
      <c r="GY139" s="436"/>
      <c r="GZ139" s="436"/>
      <c r="HA139" s="436"/>
      <c r="HB139" s="436"/>
      <c r="HC139" s="436"/>
      <c r="HD139" s="436"/>
      <c r="HE139" s="436"/>
      <c r="HF139" s="436"/>
      <c r="HG139" s="436"/>
      <c r="HH139" s="436"/>
      <c r="HI139" s="436"/>
      <c r="HJ139" s="436"/>
      <c r="HK139" s="436"/>
      <c r="HL139" s="436"/>
      <c r="HM139" s="436"/>
      <c r="HN139" s="436"/>
      <c r="HO139" s="436"/>
      <c r="HP139" s="436"/>
      <c r="HQ139" s="436"/>
      <c r="HR139" s="436"/>
      <c r="HS139" s="436"/>
      <c r="HT139" s="436"/>
      <c r="HU139" s="436"/>
      <c r="HV139" s="436"/>
      <c r="HW139" s="436"/>
      <c r="HX139" s="436"/>
      <c r="HY139" s="436"/>
      <c r="HZ139" s="436"/>
      <c r="IA139" s="436"/>
      <c r="IB139" s="436"/>
      <c r="IC139" s="436"/>
      <c r="ID139" s="436"/>
      <c r="IE139" s="436"/>
      <c r="IF139" s="436"/>
      <c r="IG139" s="436"/>
      <c r="IH139" s="436"/>
      <c r="II139" s="436"/>
      <c r="IJ139" s="436"/>
      <c r="IK139" s="436"/>
      <c r="IL139" s="436"/>
      <c r="IM139" s="436"/>
      <c r="IN139" s="436"/>
      <c r="IO139" s="436"/>
      <c r="IP139" s="436"/>
      <c r="IQ139" s="265"/>
      <c r="IR139" s="265"/>
    </row>
    <row r="140" spans="1:252" s="461" customFormat="1" x14ac:dyDescent="0.35">
      <c r="A140" s="685"/>
      <c r="B140" s="503"/>
      <c r="C140" s="503"/>
      <c r="D140" s="439"/>
      <c r="E140" s="686"/>
      <c r="J140" s="1591"/>
      <c r="M140" s="436"/>
      <c r="N140" s="436"/>
      <c r="O140" s="436"/>
      <c r="P140" s="436"/>
      <c r="Q140" s="436"/>
      <c r="R140" s="436"/>
      <c r="S140" s="436"/>
      <c r="T140" s="436"/>
      <c r="U140" s="436"/>
      <c r="V140" s="436"/>
      <c r="W140" s="436"/>
      <c r="X140" s="436"/>
      <c r="Y140" s="436"/>
      <c r="Z140" s="436"/>
      <c r="AA140" s="436"/>
      <c r="AB140" s="436"/>
      <c r="AC140" s="436"/>
      <c r="AD140" s="436"/>
      <c r="AE140" s="436"/>
      <c r="AF140" s="436"/>
      <c r="AG140" s="436"/>
      <c r="AH140" s="436"/>
      <c r="AI140" s="436"/>
      <c r="AJ140" s="436"/>
      <c r="AK140" s="436"/>
      <c r="AL140" s="436"/>
      <c r="AM140" s="436"/>
      <c r="AN140" s="436"/>
      <c r="AO140" s="436"/>
      <c r="AP140" s="436"/>
      <c r="AQ140" s="436"/>
      <c r="AR140" s="436"/>
      <c r="AS140" s="436"/>
      <c r="AT140" s="436"/>
      <c r="AU140" s="436"/>
      <c r="AV140" s="436"/>
      <c r="AW140" s="436"/>
      <c r="AX140" s="436"/>
      <c r="AY140" s="436"/>
      <c r="AZ140" s="436"/>
      <c r="BA140" s="436"/>
      <c r="BB140" s="436"/>
      <c r="BC140" s="436"/>
      <c r="BD140" s="436"/>
      <c r="BE140" s="436"/>
      <c r="BF140" s="436"/>
      <c r="BG140" s="436"/>
      <c r="BH140" s="436"/>
      <c r="BI140" s="436"/>
      <c r="BJ140" s="436"/>
      <c r="BK140" s="436"/>
      <c r="BL140" s="436"/>
      <c r="BM140" s="436"/>
      <c r="BN140" s="436"/>
      <c r="BO140" s="436"/>
      <c r="BP140" s="436"/>
      <c r="BQ140" s="436"/>
      <c r="BR140" s="436"/>
      <c r="BS140" s="436"/>
      <c r="BT140" s="436"/>
      <c r="BU140" s="436"/>
      <c r="BV140" s="436"/>
      <c r="BW140" s="436"/>
      <c r="BX140" s="436"/>
      <c r="BY140" s="436"/>
      <c r="BZ140" s="436"/>
      <c r="CA140" s="436"/>
      <c r="CB140" s="436"/>
      <c r="CC140" s="436"/>
      <c r="CD140" s="436"/>
      <c r="CE140" s="436"/>
      <c r="CF140" s="436"/>
      <c r="CG140" s="436"/>
      <c r="CH140" s="436"/>
      <c r="CI140" s="436"/>
      <c r="CJ140" s="436"/>
      <c r="CK140" s="436"/>
      <c r="CL140" s="436"/>
      <c r="CM140" s="436"/>
      <c r="CN140" s="436"/>
      <c r="CO140" s="436"/>
      <c r="CP140" s="436"/>
      <c r="CQ140" s="436"/>
      <c r="CR140" s="436"/>
      <c r="CS140" s="436"/>
      <c r="CT140" s="436"/>
      <c r="CU140" s="436"/>
      <c r="CV140" s="436"/>
      <c r="CW140" s="436"/>
      <c r="CX140" s="436"/>
      <c r="CY140" s="436"/>
      <c r="CZ140" s="436"/>
      <c r="DA140" s="436"/>
      <c r="DB140" s="436"/>
      <c r="DC140" s="436"/>
      <c r="DD140" s="436"/>
      <c r="DE140" s="436"/>
      <c r="DF140" s="436"/>
      <c r="DG140" s="436"/>
      <c r="DH140" s="436"/>
      <c r="DI140" s="436"/>
      <c r="DJ140" s="436"/>
      <c r="DK140" s="436"/>
      <c r="DL140" s="436"/>
      <c r="DM140" s="436"/>
      <c r="DN140" s="436"/>
      <c r="DO140" s="436"/>
      <c r="DP140" s="436"/>
      <c r="DQ140" s="436"/>
      <c r="DR140" s="436"/>
      <c r="DS140" s="436"/>
      <c r="DT140" s="436"/>
      <c r="DU140" s="436"/>
      <c r="DV140" s="436"/>
      <c r="DW140" s="436"/>
      <c r="DX140" s="436"/>
      <c r="DY140" s="436"/>
      <c r="DZ140" s="436"/>
      <c r="EA140" s="436"/>
      <c r="EB140" s="436"/>
      <c r="EC140" s="436"/>
      <c r="ED140" s="436"/>
      <c r="EE140" s="436"/>
      <c r="EF140" s="436"/>
      <c r="EG140" s="436"/>
      <c r="EH140" s="436"/>
      <c r="EI140" s="436"/>
      <c r="EJ140" s="436"/>
      <c r="EK140" s="436"/>
      <c r="EL140" s="436"/>
      <c r="EM140" s="436"/>
      <c r="EN140" s="436"/>
      <c r="EO140" s="436"/>
      <c r="EP140" s="436"/>
      <c r="EQ140" s="436"/>
      <c r="ER140" s="436"/>
      <c r="ES140" s="436"/>
      <c r="ET140" s="436"/>
      <c r="EU140" s="436"/>
      <c r="EV140" s="436"/>
      <c r="EW140" s="436"/>
      <c r="EX140" s="436"/>
      <c r="EY140" s="436"/>
      <c r="EZ140" s="436"/>
      <c r="FA140" s="436"/>
      <c r="FB140" s="436"/>
      <c r="FC140" s="436"/>
      <c r="FD140" s="436"/>
      <c r="FE140" s="436"/>
      <c r="FF140" s="436"/>
      <c r="FG140" s="436"/>
      <c r="FH140" s="436"/>
      <c r="FI140" s="436"/>
      <c r="FJ140" s="436"/>
      <c r="FK140" s="436"/>
      <c r="FL140" s="436"/>
      <c r="FM140" s="436"/>
      <c r="FN140" s="436"/>
      <c r="FO140" s="436"/>
      <c r="FP140" s="436"/>
      <c r="FQ140" s="436"/>
      <c r="FR140" s="436"/>
      <c r="FS140" s="436"/>
      <c r="FT140" s="436"/>
      <c r="FU140" s="436"/>
      <c r="FV140" s="436"/>
      <c r="FW140" s="436"/>
      <c r="FX140" s="436"/>
      <c r="FY140" s="436"/>
      <c r="FZ140" s="436"/>
      <c r="GA140" s="436"/>
      <c r="GB140" s="436"/>
      <c r="GC140" s="436"/>
      <c r="GD140" s="436"/>
      <c r="GE140" s="436"/>
      <c r="GF140" s="436"/>
      <c r="GG140" s="436"/>
      <c r="GH140" s="436"/>
      <c r="GI140" s="436"/>
      <c r="GJ140" s="436"/>
      <c r="GK140" s="436"/>
      <c r="GL140" s="436"/>
      <c r="GM140" s="436"/>
      <c r="GN140" s="436"/>
      <c r="GO140" s="436"/>
      <c r="GP140" s="436"/>
      <c r="GQ140" s="436"/>
      <c r="GR140" s="436"/>
      <c r="GS140" s="436"/>
      <c r="GT140" s="436"/>
      <c r="GU140" s="436"/>
      <c r="GV140" s="436"/>
      <c r="GW140" s="436"/>
      <c r="GX140" s="436"/>
      <c r="GY140" s="436"/>
      <c r="GZ140" s="436"/>
      <c r="HA140" s="436"/>
      <c r="HB140" s="436"/>
      <c r="HC140" s="436"/>
      <c r="HD140" s="436"/>
      <c r="HE140" s="436"/>
      <c r="HF140" s="436"/>
      <c r="HG140" s="436"/>
      <c r="HH140" s="436"/>
      <c r="HI140" s="436"/>
      <c r="HJ140" s="436"/>
      <c r="HK140" s="436"/>
      <c r="HL140" s="436"/>
      <c r="HM140" s="436"/>
      <c r="HN140" s="436"/>
      <c r="HO140" s="436"/>
      <c r="HP140" s="436"/>
      <c r="HQ140" s="436"/>
      <c r="HR140" s="436"/>
      <c r="HS140" s="436"/>
      <c r="HT140" s="436"/>
      <c r="HU140" s="436"/>
      <c r="HV140" s="436"/>
      <c r="HW140" s="436"/>
      <c r="HX140" s="436"/>
      <c r="HY140" s="436"/>
      <c r="HZ140" s="436"/>
      <c r="IA140" s="436"/>
      <c r="IB140" s="436"/>
      <c r="IC140" s="436"/>
      <c r="ID140" s="436"/>
      <c r="IE140" s="436"/>
      <c r="IF140" s="436"/>
      <c r="IG140" s="436"/>
      <c r="IH140" s="436"/>
      <c r="II140" s="436"/>
      <c r="IJ140" s="436"/>
      <c r="IK140" s="436"/>
      <c r="IL140" s="436"/>
      <c r="IM140" s="436"/>
      <c r="IN140" s="436"/>
      <c r="IO140" s="436"/>
      <c r="IP140" s="436"/>
      <c r="IQ140" s="265"/>
      <c r="IR140" s="265"/>
    </row>
    <row r="141" spans="1:252" s="461" customFormat="1" x14ac:dyDescent="0.35">
      <c r="A141" s="685"/>
      <c r="B141" s="503"/>
      <c r="C141" s="503"/>
      <c r="D141" s="439"/>
      <c r="E141" s="686"/>
      <c r="J141" s="1591"/>
      <c r="M141" s="436"/>
      <c r="N141" s="436"/>
      <c r="O141" s="436"/>
      <c r="P141" s="436"/>
      <c r="Q141" s="436"/>
      <c r="R141" s="436"/>
      <c r="S141" s="436"/>
      <c r="T141" s="436"/>
      <c r="U141" s="436"/>
      <c r="V141" s="436"/>
      <c r="W141" s="436"/>
      <c r="X141" s="436"/>
      <c r="Y141" s="436"/>
      <c r="Z141" s="436"/>
      <c r="AA141" s="436"/>
      <c r="AB141" s="436"/>
      <c r="AC141" s="436"/>
      <c r="AD141" s="436"/>
      <c r="AE141" s="436"/>
      <c r="AF141" s="436"/>
      <c r="AG141" s="436"/>
      <c r="AH141" s="436"/>
      <c r="AI141" s="436"/>
      <c r="AJ141" s="436"/>
      <c r="AK141" s="436"/>
      <c r="AL141" s="436"/>
      <c r="AM141" s="436"/>
      <c r="AN141" s="436"/>
      <c r="AO141" s="436"/>
      <c r="AP141" s="436"/>
      <c r="AQ141" s="436"/>
      <c r="AR141" s="436"/>
      <c r="AS141" s="436"/>
      <c r="AT141" s="436"/>
      <c r="AU141" s="436"/>
      <c r="AV141" s="436"/>
      <c r="AW141" s="436"/>
      <c r="AX141" s="436"/>
      <c r="AY141" s="436"/>
      <c r="AZ141" s="436"/>
      <c r="BA141" s="436"/>
      <c r="BB141" s="436"/>
      <c r="BC141" s="436"/>
      <c r="BD141" s="436"/>
      <c r="BE141" s="436"/>
      <c r="BF141" s="436"/>
      <c r="BG141" s="436"/>
      <c r="BH141" s="436"/>
      <c r="BI141" s="436"/>
      <c r="BJ141" s="436"/>
      <c r="BK141" s="436"/>
      <c r="BL141" s="436"/>
      <c r="BM141" s="436"/>
      <c r="BN141" s="436"/>
      <c r="BO141" s="436"/>
      <c r="BP141" s="436"/>
      <c r="BQ141" s="436"/>
      <c r="BR141" s="436"/>
      <c r="BS141" s="436"/>
      <c r="BT141" s="436"/>
      <c r="BU141" s="436"/>
      <c r="BV141" s="436"/>
      <c r="BW141" s="436"/>
      <c r="BX141" s="436"/>
      <c r="BY141" s="436"/>
      <c r="BZ141" s="436"/>
      <c r="CA141" s="436"/>
      <c r="CB141" s="436"/>
      <c r="CC141" s="436"/>
      <c r="CD141" s="436"/>
      <c r="CE141" s="436"/>
      <c r="CF141" s="436"/>
      <c r="CG141" s="436"/>
      <c r="CH141" s="436"/>
      <c r="CI141" s="436"/>
      <c r="CJ141" s="436"/>
      <c r="CK141" s="436"/>
      <c r="CL141" s="436"/>
      <c r="CM141" s="436"/>
      <c r="CN141" s="436"/>
      <c r="CO141" s="436"/>
      <c r="CP141" s="436"/>
      <c r="CQ141" s="436"/>
      <c r="CR141" s="436"/>
      <c r="CS141" s="436"/>
      <c r="CT141" s="436"/>
      <c r="CU141" s="436"/>
      <c r="CV141" s="436"/>
      <c r="CW141" s="436"/>
      <c r="CX141" s="436"/>
      <c r="CY141" s="436"/>
      <c r="CZ141" s="436"/>
      <c r="DA141" s="436"/>
      <c r="DB141" s="436"/>
      <c r="DC141" s="436"/>
      <c r="DD141" s="436"/>
      <c r="DE141" s="436"/>
      <c r="DF141" s="436"/>
      <c r="DG141" s="436"/>
      <c r="DH141" s="436"/>
      <c r="DI141" s="436"/>
      <c r="DJ141" s="436"/>
      <c r="DK141" s="436"/>
      <c r="DL141" s="436"/>
      <c r="DM141" s="436"/>
      <c r="DN141" s="436"/>
      <c r="DO141" s="436"/>
      <c r="DP141" s="436"/>
      <c r="DQ141" s="436"/>
      <c r="DR141" s="436"/>
      <c r="DS141" s="436"/>
      <c r="DT141" s="436"/>
      <c r="DU141" s="436"/>
      <c r="DV141" s="436"/>
      <c r="DW141" s="436"/>
      <c r="DX141" s="436"/>
      <c r="DY141" s="436"/>
      <c r="DZ141" s="436"/>
      <c r="EA141" s="436"/>
      <c r="EB141" s="436"/>
      <c r="EC141" s="436"/>
      <c r="ED141" s="436"/>
      <c r="EE141" s="436"/>
      <c r="EF141" s="436"/>
      <c r="EG141" s="436"/>
      <c r="EH141" s="436"/>
      <c r="EI141" s="436"/>
      <c r="EJ141" s="436"/>
      <c r="EK141" s="436"/>
      <c r="EL141" s="436"/>
      <c r="EM141" s="436"/>
      <c r="EN141" s="436"/>
      <c r="EO141" s="436"/>
      <c r="EP141" s="436"/>
      <c r="EQ141" s="436"/>
      <c r="ER141" s="436"/>
      <c r="ES141" s="436"/>
      <c r="ET141" s="436"/>
      <c r="EU141" s="436"/>
      <c r="EV141" s="436"/>
      <c r="EW141" s="436"/>
      <c r="EX141" s="436"/>
      <c r="EY141" s="436"/>
      <c r="EZ141" s="436"/>
      <c r="FA141" s="436"/>
      <c r="FB141" s="436"/>
      <c r="FC141" s="436"/>
      <c r="FD141" s="436"/>
      <c r="FE141" s="436"/>
      <c r="FF141" s="436"/>
      <c r="FG141" s="436"/>
      <c r="FH141" s="436"/>
      <c r="FI141" s="436"/>
      <c r="FJ141" s="436"/>
      <c r="FK141" s="436"/>
      <c r="FL141" s="436"/>
      <c r="FM141" s="436"/>
      <c r="FN141" s="436"/>
      <c r="FO141" s="436"/>
      <c r="FP141" s="436"/>
      <c r="FQ141" s="436"/>
      <c r="FR141" s="436"/>
      <c r="FS141" s="436"/>
      <c r="FT141" s="436"/>
      <c r="FU141" s="436"/>
      <c r="FV141" s="436"/>
      <c r="FW141" s="436"/>
      <c r="FX141" s="436"/>
      <c r="FY141" s="436"/>
      <c r="FZ141" s="436"/>
      <c r="GA141" s="436"/>
      <c r="GB141" s="436"/>
      <c r="GC141" s="436"/>
      <c r="GD141" s="436"/>
      <c r="GE141" s="436"/>
      <c r="GF141" s="436"/>
      <c r="GG141" s="436"/>
      <c r="GH141" s="436"/>
      <c r="GI141" s="436"/>
      <c r="GJ141" s="436"/>
      <c r="GK141" s="436"/>
      <c r="GL141" s="436"/>
      <c r="GM141" s="436"/>
      <c r="GN141" s="436"/>
      <c r="GO141" s="436"/>
      <c r="GP141" s="436"/>
      <c r="GQ141" s="436"/>
      <c r="GR141" s="436"/>
      <c r="GS141" s="436"/>
      <c r="GT141" s="436"/>
      <c r="GU141" s="436"/>
      <c r="GV141" s="436"/>
      <c r="GW141" s="436"/>
      <c r="GX141" s="436"/>
      <c r="GY141" s="436"/>
      <c r="GZ141" s="436"/>
      <c r="HA141" s="436"/>
      <c r="HB141" s="436"/>
      <c r="HC141" s="436"/>
      <c r="HD141" s="436"/>
      <c r="HE141" s="436"/>
      <c r="HF141" s="436"/>
      <c r="HG141" s="436"/>
      <c r="HH141" s="436"/>
      <c r="HI141" s="436"/>
      <c r="HJ141" s="436"/>
      <c r="HK141" s="436"/>
      <c r="HL141" s="436"/>
      <c r="HM141" s="436"/>
      <c r="HN141" s="436"/>
      <c r="HO141" s="436"/>
      <c r="HP141" s="436"/>
      <c r="HQ141" s="436"/>
      <c r="HR141" s="436"/>
      <c r="HS141" s="436"/>
      <c r="HT141" s="436"/>
      <c r="HU141" s="436"/>
      <c r="HV141" s="436"/>
      <c r="HW141" s="436"/>
      <c r="HX141" s="436"/>
      <c r="HY141" s="436"/>
      <c r="HZ141" s="436"/>
      <c r="IA141" s="436"/>
      <c r="IB141" s="436"/>
      <c r="IC141" s="436"/>
      <c r="ID141" s="436"/>
      <c r="IE141" s="436"/>
      <c r="IF141" s="436"/>
      <c r="IG141" s="436"/>
      <c r="IH141" s="436"/>
      <c r="II141" s="436"/>
      <c r="IJ141" s="436"/>
      <c r="IK141" s="436"/>
      <c r="IL141" s="436"/>
      <c r="IM141" s="436"/>
      <c r="IN141" s="436"/>
      <c r="IO141" s="436"/>
      <c r="IP141" s="436"/>
      <c r="IQ141" s="265"/>
      <c r="IR141" s="265"/>
    </row>
    <row r="142" spans="1:252" s="461" customFormat="1" x14ac:dyDescent="0.35">
      <c r="A142" s="685"/>
      <c r="B142" s="503"/>
      <c r="C142" s="503"/>
      <c r="D142" s="439"/>
      <c r="E142" s="686"/>
      <c r="J142" s="1591"/>
      <c r="M142" s="436"/>
      <c r="N142" s="436"/>
      <c r="O142" s="436"/>
      <c r="P142" s="436"/>
      <c r="Q142" s="436"/>
      <c r="R142" s="436"/>
      <c r="S142" s="436"/>
      <c r="T142" s="436"/>
      <c r="U142" s="436"/>
      <c r="V142" s="436"/>
      <c r="W142" s="436"/>
      <c r="X142" s="436"/>
      <c r="Y142" s="436"/>
      <c r="Z142" s="436"/>
      <c r="AA142" s="436"/>
      <c r="AB142" s="436"/>
      <c r="AC142" s="436"/>
      <c r="AD142" s="436"/>
      <c r="AE142" s="436"/>
      <c r="AF142" s="436"/>
      <c r="AG142" s="436"/>
      <c r="AH142" s="436"/>
      <c r="AI142" s="436"/>
      <c r="AJ142" s="436"/>
      <c r="AK142" s="436"/>
      <c r="AL142" s="436"/>
      <c r="AM142" s="436"/>
      <c r="AN142" s="436"/>
      <c r="AO142" s="436"/>
      <c r="AP142" s="436"/>
      <c r="AQ142" s="436"/>
      <c r="AR142" s="436"/>
      <c r="AS142" s="436"/>
      <c r="AT142" s="436"/>
      <c r="AU142" s="436"/>
      <c r="AV142" s="436"/>
      <c r="AW142" s="436"/>
      <c r="AX142" s="436"/>
      <c r="AY142" s="436"/>
      <c r="AZ142" s="436"/>
      <c r="BA142" s="436"/>
      <c r="BB142" s="436"/>
      <c r="BC142" s="436"/>
      <c r="BD142" s="436"/>
      <c r="BE142" s="436"/>
      <c r="BF142" s="436"/>
      <c r="BG142" s="436"/>
      <c r="BH142" s="436"/>
      <c r="BI142" s="436"/>
      <c r="BJ142" s="436"/>
      <c r="BK142" s="436"/>
      <c r="BL142" s="436"/>
      <c r="BM142" s="436"/>
      <c r="BN142" s="436"/>
      <c r="BO142" s="436"/>
      <c r="BP142" s="436"/>
      <c r="BQ142" s="436"/>
      <c r="BR142" s="436"/>
      <c r="BS142" s="436"/>
      <c r="BT142" s="436"/>
      <c r="BU142" s="436"/>
      <c r="BV142" s="436"/>
      <c r="BW142" s="436"/>
      <c r="BX142" s="436"/>
      <c r="BY142" s="436"/>
      <c r="BZ142" s="436"/>
      <c r="CA142" s="436"/>
      <c r="CB142" s="436"/>
      <c r="CC142" s="436"/>
      <c r="CD142" s="436"/>
      <c r="CE142" s="436"/>
      <c r="CF142" s="436"/>
      <c r="CG142" s="436"/>
      <c r="CH142" s="436"/>
      <c r="CI142" s="436"/>
      <c r="CJ142" s="436"/>
      <c r="CK142" s="436"/>
      <c r="CL142" s="436"/>
      <c r="CM142" s="436"/>
      <c r="CN142" s="436"/>
      <c r="CO142" s="436"/>
      <c r="CP142" s="436"/>
      <c r="CQ142" s="436"/>
      <c r="CR142" s="436"/>
      <c r="CS142" s="436"/>
      <c r="CT142" s="436"/>
      <c r="CU142" s="436"/>
      <c r="CV142" s="436"/>
      <c r="CW142" s="436"/>
      <c r="CX142" s="436"/>
      <c r="CY142" s="436"/>
      <c r="CZ142" s="436"/>
      <c r="DA142" s="436"/>
      <c r="DB142" s="436"/>
      <c r="DC142" s="436"/>
      <c r="DD142" s="436"/>
      <c r="DE142" s="436"/>
      <c r="DF142" s="436"/>
      <c r="DG142" s="436"/>
      <c r="DH142" s="436"/>
      <c r="DI142" s="436"/>
      <c r="DJ142" s="436"/>
      <c r="DK142" s="436"/>
      <c r="DL142" s="436"/>
      <c r="DM142" s="436"/>
      <c r="DN142" s="436"/>
      <c r="DO142" s="436"/>
      <c r="DP142" s="436"/>
      <c r="DQ142" s="436"/>
      <c r="DR142" s="436"/>
      <c r="DS142" s="436"/>
      <c r="DT142" s="436"/>
      <c r="DU142" s="436"/>
      <c r="DV142" s="436"/>
      <c r="DW142" s="436"/>
      <c r="DX142" s="436"/>
      <c r="DY142" s="436"/>
      <c r="DZ142" s="436"/>
      <c r="EA142" s="436"/>
      <c r="EB142" s="436"/>
      <c r="EC142" s="436"/>
      <c r="ED142" s="436"/>
      <c r="EE142" s="436"/>
      <c r="EF142" s="436"/>
      <c r="EG142" s="436"/>
      <c r="EH142" s="436"/>
      <c r="EI142" s="436"/>
      <c r="EJ142" s="436"/>
      <c r="EK142" s="436"/>
      <c r="EL142" s="436"/>
      <c r="EM142" s="436"/>
      <c r="EN142" s="436"/>
      <c r="EO142" s="436"/>
      <c r="EP142" s="436"/>
      <c r="EQ142" s="436"/>
      <c r="ER142" s="436"/>
      <c r="ES142" s="436"/>
      <c r="ET142" s="436"/>
      <c r="EU142" s="436"/>
      <c r="EV142" s="436"/>
      <c r="EW142" s="436"/>
      <c r="EX142" s="436"/>
      <c r="EY142" s="436"/>
      <c r="EZ142" s="436"/>
      <c r="FA142" s="436"/>
      <c r="FB142" s="436"/>
      <c r="FC142" s="436"/>
      <c r="FD142" s="436"/>
      <c r="FE142" s="436"/>
      <c r="FF142" s="436"/>
      <c r="FG142" s="436"/>
      <c r="FH142" s="436"/>
      <c r="FI142" s="436"/>
      <c r="FJ142" s="436"/>
      <c r="FK142" s="436"/>
      <c r="FL142" s="436"/>
      <c r="FM142" s="436"/>
      <c r="FN142" s="436"/>
      <c r="FO142" s="436"/>
      <c r="FP142" s="436"/>
      <c r="FQ142" s="436"/>
      <c r="FR142" s="436"/>
      <c r="FS142" s="436"/>
      <c r="FT142" s="436"/>
      <c r="FU142" s="436"/>
      <c r="FV142" s="436"/>
      <c r="FW142" s="436"/>
      <c r="FX142" s="436"/>
      <c r="FY142" s="436"/>
      <c r="FZ142" s="436"/>
      <c r="GA142" s="436"/>
      <c r="GB142" s="436"/>
      <c r="GC142" s="436"/>
      <c r="GD142" s="436"/>
      <c r="GE142" s="436"/>
      <c r="GF142" s="436"/>
      <c r="GG142" s="436"/>
      <c r="GH142" s="436"/>
      <c r="GI142" s="436"/>
      <c r="GJ142" s="436"/>
      <c r="GK142" s="436"/>
      <c r="GL142" s="436"/>
      <c r="GM142" s="436"/>
      <c r="GN142" s="436"/>
      <c r="GO142" s="436"/>
      <c r="GP142" s="436"/>
      <c r="GQ142" s="436"/>
      <c r="GR142" s="436"/>
      <c r="GS142" s="436"/>
      <c r="GT142" s="436"/>
      <c r="GU142" s="436"/>
      <c r="GV142" s="436"/>
      <c r="GW142" s="436"/>
      <c r="GX142" s="436"/>
      <c r="GY142" s="436"/>
      <c r="GZ142" s="436"/>
      <c r="HA142" s="436"/>
      <c r="HB142" s="436"/>
      <c r="HC142" s="436"/>
      <c r="HD142" s="436"/>
      <c r="HE142" s="436"/>
      <c r="HF142" s="436"/>
      <c r="HG142" s="436"/>
      <c r="HH142" s="436"/>
      <c r="HI142" s="436"/>
      <c r="HJ142" s="436"/>
      <c r="HK142" s="436"/>
      <c r="HL142" s="436"/>
      <c r="HM142" s="436"/>
      <c r="HN142" s="436"/>
      <c r="HO142" s="436"/>
      <c r="HP142" s="436"/>
      <c r="HQ142" s="436"/>
      <c r="HR142" s="436"/>
      <c r="HS142" s="436"/>
      <c r="HT142" s="436"/>
      <c r="HU142" s="436"/>
      <c r="HV142" s="436"/>
      <c r="HW142" s="436"/>
      <c r="HX142" s="436"/>
      <c r="HY142" s="436"/>
      <c r="HZ142" s="436"/>
      <c r="IA142" s="436"/>
      <c r="IB142" s="436"/>
      <c r="IC142" s="436"/>
      <c r="ID142" s="436"/>
      <c r="IE142" s="436"/>
      <c r="IF142" s="436"/>
      <c r="IG142" s="436"/>
      <c r="IH142" s="436"/>
      <c r="II142" s="436"/>
      <c r="IJ142" s="436"/>
      <c r="IK142" s="436"/>
      <c r="IL142" s="436"/>
      <c r="IM142" s="436"/>
      <c r="IN142" s="436"/>
      <c r="IO142" s="436"/>
      <c r="IP142" s="436"/>
      <c r="IQ142" s="265"/>
      <c r="IR142" s="265"/>
    </row>
    <row r="143" spans="1:252" s="461" customFormat="1" x14ac:dyDescent="0.35">
      <c r="A143" s="685"/>
      <c r="B143" s="503"/>
      <c r="C143" s="503"/>
      <c r="D143" s="439"/>
      <c r="E143" s="686"/>
      <c r="J143" s="1591"/>
      <c r="M143" s="436"/>
      <c r="N143" s="436"/>
      <c r="O143" s="436"/>
      <c r="P143" s="436"/>
      <c r="Q143" s="436"/>
      <c r="R143" s="436"/>
      <c r="S143" s="436"/>
      <c r="T143" s="436"/>
      <c r="U143" s="436"/>
      <c r="V143" s="436"/>
      <c r="W143" s="436"/>
      <c r="X143" s="436"/>
      <c r="Y143" s="436"/>
      <c r="Z143" s="436"/>
      <c r="AA143" s="436"/>
      <c r="AB143" s="436"/>
      <c r="AC143" s="436"/>
      <c r="AD143" s="436"/>
      <c r="AE143" s="436"/>
      <c r="AF143" s="436"/>
      <c r="AG143" s="436"/>
      <c r="AH143" s="436"/>
      <c r="AI143" s="436"/>
      <c r="AJ143" s="436"/>
      <c r="AK143" s="436"/>
      <c r="AL143" s="436"/>
      <c r="AM143" s="436"/>
      <c r="AN143" s="436"/>
      <c r="AO143" s="436"/>
      <c r="AP143" s="436"/>
      <c r="AQ143" s="436"/>
      <c r="AR143" s="436"/>
      <c r="AS143" s="436"/>
      <c r="AT143" s="436"/>
      <c r="AU143" s="436"/>
      <c r="AV143" s="436"/>
      <c r="AW143" s="436"/>
      <c r="AX143" s="436"/>
      <c r="AY143" s="436"/>
      <c r="AZ143" s="436"/>
      <c r="BA143" s="436"/>
      <c r="BB143" s="436"/>
      <c r="BC143" s="436"/>
      <c r="BD143" s="436"/>
      <c r="BE143" s="436"/>
      <c r="BF143" s="436"/>
      <c r="BG143" s="436"/>
      <c r="BH143" s="436"/>
      <c r="BI143" s="436"/>
      <c r="BJ143" s="436"/>
      <c r="BK143" s="436"/>
      <c r="BL143" s="436"/>
      <c r="BM143" s="436"/>
      <c r="BN143" s="436"/>
      <c r="BO143" s="436"/>
      <c r="BP143" s="436"/>
      <c r="BQ143" s="436"/>
      <c r="BR143" s="436"/>
      <c r="BS143" s="436"/>
      <c r="BT143" s="436"/>
      <c r="BU143" s="436"/>
      <c r="BV143" s="436"/>
      <c r="BW143" s="436"/>
      <c r="BX143" s="436"/>
      <c r="BY143" s="436"/>
      <c r="BZ143" s="436"/>
      <c r="CA143" s="436"/>
      <c r="CB143" s="436"/>
      <c r="CC143" s="436"/>
      <c r="CD143" s="436"/>
      <c r="CE143" s="436"/>
      <c r="CF143" s="436"/>
      <c r="CG143" s="436"/>
      <c r="CH143" s="436"/>
      <c r="CI143" s="436"/>
      <c r="CJ143" s="436"/>
      <c r="CK143" s="436"/>
      <c r="CL143" s="436"/>
      <c r="CM143" s="436"/>
      <c r="CN143" s="436"/>
      <c r="CO143" s="436"/>
      <c r="CP143" s="436"/>
      <c r="CQ143" s="436"/>
      <c r="CR143" s="436"/>
      <c r="CS143" s="436"/>
      <c r="CT143" s="436"/>
      <c r="CU143" s="436"/>
      <c r="CV143" s="436"/>
      <c r="CW143" s="436"/>
      <c r="CX143" s="436"/>
      <c r="CY143" s="436"/>
      <c r="CZ143" s="436"/>
      <c r="DA143" s="436"/>
      <c r="DB143" s="436"/>
      <c r="DC143" s="436"/>
      <c r="DD143" s="436"/>
      <c r="DE143" s="436"/>
      <c r="DF143" s="436"/>
      <c r="DG143" s="436"/>
      <c r="DH143" s="436"/>
      <c r="DI143" s="436"/>
      <c r="DJ143" s="436"/>
      <c r="DK143" s="436"/>
      <c r="DL143" s="436"/>
      <c r="DM143" s="436"/>
      <c r="DN143" s="436"/>
      <c r="DO143" s="436"/>
      <c r="DP143" s="436"/>
      <c r="DQ143" s="436"/>
      <c r="DR143" s="436"/>
      <c r="DS143" s="436"/>
      <c r="DT143" s="436"/>
      <c r="DU143" s="436"/>
      <c r="DV143" s="436"/>
      <c r="DW143" s="436"/>
      <c r="DX143" s="436"/>
      <c r="DY143" s="436"/>
      <c r="DZ143" s="436"/>
      <c r="EA143" s="436"/>
      <c r="EB143" s="436"/>
      <c r="EC143" s="436"/>
      <c r="ED143" s="436"/>
      <c r="EE143" s="436"/>
      <c r="EF143" s="436"/>
      <c r="EG143" s="436"/>
      <c r="EH143" s="436"/>
      <c r="EI143" s="436"/>
      <c r="EJ143" s="436"/>
      <c r="EK143" s="436"/>
      <c r="EL143" s="436"/>
      <c r="EM143" s="436"/>
      <c r="EN143" s="436"/>
      <c r="EO143" s="436"/>
      <c r="EP143" s="436"/>
      <c r="EQ143" s="436"/>
      <c r="ER143" s="436"/>
      <c r="ES143" s="436"/>
      <c r="ET143" s="436"/>
      <c r="EU143" s="436"/>
      <c r="EV143" s="436"/>
      <c r="EW143" s="436"/>
      <c r="EX143" s="436"/>
      <c r="EY143" s="436"/>
      <c r="EZ143" s="436"/>
      <c r="FA143" s="436"/>
      <c r="FB143" s="436"/>
      <c r="FC143" s="436"/>
      <c r="FD143" s="436"/>
      <c r="FE143" s="436"/>
      <c r="FF143" s="436"/>
      <c r="FG143" s="436"/>
      <c r="FH143" s="436"/>
      <c r="FI143" s="436"/>
      <c r="FJ143" s="436"/>
      <c r="FK143" s="436"/>
      <c r="FL143" s="436"/>
      <c r="FM143" s="436"/>
      <c r="FN143" s="436"/>
      <c r="FO143" s="436"/>
      <c r="FP143" s="436"/>
      <c r="FQ143" s="436"/>
      <c r="FR143" s="436"/>
      <c r="FS143" s="436"/>
      <c r="FT143" s="436"/>
      <c r="FU143" s="436"/>
      <c r="FV143" s="436"/>
      <c r="FW143" s="436"/>
      <c r="FX143" s="436"/>
      <c r="FY143" s="436"/>
      <c r="FZ143" s="436"/>
      <c r="GA143" s="436"/>
      <c r="GB143" s="436"/>
      <c r="GC143" s="436"/>
      <c r="GD143" s="436"/>
      <c r="GE143" s="436"/>
      <c r="GF143" s="436"/>
      <c r="GG143" s="436"/>
      <c r="GH143" s="436"/>
      <c r="GI143" s="436"/>
      <c r="GJ143" s="436"/>
      <c r="GK143" s="436"/>
      <c r="GL143" s="436"/>
      <c r="GM143" s="436"/>
      <c r="GN143" s="436"/>
      <c r="GO143" s="436"/>
      <c r="GP143" s="436"/>
      <c r="GQ143" s="436"/>
      <c r="GR143" s="436"/>
      <c r="GS143" s="436"/>
      <c r="GT143" s="436"/>
      <c r="GU143" s="436"/>
      <c r="GV143" s="436"/>
      <c r="GW143" s="436"/>
      <c r="GX143" s="436"/>
      <c r="GY143" s="436"/>
      <c r="GZ143" s="436"/>
      <c r="HA143" s="436"/>
      <c r="HB143" s="436"/>
      <c r="HC143" s="436"/>
      <c r="HD143" s="436"/>
      <c r="HE143" s="436"/>
      <c r="HF143" s="436"/>
      <c r="HG143" s="436"/>
      <c r="HH143" s="436"/>
      <c r="HI143" s="436"/>
      <c r="HJ143" s="436"/>
      <c r="HK143" s="436"/>
      <c r="HL143" s="436"/>
      <c r="HM143" s="436"/>
      <c r="HN143" s="436"/>
      <c r="HO143" s="436"/>
      <c r="HP143" s="436"/>
      <c r="HQ143" s="436"/>
      <c r="HR143" s="436"/>
      <c r="HS143" s="436"/>
      <c r="HT143" s="436"/>
      <c r="HU143" s="436"/>
      <c r="HV143" s="436"/>
      <c r="HW143" s="436"/>
      <c r="HX143" s="436"/>
      <c r="HY143" s="436"/>
      <c r="HZ143" s="436"/>
      <c r="IA143" s="436"/>
      <c r="IB143" s="436"/>
      <c r="IC143" s="436"/>
      <c r="ID143" s="436"/>
      <c r="IE143" s="436"/>
      <c r="IF143" s="436"/>
      <c r="IG143" s="436"/>
      <c r="IH143" s="436"/>
      <c r="II143" s="436"/>
      <c r="IJ143" s="436"/>
      <c r="IK143" s="436"/>
      <c r="IL143" s="436"/>
      <c r="IM143" s="436"/>
      <c r="IN143" s="436"/>
      <c r="IO143" s="436"/>
      <c r="IP143" s="436"/>
      <c r="IQ143" s="265"/>
      <c r="IR143" s="265"/>
    </row>
    <row r="144" spans="1:252" s="461" customFormat="1" x14ac:dyDescent="0.35">
      <c r="A144" s="685"/>
      <c r="B144" s="503"/>
      <c r="C144" s="503"/>
      <c r="D144" s="439"/>
      <c r="E144" s="686"/>
      <c r="J144" s="1591"/>
      <c r="M144" s="436"/>
      <c r="N144" s="436"/>
      <c r="O144" s="436"/>
      <c r="P144" s="436"/>
      <c r="Q144" s="436"/>
      <c r="R144" s="436"/>
      <c r="S144" s="436"/>
      <c r="T144" s="436"/>
      <c r="U144" s="436"/>
      <c r="V144" s="436"/>
      <c r="W144" s="436"/>
      <c r="X144" s="436"/>
      <c r="Y144" s="436"/>
      <c r="Z144" s="436"/>
      <c r="AA144" s="436"/>
      <c r="AB144" s="436"/>
      <c r="AC144" s="436"/>
      <c r="AD144" s="436"/>
      <c r="AE144" s="436"/>
      <c r="AF144" s="436"/>
      <c r="AG144" s="436"/>
      <c r="AH144" s="436"/>
      <c r="AI144" s="436"/>
      <c r="AJ144" s="436"/>
      <c r="AK144" s="436"/>
      <c r="AL144" s="436"/>
      <c r="AM144" s="436"/>
      <c r="AN144" s="436"/>
      <c r="AO144" s="436"/>
      <c r="AP144" s="436"/>
      <c r="AQ144" s="436"/>
      <c r="AR144" s="436"/>
      <c r="AS144" s="436"/>
      <c r="AT144" s="436"/>
      <c r="AU144" s="436"/>
      <c r="AV144" s="436"/>
      <c r="AW144" s="436"/>
      <c r="AX144" s="436"/>
      <c r="AY144" s="436"/>
      <c r="AZ144" s="436"/>
      <c r="BA144" s="436"/>
      <c r="BB144" s="436"/>
      <c r="BC144" s="436"/>
      <c r="BD144" s="436"/>
      <c r="BE144" s="436"/>
      <c r="BF144" s="436"/>
      <c r="BG144" s="436"/>
      <c r="BH144" s="436"/>
      <c r="BI144" s="436"/>
      <c r="BJ144" s="436"/>
      <c r="BK144" s="436"/>
      <c r="BL144" s="436"/>
      <c r="BM144" s="436"/>
      <c r="BN144" s="436"/>
      <c r="BO144" s="436"/>
      <c r="BP144" s="436"/>
      <c r="BQ144" s="436"/>
      <c r="BR144" s="436"/>
      <c r="BS144" s="436"/>
      <c r="BT144" s="436"/>
      <c r="BU144" s="436"/>
      <c r="BV144" s="436"/>
      <c r="BW144" s="436"/>
      <c r="BX144" s="436"/>
      <c r="BY144" s="436"/>
      <c r="BZ144" s="436"/>
      <c r="CA144" s="436"/>
      <c r="CB144" s="436"/>
      <c r="CC144" s="436"/>
      <c r="CD144" s="436"/>
      <c r="CE144" s="436"/>
      <c r="CF144" s="436"/>
      <c r="CG144" s="436"/>
      <c r="CH144" s="436"/>
      <c r="CI144" s="436"/>
      <c r="CJ144" s="436"/>
      <c r="CK144" s="436"/>
      <c r="CL144" s="436"/>
      <c r="CM144" s="436"/>
      <c r="CN144" s="436"/>
      <c r="CO144" s="436"/>
      <c r="CP144" s="436"/>
      <c r="CQ144" s="436"/>
      <c r="CR144" s="436"/>
      <c r="CS144" s="436"/>
      <c r="CT144" s="436"/>
      <c r="CU144" s="436"/>
      <c r="CV144" s="436"/>
      <c r="CW144" s="436"/>
      <c r="CX144" s="436"/>
      <c r="CY144" s="436"/>
      <c r="CZ144" s="436"/>
      <c r="DA144" s="436"/>
      <c r="DB144" s="436"/>
      <c r="DC144" s="436"/>
      <c r="DD144" s="436"/>
      <c r="DE144" s="436"/>
      <c r="DF144" s="436"/>
      <c r="DG144" s="436"/>
      <c r="DH144" s="436"/>
      <c r="DI144" s="436"/>
      <c r="DJ144" s="436"/>
      <c r="DK144" s="436"/>
      <c r="DL144" s="436"/>
      <c r="DM144" s="436"/>
      <c r="DN144" s="436"/>
      <c r="DO144" s="436"/>
      <c r="DP144" s="436"/>
      <c r="DQ144" s="436"/>
      <c r="DR144" s="436"/>
      <c r="DS144" s="436"/>
      <c r="DT144" s="436"/>
      <c r="DU144" s="436"/>
      <c r="DV144" s="436"/>
      <c r="DW144" s="436"/>
      <c r="DX144" s="436"/>
      <c r="DY144" s="436"/>
      <c r="DZ144" s="436"/>
      <c r="EA144" s="436"/>
      <c r="EB144" s="436"/>
      <c r="EC144" s="436"/>
      <c r="ED144" s="436"/>
      <c r="EE144" s="436"/>
      <c r="EF144" s="436"/>
      <c r="EG144" s="436"/>
      <c r="EH144" s="436"/>
      <c r="EI144" s="436"/>
      <c r="EJ144" s="436"/>
      <c r="EK144" s="436"/>
      <c r="EL144" s="436"/>
      <c r="EM144" s="436"/>
      <c r="EN144" s="436"/>
      <c r="EO144" s="436"/>
      <c r="EP144" s="436"/>
      <c r="EQ144" s="436"/>
      <c r="ER144" s="436"/>
      <c r="ES144" s="436"/>
      <c r="ET144" s="436"/>
      <c r="EU144" s="436"/>
      <c r="EV144" s="436"/>
      <c r="EW144" s="436"/>
      <c r="EX144" s="436"/>
      <c r="EY144" s="436"/>
      <c r="EZ144" s="436"/>
      <c r="FA144" s="436"/>
      <c r="FB144" s="436"/>
      <c r="FC144" s="436"/>
      <c r="FD144" s="436"/>
      <c r="FE144" s="436"/>
      <c r="FF144" s="436"/>
      <c r="FG144" s="436"/>
      <c r="FH144" s="436"/>
      <c r="FI144" s="436"/>
      <c r="FJ144" s="436"/>
      <c r="FK144" s="436"/>
      <c r="FL144" s="436"/>
      <c r="FM144" s="436"/>
      <c r="FN144" s="436"/>
      <c r="FO144" s="436"/>
      <c r="FP144" s="436"/>
      <c r="FQ144" s="436"/>
      <c r="FR144" s="436"/>
      <c r="FS144" s="436"/>
      <c r="FT144" s="436"/>
      <c r="FU144" s="436"/>
      <c r="FV144" s="436"/>
      <c r="FW144" s="436"/>
      <c r="FX144" s="436"/>
      <c r="FY144" s="436"/>
      <c r="FZ144" s="436"/>
      <c r="GA144" s="436"/>
      <c r="GB144" s="436"/>
      <c r="GC144" s="436"/>
      <c r="GD144" s="436"/>
      <c r="GE144" s="436"/>
      <c r="GF144" s="436"/>
      <c r="GG144" s="436"/>
      <c r="GH144" s="436"/>
      <c r="GI144" s="436"/>
      <c r="GJ144" s="436"/>
      <c r="GK144" s="436"/>
      <c r="GL144" s="436"/>
      <c r="GM144" s="436"/>
      <c r="GN144" s="436"/>
      <c r="GO144" s="436"/>
      <c r="GP144" s="436"/>
      <c r="GQ144" s="436"/>
      <c r="GR144" s="436"/>
      <c r="GS144" s="436"/>
      <c r="GT144" s="436"/>
      <c r="GU144" s="436"/>
      <c r="GV144" s="436"/>
      <c r="GW144" s="436"/>
      <c r="GX144" s="436"/>
      <c r="GY144" s="436"/>
      <c r="GZ144" s="436"/>
      <c r="HA144" s="436"/>
      <c r="HB144" s="436"/>
      <c r="HC144" s="436"/>
      <c r="HD144" s="436"/>
      <c r="HE144" s="436"/>
      <c r="HF144" s="436"/>
      <c r="HG144" s="436"/>
      <c r="HH144" s="436"/>
      <c r="HI144" s="436"/>
      <c r="HJ144" s="436"/>
      <c r="HK144" s="436"/>
      <c r="HL144" s="436"/>
      <c r="HM144" s="436"/>
      <c r="HN144" s="436"/>
      <c r="HO144" s="436"/>
      <c r="HP144" s="436"/>
      <c r="HQ144" s="436"/>
      <c r="HR144" s="436"/>
      <c r="HS144" s="436"/>
      <c r="HT144" s="436"/>
      <c r="HU144" s="436"/>
      <c r="HV144" s="436"/>
      <c r="HW144" s="436"/>
      <c r="HX144" s="436"/>
      <c r="HY144" s="436"/>
      <c r="HZ144" s="436"/>
      <c r="IA144" s="436"/>
      <c r="IB144" s="436"/>
      <c r="IC144" s="436"/>
      <c r="ID144" s="436"/>
      <c r="IE144" s="436"/>
      <c r="IF144" s="436"/>
      <c r="IG144" s="436"/>
      <c r="IH144" s="436"/>
      <c r="II144" s="436"/>
      <c r="IJ144" s="436"/>
      <c r="IK144" s="436"/>
      <c r="IL144" s="436"/>
      <c r="IM144" s="436"/>
      <c r="IN144" s="436"/>
      <c r="IO144" s="436"/>
      <c r="IP144" s="436"/>
      <c r="IQ144" s="265"/>
      <c r="IR144" s="265"/>
    </row>
    <row r="145" spans="1:252" s="461" customFormat="1" x14ac:dyDescent="0.35">
      <c r="A145" s="685"/>
      <c r="B145" s="503"/>
      <c r="C145" s="503"/>
      <c r="D145" s="439"/>
      <c r="E145" s="686"/>
      <c r="J145" s="1591"/>
      <c r="M145" s="436"/>
      <c r="N145" s="436"/>
      <c r="O145" s="436"/>
      <c r="P145" s="436"/>
      <c r="Q145" s="436"/>
      <c r="R145" s="436"/>
      <c r="S145" s="436"/>
      <c r="T145" s="436"/>
      <c r="U145" s="436"/>
      <c r="V145" s="436"/>
      <c r="W145" s="436"/>
      <c r="X145" s="436"/>
      <c r="Y145" s="436"/>
      <c r="Z145" s="436"/>
      <c r="AA145" s="436"/>
      <c r="AB145" s="436"/>
      <c r="AC145" s="436"/>
      <c r="AD145" s="436"/>
      <c r="AE145" s="436"/>
      <c r="AF145" s="436"/>
      <c r="AG145" s="436"/>
      <c r="AH145" s="436"/>
      <c r="AI145" s="436"/>
      <c r="AJ145" s="436"/>
      <c r="AK145" s="436"/>
      <c r="AL145" s="436"/>
      <c r="AM145" s="436"/>
      <c r="AN145" s="436"/>
      <c r="AO145" s="436"/>
      <c r="AP145" s="436"/>
      <c r="AQ145" s="436"/>
      <c r="AR145" s="436"/>
      <c r="AS145" s="436"/>
      <c r="AT145" s="436"/>
      <c r="AU145" s="436"/>
      <c r="AV145" s="436"/>
      <c r="AW145" s="436"/>
      <c r="AX145" s="436"/>
      <c r="AY145" s="436"/>
      <c r="AZ145" s="436"/>
      <c r="BA145" s="436"/>
      <c r="BB145" s="436"/>
      <c r="BC145" s="436"/>
      <c r="BD145" s="436"/>
      <c r="BE145" s="436"/>
      <c r="BF145" s="436"/>
      <c r="BG145" s="436"/>
      <c r="BH145" s="436"/>
      <c r="BI145" s="436"/>
      <c r="BJ145" s="436"/>
      <c r="BK145" s="436"/>
      <c r="BL145" s="436"/>
      <c r="BM145" s="436"/>
      <c r="BN145" s="436"/>
      <c r="BO145" s="436"/>
      <c r="BP145" s="436"/>
      <c r="BQ145" s="436"/>
      <c r="BR145" s="436"/>
      <c r="BS145" s="436"/>
      <c r="BT145" s="436"/>
      <c r="BU145" s="436"/>
      <c r="BV145" s="436"/>
      <c r="BW145" s="436"/>
      <c r="BX145" s="436"/>
      <c r="BY145" s="436"/>
      <c r="BZ145" s="436"/>
      <c r="CA145" s="436"/>
      <c r="CB145" s="436"/>
      <c r="CC145" s="436"/>
      <c r="CD145" s="436"/>
      <c r="CE145" s="436"/>
      <c r="CF145" s="436"/>
      <c r="CG145" s="436"/>
      <c r="CH145" s="436"/>
      <c r="CI145" s="436"/>
      <c r="CJ145" s="436"/>
      <c r="CK145" s="436"/>
      <c r="CL145" s="436"/>
      <c r="CM145" s="436"/>
      <c r="CN145" s="436"/>
      <c r="CO145" s="436"/>
      <c r="CP145" s="436"/>
      <c r="CQ145" s="436"/>
      <c r="CR145" s="436"/>
      <c r="CS145" s="436"/>
      <c r="CT145" s="436"/>
      <c r="CU145" s="436"/>
      <c r="CV145" s="436"/>
      <c r="CW145" s="436"/>
      <c r="CX145" s="436"/>
      <c r="CY145" s="436"/>
      <c r="CZ145" s="436"/>
      <c r="DA145" s="436"/>
      <c r="DB145" s="436"/>
      <c r="DC145" s="436"/>
      <c r="DD145" s="436"/>
      <c r="DE145" s="436"/>
      <c r="DF145" s="436"/>
      <c r="DG145" s="436"/>
      <c r="DH145" s="436"/>
      <c r="DI145" s="436"/>
      <c r="DJ145" s="436"/>
      <c r="DK145" s="436"/>
      <c r="DL145" s="436"/>
      <c r="DM145" s="436"/>
      <c r="DN145" s="436"/>
      <c r="DO145" s="436"/>
      <c r="DP145" s="436"/>
      <c r="DQ145" s="436"/>
      <c r="DR145" s="436"/>
      <c r="DS145" s="436"/>
      <c r="DT145" s="436"/>
      <c r="DU145" s="436"/>
      <c r="DV145" s="436"/>
      <c r="DW145" s="436"/>
      <c r="DX145" s="436"/>
      <c r="DY145" s="436"/>
      <c r="DZ145" s="436"/>
      <c r="EA145" s="436"/>
      <c r="EB145" s="436"/>
      <c r="EC145" s="436"/>
      <c r="ED145" s="436"/>
      <c r="EE145" s="436"/>
      <c r="EF145" s="436"/>
      <c r="EG145" s="436"/>
      <c r="EH145" s="436"/>
      <c r="EI145" s="436"/>
      <c r="EJ145" s="436"/>
      <c r="EK145" s="436"/>
      <c r="EL145" s="436"/>
      <c r="EM145" s="436"/>
      <c r="EN145" s="436"/>
      <c r="EO145" s="436"/>
      <c r="EP145" s="436"/>
      <c r="EQ145" s="436"/>
      <c r="ER145" s="436"/>
      <c r="ES145" s="436"/>
      <c r="ET145" s="436"/>
      <c r="EU145" s="436"/>
      <c r="EV145" s="436"/>
      <c r="EW145" s="436"/>
      <c r="EX145" s="436"/>
      <c r="EY145" s="436"/>
      <c r="EZ145" s="436"/>
      <c r="FA145" s="436"/>
      <c r="FB145" s="436"/>
      <c r="FC145" s="436"/>
      <c r="FD145" s="436"/>
      <c r="FE145" s="436"/>
      <c r="FF145" s="436"/>
      <c r="FG145" s="436"/>
      <c r="FH145" s="436"/>
      <c r="FI145" s="436"/>
      <c r="FJ145" s="436"/>
      <c r="FK145" s="436"/>
      <c r="FL145" s="436"/>
      <c r="FM145" s="436"/>
      <c r="FN145" s="436"/>
      <c r="FO145" s="436"/>
      <c r="FP145" s="436"/>
      <c r="FQ145" s="436"/>
      <c r="FR145" s="436"/>
      <c r="FS145" s="436"/>
      <c r="FT145" s="436"/>
      <c r="FU145" s="436"/>
      <c r="FV145" s="436"/>
      <c r="FW145" s="436"/>
      <c r="FX145" s="436"/>
      <c r="FY145" s="436"/>
      <c r="FZ145" s="436"/>
      <c r="GA145" s="436"/>
      <c r="GB145" s="436"/>
      <c r="GC145" s="436"/>
      <c r="GD145" s="436"/>
      <c r="GE145" s="436"/>
      <c r="GF145" s="436"/>
      <c r="GG145" s="436"/>
      <c r="GH145" s="436"/>
      <c r="GI145" s="436"/>
      <c r="GJ145" s="436"/>
      <c r="GK145" s="436"/>
      <c r="GL145" s="436"/>
      <c r="GM145" s="436"/>
      <c r="GN145" s="436"/>
      <c r="GO145" s="436"/>
      <c r="GP145" s="436"/>
      <c r="GQ145" s="436"/>
      <c r="GR145" s="436"/>
      <c r="GS145" s="436"/>
      <c r="GT145" s="436"/>
      <c r="GU145" s="436"/>
      <c r="GV145" s="436"/>
      <c r="GW145" s="436"/>
      <c r="GX145" s="436"/>
      <c r="GY145" s="436"/>
      <c r="GZ145" s="436"/>
      <c r="HA145" s="436"/>
      <c r="HB145" s="436"/>
      <c r="HC145" s="436"/>
      <c r="HD145" s="436"/>
      <c r="HE145" s="436"/>
      <c r="HF145" s="436"/>
      <c r="HG145" s="436"/>
      <c r="HH145" s="436"/>
      <c r="HI145" s="436"/>
      <c r="HJ145" s="436"/>
      <c r="HK145" s="436"/>
      <c r="HL145" s="436"/>
      <c r="HM145" s="436"/>
      <c r="HN145" s="436"/>
      <c r="HO145" s="436"/>
      <c r="HP145" s="436"/>
      <c r="HQ145" s="436"/>
      <c r="HR145" s="436"/>
      <c r="HS145" s="436"/>
      <c r="HT145" s="436"/>
      <c r="HU145" s="436"/>
      <c r="HV145" s="436"/>
      <c r="HW145" s="436"/>
      <c r="HX145" s="436"/>
      <c r="HY145" s="436"/>
      <c r="HZ145" s="436"/>
      <c r="IA145" s="436"/>
      <c r="IB145" s="436"/>
      <c r="IC145" s="436"/>
      <c r="ID145" s="436"/>
      <c r="IE145" s="436"/>
      <c r="IF145" s="436"/>
      <c r="IG145" s="436"/>
      <c r="IH145" s="436"/>
      <c r="II145" s="436"/>
      <c r="IJ145" s="436"/>
      <c r="IK145" s="436"/>
      <c r="IL145" s="436"/>
      <c r="IM145" s="436"/>
      <c r="IN145" s="436"/>
      <c r="IO145" s="436"/>
      <c r="IP145" s="436"/>
      <c r="IQ145" s="265"/>
      <c r="IR145" s="265"/>
    </row>
    <row r="146" spans="1:252" s="461" customFormat="1" x14ac:dyDescent="0.35">
      <c r="A146" s="685"/>
      <c r="B146" s="503"/>
      <c r="C146" s="503"/>
      <c r="D146" s="439"/>
      <c r="E146" s="686"/>
      <c r="J146" s="1591"/>
      <c r="M146" s="436"/>
      <c r="N146" s="436"/>
      <c r="O146" s="436"/>
      <c r="P146" s="436"/>
      <c r="Q146" s="436"/>
      <c r="R146" s="436"/>
      <c r="S146" s="436"/>
      <c r="T146" s="436"/>
      <c r="U146" s="436"/>
      <c r="V146" s="436"/>
      <c r="W146" s="436"/>
      <c r="X146" s="436"/>
      <c r="Y146" s="436"/>
      <c r="Z146" s="436"/>
      <c r="AA146" s="436"/>
      <c r="AB146" s="436"/>
      <c r="AC146" s="436"/>
      <c r="AD146" s="436"/>
      <c r="AE146" s="436"/>
      <c r="AF146" s="436"/>
      <c r="AG146" s="436"/>
      <c r="AH146" s="436"/>
      <c r="AI146" s="436"/>
      <c r="AJ146" s="436"/>
      <c r="AK146" s="436"/>
      <c r="AL146" s="436"/>
      <c r="AM146" s="436"/>
      <c r="AN146" s="436"/>
      <c r="AO146" s="436"/>
      <c r="AP146" s="436"/>
      <c r="AQ146" s="436"/>
      <c r="AR146" s="436"/>
      <c r="AS146" s="436"/>
      <c r="AT146" s="436"/>
      <c r="AU146" s="436"/>
      <c r="AV146" s="436"/>
      <c r="AW146" s="436"/>
      <c r="AX146" s="436"/>
      <c r="AY146" s="436"/>
      <c r="AZ146" s="436"/>
      <c r="BA146" s="436"/>
      <c r="BB146" s="436"/>
      <c r="BC146" s="436"/>
      <c r="BD146" s="436"/>
      <c r="BE146" s="436"/>
      <c r="BF146" s="436"/>
      <c r="BG146" s="436"/>
      <c r="BH146" s="436"/>
      <c r="BI146" s="436"/>
      <c r="BJ146" s="436"/>
      <c r="BK146" s="436"/>
      <c r="BL146" s="436"/>
      <c r="BM146" s="436"/>
      <c r="BN146" s="436"/>
      <c r="BO146" s="436"/>
      <c r="BP146" s="436"/>
      <c r="BQ146" s="436"/>
      <c r="BR146" s="436"/>
      <c r="BS146" s="436"/>
      <c r="BT146" s="436"/>
      <c r="BU146" s="436"/>
      <c r="BV146" s="436"/>
      <c r="BW146" s="436"/>
      <c r="BX146" s="436"/>
      <c r="BY146" s="436"/>
      <c r="BZ146" s="436"/>
      <c r="CA146" s="436"/>
      <c r="CB146" s="436"/>
      <c r="CC146" s="436"/>
      <c r="CD146" s="436"/>
      <c r="CE146" s="436"/>
      <c r="CF146" s="436"/>
      <c r="CG146" s="436"/>
      <c r="CH146" s="436"/>
      <c r="CI146" s="436"/>
      <c r="CJ146" s="436"/>
      <c r="CK146" s="436"/>
      <c r="CL146" s="436"/>
      <c r="CM146" s="436"/>
      <c r="CN146" s="436"/>
      <c r="CO146" s="436"/>
      <c r="CP146" s="436"/>
      <c r="CQ146" s="436"/>
      <c r="CR146" s="436"/>
      <c r="CS146" s="436"/>
      <c r="CT146" s="436"/>
      <c r="CU146" s="436"/>
      <c r="CV146" s="436"/>
      <c r="CW146" s="436"/>
      <c r="CX146" s="436"/>
      <c r="CY146" s="436"/>
      <c r="CZ146" s="436"/>
      <c r="DA146" s="436"/>
      <c r="DB146" s="436"/>
      <c r="DC146" s="436"/>
      <c r="DD146" s="436"/>
      <c r="DE146" s="436"/>
      <c r="DF146" s="436"/>
      <c r="DG146" s="436"/>
      <c r="DH146" s="436"/>
      <c r="DI146" s="436"/>
      <c r="DJ146" s="436"/>
      <c r="DK146" s="436"/>
      <c r="DL146" s="436"/>
      <c r="DM146" s="436"/>
      <c r="DN146" s="436"/>
      <c r="DO146" s="436"/>
      <c r="DP146" s="436"/>
      <c r="DQ146" s="436"/>
      <c r="DR146" s="436"/>
      <c r="DS146" s="436"/>
      <c r="DT146" s="436"/>
      <c r="DU146" s="436"/>
      <c r="DV146" s="436"/>
      <c r="DW146" s="436"/>
      <c r="DX146" s="436"/>
      <c r="DY146" s="436"/>
      <c r="DZ146" s="436"/>
      <c r="EA146" s="436"/>
      <c r="EB146" s="436"/>
      <c r="EC146" s="436"/>
      <c r="ED146" s="436"/>
      <c r="EE146" s="436"/>
      <c r="EF146" s="436"/>
      <c r="EG146" s="436"/>
      <c r="EH146" s="436"/>
      <c r="EI146" s="436"/>
      <c r="EJ146" s="436"/>
      <c r="EK146" s="436"/>
      <c r="EL146" s="436"/>
      <c r="EM146" s="436"/>
      <c r="EN146" s="436"/>
      <c r="EO146" s="436"/>
      <c r="EP146" s="436"/>
      <c r="EQ146" s="436"/>
      <c r="ER146" s="436"/>
      <c r="ES146" s="436"/>
      <c r="ET146" s="436"/>
      <c r="EU146" s="436"/>
      <c r="EV146" s="436"/>
      <c r="EW146" s="436"/>
      <c r="EX146" s="436"/>
      <c r="EY146" s="436"/>
      <c r="EZ146" s="436"/>
      <c r="FA146" s="436"/>
      <c r="FB146" s="436"/>
      <c r="FC146" s="436"/>
      <c r="FD146" s="436"/>
      <c r="FE146" s="436"/>
      <c r="FF146" s="436"/>
      <c r="FG146" s="436"/>
      <c r="FH146" s="436"/>
      <c r="FI146" s="436"/>
      <c r="FJ146" s="436"/>
      <c r="FK146" s="436"/>
      <c r="FL146" s="436"/>
      <c r="FM146" s="436"/>
      <c r="FN146" s="436"/>
      <c r="FO146" s="436"/>
      <c r="FP146" s="436"/>
      <c r="FQ146" s="436"/>
      <c r="FR146" s="436"/>
      <c r="FS146" s="436"/>
      <c r="FT146" s="436"/>
      <c r="FU146" s="436"/>
      <c r="FV146" s="436"/>
      <c r="FW146" s="436"/>
      <c r="FX146" s="436"/>
      <c r="FY146" s="436"/>
      <c r="FZ146" s="436"/>
      <c r="GA146" s="436"/>
      <c r="GB146" s="436"/>
      <c r="GC146" s="436"/>
      <c r="GD146" s="436"/>
      <c r="GE146" s="436"/>
      <c r="GF146" s="436"/>
      <c r="GG146" s="436"/>
      <c r="GH146" s="436"/>
      <c r="GI146" s="436"/>
      <c r="GJ146" s="436"/>
      <c r="GK146" s="436"/>
      <c r="GL146" s="436"/>
      <c r="GM146" s="436"/>
      <c r="GN146" s="436"/>
      <c r="GO146" s="436"/>
      <c r="GP146" s="436"/>
      <c r="GQ146" s="436"/>
      <c r="GR146" s="436"/>
      <c r="GS146" s="436"/>
      <c r="GT146" s="436"/>
      <c r="GU146" s="436"/>
      <c r="GV146" s="436"/>
      <c r="GW146" s="436"/>
      <c r="GX146" s="436"/>
      <c r="GY146" s="436"/>
      <c r="GZ146" s="436"/>
      <c r="HA146" s="436"/>
      <c r="HB146" s="436"/>
      <c r="HC146" s="436"/>
      <c r="HD146" s="436"/>
      <c r="HE146" s="436"/>
      <c r="HF146" s="436"/>
      <c r="HG146" s="436"/>
      <c r="HH146" s="436"/>
      <c r="HI146" s="436"/>
      <c r="HJ146" s="436"/>
      <c r="HK146" s="436"/>
      <c r="HL146" s="436"/>
      <c r="HM146" s="436"/>
      <c r="HN146" s="436"/>
      <c r="HO146" s="436"/>
      <c r="HP146" s="436"/>
      <c r="HQ146" s="436"/>
      <c r="HR146" s="436"/>
      <c r="HS146" s="436"/>
      <c r="HT146" s="436"/>
      <c r="HU146" s="436"/>
      <c r="HV146" s="436"/>
      <c r="HW146" s="436"/>
      <c r="HX146" s="436"/>
      <c r="HY146" s="436"/>
      <c r="HZ146" s="436"/>
      <c r="IA146" s="436"/>
      <c r="IB146" s="436"/>
      <c r="IC146" s="436"/>
      <c r="ID146" s="436"/>
      <c r="IE146" s="436"/>
      <c r="IF146" s="436"/>
      <c r="IG146" s="436"/>
      <c r="IH146" s="436"/>
      <c r="II146" s="436"/>
      <c r="IJ146" s="436"/>
      <c r="IK146" s="436"/>
      <c r="IL146" s="436"/>
      <c r="IM146" s="436"/>
      <c r="IN146" s="436"/>
      <c r="IO146" s="436"/>
      <c r="IP146" s="436"/>
      <c r="IQ146" s="265"/>
      <c r="IR146" s="265"/>
    </row>
    <row r="147" spans="1:252" s="461" customFormat="1" x14ac:dyDescent="0.35">
      <c r="A147" s="685"/>
      <c r="B147" s="503"/>
      <c r="C147" s="503"/>
      <c r="D147" s="439"/>
      <c r="E147" s="686"/>
      <c r="J147" s="1591"/>
      <c r="M147" s="436"/>
      <c r="N147" s="436"/>
      <c r="O147" s="436"/>
      <c r="P147" s="436"/>
      <c r="Q147" s="436"/>
      <c r="R147" s="436"/>
      <c r="S147" s="436"/>
      <c r="T147" s="436"/>
      <c r="U147" s="436"/>
      <c r="V147" s="436"/>
      <c r="W147" s="436"/>
      <c r="X147" s="436"/>
      <c r="Y147" s="436"/>
      <c r="Z147" s="436"/>
      <c r="AA147" s="436"/>
      <c r="AB147" s="436"/>
      <c r="AC147" s="436"/>
      <c r="AD147" s="436"/>
      <c r="AE147" s="436"/>
      <c r="AF147" s="436"/>
      <c r="AG147" s="436"/>
      <c r="AH147" s="436"/>
      <c r="AI147" s="436"/>
      <c r="AJ147" s="436"/>
      <c r="AK147" s="436"/>
      <c r="AL147" s="436"/>
      <c r="AM147" s="436"/>
      <c r="AN147" s="436"/>
      <c r="AO147" s="436"/>
      <c r="AP147" s="436"/>
      <c r="AQ147" s="436"/>
      <c r="AR147" s="436"/>
      <c r="AS147" s="436"/>
      <c r="AT147" s="436"/>
      <c r="AU147" s="436"/>
      <c r="AV147" s="436"/>
      <c r="AW147" s="436"/>
      <c r="AX147" s="436"/>
      <c r="AY147" s="436"/>
      <c r="AZ147" s="436"/>
      <c r="BA147" s="436"/>
      <c r="BB147" s="436"/>
      <c r="BC147" s="436"/>
      <c r="BD147" s="436"/>
      <c r="BE147" s="436"/>
      <c r="BF147" s="436"/>
      <c r="BG147" s="436"/>
      <c r="BH147" s="436"/>
      <c r="BI147" s="436"/>
      <c r="BJ147" s="436"/>
      <c r="BK147" s="436"/>
      <c r="BL147" s="436"/>
      <c r="BM147" s="436"/>
      <c r="BN147" s="436"/>
      <c r="BO147" s="436"/>
      <c r="BP147" s="436"/>
      <c r="BQ147" s="436"/>
      <c r="BR147" s="436"/>
      <c r="BS147" s="436"/>
      <c r="BT147" s="436"/>
      <c r="BU147" s="436"/>
      <c r="BV147" s="436"/>
      <c r="BW147" s="436"/>
      <c r="BX147" s="436"/>
      <c r="BY147" s="436"/>
      <c r="BZ147" s="436"/>
      <c r="CA147" s="436"/>
      <c r="CB147" s="436"/>
      <c r="CC147" s="436"/>
      <c r="CD147" s="436"/>
      <c r="CE147" s="436"/>
      <c r="CF147" s="436"/>
      <c r="CG147" s="436"/>
      <c r="CH147" s="436"/>
      <c r="CI147" s="436"/>
      <c r="CJ147" s="436"/>
      <c r="CK147" s="436"/>
      <c r="CL147" s="436"/>
      <c r="CM147" s="436"/>
      <c r="CN147" s="436"/>
      <c r="CO147" s="436"/>
      <c r="CP147" s="436"/>
      <c r="CQ147" s="436"/>
      <c r="CR147" s="436"/>
      <c r="CS147" s="436"/>
      <c r="CT147" s="436"/>
      <c r="CU147" s="436"/>
      <c r="CV147" s="436"/>
      <c r="CW147" s="436"/>
      <c r="CX147" s="436"/>
      <c r="CY147" s="436"/>
      <c r="CZ147" s="436"/>
      <c r="DA147" s="436"/>
      <c r="DB147" s="436"/>
      <c r="DC147" s="436"/>
      <c r="DD147" s="436"/>
      <c r="DE147" s="436"/>
      <c r="DF147" s="436"/>
      <c r="DG147" s="436"/>
      <c r="DH147" s="436"/>
      <c r="DI147" s="436"/>
      <c r="DJ147" s="436"/>
      <c r="DK147" s="436"/>
      <c r="DL147" s="436"/>
      <c r="DM147" s="436"/>
      <c r="DN147" s="436"/>
      <c r="DO147" s="436"/>
      <c r="DP147" s="436"/>
      <c r="DQ147" s="436"/>
      <c r="DR147" s="436"/>
      <c r="DS147" s="436"/>
      <c r="DT147" s="436"/>
      <c r="DU147" s="436"/>
      <c r="DV147" s="436"/>
      <c r="DW147" s="436"/>
      <c r="DX147" s="436"/>
      <c r="DY147" s="436"/>
      <c r="DZ147" s="436"/>
      <c r="EA147" s="436"/>
      <c r="EB147" s="436"/>
      <c r="EC147" s="436"/>
      <c r="ED147" s="436"/>
      <c r="EE147" s="436"/>
      <c r="EF147" s="436"/>
      <c r="EG147" s="436"/>
      <c r="EH147" s="436"/>
      <c r="EI147" s="436"/>
      <c r="EJ147" s="436"/>
      <c r="EK147" s="436"/>
      <c r="EL147" s="436"/>
      <c r="EM147" s="436"/>
      <c r="EN147" s="436"/>
      <c r="EO147" s="436"/>
      <c r="EP147" s="436"/>
      <c r="EQ147" s="436"/>
      <c r="ER147" s="436"/>
      <c r="ES147" s="436"/>
      <c r="ET147" s="436"/>
      <c r="EU147" s="436"/>
      <c r="EV147" s="436"/>
      <c r="EW147" s="436"/>
      <c r="EX147" s="436"/>
      <c r="EY147" s="436"/>
      <c r="EZ147" s="436"/>
      <c r="FA147" s="436"/>
      <c r="FB147" s="436"/>
      <c r="FC147" s="436"/>
      <c r="FD147" s="436"/>
      <c r="FE147" s="436"/>
      <c r="FF147" s="436"/>
      <c r="FG147" s="436"/>
      <c r="FH147" s="436"/>
      <c r="FI147" s="436"/>
      <c r="FJ147" s="436"/>
      <c r="FK147" s="436"/>
      <c r="FL147" s="436"/>
      <c r="FM147" s="436"/>
      <c r="FN147" s="436"/>
      <c r="FO147" s="436"/>
      <c r="FP147" s="436"/>
      <c r="FQ147" s="436"/>
      <c r="FR147" s="436"/>
      <c r="FS147" s="436"/>
      <c r="FT147" s="436"/>
      <c r="FU147" s="436"/>
      <c r="FV147" s="436"/>
      <c r="FW147" s="436"/>
      <c r="FX147" s="436"/>
      <c r="FY147" s="436"/>
      <c r="FZ147" s="436"/>
      <c r="GA147" s="436"/>
      <c r="GB147" s="436"/>
      <c r="GC147" s="436"/>
      <c r="GD147" s="436"/>
      <c r="GE147" s="436"/>
      <c r="GF147" s="436"/>
      <c r="GG147" s="436"/>
      <c r="GH147" s="436"/>
      <c r="GI147" s="436"/>
      <c r="GJ147" s="436"/>
      <c r="GK147" s="436"/>
      <c r="GL147" s="436"/>
      <c r="GM147" s="436"/>
      <c r="GN147" s="436"/>
      <c r="GO147" s="436"/>
      <c r="GP147" s="436"/>
      <c r="GQ147" s="436"/>
      <c r="GR147" s="436"/>
      <c r="GS147" s="436"/>
      <c r="GT147" s="436"/>
      <c r="GU147" s="436"/>
      <c r="GV147" s="436"/>
      <c r="GW147" s="436"/>
      <c r="GX147" s="436"/>
      <c r="GY147" s="436"/>
      <c r="GZ147" s="436"/>
      <c r="HA147" s="436"/>
      <c r="HB147" s="436"/>
      <c r="HC147" s="436"/>
      <c r="HD147" s="436"/>
      <c r="HE147" s="436"/>
      <c r="HF147" s="436"/>
      <c r="HG147" s="436"/>
      <c r="HH147" s="436"/>
      <c r="HI147" s="436"/>
      <c r="HJ147" s="436"/>
      <c r="HK147" s="436"/>
      <c r="HL147" s="436"/>
      <c r="HM147" s="436"/>
      <c r="HN147" s="436"/>
      <c r="HO147" s="436"/>
      <c r="HP147" s="436"/>
      <c r="HQ147" s="436"/>
      <c r="HR147" s="436"/>
      <c r="HS147" s="436"/>
      <c r="HT147" s="436"/>
      <c r="HU147" s="436"/>
      <c r="HV147" s="436"/>
      <c r="HW147" s="436"/>
      <c r="HX147" s="436"/>
      <c r="HY147" s="436"/>
      <c r="HZ147" s="436"/>
      <c r="IA147" s="436"/>
      <c r="IB147" s="436"/>
      <c r="IC147" s="436"/>
      <c r="ID147" s="436"/>
      <c r="IE147" s="436"/>
      <c r="IF147" s="436"/>
      <c r="IG147" s="436"/>
      <c r="IH147" s="436"/>
      <c r="II147" s="436"/>
      <c r="IJ147" s="436"/>
      <c r="IK147" s="436"/>
      <c r="IL147" s="436"/>
      <c r="IM147" s="436"/>
      <c r="IN147" s="436"/>
      <c r="IO147" s="436"/>
      <c r="IP147" s="436"/>
      <c r="IQ147" s="265"/>
      <c r="IR147" s="265"/>
    </row>
    <row r="148" spans="1:252" s="461" customFormat="1" x14ac:dyDescent="0.35">
      <c r="A148" s="685"/>
      <c r="B148" s="503"/>
      <c r="C148" s="503"/>
      <c r="D148" s="439"/>
      <c r="E148" s="686"/>
      <c r="J148" s="1591"/>
      <c r="M148" s="436"/>
      <c r="N148" s="436"/>
      <c r="O148" s="436"/>
      <c r="P148" s="436"/>
      <c r="Q148" s="436"/>
      <c r="R148" s="436"/>
      <c r="S148" s="436"/>
      <c r="T148" s="436"/>
      <c r="U148" s="436"/>
      <c r="V148" s="436"/>
      <c r="W148" s="436"/>
      <c r="X148" s="436"/>
      <c r="Y148" s="436"/>
      <c r="Z148" s="436"/>
      <c r="AA148" s="436"/>
      <c r="AB148" s="436"/>
      <c r="AC148" s="436"/>
      <c r="AD148" s="436"/>
      <c r="AE148" s="436"/>
      <c r="AF148" s="436"/>
      <c r="AG148" s="436"/>
      <c r="AH148" s="436"/>
      <c r="AI148" s="436"/>
      <c r="AJ148" s="436"/>
      <c r="AK148" s="436"/>
      <c r="AL148" s="436"/>
      <c r="AM148" s="436"/>
      <c r="AN148" s="436"/>
      <c r="AO148" s="436"/>
      <c r="AP148" s="436"/>
      <c r="AQ148" s="436"/>
      <c r="AR148" s="436"/>
      <c r="AS148" s="436"/>
      <c r="AT148" s="436"/>
      <c r="AU148" s="436"/>
      <c r="AV148" s="436"/>
      <c r="AW148" s="436"/>
      <c r="AX148" s="436"/>
      <c r="AY148" s="436"/>
      <c r="AZ148" s="436"/>
      <c r="BA148" s="436"/>
      <c r="BB148" s="436"/>
      <c r="BC148" s="436"/>
      <c r="BD148" s="436"/>
      <c r="BE148" s="436"/>
      <c r="BF148" s="436"/>
      <c r="BG148" s="436"/>
      <c r="BH148" s="436"/>
      <c r="BI148" s="436"/>
      <c r="BJ148" s="436"/>
      <c r="BK148" s="436"/>
      <c r="BL148" s="436"/>
      <c r="BM148" s="436"/>
      <c r="BN148" s="436"/>
      <c r="BO148" s="436"/>
      <c r="BP148" s="436"/>
      <c r="BQ148" s="436"/>
      <c r="BR148" s="436"/>
      <c r="BS148" s="436"/>
      <c r="BT148" s="436"/>
      <c r="BU148" s="436"/>
      <c r="BV148" s="436"/>
      <c r="BW148" s="436"/>
      <c r="BX148" s="436"/>
      <c r="BY148" s="436"/>
      <c r="BZ148" s="436"/>
      <c r="CA148" s="436"/>
      <c r="CB148" s="436"/>
      <c r="CC148" s="436"/>
      <c r="CD148" s="436"/>
      <c r="CE148" s="436"/>
      <c r="CF148" s="436"/>
      <c r="CG148" s="436"/>
      <c r="CH148" s="436"/>
      <c r="CI148" s="436"/>
      <c r="CJ148" s="436"/>
      <c r="CK148" s="436"/>
      <c r="CL148" s="436"/>
      <c r="CM148" s="436"/>
      <c r="CN148" s="436"/>
      <c r="CO148" s="436"/>
      <c r="CP148" s="436"/>
      <c r="CQ148" s="436"/>
      <c r="CR148" s="436"/>
      <c r="CS148" s="436"/>
      <c r="CT148" s="436"/>
      <c r="CU148" s="436"/>
      <c r="CV148" s="436"/>
      <c r="CW148" s="436"/>
      <c r="CX148" s="436"/>
      <c r="CY148" s="436"/>
      <c r="CZ148" s="436"/>
      <c r="DA148" s="436"/>
      <c r="DB148" s="436"/>
      <c r="DC148" s="436"/>
      <c r="DD148" s="436"/>
      <c r="DE148" s="436"/>
      <c r="DF148" s="436"/>
      <c r="DG148" s="436"/>
      <c r="DH148" s="436"/>
      <c r="DI148" s="436"/>
      <c r="DJ148" s="436"/>
      <c r="DK148" s="436"/>
      <c r="DL148" s="436"/>
      <c r="DM148" s="436"/>
      <c r="DN148" s="436"/>
      <c r="DO148" s="436"/>
      <c r="DP148" s="436"/>
      <c r="DQ148" s="436"/>
      <c r="DR148" s="436"/>
      <c r="DS148" s="436"/>
      <c r="DT148" s="436"/>
      <c r="DU148" s="436"/>
      <c r="DV148" s="436"/>
      <c r="DW148" s="436"/>
      <c r="DX148" s="436"/>
      <c r="DY148" s="436"/>
      <c r="DZ148" s="436"/>
      <c r="EA148" s="436"/>
      <c r="EB148" s="436"/>
      <c r="EC148" s="436"/>
      <c r="ED148" s="436"/>
      <c r="EE148" s="436"/>
      <c r="EF148" s="436"/>
      <c r="EG148" s="436"/>
      <c r="EH148" s="436"/>
      <c r="EI148" s="436"/>
      <c r="EJ148" s="436"/>
      <c r="EK148" s="436"/>
      <c r="EL148" s="436"/>
      <c r="EM148" s="436"/>
      <c r="EN148" s="436"/>
      <c r="EO148" s="436"/>
      <c r="EP148" s="436"/>
      <c r="EQ148" s="436"/>
      <c r="ER148" s="436"/>
      <c r="ES148" s="436"/>
      <c r="ET148" s="436"/>
      <c r="EU148" s="436"/>
      <c r="EV148" s="436"/>
      <c r="EW148" s="436"/>
      <c r="EX148" s="436"/>
      <c r="EY148" s="436"/>
      <c r="EZ148" s="436"/>
      <c r="FA148" s="436"/>
      <c r="FB148" s="436"/>
      <c r="FC148" s="436"/>
      <c r="FD148" s="436"/>
      <c r="FE148" s="436"/>
      <c r="FF148" s="436"/>
      <c r="FG148" s="436"/>
      <c r="FH148" s="436"/>
      <c r="FI148" s="436"/>
      <c r="FJ148" s="436"/>
      <c r="FK148" s="436"/>
      <c r="FL148" s="436"/>
      <c r="FM148" s="436"/>
      <c r="FN148" s="436"/>
      <c r="FO148" s="436"/>
      <c r="FP148" s="436"/>
      <c r="FQ148" s="436"/>
      <c r="FR148" s="436"/>
      <c r="FS148" s="436"/>
      <c r="FT148" s="436"/>
      <c r="FU148" s="436"/>
      <c r="FV148" s="436"/>
      <c r="FW148" s="436"/>
      <c r="FX148" s="436"/>
      <c r="FY148" s="436"/>
      <c r="FZ148" s="436"/>
      <c r="GA148" s="436"/>
      <c r="GB148" s="436"/>
      <c r="GC148" s="436"/>
      <c r="GD148" s="436"/>
      <c r="GE148" s="436"/>
      <c r="GF148" s="436"/>
      <c r="GG148" s="436"/>
      <c r="GH148" s="436"/>
      <c r="GI148" s="436"/>
      <c r="GJ148" s="436"/>
      <c r="GK148" s="436"/>
      <c r="GL148" s="436"/>
      <c r="GM148" s="436"/>
      <c r="GN148" s="436"/>
      <c r="GO148" s="436"/>
      <c r="GP148" s="436"/>
      <c r="GQ148" s="436"/>
      <c r="GR148" s="436"/>
      <c r="GS148" s="436"/>
      <c r="GT148" s="436"/>
      <c r="GU148" s="436"/>
      <c r="GV148" s="436"/>
      <c r="GW148" s="436"/>
      <c r="GX148" s="436"/>
      <c r="GY148" s="436"/>
      <c r="GZ148" s="436"/>
      <c r="HA148" s="436"/>
      <c r="HB148" s="436"/>
      <c r="HC148" s="436"/>
      <c r="HD148" s="436"/>
      <c r="HE148" s="436"/>
      <c r="HF148" s="436"/>
      <c r="HG148" s="436"/>
      <c r="HH148" s="436"/>
      <c r="HI148" s="436"/>
      <c r="HJ148" s="436"/>
      <c r="HK148" s="436"/>
      <c r="HL148" s="436"/>
      <c r="HM148" s="436"/>
      <c r="HN148" s="436"/>
      <c r="HO148" s="436"/>
      <c r="HP148" s="436"/>
      <c r="HQ148" s="436"/>
      <c r="HR148" s="436"/>
      <c r="HS148" s="436"/>
      <c r="HT148" s="436"/>
      <c r="HU148" s="436"/>
      <c r="HV148" s="436"/>
      <c r="HW148" s="436"/>
      <c r="HX148" s="436"/>
      <c r="HY148" s="436"/>
      <c r="HZ148" s="436"/>
      <c r="IA148" s="436"/>
      <c r="IB148" s="436"/>
      <c r="IC148" s="436"/>
      <c r="ID148" s="436"/>
      <c r="IE148" s="436"/>
      <c r="IF148" s="436"/>
      <c r="IG148" s="436"/>
      <c r="IH148" s="436"/>
      <c r="II148" s="436"/>
      <c r="IJ148" s="436"/>
      <c r="IK148" s="436"/>
      <c r="IL148" s="436"/>
      <c r="IM148" s="436"/>
      <c r="IN148" s="436"/>
      <c r="IO148" s="436"/>
      <c r="IP148" s="436"/>
      <c r="IQ148" s="265"/>
      <c r="IR148" s="265"/>
    </row>
    <row r="149" spans="1:252" s="461" customFormat="1" x14ac:dyDescent="0.35">
      <c r="A149" s="685"/>
      <c r="B149" s="503"/>
      <c r="C149" s="503"/>
      <c r="D149" s="439"/>
      <c r="E149" s="686"/>
      <c r="J149" s="1591"/>
      <c r="M149" s="436"/>
      <c r="N149" s="436"/>
      <c r="O149" s="436"/>
      <c r="P149" s="436"/>
      <c r="Q149" s="436"/>
      <c r="R149" s="436"/>
      <c r="S149" s="436"/>
      <c r="T149" s="436"/>
      <c r="U149" s="436"/>
      <c r="V149" s="436"/>
      <c r="W149" s="436"/>
      <c r="X149" s="436"/>
      <c r="Y149" s="436"/>
      <c r="Z149" s="436"/>
      <c r="AA149" s="436"/>
      <c r="AB149" s="436"/>
      <c r="AC149" s="436"/>
      <c r="AD149" s="436"/>
      <c r="AE149" s="436"/>
      <c r="AF149" s="436"/>
      <c r="AG149" s="436"/>
      <c r="AH149" s="436"/>
      <c r="AI149" s="436"/>
      <c r="AJ149" s="436"/>
      <c r="AK149" s="436"/>
      <c r="AL149" s="436"/>
      <c r="AM149" s="436"/>
      <c r="AN149" s="436"/>
      <c r="AO149" s="436"/>
      <c r="AP149" s="436"/>
      <c r="AQ149" s="436"/>
      <c r="AR149" s="436"/>
      <c r="AS149" s="436"/>
      <c r="AT149" s="436"/>
      <c r="AU149" s="436"/>
      <c r="AV149" s="436"/>
      <c r="AW149" s="436"/>
      <c r="AX149" s="436"/>
      <c r="AY149" s="436"/>
      <c r="AZ149" s="436"/>
      <c r="BA149" s="436"/>
      <c r="BB149" s="436"/>
      <c r="BC149" s="436"/>
      <c r="BD149" s="436"/>
      <c r="BE149" s="436"/>
      <c r="BF149" s="436"/>
      <c r="BG149" s="436"/>
      <c r="BH149" s="436"/>
      <c r="BI149" s="436"/>
      <c r="BJ149" s="436"/>
      <c r="BK149" s="436"/>
      <c r="BL149" s="436"/>
      <c r="BM149" s="436"/>
      <c r="BN149" s="436"/>
      <c r="BO149" s="436"/>
      <c r="BP149" s="436"/>
      <c r="BQ149" s="436"/>
      <c r="BR149" s="436"/>
      <c r="BS149" s="436"/>
      <c r="BT149" s="436"/>
      <c r="BU149" s="436"/>
      <c r="BV149" s="436"/>
      <c r="BW149" s="436"/>
      <c r="BX149" s="436"/>
      <c r="BY149" s="436"/>
      <c r="BZ149" s="436"/>
      <c r="CA149" s="436"/>
      <c r="CB149" s="436"/>
      <c r="CC149" s="436"/>
      <c r="CD149" s="436"/>
      <c r="CE149" s="436"/>
      <c r="CF149" s="436"/>
      <c r="CG149" s="436"/>
      <c r="CH149" s="436"/>
      <c r="CI149" s="436"/>
      <c r="CJ149" s="436"/>
      <c r="CK149" s="436"/>
      <c r="CL149" s="436"/>
      <c r="CM149" s="436"/>
      <c r="CN149" s="436"/>
      <c r="CO149" s="436"/>
      <c r="CP149" s="436"/>
      <c r="CQ149" s="436"/>
      <c r="CR149" s="436"/>
      <c r="CS149" s="436"/>
      <c r="CT149" s="436"/>
      <c r="CU149" s="436"/>
      <c r="CV149" s="436"/>
      <c r="CW149" s="436"/>
      <c r="CX149" s="436"/>
      <c r="CY149" s="436"/>
      <c r="CZ149" s="436"/>
      <c r="DA149" s="436"/>
      <c r="DB149" s="436"/>
      <c r="DC149" s="436"/>
      <c r="DD149" s="436"/>
      <c r="DE149" s="436"/>
      <c r="DF149" s="436"/>
      <c r="DG149" s="436"/>
      <c r="DH149" s="436"/>
      <c r="DI149" s="436"/>
      <c r="DJ149" s="436"/>
      <c r="DK149" s="436"/>
      <c r="DL149" s="436"/>
      <c r="DM149" s="436"/>
      <c r="DN149" s="436"/>
      <c r="DO149" s="436"/>
      <c r="DP149" s="436"/>
      <c r="DQ149" s="436"/>
      <c r="DR149" s="436"/>
      <c r="DS149" s="436"/>
      <c r="DT149" s="436"/>
      <c r="DU149" s="436"/>
      <c r="DV149" s="436"/>
      <c r="DW149" s="436"/>
      <c r="DX149" s="436"/>
      <c r="DY149" s="436"/>
      <c r="DZ149" s="436"/>
      <c r="EA149" s="436"/>
      <c r="EB149" s="436"/>
      <c r="EC149" s="436"/>
      <c r="ED149" s="436"/>
      <c r="EE149" s="436"/>
      <c r="EF149" s="436"/>
      <c r="EG149" s="436"/>
      <c r="EH149" s="436"/>
      <c r="EI149" s="436"/>
      <c r="EJ149" s="436"/>
      <c r="EK149" s="436"/>
      <c r="EL149" s="436"/>
      <c r="EM149" s="436"/>
      <c r="EN149" s="436"/>
      <c r="EO149" s="436"/>
      <c r="EP149" s="436"/>
      <c r="EQ149" s="436"/>
      <c r="ER149" s="436"/>
      <c r="ES149" s="436"/>
      <c r="ET149" s="436"/>
      <c r="EU149" s="436"/>
      <c r="EV149" s="436"/>
      <c r="EW149" s="436"/>
      <c r="EX149" s="436"/>
      <c r="EY149" s="436"/>
      <c r="EZ149" s="436"/>
      <c r="FA149" s="436"/>
      <c r="FB149" s="436"/>
      <c r="FC149" s="436"/>
      <c r="FD149" s="436"/>
      <c r="FE149" s="436"/>
      <c r="FF149" s="436"/>
      <c r="FG149" s="436"/>
      <c r="FH149" s="436"/>
      <c r="FI149" s="436"/>
      <c r="FJ149" s="436"/>
      <c r="FK149" s="436"/>
      <c r="FL149" s="436"/>
      <c r="FM149" s="436"/>
      <c r="FN149" s="436"/>
      <c r="FO149" s="436"/>
      <c r="FP149" s="436"/>
      <c r="FQ149" s="436"/>
      <c r="FR149" s="436"/>
      <c r="FS149" s="436"/>
      <c r="FT149" s="436"/>
      <c r="FU149" s="436"/>
      <c r="FV149" s="436"/>
      <c r="FW149" s="436"/>
      <c r="FX149" s="436"/>
      <c r="FY149" s="436"/>
      <c r="FZ149" s="436"/>
      <c r="GA149" s="436"/>
      <c r="GB149" s="436"/>
      <c r="GC149" s="436"/>
      <c r="GD149" s="436"/>
      <c r="GE149" s="436"/>
      <c r="GF149" s="436"/>
      <c r="GG149" s="436"/>
      <c r="GH149" s="436"/>
      <c r="GI149" s="436"/>
      <c r="GJ149" s="436"/>
      <c r="GK149" s="436"/>
      <c r="GL149" s="436"/>
      <c r="GM149" s="436"/>
      <c r="GN149" s="436"/>
      <c r="GO149" s="436"/>
      <c r="GP149" s="436"/>
      <c r="GQ149" s="436"/>
      <c r="GR149" s="436"/>
      <c r="GS149" s="436"/>
      <c r="GT149" s="436"/>
      <c r="GU149" s="436"/>
      <c r="GV149" s="436"/>
      <c r="GW149" s="436"/>
      <c r="GX149" s="436"/>
      <c r="GY149" s="436"/>
      <c r="GZ149" s="436"/>
      <c r="HA149" s="436"/>
      <c r="HB149" s="436"/>
      <c r="HC149" s="436"/>
      <c r="HD149" s="436"/>
      <c r="HE149" s="436"/>
      <c r="HF149" s="436"/>
      <c r="HG149" s="436"/>
      <c r="HH149" s="436"/>
      <c r="HI149" s="436"/>
      <c r="HJ149" s="436"/>
      <c r="HK149" s="436"/>
      <c r="HL149" s="436"/>
      <c r="HM149" s="436"/>
      <c r="HN149" s="436"/>
      <c r="HO149" s="436"/>
      <c r="HP149" s="436"/>
      <c r="HQ149" s="436"/>
      <c r="HR149" s="436"/>
      <c r="HS149" s="436"/>
      <c r="HT149" s="436"/>
      <c r="HU149" s="436"/>
      <c r="HV149" s="436"/>
      <c r="HW149" s="436"/>
      <c r="HX149" s="436"/>
      <c r="HY149" s="436"/>
      <c r="HZ149" s="436"/>
      <c r="IA149" s="436"/>
      <c r="IB149" s="436"/>
      <c r="IC149" s="436"/>
      <c r="ID149" s="436"/>
      <c r="IE149" s="436"/>
      <c r="IF149" s="436"/>
      <c r="IG149" s="436"/>
      <c r="IH149" s="436"/>
      <c r="II149" s="436"/>
      <c r="IJ149" s="436"/>
      <c r="IK149" s="436"/>
      <c r="IL149" s="436"/>
      <c r="IM149" s="436"/>
      <c r="IN149" s="436"/>
      <c r="IO149" s="436"/>
      <c r="IP149" s="436"/>
      <c r="IQ149" s="265"/>
      <c r="IR149" s="265"/>
    </row>
    <row r="150" spans="1:252" s="461" customFormat="1" x14ac:dyDescent="0.35">
      <c r="A150" s="685"/>
      <c r="B150" s="503"/>
      <c r="C150" s="503"/>
      <c r="D150" s="439"/>
      <c r="E150" s="686"/>
      <c r="J150" s="1591"/>
      <c r="M150" s="436"/>
      <c r="N150" s="436"/>
      <c r="O150" s="436"/>
      <c r="P150" s="436"/>
      <c r="Q150" s="436"/>
      <c r="R150" s="436"/>
      <c r="S150" s="436"/>
      <c r="T150" s="436"/>
      <c r="U150" s="436"/>
      <c r="V150" s="436"/>
      <c r="W150" s="436"/>
      <c r="X150" s="436"/>
      <c r="Y150" s="436"/>
      <c r="Z150" s="436"/>
      <c r="AA150" s="436"/>
      <c r="AB150" s="436"/>
      <c r="AC150" s="436"/>
      <c r="AD150" s="436"/>
      <c r="AE150" s="436"/>
      <c r="AF150" s="436"/>
      <c r="AG150" s="436"/>
      <c r="AH150" s="436"/>
      <c r="AI150" s="436"/>
      <c r="AJ150" s="436"/>
      <c r="AK150" s="436"/>
      <c r="AL150" s="436"/>
      <c r="AM150" s="436"/>
      <c r="AN150" s="436"/>
      <c r="AO150" s="436"/>
      <c r="AP150" s="436"/>
      <c r="AQ150" s="436"/>
      <c r="AR150" s="436"/>
      <c r="AS150" s="436"/>
      <c r="AT150" s="436"/>
      <c r="AU150" s="436"/>
      <c r="AV150" s="436"/>
      <c r="AW150" s="436"/>
      <c r="AX150" s="436"/>
      <c r="AY150" s="436"/>
      <c r="AZ150" s="436"/>
      <c r="BA150" s="436"/>
      <c r="BB150" s="436"/>
      <c r="BC150" s="436"/>
      <c r="BD150" s="436"/>
      <c r="BE150" s="436"/>
      <c r="BF150" s="436"/>
      <c r="BG150" s="436"/>
      <c r="BH150" s="436"/>
      <c r="BI150" s="436"/>
      <c r="BJ150" s="436"/>
      <c r="BK150" s="436"/>
      <c r="BL150" s="436"/>
      <c r="BM150" s="436"/>
      <c r="BN150" s="436"/>
      <c r="BO150" s="436"/>
      <c r="BP150" s="436"/>
      <c r="BQ150" s="436"/>
      <c r="BR150" s="436"/>
      <c r="BS150" s="436"/>
      <c r="BT150" s="436"/>
      <c r="BU150" s="436"/>
      <c r="BV150" s="436"/>
      <c r="BW150" s="436"/>
      <c r="BX150" s="436"/>
      <c r="BY150" s="436"/>
      <c r="BZ150" s="436"/>
      <c r="CA150" s="436"/>
      <c r="CB150" s="436"/>
      <c r="CC150" s="436"/>
      <c r="CD150" s="436"/>
      <c r="CE150" s="436"/>
      <c r="CF150" s="436"/>
      <c r="CG150" s="436"/>
      <c r="CH150" s="436"/>
      <c r="CI150" s="436"/>
      <c r="CJ150" s="436"/>
      <c r="CK150" s="436"/>
      <c r="CL150" s="436"/>
      <c r="CM150" s="436"/>
      <c r="CN150" s="436"/>
      <c r="CO150" s="436"/>
      <c r="CP150" s="436"/>
      <c r="CQ150" s="436"/>
      <c r="CR150" s="436"/>
      <c r="CS150" s="436"/>
      <c r="CT150" s="436"/>
      <c r="CU150" s="436"/>
      <c r="CV150" s="436"/>
      <c r="CW150" s="436"/>
      <c r="CX150" s="436"/>
      <c r="CY150" s="436"/>
      <c r="CZ150" s="436"/>
      <c r="DA150" s="436"/>
      <c r="DB150" s="436"/>
      <c r="DC150" s="436"/>
      <c r="DD150" s="436"/>
      <c r="DE150" s="436"/>
      <c r="DF150" s="436"/>
      <c r="DG150" s="436"/>
      <c r="DH150" s="436"/>
      <c r="DI150" s="436"/>
      <c r="DJ150" s="436"/>
      <c r="DK150" s="436"/>
      <c r="DL150" s="436"/>
      <c r="DM150" s="436"/>
      <c r="DN150" s="436"/>
      <c r="DO150" s="436"/>
      <c r="DP150" s="436"/>
      <c r="DQ150" s="436"/>
      <c r="DR150" s="436"/>
      <c r="DS150" s="436"/>
      <c r="DT150" s="436"/>
      <c r="DU150" s="436"/>
      <c r="DV150" s="436"/>
      <c r="DW150" s="436"/>
      <c r="DX150" s="436"/>
      <c r="DY150" s="436"/>
      <c r="DZ150" s="436"/>
      <c r="EA150" s="436"/>
      <c r="EB150" s="436"/>
      <c r="EC150" s="436"/>
      <c r="ED150" s="436"/>
      <c r="EE150" s="436"/>
      <c r="EF150" s="436"/>
      <c r="EG150" s="436"/>
      <c r="EH150" s="436"/>
      <c r="EI150" s="436"/>
      <c r="EJ150" s="436"/>
      <c r="EK150" s="436"/>
      <c r="EL150" s="436"/>
      <c r="EM150" s="436"/>
      <c r="EN150" s="436"/>
      <c r="EO150" s="436"/>
      <c r="EP150" s="436"/>
      <c r="EQ150" s="436"/>
      <c r="ER150" s="436"/>
      <c r="ES150" s="436"/>
      <c r="ET150" s="436"/>
      <c r="EU150" s="436"/>
      <c r="EV150" s="436"/>
      <c r="EW150" s="436"/>
      <c r="EX150" s="436"/>
      <c r="EY150" s="436"/>
      <c r="EZ150" s="436"/>
      <c r="FA150" s="436"/>
      <c r="FB150" s="436"/>
      <c r="FC150" s="436"/>
      <c r="FD150" s="436"/>
      <c r="FE150" s="436"/>
      <c r="FF150" s="436"/>
      <c r="FG150" s="436"/>
      <c r="FH150" s="436"/>
      <c r="FI150" s="436"/>
      <c r="FJ150" s="436"/>
      <c r="FK150" s="436"/>
      <c r="FL150" s="436"/>
      <c r="FM150" s="436"/>
      <c r="FN150" s="436"/>
      <c r="FO150" s="436"/>
      <c r="FP150" s="436"/>
      <c r="FQ150" s="436"/>
      <c r="FR150" s="436"/>
      <c r="FS150" s="436"/>
      <c r="FT150" s="436"/>
      <c r="FU150" s="436"/>
      <c r="FV150" s="436"/>
      <c r="FW150" s="436"/>
      <c r="FX150" s="436"/>
      <c r="FY150" s="436"/>
      <c r="FZ150" s="436"/>
      <c r="GA150" s="436"/>
      <c r="GB150" s="436"/>
      <c r="GC150" s="436"/>
      <c r="GD150" s="436"/>
      <c r="GE150" s="436"/>
      <c r="GF150" s="436"/>
      <c r="GG150" s="436"/>
      <c r="GH150" s="436"/>
      <c r="GI150" s="436"/>
      <c r="GJ150" s="436"/>
      <c r="GK150" s="436"/>
      <c r="GL150" s="436"/>
      <c r="GM150" s="436"/>
      <c r="GN150" s="436"/>
      <c r="GO150" s="436"/>
      <c r="GP150" s="436"/>
      <c r="GQ150" s="436"/>
      <c r="GR150" s="436"/>
      <c r="GS150" s="436"/>
      <c r="GT150" s="436"/>
      <c r="GU150" s="436"/>
      <c r="GV150" s="436"/>
      <c r="GW150" s="436"/>
      <c r="GX150" s="436"/>
      <c r="GY150" s="436"/>
      <c r="GZ150" s="436"/>
      <c r="HA150" s="436"/>
      <c r="HB150" s="436"/>
      <c r="HC150" s="436"/>
      <c r="HD150" s="436"/>
      <c r="HE150" s="436"/>
      <c r="HF150" s="436"/>
      <c r="HG150" s="436"/>
      <c r="HH150" s="436"/>
      <c r="HI150" s="436"/>
      <c r="HJ150" s="436"/>
      <c r="HK150" s="436"/>
      <c r="HL150" s="436"/>
      <c r="HM150" s="436"/>
      <c r="HN150" s="436"/>
      <c r="HO150" s="436"/>
      <c r="HP150" s="436"/>
      <c r="HQ150" s="436"/>
      <c r="HR150" s="436"/>
      <c r="HS150" s="436"/>
      <c r="HT150" s="436"/>
      <c r="HU150" s="436"/>
      <c r="HV150" s="436"/>
      <c r="HW150" s="436"/>
      <c r="HX150" s="436"/>
      <c r="HY150" s="436"/>
      <c r="HZ150" s="436"/>
      <c r="IA150" s="436"/>
      <c r="IB150" s="436"/>
      <c r="IC150" s="436"/>
      <c r="ID150" s="436"/>
      <c r="IE150" s="436"/>
      <c r="IF150" s="436"/>
      <c r="IG150" s="436"/>
      <c r="IH150" s="436"/>
      <c r="II150" s="436"/>
      <c r="IJ150" s="436"/>
      <c r="IK150" s="436"/>
      <c r="IL150" s="436"/>
      <c r="IM150" s="436"/>
      <c r="IN150" s="436"/>
      <c r="IO150" s="436"/>
      <c r="IP150" s="436"/>
      <c r="IQ150" s="265"/>
      <c r="IR150" s="265"/>
    </row>
    <row r="151" spans="1:252" s="461" customFormat="1" x14ac:dyDescent="0.35">
      <c r="A151" s="685"/>
      <c r="B151" s="503"/>
      <c r="C151" s="503"/>
      <c r="D151" s="439"/>
      <c r="E151" s="686"/>
      <c r="J151" s="1591"/>
      <c r="M151" s="436"/>
      <c r="N151" s="436"/>
      <c r="O151" s="436"/>
      <c r="P151" s="436"/>
      <c r="Q151" s="436"/>
      <c r="R151" s="436"/>
      <c r="S151" s="436"/>
      <c r="T151" s="436"/>
      <c r="U151" s="436"/>
      <c r="V151" s="436"/>
      <c r="W151" s="436"/>
      <c r="X151" s="436"/>
      <c r="Y151" s="436"/>
      <c r="Z151" s="436"/>
      <c r="AA151" s="436"/>
      <c r="AB151" s="436"/>
      <c r="AC151" s="436"/>
      <c r="AD151" s="436"/>
      <c r="AE151" s="436"/>
      <c r="AF151" s="436"/>
      <c r="AG151" s="436"/>
      <c r="AH151" s="436"/>
      <c r="AI151" s="436"/>
      <c r="AJ151" s="436"/>
      <c r="AK151" s="436"/>
      <c r="AL151" s="436"/>
      <c r="AM151" s="436"/>
      <c r="AN151" s="436"/>
      <c r="AO151" s="436"/>
      <c r="AP151" s="436"/>
      <c r="AQ151" s="436"/>
      <c r="AR151" s="436"/>
      <c r="AS151" s="436"/>
      <c r="AT151" s="436"/>
      <c r="AU151" s="436"/>
      <c r="AV151" s="436"/>
      <c r="AW151" s="436"/>
      <c r="AX151" s="436"/>
      <c r="AY151" s="436"/>
      <c r="AZ151" s="436"/>
      <c r="BA151" s="436"/>
      <c r="BB151" s="436"/>
      <c r="BC151" s="436"/>
      <c r="BD151" s="436"/>
      <c r="BE151" s="436"/>
      <c r="BF151" s="436"/>
      <c r="BG151" s="436"/>
      <c r="BH151" s="436"/>
      <c r="BI151" s="436"/>
      <c r="BJ151" s="436"/>
      <c r="BK151" s="436"/>
      <c r="BL151" s="436"/>
      <c r="BM151" s="436"/>
      <c r="BN151" s="436"/>
      <c r="BO151" s="436"/>
      <c r="BP151" s="436"/>
      <c r="BQ151" s="436"/>
      <c r="BR151" s="436"/>
      <c r="BS151" s="436"/>
      <c r="BT151" s="436"/>
      <c r="BU151" s="436"/>
      <c r="BV151" s="436"/>
      <c r="BW151" s="436"/>
      <c r="BX151" s="436"/>
      <c r="BY151" s="436"/>
      <c r="BZ151" s="436"/>
      <c r="CA151" s="436"/>
      <c r="CB151" s="436"/>
      <c r="CC151" s="436"/>
      <c r="CD151" s="436"/>
      <c r="CE151" s="436"/>
      <c r="CF151" s="436"/>
      <c r="CG151" s="436"/>
      <c r="CH151" s="436"/>
      <c r="CI151" s="436"/>
      <c r="CJ151" s="436"/>
      <c r="CK151" s="436"/>
      <c r="CL151" s="436"/>
      <c r="CM151" s="436"/>
      <c r="CN151" s="436"/>
      <c r="CO151" s="436"/>
      <c r="CP151" s="436"/>
      <c r="CQ151" s="436"/>
      <c r="CR151" s="436"/>
      <c r="CS151" s="436"/>
      <c r="CT151" s="436"/>
      <c r="CU151" s="436"/>
      <c r="CV151" s="436"/>
      <c r="CW151" s="436"/>
      <c r="CX151" s="436"/>
      <c r="CY151" s="436"/>
      <c r="CZ151" s="436"/>
      <c r="DA151" s="436"/>
      <c r="DB151" s="436"/>
      <c r="DC151" s="436"/>
      <c r="DD151" s="436"/>
      <c r="DE151" s="436"/>
      <c r="DF151" s="436"/>
      <c r="DG151" s="436"/>
      <c r="DH151" s="436"/>
      <c r="DI151" s="436"/>
      <c r="DJ151" s="436"/>
      <c r="DK151" s="436"/>
      <c r="DL151" s="436"/>
      <c r="DM151" s="436"/>
      <c r="DN151" s="436"/>
      <c r="DO151" s="436"/>
      <c r="DP151" s="436"/>
      <c r="DQ151" s="436"/>
      <c r="DR151" s="436"/>
      <c r="DS151" s="436"/>
      <c r="DT151" s="436"/>
      <c r="DU151" s="436"/>
      <c r="DV151" s="436"/>
      <c r="DW151" s="436"/>
      <c r="DX151" s="436"/>
      <c r="DY151" s="436"/>
      <c r="DZ151" s="436"/>
      <c r="EA151" s="436"/>
      <c r="EB151" s="436"/>
      <c r="EC151" s="436"/>
      <c r="ED151" s="436"/>
      <c r="EE151" s="436"/>
      <c r="EF151" s="436"/>
      <c r="EG151" s="436"/>
      <c r="EH151" s="436"/>
      <c r="EI151" s="436"/>
      <c r="EJ151" s="436"/>
      <c r="EK151" s="436"/>
      <c r="EL151" s="436"/>
      <c r="EM151" s="436"/>
      <c r="EN151" s="436"/>
      <c r="EO151" s="436"/>
      <c r="EP151" s="436"/>
      <c r="EQ151" s="436"/>
      <c r="ER151" s="436"/>
      <c r="ES151" s="436"/>
      <c r="ET151" s="436"/>
      <c r="EU151" s="436"/>
      <c r="EV151" s="436"/>
      <c r="EW151" s="436"/>
      <c r="EX151" s="436"/>
      <c r="EY151" s="436"/>
      <c r="EZ151" s="436"/>
      <c r="FA151" s="436"/>
      <c r="FB151" s="436"/>
      <c r="FC151" s="436"/>
      <c r="FD151" s="436"/>
      <c r="FE151" s="436"/>
      <c r="FF151" s="436"/>
      <c r="FG151" s="436"/>
      <c r="FH151" s="436"/>
      <c r="FI151" s="436"/>
      <c r="FJ151" s="436"/>
      <c r="FK151" s="436"/>
      <c r="FL151" s="436"/>
      <c r="FM151" s="436"/>
      <c r="FN151" s="436"/>
      <c r="FO151" s="436"/>
      <c r="FP151" s="436"/>
      <c r="FQ151" s="436"/>
      <c r="FR151" s="436"/>
      <c r="FS151" s="436"/>
      <c r="FT151" s="436"/>
      <c r="FU151" s="436"/>
      <c r="FV151" s="436"/>
      <c r="FW151" s="436"/>
      <c r="FX151" s="436"/>
      <c r="FY151" s="436"/>
      <c r="FZ151" s="436"/>
      <c r="GA151" s="436"/>
      <c r="GB151" s="436"/>
      <c r="GC151" s="436"/>
      <c r="GD151" s="436"/>
      <c r="GE151" s="436"/>
      <c r="GF151" s="436"/>
      <c r="GG151" s="436"/>
      <c r="GH151" s="436"/>
      <c r="GI151" s="436"/>
      <c r="GJ151" s="436"/>
      <c r="GK151" s="436"/>
      <c r="GL151" s="436"/>
      <c r="GM151" s="436"/>
      <c r="GN151" s="436"/>
      <c r="GO151" s="436"/>
      <c r="GP151" s="436"/>
      <c r="GQ151" s="436"/>
      <c r="GR151" s="436"/>
      <c r="GS151" s="436"/>
      <c r="GT151" s="436"/>
      <c r="GU151" s="436"/>
      <c r="GV151" s="436"/>
      <c r="GW151" s="436"/>
      <c r="GX151" s="436"/>
      <c r="GY151" s="436"/>
      <c r="GZ151" s="436"/>
      <c r="HA151" s="436"/>
      <c r="HB151" s="436"/>
      <c r="HC151" s="436"/>
      <c r="HD151" s="436"/>
      <c r="HE151" s="436"/>
      <c r="HF151" s="436"/>
      <c r="HG151" s="436"/>
      <c r="HH151" s="436"/>
      <c r="HI151" s="436"/>
      <c r="HJ151" s="436"/>
      <c r="HK151" s="436"/>
      <c r="HL151" s="436"/>
      <c r="HM151" s="436"/>
      <c r="HN151" s="436"/>
      <c r="HO151" s="436"/>
      <c r="HP151" s="436"/>
      <c r="HQ151" s="436"/>
      <c r="HR151" s="436"/>
      <c r="HS151" s="436"/>
      <c r="HT151" s="436"/>
      <c r="HU151" s="436"/>
      <c r="HV151" s="436"/>
      <c r="HW151" s="436"/>
      <c r="HX151" s="436"/>
      <c r="HY151" s="436"/>
      <c r="HZ151" s="436"/>
      <c r="IA151" s="436"/>
      <c r="IB151" s="436"/>
      <c r="IC151" s="436"/>
      <c r="ID151" s="436"/>
      <c r="IE151" s="436"/>
      <c r="IF151" s="436"/>
      <c r="IG151" s="436"/>
      <c r="IH151" s="436"/>
      <c r="II151" s="436"/>
      <c r="IJ151" s="436"/>
      <c r="IK151" s="436"/>
      <c r="IL151" s="436"/>
      <c r="IM151" s="436"/>
      <c r="IN151" s="436"/>
      <c r="IO151" s="436"/>
      <c r="IP151" s="436"/>
      <c r="IQ151" s="265"/>
      <c r="IR151" s="265"/>
    </row>
    <row r="152" spans="1:252" s="461" customFormat="1" x14ac:dyDescent="0.35">
      <c r="A152" s="685"/>
      <c r="B152" s="503"/>
      <c r="C152" s="503"/>
      <c r="D152" s="439"/>
      <c r="E152" s="686"/>
      <c r="J152" s="1591"/>
      <c r="M152" s="436"/>
      <c r="N152" s="436"/>
      <c r="O152" s="436"/>
      <c r="P152" s="436"/>
      <c r="Q152" s="436"/>
      <c r="R152" s="436"/>
      <c r="S152" s="436"/>
      <c r="T152" s="436"/>
      <c r="U152" s="436"/>
      <c r="V152" s="436"/>
      <c r="W152" s="436"/>
      <c r="X152" s="436"/>
      <c r="Y152" s="436"/>
      <c r="Z152" s="436"/>
      <c r="AA152" s="436"/>
      <c r="AB152" s="436"/>
      <c r="AC152" s="436"/>
      <c r="AD152" s="436"/>
      <c r="AE152" s="436"/>
      <c r="AF152" s="436"/>
      <c r="AG152" s="436"/>
      <c r="AH152" s="436"/>
      <c r="AI152" s="436"/>
      <c r="AJ152" s="436"/>
      <c r="AK152" s="436"/>
      <c r="AL152" s="436"/>
      <c r="AM152" s="436"/>
      <c r="AN152" s="436"/>
      <c r="AO152" s="436"/>
      <c r="AP152" s="436"/>
      <c r="AQ152" s="436"/>
      <c r="AR152" s="436"/>
      <c r="AS152" s="436"/>
      <c r="AT152" s="436"/>
      <c r="AU152" s="436"/>
      <c r="AV152" s="436"/>
      <c r="AW152" s="436"/>
      <c r="AX152" s="436"/>
      <c r="AY152" s="436"/>
      <c r="AZ152" s="436"/>
      <c r="BA152" s="436"/>
      <c r="BB152" s="436"/>
      <c r="BC152" s="436"/>
      <c r="BD152" s="436"/>
      <c r="BE152" s="436"/>
      <c r="BF152" s="436"/>
      <c r="BG152" s="436"/>
      <c r="BH152" s="436"/>
      <c r="BI152" s="436"/>
      <c r="BJ152" s="436"/>
      <c r="BK152" s="436"/>
      <c r="BL152" s="436"/>
      <c r="BM152" s="436"/>
      <c r="BN152" s="436"/>
      <c r="BO152" s="436"/>
      <c r="BP152" s="436"/>
      <c r="BQ152" s="436"/>
      <c r="BR152" s="436"/>
      <c r="BS152" s="436"/>
      <c r="BT152" s="436"/>
      <c r="BU152" s="436"/>
      <c r="BV152" s="436"/>
      <c r="BW152" s="436"/>
      <c r="BX152" s="436"/>
      <c r="BY152" s="436"/>
      <c r="BZ152" s="436"/>
      <c r="CA152" s="436"/>
      <c r="CB152" s="436"/>
      <c r="CC152" s="436"/>
      <c r="CD152" s="436"/>
      <c r="CE152" s="436"/>
      <c r="CF152" s="436"/>
      <c r="CG152" s="436"/>
      <c r="CH152" s="436"/>
      <c r="CI152" s="436"/>
      <c r="CJ152" s="436"/>
      <c r="CK152" s="436"/>
      <c r="CL152" s="436"/>
      <c r="CM152" s="436"/>
      <c r="CN152" s="436"/>
      <c r="CO152" s="436"/>
      <c r="CP152" s="436"/>
      <c r="CQ152" s="436"/>
      <c r="CR152" s="436"/>
      <c r="CS152" s="436"/>
      <c r="CT152" s="436"/>
      <c r="CU152" s="436"/>
      <c r="CV152" s="436"/>
      <c r="CW152" s="436"/>
      <c r="CX152" s="436"/>
      <c r="CY152" s="436"/>
      <c r="CZ152" s="436"/>
      <c r="DA152" s="436"/>
      <c r="DB152" s="436"/>
      <c r="DC152" s="436"/>
      <c r="DD152" s="436"/>
      <c r="DE152" s="436"/>
      <c r="DF152" s="436"/>
      <c r="DG152" s="436"/>
      <c r="DH152" s="436"/>
      <c r="DI152" s="436"/>
      <c r="DJ152" s="436"/>
      <c r="DK152" s="436"/>
      <c r="DL152" s="436"/>
      <c r="DM152" s="436"/>
      <c r="DN152" s="436"/>
      <c r="DO152" s="436"/>
      <c r="DP152" s="436"/>
      <c r="DQ152" s="436"/>
      <c r="DR152" s="436"/>
      <c r="DS152" s="436"/>
      <c r="DT152" s="436"/>
      <c r="DU152" s="436"/>
      <c r="DV152" s="436"/>
      <c r="DW152" s="436"/>
      <c r="DX152" s="436"/>
      <c r="DY152" s="436"/>
      <c r="DZ152" s="436"/>
      <c r="EA152" s="436"/>
      <c r="EB152" s="436"/>
      <c r="EC152" s="436"/>
      <c r="ED152" s="436"/>
      <c r="EE152" s="436"/>
      <c r="EF152" s="436"/>
      <c r="EG152" s="436"/>
      <c r="EH152" s="436"/>
      <c r="EI152" s="436"/>
      <c r="EJ152" s="436"/>
      <c r="EK152" s="436"/>
      <c r="EL152" s="436"/>
      <c r="EM152" s="436"/>
      <c r="EN152" s="436"/>
      <c r="EO152" s="436"/>
      <c r="EP152" s="436"/>
      <c r="EQ152" s="436"/>
      <c r="ER152" s="436"/>
      <c r="ES152" s="436"/>
      <c r="ET152" s="436"/>
      <c r="EU152" s="436"/>
      <c r="EV152" s="436"/>
      <c r="EW152" s="436"/>
      <c r="EX152" s="436"/>
      <c r="EY152" s="436"/>
      <c r="EZ152" s="436"/>
      <c r="FA152" s="436"/>
      <c r="FB152" s="436"/>
      <c r="FC152" s="436"/>
      <c r="FD152" s="436"/>
      <c r="FE152" s="436"/>
      <c r="FF152" s="436"/>
      <c r="FG152" s="436"/>
      <c r="FH152" s="436"/>
      <c r="FI152" s="436"/>
      <c r="FJ152" s="436"/>
      <c r="FK152" s="436"/>
      <c r="FL152" s="436"/>
      <c r="FM152" s="436"/>
      <c r="FN152" s="436"/>
      <c r="FO152" s="436"/>
      <c r="FP152" s="436"/>
      <c r="FQ152" s="436"/>
      <c r="FR152" s="436"/>
      <c r="FS152" s="436"/>
      <c r="FT152" s="436"/>
      <c r="FU152" s="436"/>
      <c r="FV152" s="436"/>
      <c r="FW152" s="436"/>
      <c r="FX152" s="436"/>
      <c r="FY152" s="436"/>
      <c r="FZ152" s="436"/>
      <c r="GA152" s="436"/>
      <c r="GB152" s="436"/>
      <c r="GC152" s="436"/>
      <c r="GD152" s="436"/>
      <c r="GE152" s="436"/>
      <c r="GF152" s="436"/>
      <c r="GG152" s="436"/>
      <c r="GH152" s="436"/>
      <c r="GI152" s="436"/>
      <c r="GJ152" s="436"/>
      <c r="GK152" s="436"/>
      <c r="GL152" s="436"/>
      <c r="GM152" s="436"/>
      <c r="GN152" s="436"/>
      <c r="GO152" s="436"/>
      <c r="GP152" s="436"/>
      <c r="GQ152" s="436"/>
      <c r="GR152" s="436"/>
      <c r="GS152" s="436"/>
      <c r="GT152" s="436"/>
      <c r="GU152" s="436"/>
      <c r="GV152" s="436"/>
      <c r="GW152" s="436"/>
      <c r="GX152" s="436"/>
      <c r="GY152" s="436"/>
      <c r="GZ152" s="436"/>
      <c r="HA152" s="436"/>
      <c r="HB152" s="436"/>
      <c r="HC152" s="436"/>
      <c r="HD152" s="436"/>
      <c r="HE152" s="436"/>
      <c r="HF152" s="436"/>
      <c r="HG152" s="436"/>
      <c r="HH152" s="436"/>
      <c r="HI152" s="436"/>
      <c r="HJ152" s="436"/>
      <c r="HK152" s="436"/>
      <c r="HL152" s="436"/>
      <c r="HM152" s="436"/>
      <c r="HN152" s="436"/>
      <c r="HO152" s="436"/>
      <c r="HP152" s="436"/>
      <c r="HQ152" s="436"/>
      <c r="HR152" s="436"/>
      <c r="HS152" s="436"/>
      <c r="HT152" s="436"/>
      <c r="HU152" s="436"/>
      <c r="HV152" s="436"/>
      <c r="HW152" s="436"/>
      <c r="HX152" s="436"/>
      <c r="HY152" s="436"/>
      <c r="HZ152" s="436"/>
      <c r="IA152" s="436"/>
      <c r="IB152" s="436"/>
      <c r="IC152" s="436"/>
      <c r="ID152" s="436"/>
      <c r="IE152" s="436"/>
      <c r="IF152" s="436"/>
      <c r="IG152" s="436"/>
      <c r="IH152" s="436"/>
      <c r="II152" s="436"/>
      <c r="IJ152" s="436"/>
      <c r="IK152" s="436"/>
      <c r="IL152" s="436"/>
      <c r="IM152" s="436"/>
      <c r="IN152" s="436"/>
      <c r="IO152" s="436"/>
      <c r="IP152" s="436"/>
      <c r="IQ152" s="265"/>
      <c r="IR152" s="265"/>
    </row>
    <row r="153" spans="1:252" s="461" customFormat="1" x14ac:dyDescent="0.35">
      <c r="A153" s="685"/>
      <c r="B153" s="503"/>
      <c r="C153" s="503"/>
      <c r="D153" s="439"/>
      <c r="E153" s="686"/>
      <c r="J153" s="1591"/>
      <c r="M153" s="436"/>
      <c r="N153" s="436"/>
      <c r="O153" s="436"/>
      <c r="P153" s="436"/>
      <c r="Q153" s="436"/>
      <c r="R153" s="436"/>
      <c r="S153" s="436"/>
      <c r="T153" s="436"/>
      <c r="U153" s="436"/>
      <c r="V153" s="436"/>
      <c r="W153" s="436"/>
      <c r="X153" s="436"/>
      <c r="Y153" s="436"/>
      <c r="Z153" s="436"/>
      <c r="AA153" s="436"/>
      <c r="AB153" s="436"/>
      <c r="AC153" s="436"/>
      <c r="AD153" s="436"/>
      <c r="AE153" s="436"/>
      <c r="AF153" s="436"/>
      <c r="AG153" s="436"/>
      <c r="AH153" s="436"/>
      <c r="AI153" s="436"/>
      <c r="AJ153" s="436"/>
      <c r="AK153" s="436"/>
      <c r="AL153" s="436"/>
      <c r="AM153" s="436"/>
      <c r="AN153" s="436"/>
      <c r="AO153" s="436"/>
      <c r="AP153" s="436"/>
      <c r="AQ153" s="436"/>
      <c r="AR153" s="436"/>
      <c r="AS153" s="436"/>
      <c r="AT153" s="436"/>
      <c r="AU153" s="436"/>
      <c r="AV153" s="436"/>
      <c r="AW153" s="436"/>
      <c r="AX153" s="436"/>
      <c r="AY153" s="436"/>
      <c r="AZ153" s="436"/>
      <c r="BA153" s="436"/>
      <c r="BB153" s="436"/>
      <c r="BC153" s="436"/>
      <c r="BD153" s="436"/>
      <c r="BE153" s="436"/>
      <c r="BF153" s="436"/>
      <c r="BG153" s="436"/>
      <c r="BH153" s="436"/>
      <c r="BI153" s="436"/>
      <c r="BJ153" s="436"/>
      <c r="BK153" s="436"/>
      <c r="BL153" s="436"/>
      <c r="BM153" s="436"/>
      <c r="BN153" s="436"/>
      <c r="BO153" s="436"/>
      <c r="BP153" s="436"/>
      <c r="BQ153" s="436"/>
      <c r="BR153" s="436"/>
      <c r="BS153" s="436"/>
      <c r="BT153" s="436"/>
      <c r="BU153" s="436"/>
      <c r="BV153" s="436"/>
      <c r="BW153" s="436"/>
      <c r="BX153" s="436"/>
      <c r="BY153" s="436"/>
      <c r="BZ153" s="436"/>
      <c r="CA153" s="436"/>
      <c r="CB153" s="436"/>
      <c r="CC153" s="436"/>
      <c r="CD153" s="436"/>
      <c r="CE153" s="436"/>
      <c r="CF153" s="436"/>
      <c r="CG153" s="436"/>
      <c r="CH153" s="436"/>
      <c r="CI153" s="436"/>
      <c r="CJ153" s="436"/>
      <c r="CK153" s="436"/>
      <c r="CL153" s="436"/>
      <c r="CM153" s="436"/>
      <c r="CN153" s="436"/>
      <c r="CO153" s="436"/>
      <c r="CP153" s="436"/>
      <c r="CQ153" s="436"/>
      <c r="CR153" s="436"/>
      <c r="CS153" s="436"/>
      <c r="CT153" s="436"/>
      <c r="CU153" s="436"/>
      <c r="CV153" s="436"/>
      <c r="CW153" s="436"/>
      <c r="CX153" s="436"/>
      <c r="CY153" s="436"/>
      <c r="CZ153" s="436"/>
      <c r="DA153" s="436"/>
      <c r="DB153" s="436"/>
      <c r="DC153" s="436"/>
      <c r="DD153" s="436"/>
      <c r="DE153" s="436"/>
      <c r="DF153" s="436"/>
      <c r="DG153" s="436"/>
      <c r="DH153" s="436"/>
      <c r="DI153" s="436"/>
      <c r="DJ153" s="436"/>
      <c r="DK153" s="436"/>
      <c r="DL153" s="436"/>
      <c r="DM153" s="436"/>
      <c r="DN153" s="436"/>
      <c r="DO153" s="436"/>
      <c r="DP153" s="436"/>
      <c r="DQ153" s="436"/>
      <c r="DR153" s="436"/>
      <c r="DS153" s="436"/>
      <c r="DT153" s="436"/>
      <c r="DU153" s="436"/>
      <c r="DV153" s="436"/>
      <c r="DW153" s="436"/>
      <c r="DX153" s="436"/>
      <c r="DY153" s="436"/>
      <c r="DZ153" s="436"/>
      <c r="EA153" s="436"/>
      <c r="EB153" s="436"/>
      <c r="EC153" s="436"/>
      <c r="ED153" s="436"/>
      <c r="EE153" s="436"/>
      <c r="EF153" s="436"/>
      <c r="EG153" s="436"/>
      <c r="EH153" s="436"/>
      <c r="EI153" s="436"/>
      <c r="EJ153" s="436"/>
      <c r="EK153" s="436"/>
      <c r="EL153" s="436"/>
      <c r="EM153" s="436"/>
      <c r="EN153" s="436"/>
      <c r="EO153" s="436"/>
      <c r="EP153" s="436"/>
      <c r="EQ153" s="436"/>
      <c r="ER153" s="436"/>
      <c r="ES153" s="436"/>
      <c r="ET153" s="436"/>
      <c r="EU153" s="436"/>
      <c r="EV153" s="436"/>
      <c r="EW153" s="436"/>
      <c r="EX153" s="436"/>
      <c r="EY153" s="436"/>
      <c r="EZ153" s="436"/>
      <c r="FA153" s="436"/>
      <c r="FB153" s="436"/>
      <c r="FC153" s="436"/>
      <c r="FD153" s="436"/>
      <c r="FE153" s="436"/>
      <c r="FF153" s="436"/>
      <c r="FG153" s="436"/>
      <c r="FH153" s="436"/>
      <c r="FI153" s="436"/>
      <c r="FJ153" s="436"/>
      <c r="FK153" s="436"/>
      <c r="FL153" s="436"/>
      <c r="FM153" s="436"/>
      <c r="FN153" s="436"/>
      <c r="FO153" s="436"/>
      <c r="FP153" s="436"/>
      <c r="FQ153" s="436"/>
      <c r="FR153" s="436"/>
      <c r="FS153" s="436"/>
      <c r="FT153" s="436"/>
      <c r="FU153" s="436"/>
      <c r="FV153" s="436"/>
      <c r="FW153" s="436"/>
      <c r="FX153" s="436"/>
      <c r="FY153" s="436"/>
      <c r="FZ153" s="436"/>
      <c r="GA153" s="436"/>
      <c r="GB153" s="436"/>
      <c r="GC153" s="436"/>
      <c r="GD153" s="436"/>
      <c r="GE153" s="436"/>
      <c r="GF153" s="436"/>
      <c r="GG153" s="436"/>
      <c r="GH153" s="436"/>
      <c r="GI153" s="436"/>
      <c r="GJ153" s="436"/>
      <c r="GK153" s="436"/>
      <c r="GL153" s="436"/>
      <c r="GM153" s="436"/>
      <c r="GN153" s="436"/>
      <c r="GO153" s="436"/>
      <c r="GP153" s="436"/>
      <c r="GQ153" s="436"/>
      <c r="GR153" s="436"/>
      <c r="GS153" s="436"/>
      <c r="GT153" s="436"/>
      <c r="GU153" s="436"/>
      <c r="GV153" s="436"/>
      <c r="GW153" s="436"/>
      <c r="GX153" s="436"/>
      <c r="GY153" s="436"/>
      <c r="GZ153" s="436"/>
      <c r="HA153" s="436"/>
      <c r="HB153" s="436"/>
      <c r="HC153" s="436"/>
      <c r="HD153" s="436"/>
      <c r="HE153" s="436"/>
      <c r="HF153" s="436"/>
      <c r="HG153" s="436"/>
      <c r="HH153" s="436"/>
      <c r="HI153" s="436"/>
      <c r="HJ153" s="436"/>
      <c r="HK153" s="436"/>
      <c r="HL153" s="436"/>
      <c r="HM153" s="436"/>
      <c r="HN153" s="436"/>
      <c r="HO153" s="436"/>
      <c r="HP153" s="436"/>
      <c r="HQ153" s="436"/>
      <c r="HR153" s="436"/>
      <c r="HS153" s="436"/>
      <c r="HT153" s="436"/>
      <c r="HU153" s="436"/>
      <c r="HV153" s="436"/>
      <c r="HW153" s="436"/>
      <c r="HX153" s="436"/>
      <c r="HY153" s="436"/>
      <c r="HZ153" s="436"/>
      <c r="IA153" s="436"/>
      <c r="IB153" s="436"/>
      <c r="IC153" s="436"/>
      <c r="ID153" s="436"/>
      <c r="IE153" s="436"/>
      <c r="IF153" s="436"/>
      <c r="IG153" s="436"/>
      <c r="IH153" s="436"/>
      <c r="II153" s="436"/>
      <c r="IJ153" s="436"/>
      <c r="IK153" s="436"/>
      <c r="IL153" s="436"/>
      <c r="IM153" s="436"/>
      <c r="IN153" s="436"/>
      <c r="IO153" s="436"/>
      <c r="IP153" s="436"/>
      <c r="IQ153" s="265"/>
      <c r="IR153" s="265"/>
    </row>
    <row r="154" spans="1:252" s="461" customFormat="1" x14ac:dyDescent="0.35">
      <c r="A154" s="685"/>
      <c r="B154" s="503"/>
      <c r="C154" s="503"/>
      <c r="D154" s="439"/>
      <c r="E154" s="686"/>
      <c r="J154" s="1591"/>
      <c r="M154" s="436"/>
      <c r="N154" s="436"/>
      <c r="O154" s="436"/>
      <c r="P154" s="436"/>
      <c r="Q154" s="436"/>
      <c r="R154" s="436"/>
      <c r="S154" s="436"/>
      <c r="T154" s="436"/>
      <c r="U154" s="436"/>
      <c r="V154" s="436"/>
      <c r="W154" s="436"/>
      <c r="X154" s="436"/>
      <c r="Y154" s="436"/>
      <c r="Z154" s="436"/>
      <c r="AA154" s="436"/>
      <c r="AB154" s="436"/>
      <c r="AC154" s="436"/>
      <c r="AD154" s="436"/>
      <c r="AE154" s="436"/>
      <c r="AF154" s="436"/>
      <c r="AG154" s="436"/>
      <c r="AH154" s="436"/>
      <c r="AI154" s="436"/>
      <c r="AJ154" s="436"/>
      <c r="AK154" s="436"/>
      <c r="AL154" s="436"/>
      <c r="AM154" s="436"/>
      <c r="AN154" s="436"/>
      <c r="AO154" s="436"/>
      <c r="AP154" s="436"/>
      <c r="AQ154" s="436"/>
      <c r="AR154" s="436"/>
      <c r="AS154" s="436"/>
      <c r="AT154" s="436"/>
      <c r="AU154" s="436"/>
      <c r="AV154" s="436"/>
      <c r="AW154" s="436"/>
      <c r="AX154" s="436"/>
      <c r="AY154" s="436"/>
      <c r="AZ154" s="436"/>
      <c r="BA154" s="436"/>
      <c r="BB154" s="436"/>
      <c r="BC154" s="436"/>
      <c r="BD154" s="436"/>
      <c r="BE154" s="436"/>
      <c r="BF154" s="436"/>
      <c r="BG154" s="436"/>
      <c r="BH154" s="436"/>
      <c r="BI154" s="436"/>
      <c r="BJ154" s="436"/>
      <c r="BK154" s="436"/>
      <c r="BL154" s="436"/>
      <c r="BM154" s="436"/>
      <c r="BN154" s="436"/>
      <c r="BO154" s="436"/>
      <c r="BP154" s="436"/>
      <c r="BQ154" s="436"/>
      <c r="BR154" s="436"/>
      <c r="BS154" s="436"/>
      <c r="BT154" s="436"/>
      <c r="BU154" s="436"/>
      <c r="BV154" s="436"/>
      <c r="BW154" s="436"/>
      <c r="BX154" s="436"/>
      <c r="BY154" s="436"/>
      <c r="BZ154" s="436"/>
      <c r="CA154" s="436"/>
      <c r="CB154" s="436"/>
      <c r="CC154" s="436"/>
      <c r="CD154" s="436"/>
      <c r="CE154" s="436"/>
      <c r="CF154" s="436"/>
      <c r="CG154" s="436"/>
      <c r="CH154" s="436"/>
      <c r="CI154" s="436"/>
      <c r="CJ154" s="436"/>
      <c r="CK154" s="436"/>
      <c r="CL154" s="436"/>
      <c r="CM154" s="436"/>
      <c r="CN154" s="436"/>
      <c r="CO154" s="436"/>
      <c r="CP154" s="436"/>
      <c r="CQ154" s="436"/>
      <c r="CR154" s="436"/>
      <c r="CS154" s="436"/>
      <c r="CT154" s="436"/>
      <c r="CU154" s="436"/>
      <c r="CV154" s="436"/>
      <c r="CW154" s="436"/>
      <c r="CX154" s="436"/>
      <c r="CY154" s="436"/>
      <c r="CZ154" s="436"/>
      <c r="DA154" s="436"/>
      <c r="DB154" s="436"/>
      <c r="DC154" s="436"/>
      <c r="DD154" s="436"/>
      <c r="DE154" s="436"/>
      <c r="DF154" s="436"/>
      <c r="DG154" s="436"/>
      <c r="DH154" s="436"/>
      <c r="DI154" s="436"/>
      <c r="DJ154" s="436"/>
      <c r="DK154" s="436"/>
      <c r="DL154" s="436"/>
      <c r="DM154" s="436"/>
      <c r="DN154" s="436"/>
      <c r="DO154" s="436"/>
      <c r="DP154" s="436"/>
      <c r="DQ154" s="436"/>
      <c r="DR154" s="436"/>
      <c r="DS154" s="436"/>
      <c r="DT154" s="436"/>
      <c r="DU154" s="436"/>
      <c r="DV154" s="436"/>
      <c r="DW154" s="436"/>
      <c r="DX154" s="436"/>
      <c r="DY154" s="436"/>
      <c r="DZ154" s="436"/>
      <c r="EA154" s="436"/>
      <c r="EB154" s="436"/>
      <c r="EC154" s="436"/>
      <c r="ED154" s="436"/>
      <c r="EE154" s="436"/>
      <c r="EF154" s="436"/>
      <c r="EG154" s="436"/>
      <c r="EH154" s="436"/>
      <c r="EI154" s="436"/>
      <c r="EJ154" s="436"/>
      <c r="EK154" s="436"/>
      <c r="EL154" s="436"/>
      <c r="EM154" s="436"/>
      <c r="EN154" s="436"/>
      <c r="EO154" s="436"/>
      <c r="EP154" s="436"/>
      <c r="EQ154" s="436"/>
      <c r="ER154" s="436"/>
      <c r="ES154" s="436"/>
      <c r="ET154" s="436"/>
      <c r="EU154" s="436"/>
      <c r="EV154" s="436"/>
      <c r="EW154" s="436"/>
      <c r="EX154" s="436"/>
      <c r="EY154" s="436"/>
      <c r="EZ154" s="436"/>
      <c r="FA154" s="436"/>
      <c r="FB154" s="436"/>
      <c r="FC154" s="436"/>
      <c r="FD154" s="436"/>
      <c r="FE154" s="436"/>
      <c r="FF154" s="436"/>
      <c r="FG154" s="436"/>
      <c r="FH154" s="436"/>
      <c r="FI154" s="436"/>
      <c r="FJ154" s="436"/>
      <c r="FK154" s="436"/>
      <c r="FL154" s="436"/>
      <c r="FM154" s="436"/>
      <c r="FN154" s="436"/>
      <c r="FO154" s="436"/>
      <c r="FP154" s="436"/>
      <c r="FQ154" s="436"/>
      <c r="FR154" s="436"/>
      <c r="FS154" s="436"/>
      <c r="FT154" s="436"/>
      <c r="FU154" s="436"/>
      <c r="FV154" s="436"/>
      <c r="FW154" s="436"/>
      <c r="FX154" s="436"/>
      <c r="FY154" s="436"/>
      <c r="FZ154" s="436"/>
      <c r="GA154" s="436"/>
      <c r="GB154" s="436"/>
      <c r="GC154" s="436"/>
      <c r="GD154" s="436"/>
      <c r="GE154" s="436"/>
      <c r="GF154" s="436"/>
      <c r="GG154" s="436"/>
      <c r="GH154" s="436"/>
      <c r="GI154" s="436"/>
      <c r="GJ154" s="436"/>
      <c r="GK154" s="436"/>
      <c r="GL154" s="436"/>
      <c r="GM154" s="436"/>
      <c r="GN154" s="436"/>
      <c r="GO154" s="436"/>
      <c r="GP154" s="436"/>
      <c r="GQ154" s="436"/>
      <c r="GR154" s="436"/>
      <c r="GS154" s="436"/>
      <c r="GT154" s="436"/>
      <c r="GU154" s="436"/>
      <c r="GV154" s="436"/>
      <c r="GW154" s="436"/>
      <c r="GX154" s="436"/>
      <c r="GY154" s="436"/>
      <c r="GZ154" s="436"/>
      <c r="HA154" s="436"/>
      <c r="HB154" s="436"/>
      <c r="HC154" s="436"/>
      <c r="HD154" s="436"/>
      <c r="HE154" s="436"/>
      <c r="HF154" s="436"/>
      <c r="HG154" s="436"/>
      <c r="HH154" s="436"/>
      <c r="HI154" s="436"/>
      <c r="HJ154" s="436"/>
      <c r="HK154" s="436"/>
      <c r="HL154" s="436"/>
      <c r="HM154" s="436"/>
      <c r="HN154" s="436"/>
      <c r="HO154" s="436"/>
      <c r="HP154" s="436"/>
      <c r="HQ154" s="436"/>
      <c r="HR154" s="436"/>
      <c r="HS154" s="436"/>
      <c r="HT154" s="436"/>
      <c r="HU154" s="436"/>
      <c r="HV154" s="436"/>
      <c r="HW154" s="436"/>
      <c r="HX154" s="436"/>
      <c r="HY154" s="436"/>
      <c r="HZ154" s="436"/>
      <c r="IA154" s="436"/>
      <c r="IB154" s="436"/>
      <c r="IC154" s="436"/>
      <c r="ID154" s="436"/>
      <c r="IE154" s="436"/>
      <c r="IF154" s="436"/>
      <c r="IG154" s="436"/>
      <c r="IH154" s="436"/>
      <c r="II154" s="436"/>
      <c r="IJ154" s="436"/>
      <c r="IK154" s="436"/>
      <c r="IL154" s="436"/>
      <c r="IM154" s="436"/>
      <c r="IN154" s="436"/>
      <c r="IO154" s="436"/>
      <c r="IP154" s="436"/>
      <c r="IQ154" s="265"/>
      <c r="IR154" s="265"/>
    </row>
    <row r="155" spans="1:252" s="461" customFormat="1" x14ac:dyDescent="0.35">
      <c r="A155" s="685"/>
      <c r="B155" s="503"/>
      <c r="C155" s="503"/>
      <c r="D155" s="439"/>
      <c r="E155" s="686"/>
      <c r="J155" s="1591"/>
      <c r="M155" s="436"/>
      <c r="N155" s="436"/>
      <c r="O155" s="436"/>
      <c r="P155" s="436"/>
      <c r="Q155" s="436"/>
      <c r="R155" s="436"/>
      <c r="S155" s="436"/>
      <c r="T155" s="436"/>
      <c r="U155" s="436"/>
      <c r="V155" s="436"/>
      <c r="W155" s="436"/>
      <c r="X155" s="436"/>
      <c r="Y155" s="436"/>
      <c r="Z155" s="436"/>
      <c r="AA155" s="436"/>
      <c r="AB155" s="436"/>
      <c r="AC155" s="436"/>
      <c r="AD155" s="436"/>
      <c r="AE155" s="436"/>
      <c r="AF155" s="436"/>
      <c r="AG155" s="436"/>
      <c r="AH155" s="436"/>
      <c r="AI155" s="436"/>
      <c r="AJ155" s="436"/>
      <c r="AK155" s="436"/>
      <c r="AL155" s="436"/>
      <c r="AM155" s="436"/>
      <c r="AN155" s="436"/>
      <c r="AO155" s="436"/>
      <c r="AP155" s="436"/>
      <c r="AQ155" s="436"/>
      <c r="AR155" s="436"/>
      <c r="AS155" s="436"/>
      <c r="AT155" s="436"/>
      <c r="AU155" s="436"/>
      <c r="AV155" s="436"/>
      <c r="AW155" s="436"/>
      <c r="AX155" s="436"/>
      <c r="AY155" s="436"/>
      <c r="AZ155" s="436"/>
      <c r="BA155" s="436"/>
      <c r="BB155" s="436"/>
      <c r="BC155" s="436"/>
      <c r="BD155" s="436"/>
      <c r="BE155" s="436"/>
      <c r="BF155" s="436"/>
      <c r="BG155" s="436"/>
      <c r="BH155" s="436"/>
      <c r="BI155" s="436"/>
      <c r="BJ155" s="436"/>
      <c r="BK155" s="436"/>
      <c r="BL155" s="436"/>
      <c r="BM155" s="436"/>
      <c r="BN155" s="436"/>
      <c r="BO155" s="436"/>
      <c r="BP155" s="436"/>
      <c r="BQ155" s="436"/>
      <c r="BR155" s="436"/>
      <c r="BS155" s="436"/>
      <c r="BT155" s="436"/>
      <c r="BU155" s="436"/>
      <c r="BV155" s="436"/>
      <c r="BW155" s="436"/>
      <c r="BX155" s="436"/>
      <c r="BY155" s="436"/>
      <c r="BZ155" s="436"/>
      <c r="CA155" s="436"/>
      <c r="CB155" s="436"/>
      <c r="CC155" s="436"/>
      <c r="CD155" s="436"/>
      <c r="CE155" s="436"/>
      <c r="CF155" s="436"/>
      <c r="CG155" s="436"/>
      <c r="CH155" s="436"/>
      <c r="CI155" s="436"/>
      <c r="CJ155" s="436"/>
      <c r="CK155" s="436"/>
      <c r="CL155" s="436"/>
      <c r="CM155" s="436"/>
      <c r="CN155" s="436"/>
      <c r="CO155" s="436"/>
      <c r="CP155" s="436"/>
      <c r="CQ155" s="436"/>
      <c r="CR155" s="436"/>
      <c r="CS155" s="436"/>
      <c r="CT155" s="436"/>
      <c r="CU155" s="436"/>
      <c r="CV155" s="436"/>
      <c r="CW155" s="436"/>
      <c r="CX155" s="436"/>
      <c r="CY155" s="436"/>
      <c r="CZ155" s="436"/>
      <c r="DA155" s="436"/>
      <c r="DB155" s="436"/>
      <c r="DC155" s="436"/>
      <c r="DD155" s="436"/>
      <c r="DE155" s="436"/>
      <c r="DF155" s="436"/>
      <c r="DG155" s="436"/>
      <c r="DH155" s="436"/>
      <c r="DI155" s="436"/>
      <c r="DJ155" s="436"/>
      <c r="DK155" s="436"/>
      <c r="DL155" s="436"/>
      <c r="DM155" s="436"/>
      <c r="DN155" s="436"/>
      <c r="DO155" s="436"/>
      <c r="DP155" s="436"/>
      <c r="DQ155" s="436"/>
      <c r="DR155" s="436"/>
      <c r="DS155" s="436"/>
      <c r="DT155" s="436"/>
      <c r="DU155" s="436"/>
      <c r="DV155" s="436"/>
      <c r="DW155" s="436"/>
      <c r="DX155" s="436"/>
      <c r="DY155" s="436"/>
      <c r="DZ155" s="436"/>
      <c r="EA155" s="436"/>
      <c r="EB155" s="436"/>
      <c r="EC155" s="436"/>
      <c r="ED155" s="436"/>
      <c r="EE155" s="436"/>
      <c r="EF155" s="436"/>
      <c r="EG155" s="436"/>
      <c r="EH155" s="436"/>
      <c r="EI155" s="436"/>
      <c r="EJ155" s="436"/>
      <c r="EK155" s="436"/>
      <c r="EL155" s="436"/>
      <c r="EM155" s="436"/>
      <c r="EN155" s="436"/>
      <c r="EO155" s="436"/>
      <c r="EP155" s="436"/>
      <c r="EQ155" s="436"/>
      <c r="ER155" s="436"/>
      <c r="ES155" s="436"/>
      <c r="ET155" s="436"/>
      <c r="EU155" s="436"/>
      <c r="EV155" s="436"/>
      <c r="EW155" s="436"/>
      <c r="EX155" s="436"/>
      <c r="EY155" s="436"/>
      <c r="EZ155" s="436"/>
      <c r="FA155" s="436"/>
      <c r="FB155" s="436"/>
      <c r="FC155" s="436"/>
      <c r="FD155" s="436"/>
      <c r="FE155" s="436"/>
      <c r="FF155" s="436"/>
      <c r="FG155" s="436"/>
      <c r="FH155" s="436"/>
      <c r="FI155" s="436"/>
      <c r="FJ155" s="436"/>
      <c r="FK155" s="436"/>
      <c r="FL155" s="436"/>
      <c r="FM155" s="436"/>
      <c r="FN155" s="436"/>
      <c r="FO155" s="436"/>
      <c r="FP155" s="436"/>
      <c r="FQ155" s="436"/>
      <c r="FR155" s="436"/>
      <c r="FS155" s="436"/>
      <c r="FT155" s="436"/>
      <c r="FU155" s="436"/>
      <c r="FV155" s="436"/>
      <c r="FW155" s="436"/>
      <c r="FX155" s="436"/>
      <c r="FY155" s="436"/>
      <c r="FZ155" s="436"/>
      <c r="GA155" s="436"/>
      <c r="GB155" s="436"/>
      <c r="GC155" s="436"/>
      <c r="GD155" s="436"/>
      <c r="GE155" s="436"/>
      <c r="GF155" s="436"/>
      <c r="GG155" s="436"/>
      <c r="GH155" s="436"/>
      <c r="GI155" s="436"/>
      <c r="GJ155" s="436"/>
      <c r="GK155" s="436"/>
      <c r="GL155" s="436"/>
      <c r="GM155" s="436"/>
      <c r="GN155" s="436"/>
      <c r="GO155" s="436"/>
      <c r="GP155" s="436"/>
      <c r="GQ155" s="436"/>
      <c r="GR155" s="436"/>
      <c r="GS155" s="436"/>
      <c r="GT155" s="436"/>
      <c r="GU155" s="436"/>
      <c r="GV155" s="436"/>
      <c r="GW155" s="436"/>
      <c r="GX155" s="436"/>
      <c r="GY155" s="436"/>
      <c r="GZ155" s="436"/>
      <c r="HA155" s="436"/>
      <c r="HB155" s="436"/>
      <c r="HC155" s="436"/>
      <c r="HD155" s="436"/>
      <c r="HE155" s="436"/>
      <c r="HF155" s="436"/>
      <c r="HG155" s="436"/>
      <c r="HH155" s="436"/>
      <c r="HI155" s="436"/>
      <c r="HJ155" s="436"/>
      <c r="HK155" s="436"/>
      <c r="HL155" s="436"/>
      <c r="HM155" s="436"/>
      <c r="HN155" s="436"/>
      <c r="HO155" s="436"/>
      <c r="HP155" s="436"/>
      <c r="HQ155" s="436"/>
      <c r="HR155" s="436"/>
      <c r="HS155" s="436"/>
      <c r="HT155" s="436"/>
      <c r="HU155" s="436"/>
      <c r="HV155" s="436"/>
      <c r="HW155" s="436"/>
      <c r="HX155" s="436"/>
      <c r="HY155" s="436"/>
      <c r="HZ155" s="436"/>
      <c r="IA155" s="436"/>
      <c r="IB155" s="436"/>
      <c r="IC155" s="436"/>
      <c r="ID155" s="436"/>
      <c r="IE155" s="436"/>
      <c r="IF155" s="436"/>
      <c r="IG155" s="436"/>
      <c r="IH155" s="436"/>
      <c r="II155" s="436"/>
      <c r="IJ155" s="436"/>
      <c r="IK155" s="436"/>
      <c r="IL155" s="436"/>
      <c r="IM155" s="436"/>
      <c r="IN155" s="436"/>
      <c r="IO155" s="436"/>
      <c r="IP155" s="436"/>
      <c r="IQ155" s="265"/>
      <c r="IR155" s="265"/>
    </row>
    <row r="156" spans="1:252" s="461" customFormat="1" x14ac:dyDescent="0.35">
      <c r="A156" s="685"/>
      <c r="B156" s="503"/>
      <c r="C156" s="503"/>
      <c r="D156" s="439"/>
      <c r="E156" s="686"/>
      <c r="J156" s="1591"/>
      <c r="M156" s="436"/>
      <c r="N156" s="436"/>
      <c r="O156" s="436"/>
      <c r="P156" s="436"/>
      <c r="Q156" s="436"/>
      <c r="R156" s="436"/>
      <c r="S156" s="436"/>
      <c r="T156" s="436"/>
      <c r="U156" s="436"/>
      <c r="V156" s="436"/>
      <c r="W156" s="436"/>
      <c r="X156" s="436"/>
      <c r="Y156" s="436"/>
      <c r="Z156" s="436"/>
      <c r="AA156" s="436"/>
      <c r="AB156" s="436"/>
      <c r="AC156" s="436"/>
      <c r="AD156" s="436"/>
      <c r="AE156" s="436"/>
      <c r="AF156" s="436"/>
      <c r="AG156" s="436"/>
      <c r="AH156" s="436"/>
      <c r="AI156" s="436"/>
      <c r="AJ156" s="436"/>
      <c r="AK156" s="436"/>
      <c r="AL156" s="436"/>
      <c r="AM156" s="436"/>
      <c r="AN156" s="436"/>
      <c r="AO156" s="436"/>
      <c r="AP156" s="436"/>
      <c r="AQ156" s="436"/>
      <c r="AR156" s="436"/>
      <c r="AS156" s="436"/>
      <c r="AT156" s="436"/>
      <c r="AU156" s="436"/>
      <c r="AV156" s="436"/>
      <c r="AW156" s="436"/>
      <c r="AX156" s="436"/>
      <c r="AY156" s="436"/>
      <c r="AZ156" s="436"/>
      <c r="BA156" s="436"/>
      <c r="BB156" s="436"/>
      <c r="BC156" s="436"/>
      <c r="BD156" s="436"/>
      <c r="BE156" s="436"/>
      <c r="BF156" s="436"/>
      <c r="BG156" s="436"/>
      <c r="BH156" s="436"/>
      <c r="BI156" s="436"/>
      <c r="BJ156" s="436"/>
      <c r="BK156" s="436"/>
      <c r="BL156" s="436"/>
      <c r="BM156" s="436"/>
      <c r="BN156" s="436"/>
      <c r="BO156" s="436"/>
      <c r="BP156" s="436"/>
      <c r="BQ156" s="436"/>
      <c r="BR156" s="436"/>
      <c r="BS156" s="436"/>
      <c r="BT156" s="436"/>
      <c r="BU156" s="436"/>
      <c r="BV156" s="436"/>
      <c r="BW156" s="436"/>
      <c r="BX156" s="436"/>
      <c r="BY156" s="436"/>
      <c r="BZ156" s="436"/>
      <c r="CA156" s="436"/>
      <c r="CB156" s="436"/>
      <c r="CC156" s="436"/>
      <c r="CD156" s="436"/>
      <c r="CE156" s="436"/>
      <c r="CF156" s="436"/>
      <c r="CG156" s="436"/>
      <c r="CH156" s="436"/>
      <c r="CI156" s="436"/>
      <c r="CJ156" s="436"/>
      <c r="CK156" s="436"/>
      <c r="CL156" s="436"/>
      <c r="CM156" s="436"/>
      <c r="CN156" s="436"/>
      <c r="CO156" s="436"/>
      <c r="CP156" s="436"/>
      <c r="CQ156" s="436"/>
      <c r="CR156" s="436"/>
      <c r="CS156" s="436"/>
      <c r="CT156" s="436"/>
      <c r="CU156" s="436"/>
      <c r="CV156" s="436"/>
      <c r="CW156" s="436"/>
      <c r="CX156" s="436"/>
      <c r="CY156" s="436"/>
      <c r="CZ156" s="436"/>
      <c r="DA156" s="436"/>
      <c r="DB156" s="436"/>
      <c r="DC156" s="436"/>
      <c r="DD156" s="436"/>
      <c r="DE156" s="436"/>
      <c r="DF156" s="436"/>
      <c r="DG156" s="436"/>
      <c r="DH156" s="436"/>
      <c r="DI156" s="436"/>
      <c r="DJ156" s="436"/>
      <c r="DK156" s="436"/>
      <c r="DL156" s="436"/>
      <c r="DM156" s="436"/>
      <c r="DN156" s="436"/>
      <c r="DO156" s="436"/>
      <c r="DP156" s="436"/>
      <c r="DQ156" s="436"/>
      <c r="DR156" s="436"/>
      <c r="DS156" s="436"/>
      <c r="DT156" s="436"/>
      <c r="DU156" s="436"/>
      <c r="DV156" s="436"/>
      <c r="DW156" s="436"/>
      <c r="DX156" s="436"/>
      <c r="DY156" s="436"/>
      <c r="DZ156" s="436"/>
      <c r="EA156" s="436"/>
      <c r="EB156" s="436"/>
      <c r="EC156" s="436"/>
      <c r="ED156" s="436"/>
      <c r="EE156" s="436"/>
      <c r="EF156" s="436"/>
      <c r="EG156" s="436"/>
      <c r="EH156" s="436"/>
      <c r="EI156" s="436"/>
      <c r="EJ156" s="436"/>
      <c r="EK156" s="436"/>
      <c r="EL156" s="436"/>
      <c r="EM156" s="436"/>
      <c r="EN156" s="436"/>
      <c r="EO156" s="436"/>
      <c r="EP156" s="436"/>
      <c r="EQ156" s="436"/>
      <c r="ER156" s="436"/>
      <c r="ES156" s="436"/>
      <c r="ET156" s="436"/>
      <c r="EU156" s="436"/>
      <c r="EV156" s="436"/>
      <c r="EW156" s="436"/>
      <c r="EX156" s="436"/>
      <c r="EY156" s="436"/>
      <c r="EZ156" s="436"/>
      <c r="FA156" s="436"/>
      <c r="FB156" s="436"/>
      <c r="FC156" s="436"/>
      <c r="FD156" s="436"/>
      <c r="FE156" s="436"/>
      <c r="FF156" s="436"/>
      <c r="FG156" s="436"/>
      <c r="FH156" s="436"/>
      <c r="FI156" s="436"/>
      <c r="FJ156" s="436"/>
      <c r="FK156" s="436"/>
      <c r="FL156" s="436"/>
      <c r="FM156" s="436"/>
      <c r="FN156" s="436"/>
      <c r="FO156" s="436"/>
      <c r="FP156" s="436"/>
      <c r="FQ156" s="436"/>
      <c r="FR156" s="436"/>
      <c r="FS156" s="436"/>
      <c r="FT156" s="436"/>
      <c r="FU156" s="436"/>
      <c r="FV156" s="436"/>
      <c r="FW156" s="436"/>
      <c r="FX156" s="436"/>
      <c r="FY156" s="436"/>
      <c r="FZ156" s="436"/>
      <c r="GA156" s="436"/>
      <c r="GB156" s="436"/>
      <c r="GC156" s="436"/>
      <c r="GD156" s="436"/>
      <c r="GE156" s="436"/>
      <c r="GF156" s="436"/>
      <c r="GG156" s="436"/>
      <c r="GH156" s="436"/>
      <c r="GI156" s="436"/>
      <c r="GJ156" s="436"/>
      <c r="GK156" s="436"/>
      <c r="GL156" s="436"/>
      <c r="GM156" s="436"/>
      <c r="GN156" s="436"/>
      <c r="GO156" s="436"/>
      <c r="GP156" s="436"/>
      <c r="GQ156" s="436"/>
      <c r="GR156" s="436"/>
      <c r="GS156" s="436"/>
      <c r="GT156" s="436"/>
      <c r="GU156" s="436"/>
      <c r="GV156" s="436"/>
      <c r="GW156" s="436"/>
      <c r="GX156" s="436"/>
      <c r="GY156" s="436"/>
      <c r="GZ156" s="436"/>
      <c r="HA156" s="436"/>
      <c r="HB156" s="436"/>
      <c r="HC156" s="436"/>
      <c r="HD156" s="436"/>
      <c r="HE156" s="436"/>
      <c r="HF156" s="436"/>
      <c r="HG156" s="436"/>
      <c r="HH156" s="436"/>
      <c r="HI156" s="436"/>
      <c r="HJ156" s="436"/>
      <c r="HK156" s="436"/>
      <c r="HL156" s="436"/>
      <c r="HM156" s="436"/>
      <c r="HN156" s="436"/>
      <c r="HO156" s="436"/>
      <c r="HP156" s="436"/>
      <c r="HQ156" s="436"/>
      <c r="HR156" s="436"/>
      <c r="HS156" s="436"/>
      <c r="HT156" s="436"/>
      <c r="HU156" s="436"/>
      <c r="HV156" s="436"/>
      <c r="HW156" s="436"/>
      <c r="HX156" s="436"/>
      <c r="HY156" s="436"/>
      <c r="HZ156" s="436"/>
      <c r="IA156" s="436"/>
      <c r="IB156" s="436"/>
      <c r="IC156" s="436"/>
      <c r="ID156" s="436"/>
      <c r="IE156" s="436"/>
      <c r="IF156" s="436"/>
      <c r="IG156" s="436"/>
      <c r="IH156" s="436"/>
      <c r="II156" s="436"/>
      <c r="IJ156" s="436"/>
      <c r="IK156" s="436"/>
      <c r="IL156" s="436"/>
      <c r="IM156" s="436"/>
      <c r="IN156" s="436"/>
      <c r="IO156" s="436"/>
      <c r="IP156" s="436"/>
      <c r="IQ156" s="265"/>
      <c r="IR156" s="265"/>
    </row>
    <row r="157" spans="1:252" s="461" customFormat="1" x14ac:dyDescent="0.35">
      <c r="A157" s="685"/>
      <c r="B157" s="503"/>
      <c r="C157" s="503"/>
      <c r="D157" s="439"/>
      <c r="E157" s="686"/>
      <c r="J157" s="1591"/>
      <c r="M157" s="436"/>
      <c r="N157" s="436"/>
      <c r="O157" s="436"/>
      <c r="P157" s="436"/>
      <c r="Q157" s="436"/>
      <c r="R157" s="436"/>
      <c r="S157" s="436"/>
      <c r="T157" s="436"/>
      <c r="U157" s="436"/>
      <c r="V157" s="436"/>
      <c r="W157" s="436"/>
      <c r="X157" s="436"/>
      <c r="Y157" s="436"/>
      <c r="Z157" s="436"/>
      <c r="AA157" s="436"/>
      <c r="AB157" s="436"/>
      <c r="AC157" s="436"/>
      <c r="AD157" s="436"/>
      <c r="AE157" s="436"/>
      <c r="AF157" s="436"/>
      <c r="AG157" s="436"/>
      <c r="AH157" s="436"/>
      <c r="AI157" s="436"/>
      <c r="AJ157" s="436"/>
      <c r="AK157" s="436"/>
      <c r="AL157" s="436"/>
      <c r="AM157" s="436"/>
      <c r="AN157" s="436"/>
      <c r="AO157" s="436"/>
      <c r="AP157" s="436"/>
      <c r="AQ157" s="436"/>
      <c r="AR157" s="436"/>
      <c r="AS157" s="436"/>
      <c r="AT157" s="436"/>
      <c r="AU157" s="436"/>
      <c r="AV157" s="436"/>
      <c r="AW157" s="436"/>
      <c r="AX157" s="436"/>
      <c r="AY157" s="436"/>
      <c r="AZ157" s="436"/>
      <c r="BA157" s="436"/>
      <c r="BB157" s="436"/>
      <c r="BC157" s="436"/>
      <c r="BD157" s="436"/>
      <c r="BE157" s="436"/>
      <c r="BF157" s="436"/>
      <c r="BG157" s="436"/>
      <c r="BH157" s="436"/>
      <c r="BI157" s="436"/>
      <c r="BJ157" s="436"/>
      <c r="BK157" s="436"/>
      <c r="BL157" s="436"/>
      <c r="BM157" s="436"/>
      <c r="BN157" s="436"/>
      <c r="BO157" s="436"/>
      <c r="BP157" s="436"/>
      <c r="BQ157" s="436"/>
      <c r="BR157" s="436"/>
      <c r="BS157" s="436"/>
      <c r="BT157" s="436"/>
      <c r="BU157" s="436"/>
      <c r="BV157" s="436"/>
      <c r="BW157" s="436"/>
      <c r="BX157" s="436"/>
      <c r="BY157" s="436"/>
      <c r="BZ157" s="436"/>
      <c r="CA157" s="436"/>
      <c r="CB157" s="436"/>
      <c r="CC157" s="436"/>
      <c r="CD157" s="436"/>
      <c r="CE157" s="436"/>
      <c r="CF157" s="436"/>
      <c r="CG157" s="436"/>
      <c r="CH157" s="436"/>
      <c r="CI157" s="436"/>
      <c r="CJ157" s="436"/>
      <c r="CK157" s="436"/>
      <c r="CL157" s="436"/>
      <c r="CM157" s="436"/>
      <c r="CN157" s="436"/>
      <c r="CO157" s="436"/>
      <c r="CP157" s="436"/>
      <c r="CQ157" s="436"/>
      <c r="CR157" s="436"/>
      <c r="CS157" s="436"/>
      <c r="CT157" s="436"/>
      <c r="CU157" s="436"/>
      <c r="CV157" s="436"/>
      <c r="CW157" s="436"/>
      <c r="CX157" s="436"/>
      <c r="CY157" s="436"/>
      <c r="CZ157" s="436"/>
      <c r="DA157" s="436"/>
      <c r="DB157" s="436"/>
      <c r="DC157" s="436"/>
      <c r="DD157" s="436"/>
      <c r="DE157" s="436"/>
      <c r="DF157" s="436"/>
      <c r="DG157" s="436"/>
      <c r="DH157" s="436"/>
      <c r="DI157" s="436"/>
      <c r="DJ157" s="436"/>
      <c r="DK157" s="436"/>
      <c r="DL157" s="436"/>
      <c r="DM157" s="436"/>
      <c r="DN157" s="436"/>
      <c r="DO157" s="436"/>
      <c r="DP157" s="436"/>
      <c r="DQ157" s="436"/>
      <c r="DR157" s="436"/>
      <c r="DS157" s="436"/>
      <c r="DT157" s="436"/>
      <c r="DU157" s="436"/>
      <c r="DV157" s="436"/>
      <c r="DW157" s="436"/>
      <c r="DX157" s="436"/>
      <c r="DY157" s="436"/>
      <c r="DZ157" s="436"/>
      <c r="EA157" s="436"/>
      <c r="EB157" s="436"/>
      <c r="EC157" s="436"/>
      <c r="ED157" s="436"/>
      <c r="EE157" s="436"/>
      <c r="EF157" s="436"/>
      <c r="EG157" s="436"/>
      <c r="EH157" s="436"/>
      <c r="EI157" s="436"/>
      <c r="EJ157" s="436"/>
      <c r="EK157" s="436"/>
      <c r="EL157" s="436"/>
      <c r="EM157" s="436"/>
      <c r="EN157" s="436"/>
      <c r="EO157" s="436"/>
      <c r="EP157" s="436"/>
      <c r="EQ157" s="436"/>
      <c r="ER157" s="436"/>
      <c r="ES157" s="436"/>
      <c r="ET157" s="436"/>
      <c r="EU157" s="436"/>
      <c r="EV157" s="436"/>
      <c r="EW157" s="436"/>
      <c r="EX157" s="436"/>
      <c r="EY157" s="436"/>
      <c r="EZ157" s="436"/>
      <c r="FA157" s="436"/>
      <c r="FB157" s="436"/>
      <c r="FC157" s="436"/>
      <c r="FD157" s="436"/>
      <c r="FE157" s="436"/>
      <c r="FF157" s="436"/>
      <c r="FG157" s="436"/>
      <c r="FH157" s="436"/>
      <c r="FI157" s="436"/>
      <c r="FJ157" s="436"/>
      <c r="FK157" s="436"/>
      <c r="FL157" s="436"/>
      <c r="FM157" s="436"/>
      <c r="FN157" s="436"/>
      <c r="FO157" s="436"/>
      <c r="FP157" s="436"/>
      <c r="FQ157" s="436"/>
      <c r="FR157" s="436"/>
      <c r="FS157" s="436"/>
      <c r="FT157" s="436"/>
      <c r="FU157" s="436"/>
      <c r="FV157" s="436"/>
      <c r="FW157" s="436"/>
      <c r="FX157" s="436"/>
      <c r="FY157" s="436"/>
      <c r="FZ157" s="436"/>
      <c r="GA157" s="436"/>
      <c r="GB157" s="436"/>
      <c r="GC157" s="436"/>
      <c r="GD157" s="436"/>
      <c r="GE157" s="436"/>
      <c r="GF157" s="436"/>
      <c r="GG157" s="436"/>
      <c r="GH157" s="436"/>
      <c r="GI157" s="436"/>
      <c r="GJ157" s="436"/>
      <c r="GK157" s="436"/>
      <c r="GL157" s="436"/>
      <c r="GM157" s="436"/>
      <c r="GN157" s="436"/>
      <c r="GO157" s="436"/>
      <c r="GP157" s="436"/>
      <c r="GQ157" s="436"/>
      <c r="GR157" s="436"/>
      <c r="GS157" s="436"/>
      <c r="GT157" s="436"/>
      <c r="GU157" s="436"/>
      <c r="GV157" s="436"/>
      <c r="GW157" s="436"/>
      <c r="GX157" s="436"/>
      <c r="GY157" s="436"/>
      <c r="GZ157" s="436"/>
      <c r="HA157" s="436"/>
      <c r="HB157" s="436"/>
      <c r="HC157" s="436"/>
      <c r="HD157" s="436"/>
      <c r="HE157" s="436"/>
      <c r="HF157" s="436"/>
      <c r="HG157" s="436"/>
      <c r="HH157" s="436"/>
      <c r="HI157" s="436"/>
      <c r="HJ157" s="436"/>
      <c r="HK157" s="436"/>
      <c r="HL157" s="436"/>
      <c r="HM157" s="436"/>
      <c r="HN157" s="436"/>
      <c r="HO157" s="436"/>
      <c r="HP157" s="436"/>
      <c r="HQ157" s="436"/>
      <c r="HR157" s="436"/>
      <c r="HS157" s="436"/>
      <c r="HT157" s="436"/>
      <c r="HU157" s="436"/>
      <c r="HV157" s="436"/>
      <c r="HW157" s="436"/>
      <c r="HX157" s="436"/>
      <c r="HY157" s="436"/>
      <c r="HZ157" s="436"/>
      <c r="IA157" s="436"/>
      <c r="IB157" s="436"/>
      <c r="IC157" s="436"/>
      <c r="ID157" s="436"/>
      <c r="IE157" s="436"/>
      <c r="IF157" s="436"/>
      <c r="IG157" s="436"/>
      <c r="IH157" s="436"/>
      <c r="II157" s="436"/>
      <c r="IJ157" s="436"/>
      <c r="IK157" s="436"/>
      <c r="IL157" s="436"/>
      <c r="IM157" s="436"/>
      <c r="IN157" s="436"/>
      <c r="IO157" s="436"/>
      <c r="IP157" s="436"/>
      <c r="IQ157" s="265"/>
      <c r="IR157" s="265"/>
    </row>
    <row r="158" spans="1:252" s="461" customFormat="1" x14ac:dyDescent="0.35">
      <c r="A158" s="685"/>
      <c r="B158" s="503"/>
      <c r="C158" s="503"/>
      <c r="D158" s="439"/>
      <c r="E158" s="686"/>
      <c r="J158" s="1591"/>
      <c r="M158" s="436"/>
      <c r="N158" s="436"/>
      <c r="O158" s="436"/>
      <c r="P158" s="436"/>
      <c r="Q158" s="436"/>
      <c r="R158" s="436"/>
      <c r="S158" s="436"/>
      <c r="T158" s="436"/>
      <c r="U158" s="436"/>
      <c r="V158" s="436"/>
      <c r="W158" s="436"/>
      <c r="X158" s="436"/>
      <c r="Y158" s="436"/>
      <c r="Z158" s="436"/>
      <c r="AA158" s="436"/>
      <c r="AB158" s="436"/>
      <c r="AC158" s="436"/>
      <c r="AD158" s="436"/>
      <c r="AE158" s="436"/>
      <c r="AF158" s="436"/>
      <c r="AG158" s="436"/>
      <c r="AH158" s="436"/>
      <c r="AI158" s="436"/>
      <c r="AJ158" s="436"/>
      <c r="AK158" s="436"/>
      <c r="AL158" s="436"/>
      <c r="AM158" s="436"/>
      <c r="AN158" s="436"/>
      <c r="AO158" s="436"/>
      <c r="AP158" s="436"/>
      <c r="AQ158" s="436"/>
      <c r="AR158" s="436"/>
      <c r="AS158" s="436"/>
      <c r="AT158" s="436"/>
      <c r="AU158" s="436"/>
      <c r="AV158" s="436"/>
      <c r="AW158" s="436"/>
      <c r="AX158" s="436"/>
      <c r="AY158" s="436"/>
      <c r="AZ158" s="436"/>
      <c r="BA158" s="436"/>
      <c r="BB158" s="436"/>
      <c r="BC158" s="436"/>
      <c r="BD158" s="436"/>
      <c r="BE158" s="436"/>
      <c r="BF158" s="436"/>
      <c r="BG158" s="436"/>
      <c r="BH158" s="436"/>
      <c r="BI158" s="436"/>
      <c r="BJ158" s="436"/>
      <c r="BK158" s="436"/>
      <c r="BL158" s="436"/>
      <c r="BM158" s="436"/>
      <c r="BN158" s="436"/>
      <c r="BO158" s="436"/>
      <c r="BP158" s="436"/>
      <c r="BQ158" s="436"/>
      <c r="BR158" s="436"/>
      <c r="BS158" s="436"/>
      <c r="BT158" s="436"/>
      <c r="BU158" s="436"/>
      <c r="BV158" s="436"/>
      <c r="BW158" s="436"/>
      <c r="BX158" s="436"/>
      <c r="BY158" s="436"/>
      <c r="BZ158" s="436"/>
      <c r="CA158" s="436"/>
      <c r="CB158" s="436"/>
      <c r="CC158" s="436"/>
      <c r="CD158" s="436"/>
      <c r="CE158" s="436"/>
      <c r="CF158" s="436"/>
      <c r="CG158" s="436"/>
      <c r="CH158" s="436"/>
      <c r="CI158" s="436"/>
      <c r="CJ158" s="436"/>
      <c r="CK158" s="436"/>
      <c r="CL158" s="436"/>
      <c r="CM158" s="436"/>
      <c r="CN158" s="436"/>
      <c r="CO158" s="436"/>
      <c r="CP158" s="436"/>
      <c r="CQ158" s="436"/>
      <c r="CR158" s="436"/>
      <c r="CS158" s="436"/>
      <c r="CT158" s="436"/>
      <c r="CU158" s="436"/>
      <c r="CV158" s="436"/>
      <c r="CW158" s="436"/>
      <c r="CX158" s="436"/>
      <c r="CY158" s="436"/>
      <c r="CZ158" s="436"/>
      <c r="DA158" s="436"/>
      <c r="DB158" s="436"/>
      <c r="DC158" s="436"/>
      <c r="DD158" s="436"/>
      <c r="DE158" s="436"/>
      <c r="DF158" s="436"/>
      <c r="DG158" s="436"/>
      <c r="DH158" s="436"/>
      <c r="DI158" s="436"/>
      <c r="DJ158" s="436"/>
      <c r="DK158" s="436"/>
      <c r="DL158" s="436"/>
      <c r="DM158" s="436"/>
      <c r="DN158" s="436"/>
      <c r="DO158" s="436"/>
      <c r="DP158" s="436"/>
      <c r="DQ158" s="436"/>
      <c r="DR158" s="436"/>
      <c r="DS158" s="436"/>
      <c r="DT158" s="436"/>
      <c r="DU158" s="436"/>
      <c r="DV158" s="436"/>
      <c r="DW158" s="436"/>
      <c r="DX158" s="436"/>
      <c r="DY158" s="436"/>
      <c r="DZ158" s="436"/>
      <c r="EA158" s="436"/>
      <c r="EB158" s="436"/>
      <c r="EC158" s="436"/>
      <c r="ED158" s="436"/>
      <c r="EE158" s="436"/>
      <c r="EF158" s="436"/>
      <c r="EG158" s="436"/>
      <c r="EH158" s="436"/>
      <c r="EI158" s="436"/>
      <c r="EJ158" s="436"/>
      <c r="EK158" s="436"/>
      <c r="EL158" s="436"/>
      <c r="EM158" s="436"/>
      <c r="EN158" s="436"/>
      <c r="EO158" s="436"/>
      <c r="EP158" s="436"/>
      <c r="EQ158" s="436"/>
      <c r="ER158" s="436"/>
      <c r="ES158" s="436"/>
      <c r="ET158" s="436"/>
      <c r="EU158" s="436"/>
      <c r="EV158" s="436"/>
      <c r="EW158" s="436"/>
      <c r="EX158" s="436"/>
      <c r="EY158" s="436"/>
      <c r="EZ158" s="436"/>
      <c r="FA158" s="436"/>
      <c r="FB158" s="436"/>
      <c r="FC158" s="436"/>
      <c r="FD158" s="436"/>
      <c r="FE158" s="436"/>
      <c r="FF158" s="436"/>
      <c r="FG158" s="436"/>
      <c r="FH158" s="436"/>
      <c r="FI158" s="436"/>
      <c r="FJ158" s="436"/>
      <c r="FK158" s="436"/>
      <c r="FL158" s="436"/>
      <c r="FM158" s="436"/>
      <c r="FN158" s="436"/>
      <c r="FO158" s="436"/>
      <c r="FP158" s="436"/>
      <c r="FQ158" s="436"/>
      <c r="FR158" s="436"/>
      <c r="FS158" s="436"/>
      <c r="FT158" s="436"/>
      <c r="FU158" s="436"/>
      <c r="FV158" s="436"/>
      <c r="FW158" s="436"/>
      <c r="FX158" s="436"/>
      <c r="FY158" s="436"/>
      <c r="FZ158" s="436"/>
      <c r="GA158" s="436"/>
      <c r="GB158" s="436"/>
      <c r="GC158" s="436"/>
      <c r="GD158" s="436"/>
      <c r="GE158" s="436"/>
      <c r="GF158" s="436"/>
      <c r="GG158" s="436"/>
      <c r="GH158" s="436"/>
      <c r="GI158" s="436"/>
      <c r="GJ158" s="436"/>
      <c r="GK158" s="436"/>
      <c r="GL158" s="436"/>
      <c r="GM158" s="436"/>
      <c r="GN158" s="436"/>
      <c r="GO158" s="436"/>
      <c r="GP158" s="436"/>
      <c r="GQ158" s="436"/>
      <c r="GR158" s="436"/>
      <c r="GS158" s="436"/>
      <c r="GT158" s="436"/>
      <c r="GU158" s="436"/>
      <c r="GV158" s="436"/>
      <c r="GW158" s="436"/>
      <c r="GX158" s="436"/>
      <c r="GY158" s="436"/>
      <c r="GZ158" s="436"/>
      <c r="HA158" s="436"/>
      <c r="HB158" s="436"/>
      <c r="HC158" s="436"/>
      <c r="HD158" s="436"/>
      <c r="HE158" s="436"/>
      <c r="HF158" s="436"/>
      <c r="HG158" s="436"/>
      <c r="HH158" s="436"/>
      <c r="HI158" s="436"/>
      <c r="HJ158" s="436"/>
      <c r="HK158" s="436"/>
      <c r="HL158" s="436"/>
      <c r="HM158" s="436"/>
      <c r="HN158" s="436"/>
      <c r="HO158" s="436"/>
      <c r="HP158" s="436"/>
      <c r="HQ158" s="436"/>
      <c r="HR158" s="436"/>
      <c r="HS158" s="436"/>
      <c r="HT158" s="436"/>
      <c r="HU158" s="436"/>
      <c r="HV158" s="436"/>
      <c r="HW158" s="436"/>
      <c r="HX158" s="436"/>
      <c r="HY158" s="436"/>
      <c r="HZ158" s="436"/>
      <c r="IA158" s="436"/>
      <c r="IB158" s="436"/>
      <c r="IC158" s="436"/>
      <c r="ID158" s="436"/>
      <c r="IE158" s="436"/>
      <c r="IF158" s="436"/>
      <c r="IG158" s="436"/>
      <c r="IH158" s="436"/>
      <c r="II158" s="436"/>
      <c r="IJ158" s="436"/>
      <c r="IK158" s="436"/>
      <c r="IL158" s="436"/>
      <c r="IM158" s="436"/>
      <c r="IN158" s="436"/>
      <c r="IO158" s="436"/>
      <c r="IP158" s="436"/>
      <c r="IQ158" s="265"/>
      <c r="IR158" s="265"/>
    </row>
    <row r="159" spans="1:252" s="461" customFormat="1" x14ac:dyDescent="0.35">
      <c r="A159" s="685"/>
      <c r="B159" s="503"/>
      <c r="C159" s="503"/>
      <c r="D159" s="439"/>
      <c r="E159" s="686"/>
      <c r="J159" s="1591"/>
      <c r="M159" s="436"/>
      <c r="N159" s="436"/>
      <c r="O159" s="436"/>
      <c r="P159" s="436"/>
      <c r="Q159" s="436"/>
      <c r="R159" s="436"/>
      <c r="S159" s="436"/>
      <c r="T159" s="436"/>
      <c r="U159" s="436"/>
      <c r="V159" s="436"/>
      <c r="W159" s="436"/>
      <c r="X159" s="436"/>
      <c r="Y159" s="436"/>
      <c r="Z159" s="436"/>
      <c r="AA159" s="436"/>
      <c r="AB159" s="436"/>
      <c r="AC159" s="436"/>
      <c r="AD159" s="436"/>
      <c r="AE159" s="436"/>
      <c r="AF159" s="436"/>
      <c r="AG159" s="436"/>
      <c r="AH159" s="436"/>
      <c r="AI159" s="436"/>
      <c r="AJ159" s="436"/>
      <c r="AK159" s="436"/>
      <c r="AL159" s="436"/>
      <c r="AM159" s="436"/>
      <c r="AN159" s="436"/>
      <c r="AO159" s="436"/>
      <c r="AP159" s="436"/>
      <c r="AQ159" s="436"/>
      <c r="AR159" s="436"/>
      <c r="AS159" s="436"/>
      <c r="AT159" s="436"/>
      <c r="AU159" s="436"/>
      <c r="AV159" s="436"/>
      <c r="AW159" s="436"/>
      <c r="AX159" s="436"/>
      <c r="AY159" s="436"/>
      <c r="AZ159" s="436"/>
      <c r="BA159" s="436"/>
      <c r="BB159" s="436"/>
      <c r="BC159" s="436"/>
      <c r="BD159" s="436"/>
      <c r="BE159" s="436"/>
      <c r="BF159" s="436"/>
      <c r="BG159" s="436"/>
      <c r="BH159" s="436"/>
      <c r="BI159" s="436"/>
      <c r="BJ159" s="436"/>
      <c r="BK159" s="436"/>
      <c r="BL159" s="436"/>
      <c r="BM159" s="436"/>
      <c r="BN159" s="436"/>
      <c r="BO159" s="436"/>
      <c r="BP159" s="436"/>
      <c r="BQ159" s="436"/>
      <c r="BR159" s="436"/>
      <c r="BS159" s="436"/>
      <c r="BT159" s="436"/>
      <c r="BU159" s="436"/>
      <c r="BV159" s="436"/>
      <c r="BW159" s="436"/>
      <c r="BX159" s="436"/>
      <c r="BY159" s="436"/>
      <c r="BZ159" s="436"/>
      <c r="CA159" s="436"/>
      <c r="CB159" s="436"/>
      <c r="CC159" s="436"/>
      <c r="CD159" s="436"/>
      <c r="CE159" s="436"/>
      <c r="CF159" s="436"/>
      <c r="CG159" s="436"/>
      <c r="CH159" s="436"/>
      <c r="CI159" s="436"/>
      <c r="CJ159" s="436"/>
      <c r="CK159" s="436"/>
      <c r="CL159" s="436"/>
      <c r="CM159" s="436"/>
      <c r="CN159" s="436"/>
      <c r="CO159" s="436"/>
      <c r="CP159" s="436"/>
      <c r="CQ159" s="436"/>
      <c r="CR159" s="436"/>
      <c r="CS159" s="436"/>
      <c r="CT159" s="436"/>
      <c r="CU159" s="436"/>
      <c r="CV159" s="436"/>
      <c r="CW159" s="436"/>
      <c r="CX159" s="436"/>
      <c r="CY159" s="436"/>
      <c r="CZ159" s="436"/>
      <c r="DA159" s="436"/>
      <c r="DB159" s="436"/>
      <c r="DC159" s="436"/>
      <c r="DD159" s="436"/>
      <c r="DE159" s="436"/>
      <c r="DF159" s="436"/>
      <c r="DG159" s="436"/>
      <c r="DH159" s="436"/>
      <c r="DI159" s="436"/>
      <c r="DJ159" s="436"/>
      <c r="DK159" s="436"/>
      <c r="DL159" s="436"/>
      <c r="DM159" s="436"/>
      <c r="DN159" s="436"/>
      <c r="DO159" s="436"/>
      <c r="DP159" s="436"/>
      <c r="DQ159" s="436"/>
      <c r="DR159" s="436"/>
      <c r="DS159" s="436"/>
      <c r="DT159" s="436"/>
      <c r="DU159" s="436"/>
      <c r="DV159" s="436"/>
      <c r="DW159" s="436"/>
      <c r="DX159" s="436"/>
      <c r="DY159" s="436"/>
      <c r="DZ159" s="436"/>
      <c r="EA159" s="436"/>
      <c r="EB159" s="436"/>
      <c r="EC159" s="436"/>
      <c r="ED159" s="436"/>
      <c r="EE159" s="436"/>
      <c r="EF159" s="436"/>
      <c r="EG159" s="436"/>
      <c r="EH159" s="436"/>
      <c r="EI159" s="436"/>
      <c r="EJ159" s="436"/>
      <c r="EK159" s="436"/>
      <c r="EL159" s="436"/>
      <c r="EM159" s="436"/>
      <c r="EN159" s="436"/>
      <c r="EO159" s="436"/>
      <c r="EP159" s="436"/>
      <c r="EQ159" s="436"/>
      <c r="ER159" s="436"/>
      <c r="ES159" s="436"/>
      <c r="ET159" s="436"/>
      <c r="EU159" s="436"/>
      <c r="EV159" s="436"/>
      <c r="EW159" s="436"/>
      <c r="EX159" s="436"/>
      <c r="EY159" s="436"/>
      <c r="EZ159" s="436"/>
      <c r="FA159" s="436"/>
      <c r="FB159" s="436"/>
      <c r="FC159" s="436"/>
      <c r="FD159" s="436"/>
      <c r="FE159" s="436"/>
      <c r="FF159" s="436"/>
      <c r="FG159" s="436"/>
      <c r="FH159" s="436"/>
      <c r="FI159" s="436"/>
      <c r="FJ159" s="436"/>
      <c r="FK159" s="436"/>
      <c r="FL159" s="436"/>
      <c r="FM159" s="436"/>
      <c r="FN159" s="436"/>
      <c r="FO159" s="436"/>
      <c r="FP159" s="436"/>
      <c r="FQ159" s="436"/>
      <c r="FR159" s="436"/>
      <c r="FS159" s="436"/>
      <c r="FT159" s="436"/>
      <c r="FU159" s="436"/>
      <c r="FV159" s="436"/>
      <c r="FW159" s="436"/>
      <c r="FX159" s="436"/>
      <c r="FY159" s="436"/>
      <c r="FZ159" s="436"/>
      <c r="GA159" s="436"/>
      <c r="GB159" s="436"/>
      <c r="GC159" s="436"/>
      <c r="GD159" s="436"/>
      <c r="GE159" s="436"/>
      <c r="GF159" s="436"/>
      <c r="GG159" s="436"/>
      <c r="GH159" s="436"/>
      <c r="GI159" s="436"/>
      <c r="GJ159" s="436"/>
      <c r="GK159" s="436"/>
      <c r="GL159" s="436"/>
      <c r="GM159" s="436"/>
      <c r="GN159" s="436"/>
      <c r="GO159" s="436"/>
      <c r="GP159" s="436"/>
      <c r="GQ159" s="436"/>
      <c r="GR159" s="436"/>
      <c r="GS159" s="436"/>
      <c r="GT159" s="436"/>
      <c r="GU159" s="436"/>
      <c r="GV159" s="436"/>
      <c r="GW159" s="436"/>
      <c r="GX159" s="436"/>
      <c r="GY159" s="436"/>
      <c r="GZ159" s="436"/>
      <c r="HA159" s="436"/>
      <c r="HB159" s="436"/>
      <c r="HC159" s="436"/>
      <c r="HD159" s="436"/>
      <c r="HE159" s="436"/>
      <c r="HF159" s="436"/>
      <c r="HG159" s="436"/>
      <c r="HH159" s="436"/>
      <c r="HI159" s="436"/>
      <c r="HJ159" s="436"/>
      <c r="HK159" s="436"/>
      <c r="HL159" s="436"/>
      <c r="HM159" s="436"/>
      <c r="HN159" s="436"/>
      <c r="HO159" s="436"/>
      <c r="HP159" s="436"/>
      <c r="HQ159" s="436"/>
      <c r="HR159" s="436"/>
      <c r="HS159" s="436"/>
      <c r="HT159" s="436"/>
      <c r="HU159" s="436"/>
      <c r="HV159" s="436"/>
      <c r="HW159" s="436"/>
      <c r="HX159" s="436"/>
      <c r="HY159" s="436"/>
      <c r="HZ159" s="436"/>
      <c r="IA159" s="436"/>
      <c r="IB159" s="436"/>
      <c r="IC159" s="436"/>
      <c r="ID159" s="436"/>
      <c r="IE159" s="436"/>
      <c r="IF159" s="436"/>
      <c r="IG159" s="436"/>
      <c r="IH159" s="436"/>
      <c r="II159" s="436"/>
      <c r="IJ159" s="436"/>
      <c r="IK159" s="436"/>
      <c r="IL159" s="436"/>
      <c r="IM159" s="436"/>
      <c r="IN159" s="436"/>
      <c r="IO159" s="436"/>
      <c r="IP159" s="436"/>
      <c r="IQ159" s="265"/>
      <c r="IR159" s="265"/>
    </row>
    <row r="160" spans="1:252" s="461" customFormat="1" x14ac:dyDescent="0.35">
      <c r="A160" s="685"/>
      <c r="B160" s="503"/>
      <c r="C160" s="503"/>
      <c r="D160" s="439"/>
      <c r="E160" s="686"/>
      <c r="J160" s="1591"/>
      <c r="M160" s="436"/>
      <c r="N160" s="436"/>
      <c r="O160" s="436"/>
      <c r="P160" s="436"/>
      <c r="Q160" s="436"/>
      <c r="R160" s="436"/>
      <c r="S160" s="436"/>
      <c r="T160" s="436"/>
      <c r="U160" s="436"/>
      <c r="V160" s="436"/>
      <c r="W160" s="436"/>
      <c r="X160" s="436"/>
      <c r="Y160" s="436"/>
      <c r="Z160" s="436"/>
      <c r="AA160" s="436"/>
      <c r="AB160" s="436"/>
      <c r="AC160" s="436"/>
      <c r="AD160" s="436"/>
      <c r="AE160" s="436"/>
      <c r="AF160" s="436"/>
      <c r="AG160" s="436"/>
      <c r="AH160" s="436"/>
      <c r="AI160" s="436"/>
      <c r="AJ160" s="436"/>
      <c r="AK160" s="436"/>
      <c r="AL160" s="436"/>
      <c r="AM160" s="436"/>
      <c r="AN160" s="436"/>
      <c r="AO160" s="436"/>
      <c r="AP160" s="436"/>
      <c r="AQ160" s="436"/>
      <c r="AR160" s="436"/>
      <c r="AS160" s="436"/>
      <c r="AT160" s="436"/>
      <c r="AU160" s="436"/>
      <c r="AV160" s="436"/>
      <c r="AW160" s="436"/>
      <c r="AX160" s="436"/>
      <c r="AY160" s="436"/>
      <c r="AZ160" s="436"/>
      <c r="BA160" s="436"/>
      <c r="BB160" s="436"/>
      <c r="BC160" s="436"/>
      <c r="BD160" s="436"/>
      <c r="BE160" s="436"/>
      <c r="BF160" s="436"/>
      <c r="BG160" s="436"/>
      <c r="BH160" s="436"/>
      <c r="BI160" s="436"/>
      <c r="BJ160" s="436"/>
      <c r="BK160" s="436"/>
      <c r="BL160" s="436"/>
      <c r="BM160" s="436"/>
      <c r="BN160" s="436"/>
      <c r="BO160" s="436"/>
      <c r="BP160" s="436"/>
      <c r="BQ160" s="436"/>
      <c r="BR160" s="436"/>
      <c r="BS160" s="436"/>
      <c r="BT160" s="436"/>
      <c r="BU160" s="436"/>
      <c r="BV160" s="436"/>
      <c r="BW160" s="436"/>
      <c r="BX160" s="436"/>
      <c r="BY160" s="436"/>
      <c r="BZ160" s="436"/>
      <c r="CA160" s="436"/>
      <c r="CB160" s="436"/>
      <c r="CC160" s="436"/>
      <c r="CD160" s="436"/>
      <c r="CE160" s="436"/>
      <c r="CF160" s="436"/>
      <c r="CG160" s="436"/>
      <c r="CH160" s="436"/>
      <c r="CI160" s="436"/>
      <c r="CJ160" s="436"/>
      <c r="CK160" s="436"/>
      <c r="CL160" s="436"/>
      <c r="CM160" s="436"/>
      <c r="CN160" s="436"/>
      <c r="CO160" s="436"/>
      <c r="CP160" s="436"/>
      <c r="CQ160" s="436"/>
      <c r="CR160" s="436"/>
      <c r="CS160" s="436"/>
      <c r="CT160" s="436"/>
      <c r="CU160" s="436"/>
      <c r="CV160" s="436"/>
      <c r="CW160" s="436"/>
      <c r="CX160" s="436"/>
      <c r="CY160" s="436"/>
      <c r="CZ160" s="436"/>
      <c r="DA160" s="436"/>
      <c r="DB160" s="436"/>
      <c r="DC160" s="436"/>
      <c r="DD160" s="436"/>
      <c r="DE160" s="436"/>
      <c r="DF160" s="436"/>
      <c r="DG160" s="436"/>
      <c r="DH160" s="436"/>
      <c r="DI160" s="436"/>
      <c r="DJ160" s="436"/>
      <c r="DK160" s="436"/>
      <c r="DL160" s="436"/>
      <c r="DM160" s="436"/>
      <c r="DN160" s="436"/>
      <c r="DO160" s="436"/>
      <c r="DP160" s="436"/>
      <c r="DQ160" s="436"/>
      <c r="DR160" s="436"/>
      <c r="DS160" s="436"/>
      <c r="DT160" s="436"/>
      <c r="DU160" s="436"/>
      <c r="DV160" s="436"/>
      <c r="DW160" s="436"/>
      <c r="DX160" s="436"/>
      <c r="DY160" s="436"/>
      <c r="DZ160" s="436"/>
      <c r="EA160" s="436"/>
      <c r="EB160" s="436"/>
      <c r="EC160" s="436"/>
      <c r="ED160" s="436"/>
      <c r="EE160" s="436"/>
      <c r="EF160" s="436"/>
      <c r="EG160" s="436"/>
      <c r="EH160" s="436"/>
      <c r="EI160" s="436"/>
      <c r="EJ160" s="436"/>
      <c r="EK160" s="436"/>
      <c r="EL160" s="436"/>
      <c r="EM160" s="436"/>
      <c r="EN160" s="436"/>
      <c r="EO160" s="436"/>
      <c r="EP160" s="436"/>
      <c r="EQ160" s="436"/>
      <c r="ER160" s="436"/>
      <c r="ES160" s="436"/>
      <c r="ET160" s="436"/>
      <c r="EU160" s="436"/>
      <c r="EV160" s="436"/>
      <c r="EW160" s="436"/>
      <c r="EX160" s="436"/>
      <c r="EY160" s="436"/>
      <c r="EZ160" s="436"/>
      <c r="FA160" s="436"/>
      <c r="FB160" s="436"/>
      <c r="FC160" s="436"/>
      <c r="FD160" s="436"/>
      <c r="FE160" s="436"/>
      <c r="FF160" s="436"/>
      <c r="FG160" s="436"/>
      <c r="FH160" s="436"/>
      <c r="FI160" s="436"/>
      <c r="FJ160" s="436"/>
      <c r="FK160" s="436"/>
      <c r="FL160" s="436"/>
      <c r="FM160" s="436"/>
      <c r="FN160" s="436"/>
      <c r="FO160" s="436"/>
      <c r="FP160" s="436"/>
      <c r="FQ160" s="436"/>
      <c r="FR160" s="436"/>
      <c r="FS160" s="436"/>
      <c r="FT160" s="436"/>
      <c r="FU160" s="436"/>
      <c r="FV160" s="436"/>
      <c r="FW160" s="436"/>
      <c r="FX160" s="436"/>
      <c r="FY160" s="436"/>
      <c r="FZ160" s="436"/>
      <c r="GA160" s="436"/>
      <c r="GB160" s="436"/>
      <c r="GC160" s="436"/>
      <c r="GD160" s="436"/>
      <c r="GE160" s="436"/>
      <c r="GF160" s="436"/>
      <c r="GG160" s="436"/>
      <c r="GH160" s="436"/>
      <c r="GI160" s="436"/>
      <c r="GJ160" s="436"/>
      <c r="GK160" s="436"/>
      <c r="GL160" s="436"/>
      <c r="GM160" s="436"/>
      <c r="GN160" s="436"/>
      <c r="GO160" s="436"/>
      <c r="GP160" s="436"/>
      <c r="GQ160" s="436"/>
      <c r="GR160" s="436"/>
      <c r="GS160" s="436"/>
      <c r="GT160" s="436"/>
      <c r="GU160" s="436"/>
      <c r="GV160" s="436"/>
      <c r="GW160" s="436"/>
      <c r="GX160" s="436"/>
      <c r="GY160" s="436"/>
      <c r="GZ160" s="436"/>
      <c r="HA160" s="436"/>
      <c r="HB160" s="436"/>
      <c r="HC160" s="436"/>
      <c r="HD160" s="436"/>
      <c r="HE160" s="436"/>
      <c r="HF160" s="436"/>
      <c r="HG160" s="436"/>
      <c r="HH160" s="436"/>
      <c r="HI160" s="436"/>
      <c r="HJ160" s="436"/>
      <c r="HK160" s="436"/>
      <c r="HL160" s="436"/>
      <c r="HM160" s="436"/>
      <c r="HN160" s="436"/>
      <c r="HO160" s="436"/>
      <c r="HP160" s="436"/>
      <c r="HQ160" s="436"/>
      <c r="HR160" s="436"/>
      <c r="HS160" s="436"/>
      <c r="HT160" s="436"/>
      <c r="HU160" s="436"/>
      <c r="HV160" s="436"/>
      <c r="HW160" s="436"/>
      <c r="HX160" s="436"/>
      <c r="HY160" s="436"/>
      <c r="HZ160" s="436"/>
      <c r="IA160" s="436"/>
      <c r="IB160" s="436"/>
      <c r="IC160" s="436"/>
      <c r="ID160" s="436"/>
      <c r="IE160" s="436"/>
      <c r="IF160" s="436"/>
      <c r="IG160" s="436"/>
      <c r="IH160" s="436"/>
      <c r="II160" s="436"/>
      <c r="IJ160" s="436"/>
      <c r="IK160" s="436"/>
      <c r="IL160" s="436"/>
      <c r="IM160" s="436"/>
      <c r="IN160" s="436"/>
      <c r="IO160" s="436"/>
      <c r="IP160" s="436"/>
      <c r="IQ160" s="265"/>
      <c r="IR160" s="265"/>
    </row>
    <row r="161" spans="1:252" s="461" customFormat="1" x14ac:dyDescent="0.35">
      <c r="A161" s="685"/>
      <c r="B161" s="503"/>
      <c r="C161" s="503"/>
      <c r="D161" s="439"/>
      <c r="E161" s="686"/>
      <c r="J161" s="1591"/>
      <c r="M161" s="436"/>
      <c r="N161" s="436"/>
      <c r="O161" s="436"/>
      <c r="P161" s="436"/>
      <c r="Q161" s="436"/>
      <c r="R161" s="436"/>
      <c r="S161" s="436"/>
      <c r="T161" s="436"/>
      <c r="U161" s="436"/>
      <c r="V161" s="436"/>
      <c r="W161" s="436"/>
      <c r="X161" s="436"/>
      <c r="Y161" s="436"/>
      <c r="Z161" s="436"/>
      <c r="AA161" s="436"/>
      <c r="AB161" s="436"/>
      <c r="AC161" s="436"/>
      <c r="AD161" s="436"/>
      <c r="AE161" s="436"/>
      <c r="AF161" s="436"/>
      <c r="AG161" s="436"/>
      <c r="AH161" s="436"/>
      <c r="AI161" s="436"/>
      <c r="AJ161" s="436"/>
      <c r="AK161" s="436"/>
      <c r="AL161" s="436"/>
      <c r="AM161" s="436"/>
      <c r="AN161" s="436"/>
      <c r="AO161" s="436"/>
      <c r="AP161" s="436"/>
      <c r="AQ161" s="436"/>
      <c r="AR161" s="436"/>
      <c r="AS161" s="436"/>
      <c r="AT161" s="436"/>
      <c r="AU161" s="436"/>
      <c r="AV161" s="436"/>
      <c r="AW161" s="436"/>
      <c r="AX161" s="436"/>
      <c r="AY161" s="436"/>
      <c r="AZ161" s="436"/>
      <c r="BA161" s="436"/>
      <c r="BB161" s="436"/>
      <c r="BC161" s="436"/>
      <c r="BD161" s="436"/>
      <c r="BE161" s="436"/>
      <c r="BF161" s="436"/>
      <c r="BG161" s="436"/>
      <c r="BH161" s="436"/>
      <c r="BI161" s="436"/>
      <c r="BJ161" s="436"/>
      <c r="BK161" s="436"/>
      <c r="BL161" s="436"/>
      <c r="BM161" s="436"/>
      <c r="BN161" s="436"/>
      <c r="BO161" s="436"/>
      <c r="BP161" s="436"/>
      <c r="BQ161" s="436"/>
      <c r="BR161" s="436"/>
      <c r="BS161" s="436"/>
      <c r="BT161" s="436"/>
      <c r="BU161" s="436"/>
      <c r="BV161" s="436"/>
      <c r="BW161" s="436"/>
      <c r="BX161" s="436"/>
      <c r="BY161" s="436"/>
      <c r="BZ161" s="436"/>
      <c r="CA161" s="436"/>
      <c r="CB161" s="436"/>
      <c r="CC161" s="436"/>
      <c r="CD161" s="436"/>
      <c r="CE161" s="436"/>
      <c r="CF161" s="436"/>
      <c r="CG161" s="436"/>
      <c r="CH161" s="436"/>
      <c r="CI161" s="436"/>
      <c r="CJ161" s="436"/>
      <c r="CK161" s="436"/>
      <c r="CL161" s="436"/>
      <c r="CM161" s="436"/>
      <c r="CN161" s="436"/>
      <c r="CO161" s="436"/>
      <c r="CP161" s="436"/>
      <c r="CQ161" s="436"/>
      <c r="CR161" s="436"/>
      <c r="CS161" s="436"/>
      <c r="CT161" s="436"/>
      <c r="CU161" s="436"/>
      <c r="CV161" s="436"/>
      <c r="CW161" s="436"/>
      <c r="CX161" s="436"/>
      <c r="CY161" s="436"/>
      <c r="CZ161" s="436"/>
      <c r="DA161" s="436"/>
      <c r="DB161" s="436"/>
      <c r="DC161" s="436"/>
      <c r="DD161" s="436"/>
      <c r="DE161" s="436"/>
      <c r="DF161" s="436"/>
      <c r="DG161" s="436"/>
      <c r="DH161" s="436"/>
      <c r="DI161" s="436"/>
      <c r="DJ161" s="436"/>
      <c r="DK161" s="436"/>
      <c r="DL161" s="436"/>
      <c r="DM161" s="436"/>
      <c r="DN161" s="436"/>
      <c r="DO161" s="436"/>
      <c r="DP161" s="436"/>
      <c r="DQ161" s="436"/>
      <c r="DR161" s="436"/>
      <c r="DS161" s="436"/>
      <c r="DT161" s="436"/>
      <c r="DU161" s="436"/>
      <c r="DV161" s="436"/>
      <c r="DW161" s="436"/>
      <c r="DX161" s="436"/>
      <c r="DY161" s="436"/>
      <c r="DZ161" s="436"/>
      <c r="EA161" s="436"/>
      <c r="EB161" s="436"/>
      <c r="EC161" s="436"/>
      <c r="ED161" s="436"/>
      <c r="EE161" s="436"/>
      <c r="EF161" s="436"/>
      <c r="EG161" s="436"/>
      <c r="EH161" s="436"/>
      <c r="EI161" s="436"/>
      <c r="EJ161" s="436"/>
      <c r="EK161" s="436"/>
      <c r="EL161" s="436"/>
      <c r="EM161" s="436"/>
      <c r="EN161" s="436"/>
      <c r="EO161" s="436"/>
      <c r="EP161" s="436"/>
      <c r="EQ161" s="436"/>
      <c r="ER161" s="436"/>
      <c r="ES161" s="436"/>
      <c r="ET161" s="436"/>
      <c r="EU161" s="436"/>
      <c r="EV161" s="436"/>
      <c r="EW161" s="436"/>
      <c r="EX161" s="436"/>
      <c r="EY161" s="436"/>
      <c r="EZ161" s="436"/>
      <c r="FA161" s="436"/>
      <c r="FB161" s="436"/>
      <c r="FC161" s="436"/>
      <c r="FD161" s="436"/>
      <c r="FE161" s="436"/>
      <c r="FF161" s="436"/>
      <c r="FG161" s="436"/>
      <c r="FH161" s="436"/>
      <c r="FI161" s="436"/>
      <c r="FJ161" s="436"/>
      <c r="FK161" s="436"/>
      <c r="FL161" s="436"/>
      <c r="FM161" s="436"/>
      <c r="FN161" s="436"/>
      <c r="FO161" s="436"/>
      <c r="FP161" s="436"/>
      <c r="FQ161" s="436"/>
      <c r="FR161" s="436"/>
      <c r="FS161" s="436"/>
      <c r="FT161" s="436"/>
      <c r="FU161" s="436"/>
      <c r="FV161" s="436"/>
      <c r="FW161" s="436"/>
      <c r="FX161" s="436"/>
      <c r="FY161" s="436"/>
      <c r="FZ161" s="436"/>
      <c r="GA161" s="436"/>
      <c r="GB161" s="436"/>
      <c r="GC161" s="436"/>
      <c r="GD161" s="436"/>
      <c r="GE161" s="436"/>
      <c r="GF161" s="436"/>
      <c r="GG161" s="436"/>
      <c r="GH161" s="436"/>
      <c r="GI161" s="436"/>
      <c r="GJ161" s="436"/>
      <c r="GK161" s="436"/>
      <c r="GL161" s="436"/>
      <c r="GM161" s="436"/>
      <c r="GN161" s="436"/>
      <c r="GO161" s="436"/>
      <c r="GP161" s="436"/>
      <c r="GQ161" s="436"/>
      <c r="GR161" s="436"/>
      <c r="GS161" s="436"/>
      <c r="GT161" s="436"/>
      <c r="GU161" s="436"/>
      <c r="GV161" s="436"/>
      <c r="GW161" s="436"/>
      <c r="GX161" s="436"/>
      <c r="GY161" s="436"/>
      <c r="GZ161" s="436"/>
      <c r="HA161" s="436"/>
      <c r="HB161" s="436"/>
      <c r="HC161" s="436"/>
      <c r="HD161" s="436"/>
      <c r="HE161" s="436"/>
      <c r="HF161" s="436"/>
      <c r="HG161" s="436"/>
      <c r="HH161" s="436"/>
      <c r="HI161" s="436"/>
      <c r="HJ161" s="436"/>
      <c r="HK161" s="436"/>
      <c r="HL161" s="436"/>
      <c r="HM161" s="436"/>
      <c r="HN161" s="436"/>
      <c r="HO161" s="436"/>
      <c r="HP161" s="436"/>
      <c r="HQ161" s="436"/>
      <c r="HR161" s="436"/>
      <c r="HS161" s="436"/>
      <c r="HT161" s="436"/>
      <c r="HU161" s="436"/>
      <c r="HV161" s="436"/>
      <c r="HW161" s="436"/>
      <c r="HX161" s="436"/>
      <c r="HY161" s="436"/>
      <c r="HZ161" s="436"/>
      <c r="IA161" s="436"/>
      <c r="IB161" s="436"/>
      <c r="IC161" s="436"/>
      <c r="ID161" s="436"/>
      <c r="IE161" s="436"/>
      <c r="IF161" s="436"/>
      <c r="IG161" s="436"/>
      <c r="IH161" s="436"/>
      <c r="II161" s="436"/>
      <c r="IJ161" s="436"/>
      <c r="IK161" s="436"/>
      <c r="IL161" s="436"/>
      <c r="IM161" s="436"/>
      <c r="IN161" s="436"/>
      <c r="IO161" s="436"/>
      <c r="IP161" s="436"/>
      <c r="IQ161" s="265"/>
      <c r="IR161" s="265"/>
    </row>
    <row r="162" spans="1:252" s="461" customFormat="1" x14ac:dyDescent="0.35">
      <c r="A162" s="685"/>
      <c r="B162" s="503"/>
      <c r="C162" s="503"/>
      <c r="D162" s="439"/>
      <c r="E162" s="686"/>
      <c r="J162" s="1591"/>
      <c r="M162" s="436"/>
      <c r="N162" s="436"/>
      <c r="O162" s="436"/>
      <c r="P162" s="436"/>
      <c r="Q162" s="436"/>
      <c r="R162" s="436"/>
      <c r="S162" s="436"/>
      <c r="T162" s="436"/>
      <c r="U162" s="436"/>
      <c r="V162" s="436"/>
      <c r="W162" s="436"/>
      <c r="X162" s="436"/>
      <c r="Y162" s="436"/>
      <c r="Z162" s="436"/>
      <c r="AA162" s="436"/>
      <c r="AB162" s="436"/>
      <c r="AC162" s="436"/>
      <c r="AD162" s="436"/>
      <c r="AE162" s="436"/>
      <c r="AF162" s="436"/>
      <c r="AG162" s="436"/>
      <c r="AH162" s="436"/>
      <c r="AI162" s="436"/>
      <c r="AJ162" s="436"/>
      <c r="AK162" s="436"/>
      <c r="AL162" s="436"/>
      <c r="AM162" s="436"/>
      <c r="AN162" s="436"/>
      <c r="AO162" s="436"/>
      <c r="AP162" s="436"/>
      <c r="AQ162" s="436"/>
      <c r="AR162" s="436"/>
      <c r="AS162" s="436"/>
      <c r="AT162" s="436"/>
      <c r="AU162" s="436"/>
      <c r="AV162" s="436"/>
      <c r="AW162" s="436"/>
      <c r="AX162" s="436"/>
      <c r="AY162" s="436"/>
      <c r="AZ162" s="436"/>
      <c r="BA162" s="436"/>
      <c r="BB162" s="436"/>
      <c r="BC162" s="436"/>
      <c r="BD162" s="436"/>
      <c r="BE162" s="436"/>
      <c r="BF162" s="436"/>
      <c r="BG162" s="436"/>
      <c r="BH162" s="436"/>
      <c r="BI162" s="436"/>
      <c r="BJ162" s="436"/>
      <c r="BK162" s="436"/>
      <c r="BL162" s="436"/>
      <c r="BM162" s="436"/>
      <c r="BN162" s="436"/>
      <c r="BO162" s="436"/>
      <c r="BP162" s="436"/>
      <c r="BQ162" s="436"/>
      <c r="BR162" s="436"/>
      <c r="BS162" s="436"/>
      <c r="BT162" s="436"/>
      <c r="BU162" s="436"/>
      <c r="BV162" s="436"/>
      <c r="BW162" s="436"/>
      <c r="BX162" s="436"/>
      <c r="BY162" s="436"/>
      <c r="BZ162" s="436"/>
      <c r="CA162" s="436"/>
      <c r="CB162" s="436"/>
      <c r="CC162" s="436"/>
      <c r="CD162" s="436"/>
      <c r="CE162" s="436"/>
      <c r="CF162" s="436"/>
      <c r="CG162" s="436"/>
      <c r="CH162" s="436"/>
      <c r="CI162" s="436"/>
      <c r="CJ162" s="436"/>
      <c r="CK162" s="436"/>
      <c r="CL162" s="436"/>
      <c r="CM162" s="436"/>
      <c r="CN162" s="436"/>
      <c r="CO162" s="436"/>
      <c r="CP162" s="436"/>
      <c r="CQ162" s="436"/>
      <c r="CR162" s="436"/>
      <c r="CS162" s="436"/>
      <c r="CT162" s="436"/>
      <c r="CU162" s="436"/>
      <c r="CV162" s="436"/>
      <c r="CW162" s="436"/>
      <c r="CX162" s="436"/>
      <c r="CY162" s="436"/>
      <c r="CZ162" s="436"/>
      <c r="DA162" s="436"/>
      <c r="DB162" s="436"/>
      <c r="DC162" s="436"/>
      <c r="DD162" s="436"/>
      <c r="DE162" s="436"/>
      <c r="DF162" s="436"/>
      <c r="DG162" s="436"/>
      <c r="DH162" s="436"/>
      <c r="DI162" s="436"/>
      <c r="DJ162" s="436"/>
      <c r="DK162" s="436"/>
      <c r="DL162" s="436"/>
      <c r="DM162" s="436"/>
      <c r="DN162" s="436"/>
      <c r="DO162" s="436"/>
      <c r="DP162" s="436"/>
      <c r="DQ162" s="436"/>
      <c r="DR162" s="436"/>
      <c r="DS162" s="436"/>
      <c r="DT162" s="436"/>
      <c r="DU162" s="436"/>
      <c r="DV162" s="436"/>
      <c r="DW162" s="436"/>
      <c r="DX162" s="436"/>
      <c r="DY162" s="436"/>
      <c r="DZ162" s="436"/>
      <c r="EA162" s="436"/>
      <c r="EB162" s="436"/>
      <c r="EC162" s="436"/>
      <c r="ED162" s="436"/>
      <c r="EE162" s="436"/>
      <c r="EF162" s="436"/>
      <c r="EG162" s="436"/>
      <c r="EH162" s="436"/>
      <c r="EI162" s="436"/>
      <c r="EJ162" s="436"/>
      <c r="EK162" s="436"/>
      <c r="EL162" s="436"/>
      <c r="EM162" s="436"/>
      <c r="EN162" s="436"/>
      <c r="EO162" s="436"/>
      <c r="EP162" s="436"/>
      <c r="EQ162" s="436"/>
      <c r="ER162" s="436"/>
      <c r="ES162" s="436"/>
      <c r="ET162" s="436"/>
      <c r="EU162" s="436"/>
      <c r="EV162" s="436"/>
      <c r="EW162" s="436"/>
      <c r="EX162" s="436"/>
      <c r="EY162" s="436"/>
      <c r="EZ162" s="436"/>
      <c r="FA162" s="436"/>
      <c r="FB162" s="436"/>
      <c r="FC162" s="436"/>
      <c r="FD162" s="436"/>
      <c r="FE162" s="436"/>
      <c r="FF162" s="436"/>
      <c r="FG162" s="436"/>
      <c r="FH162" s="436"/>
      <c r="FI162" s="436"/>
      <c r="FJ162" s="436"/>
      <c r="FK162" s="436"/>
      <c r="FL162" s="436"/>
      <c r="FM162" s="436"/>
      <c r="FN162" s="436"/>
      <c r="FO162" s="436"/>
      <c r="FP162" s="436"/>
      <c r="FQ162" s="436"/>
      <c r="FR162" s="436"/>
      <c r="FS162" s="436"/>
      <c r="FT162" s="436"/>
      <c r="FU162" s="436"/>
      <c r="FV162" s="436"/>
      <c r="FW162" s="436"/>
      <c r="FX162" s="436"/>
      <c r="FY162" s="436"/>
      <c r="FZ162" s="436"/>
      <c r="GA162" s="436"/>
      <c r="GB162" s="436"/>
      <c r="GC162" s="436"/>
      <c r="GD162" s="436"/>
      <c r="GE162" s="436"/>
      <c r="GF162" s="436"/>
      <c r="GG162" s="436"/>
      <c r="GH162" s="436"/>
      <c r="GI162" s="436"/>
      <c r="GJ162" s="436"/>
      <c r="GK162" s="436"/>
      <c r="GL162" s="436"/>
      <c r="GM162" s="436"/>
      <c r="GN162" s="436"/>
      <c r="GO162" s="436"/>
      <c r="GP162" s="436"/>
      <c r="GQ162" s="436"/>
      <c r="GR162" s="436"/>
      <c r="GS162" s="436"/>
      <c r="GT162" s="436"/>
      <c r="GU162" s="436"/>
      <c r="GV162" s="436"/>
      <c r="GW162" s="436"/>
      <c r="GX162" s="436"/>
      <c r="GY162" s="436"/>
      <c r="GZ162" s="436"/>
      <c r="HA162" s="436"/>
      <c r="HB162" s="436"/>
      <c r="HC162" s="436"/>
      <c r="HD162" s="436"/>
      <c r="HE162" s="436"/>
      <c r="HF162" s="436"/>
      <c r="HG162" s="436"/>
      <c r="HH162" s="436"/>
      <c r="HI162" s="436"/>
      <c r="HJ162" s="436"/>
      <c r="HK162" s="436"/>
      <c r="HL162" s="436"/>
      <c r="HM162" s="436"/>
      <c r="HN162" s="436"/>
      <c r="HO162" s="436"/>
      <c r="HP162" s="436"/>
      <c r="HQ162" s="436"/>
      <c r="HR162" s="436"/>
      <c r="HS162" s="436"/>
      <c r="HT162" s="436"/>
      <c r="HU162" s="436"/>
      <c r="HV162" s="436"/>
      <c r="HW162" s="436"/>
      <c r="HX162" s="436"/>
      <c r="HY162" s="436"/>
      <c r="HZ162" s="436"/>
      <c r="IA162" s="436"/>
      <c r="IB162" s="436"/>
      <c r="IC162" s="436"/>
      <c r="ID162" s="436"/>
      <c r="IE162" s="436"/>
      <c r="IF162" s="436"/>
      <c r="IG162" s="436"/>
      <c r="IH162" s="436"/>
      <c r="II162" s="436"/>
      <c r="IJ162" s="436"/>
      <c r="IK162" s="436"/>
      <c r="IL162" s="436"/>
      <c r="IM162" s="436"/>
      <c r="IN162" s="436"/>
      <c r="IO162" s="436"/>
      <c r="IP162" s="436"/>
      <c r="IQ162" s="265"/>
      <c r="IR162" s="265"/>
    </row>
    <row r="163" spans="1:252" s="461" customFormat="1" x14ac:dyDescent="0.35">
      <c r="A163" s="685"/>
      <c r="B163" s="503"/>
      <c r="C163" s="503"/>
      <c r="D163" s="439"/>
      <c r="E163" s="686"/>
      <c r="J163" s="1591"/>
      <c r="M163" s="436"/>
      <c r="N163" s="436"/>
      <c r="O163" s="436"/>
      <c r="P163" s="436"/>
      <c r="Q163" s="436"/>
      <c r="R163" s="436"/>
      <c r="S163" s="436"/>
      <c r="T163" s="436"/>
      <c r="U163" s="436"/>
      <c r="V163" s="436"/>
      <c r="W163" s="436"/>
      <c r="X163" s="436"/>
      <c r="Y163" s="436"/>
      <c r="Z163" s="436"/>
      <c r="AA163" s="436"/>
      <c r="AB163" s="436"/>
      <c r="AC163" s="436"/>
      <c r="AD163" s="436"/>
      <c r="AE163" s="436"/>
      <c r="AF163" s="436"/>
      <c r="AG163" s="436"/>
      <c r="AH163" s="436"/>
      <c r="AI163" s="436"/>
      <c r="AJ163" s="436"/>
      <c r="AK163" s="436"/>
      <c r="AL163" s="436"/>
      <c r="AM163" s="436"/>
      <c r="AN163" s="436"/>
      <c r="AO163" s="436"/>
      <c r="AP163" s="436"/>
      <c r="AQ163" s="436"/>
      <c r="AR163" s="436"/>
      <c r="AS163" s="436"/>
      <c r="AT163" s="436"/>
      <c r="AU163" s="436"/>
      <c r="AV163" s="436"/>
      <c r="AW163" s="436"/>
      <c r="AX163" s="436"/>
      <c r="AY163" s="436"/>
      <c r="AZ163" s="436"/>
      <c r="BA163" s="436"/>
      <c r="BB163" s="436"/>
      <c r="BC163" s="436"/>
      <c r="BD163" s="436"/>
      <c r="BE163" s="436"/>
      <c r="BF163" s="436"/>
      <c r="BG163" s="436"/>
      <c r="BH163" s="436"/>
      <c r="BI163" s="436"/>
      <c r="BJ163" s="436"/>
      <c r="BK163" s="436"/>
      <c r="BL163" s="436"/>
      <c r="BM163" s="436"/>
      <c r="BN163" s="436"/>
      <c r="BO163" s="436"/>
      <c r="BP163" s="436"/>
      <c r="BQ163" s="436"/>
      <c r="BR163" s="436"/>
      <c r="BS163" s="436"/>
      <c r="BT163" s="436"/>
      <c r="BU163" s="436"/>
      <c r="BV163" s="436"/>
      <c r="BW163" s="436"/>
      <c r="BX163" s="436"/>
      <c r="BY163" s="436"/>
      <c r="BZ163" s="436"/>
      <c r="CA163" s="436"/>
      <c r="CB163" s="436"/>
      <c r="CC163" s="436"/>
      <c r="CD163" s="436"/>
      <c r="CE163" s="436"/>
      <c r="CF163" s="436"/>
      <c r="CG163" s="436"/>
      <c r="CH163" s="436"/>
      <c r="CI163" s="436"/>
      <c r="CJ163" s="436"/>
      <c r="CK163" s="436"/>
      <c r="CL163" s="436"/>
      <c r="CM163" s="436"/>
      <c r="CN163" s="436"/>
      <c r="CO163" s="436"/>
      <c r="CP163" s="436"/>
      <c r="CQ163" s="436"/>
      <c r="CR163" s="436"/>
      <c r="CS163" s="436"/>
      <c r="CT163" s="436"/>
      <c r="CU163" s="436"/>
      <c r="CV163" s="436"/>
      <c r="CW163" s="436"/>
      <c r="CX163" s="436"/>
      <c r="CY163" s="436"/>
      <c r="CZ163" s="436"/>
      <c r="DA163" s="436"/>
      <c r="DB163" s="436"/>
      <c r="DC163" s="436"/>
      <c r="DD163" s="436"/>
      <c r="DE163" s="436"/>
      <c r="DF163" s="436"/>
      <c r="DG163" s="436"/>
      <c r="DH163" s="436"/>
      <c r="DI163" s="436"/>
      <c r="DJ163" s="436"/>
      <c r="DK163" s="436"/>
      <c r="DL163" s="436"/>
      <c r="DM163" s="436"/>
      <c r="DN163" s="436"/>
      <c r="DO163" s="436"/>
      <c r="DP163" s="436"/>
      <c r="DQ163" s="436"/>
      <c r="DR163" s="436"/>
      <c r="DS163" s="436"/>
      <c r="DT163" s="436"/>
      <c r="DU163" s="436"/>
      <c r="DV163" s="436"/>
      <c r="DW163" s="436"/>
      <c r="DX163" s="436"/>
      <c r="DY163" s="436"/>
      <c r="DZ163" s="436"/>
      <c r="EA163" s="436"/>
      <c r="EB163" s="436"/>
      <c r="EC163" s="436"/>
      <c r="ED163" s="436"/>
      <c r="EE163" s="436"/>
      <c r="EF163" s="436"/>
      <c r="EG163" s="436"/>
      <c r="EH163" s="436"/>
      <c r="EI163" s="436"/>
      <c r="EJ163" s="436"/>
      <c r="EK163" s="436"/>
      <c r="EL163" s="436"/>
      <c r="EM163" s="436"/>
      <c r="EN163" s="436"/>
      <c r="EO163" s="436"/>
      <c r="EP163" s="436"/>
      <c r="EQ163" s="436"/>
      <c r="ER163" s="436"/>
      <c r="ES163" s="436"/>
      <c r="ET163" s="436"/>
      <c r="EU163" s="436"/>
      <c r="EV163" s="436"/>
      <c r="EW163" s="436"/>
      <c r="EX163" s="436"/>
      <c r="EY163" s="436"/>
      <c r="EZ163" s="436"/>
      <c r="FA163" s="436"/>
      <c r="FB163" s="436"/>
      <c r="FC163" s="436"/>
      <c r="FD163" s="436"/>
      <c r="FE163" s="436"/>
      <c r="FF163" s="436"/>
      <c r="FG163" s="436"/>
      <c r="FH163" s="436"/>
      <c r="FI163" s="436"/>
      <c r="FJ163" s="436"/>
      <c r="FK163" s="436"/>
      <c r="FL163" s="436"/>
      <c r="FM163" s="436"/>
      <c r="FN163" s="436"/>
      <c r="FO163" s="436"/>
      <c r="FP163" s="436"/>
      <c r="FQ163" s="436"/>
      <c r="FR163" s="436"/>
      <c r="FS163" s="436"/>
      <c r="FT163" s="436"/>
      <c r="FU163" s="436"/>
      <c r="FV163" s="436"/>
      <c r="FW163" s="436"/>
      <c r="FX163" s="436"/>
      <c r="FY163" s="436"/>
      <c r="FZ163" s="436"/>
      <c r="GA163" s="436"/>
      <c r="GB163" s="436"/>
      <c r="GC163" s="436"/>
      <c r="GD163" s="436"/>
      <c r="GE163" s="436"/>
      <c r="GF163" s="436"/>
      <c r="GG163" s="436"/>
      <c r="GH163" s="436"/>
      <c r="GI163" s="436"/>
      <c r="GJ163" s="436"/>
      <c r="GK163" s="436"/>
      <c r="GL163" s="436"/>
      <c r="GM163" s="436"/>
      <c r="GN163" s="436"/>
      <c r="GO163" s="436"/>
      <c r="GP163" s="436"/>
      <c r="GQ163" s="436"/>
      <c r="GR163" s="436"/>
      <c r="GS163" s="436"/>
      <c r="GT163" s="436"/>
      <c r="GU163" s="436"/>
      <c r="GV163" s="436"/>
      <c r="GW163" s="436"/>
      <c r="GX163" s="436"/>
      <c r="GY163" s="436"/>
      <c r="GZ163" s="436"/>
      <c r="HA163" s="436"/>
      <c r="HB163" s="436"/>
      <c r="HC163" s="436"/>
      <c r="HD163" s="436"/>
      <c r="HE163" s="436"/>
      <c r="HF163" s="436"/>
      <c r="HG163" s="436"/>
      <c r="HH163" s="436"/>
      <c r="HI163" s="436"/>
      <c r="HJ163" s="436"/>
      <c r="HK163" s="436"/>
      <c r="HL163" s="436"/>
      <c r="HM163" s="436"/>
      <c r="HN163" s="436"/>
      <c r="HO163" s="436"/>
      <c r="HP163" s="436"/>
      <c r="HQ163" s="436"/>
      <c r="HR163" s="436"/>
      <c r="HS163" s="436"/>
      <c r="HT163" s="436"/>
      <c r="HU163" s="436"/>
      <c r="HV163" s="436"/>
      <c r="HW163" s="436"/>
      <c r="HX163" s="436"/>
      <c r="HY163" s="436"/>
      <c r="HZ163" s="436"/>
      <c r="IA163" s="436"/>
      <c r="IB163" s="436"/>
      <c r="IC163" s="436"/>
      <c r="ID163" s="436"/>
      <c r="IE163" s="436"/>
      <c r="IF163" s="436"/>
      <c r="IG163" s="436"/>
      <c r="IH163" s="436"/>
      <c r="II163" s="436"/>
      <c r="IJ163" s="436"/>
      <c r="IK163" s="436"/>
      <c r="IL163" s="436"/>
      <c r="IM163" s="436"/>
      <c r="IN163" s="436"/>
      <c r="IO163" s="436"/>
      <c r="IP163" s="436"/>
      <c r="IQ163" s="265"/>
      <c r="IR163" s="265"/>
    </row>
    <row r="164" spans="1:252" s="461" customFormat="1" x14ac:dyDescent="0.35">
      <c r="A164" s="685"/>
      <c r="B164" s="503"/>
      <c r="C164" s="503"/>
      <c r="D164" s="439"/>
      <c r="E164" s="686"/>
      <c r="J164" s="1591"/>
      <c r="M164" s="436"/>
      <c r="N164" s="436"/>
      <c r="O164" s="436"/>
      <c r="P164" s="436"/>
      <c r="Q164" s="436"/>
      <c r="R164" s="436"/>
      <c r="S164" s="436"/>
      <c r="T164" s="436"/>
      <c r="U164" s="436"/>
      <c r="V164" s="436"/>
      <c r="W164" s="436"/>
      <c r="X164" s="436"/>
      <c r="Y164" s="436"/>
      <c r="Z164" s="436"/>
      <c r="AA164" s="436"/>
      <c r="AB164" s="436"/>
      <c r="AC164" s="436"/>
      <c r="AD164" s="436"/>
      <c r="AE164" s="436"/>
      <c r="AF164" s="436"/>
      <c r="AG164" s="436"/>
      <c r="AH164" s="436"/>
      <c r="AI164" s="436"/>
      <c r="AJ164" s="436"/>
      <c r="AK164" s="436"/>
      <c r="AL164" s="436"/>
      <c r="AM164" s="436"/>
      <c r="AN164" s="436"/>
      <c r="AO164" s="436"/>
      <c r="AP164" s="436"/>
      <c r="AQ164" s="436"/>
      <c r="AR164" s="436"/>
      <c r="AS164" s="436"/>
      <c r="AT164" s="436"/>
      <c r="AU164" s="436"/>
      <c r="AV164" s="436"/>
      <c r="AW164" s="436"/>
      <c r="AX164" s="436"/>
      <c r="AY164" s="436"/>
      <c r="AZ164" s="436"/>
      <c r="BA164" s="436"/>
      <c r="BB164" s="436"/>
      <c r="BC164" s="436"/>
      <c r="BD164" s="436"/>
      <c r="BE164" s="436"/>
      <c r="BF164" s="436"/>
      <c r="BG164" s="436"/>
      <c r="BH164" s="436"/>
      <c r="BI164" s="436"/>
      <c r="BJ164" s="436"/>
      <c r="BK164" s="436"/>
      <c r="BL164" s="436"/>
      <c r="BM164" s="436"/>
      <c r="BN164" s="436"/>
      <c r="BO164" s="436"/>
      <c r="BP164" s="436"/>
      <c r="BQ164" s="436"/>
      <c r="BR164" s="436"/>
      <c r="BS164" s="436"/>
      <c r="BT164" s="436"/>
      <c r="BU164" s="436"/>
      <c r="BV164" s="436"/>
      <c r="BW164" s="436"/>
      <c r="BX164" s="436"/>
      <c r="BY164" s="436"/>
      <c r="BZ164" s="436"/>
      <c r="CA164" s="436"/>
      <c r="CB164" s="436"/>
      <c r="CC164" s="436"/>
      <c r="CD164" s="436"/>
      <c r="CE164" s="436"/>
      <c r="CF164" s="436"/>
      <c r="CG164" s="436"/>
      <c r="CH164" s="436"/>
      <c r="CI164" s="436"/>
      <c r="CJ164" s="436"/>
      <c r="CK164" s="436"/>
      <c r="CL164" s="436"/>
      <c r="CM164" s="436"/>
      <c r="CN164" s="436"/>
      <c r="CO164" s="436"/>
      <c r="CP164" s="436"/>
      <c r="CQ164" s="436"/>
      <c r="CR164" s="436"/>
      <c r="CS164" s="436"/>
      <c r="CT164" s="436"/>
      <c r="CU164" s="436"/>
      <c r="CV164" s="436"/>
      <c r="CW164" s="436"/>
      <c r="CX164" s="436"/>
      <c r="CY164" s="436"/>
      <c r="CZ164" s="436"/>
      <c r="DA164" s="436"/>
      <c r="DB164" s="436"/>
      <c r="DC164" s="436"/>
      <c r="DD164" s="436"/>
      <c r="DE164" s="436"/>
      <c r="DF164" s="436"/>
      <c r="DG164" s="436"/>
      <c r="DH164" s="436"/>
      <c r="DI164" s="436"/>
      <c r="DJ164" s="436"/>
      <c r="DK164" s="436"/>
      <c r="DL164" s="436"/>
      <c r="DM164" s="436"/>
      <c r="DN164" s="436"/>
      <c r="DO164" s="436"/>
      <c r="DP164" s="436"/>
      <c r="DQ164" s="436"/>
      <c r="DR164" s="436"/>
      <c r="DS164" s="436"/>
      <c r="DT164" s="436"/>
      <c r="DU164" s="436"/>
      <c r="DV164" s="436"/>
      <c r="DW164" s="436"/>
      <c r="DX164" s="436"/>
      <c r="DY164" s="436"/>
      <c r="DZ164" s="436"/>
      <c r="EA164" s="436"/>
      <c r="EB164" s="436"/>
      <c r="EC164" s="436"/>
      <c r="ED164" s="436"/>
      <c r="EE164" s="436"/>
      <c r="EF164" s="436"/>
      <c r="EG164" s="436"/>
      <c r="EH164" s="436"/>
      <c r="EI164" s="436"/>
      <c r="EJ164" s="436"/>
      <c r="EK164" s="436"/>
      <c r="EL164" s="436"/>
      <c r="EM164" s="436"/>
      <c r="EN164" s="436"/>
      <c r="EO164" s="436"/>
      <c r="EP164" s="436"/>
      <c r="EQ164" s="436"/>
      <c r="ER164" s="436"/>
      <c r="ES164" s="436"/>
      <c r="ET164" s="436"/>
      <c r="EU164" s="436"/>
      <c r="EV164" s="436"/>
      <c r="EW164" s="436"/>
      <c r="EX164" s="436"/>
      <c r="EY164" s="436"/>
      <c r="EZ164" s="436"/>
      <c r="FA164" s="436"/>
      <c r="FB164" s="436"/>
      <c r="FC164" s="436"/>
      <c r="FD164" s="436"/>
      <c r="FE164" s="436"/>
      <c r="FF164" s="436"/>
      <c r="FG164" s="436"/>
      <c r="FH164" s="436"/>
      <c r="FI164" s="436"/>
      <c r="FJ164" s="436"/>
      <c r="FK164" s="436"/>
      <c r="FL164" s="436"/>
      <c r="FM164" s="436"/>
      <c r="FN164" s="436"/>
      <c r="FO164" s="436"/>
      <c r="FP164" s="436"/>
      <c r="FQ164" s="436"/>
      <c r="FR164" s="436"/>
      <c r="FS164" s="436"/>
      <c r="FT164" s="436"/>
      <c r="FU164" s="436"/>
      <c r="FV164" s="436"/>
      <c r="FW164" s="436"/>
      <c r="FX164" s="436"/>
      <c r="FY164" s="436"/>
      <c r="FZ164" s="436"/>
      <c r="GA164" s="436"/>
      <c r="GB164" s="436"/>
      <c r="GC164" s="436"/>
      <c r="GD164" s="436"/>
      <c r="GE164" s="436"/>
      <c r="GF164" s="436"/>
      <c r="GG164" s="436"/>
      <c r="GH164" s="436"/>
      <c r="GI164" s="436"/>
      <c r="GJ164" s="436"/>
      <c r="GK164" s="436"/>
      <c r="GL164" s="436"/>
      <c r="GM164" s="436"/>
      <c r="GN164" s="436"/>
      <c r="GO164" s="436"/>
      <c r="GP164" s="436"/>
      <c r="GQ164" s="436"/>
      <c r="GR164" s="436"/>
      <c r="GS164" s="436"/>
      <c r="GT164" s="436"/>
      <c r="GU164" s="436"/>
      <c r="GV164" s="436"/>
      <c r="GW164" s="436"/>
      <c r="GX164" s="436"/>
      <c r="GY164" s="436"/>
      <c r="GZ164" s="436"/>
      <c r="HA164" s="436"/>
      <c r="HB164" s="436"/>
      <c r="HC164" s="436"/>
      <c r="HD164" s="436"/>
      <c r="HE164" s="436"/>
      <c r="HF164" s="436"/>
      <c r="HG164" s="436"/>
      <c r="HH164" s="436"/>
      <c r="HI164" s="436"/>
      <c r="HJ164" s="436"/>
      <c r="HK164" s="436"/>
      <c r="HL164" s="436"/>
      <c r="HM164" s="436"/>
      <c r="HN164" s="436"/>
      <c r="HO164" s="436"/>
      <c r="HP164" s="436"/>
      <c r="HQ164" s="436"/>
      <c r="HR164" s="436"/>
      <c r="HS164" s="436"/>
      <c r="HT164" s="436"/>
      <c r="HU164" s="436"/>
      <c r="HV164" s="436"/>
      <c r="HW164" s="436"/>
      <c r="HX164" s="436"/>
      <c r="HY164" s="436"/>
      <c r="HZ164" s="436"/>
      <c r="IA164" s="436"/>
      <c r="IB164" s="436"/>
      <c r="IC164" s="436"/>
      <c r="ID164" s="436"/>
      <c r="IE164" s="436"/>
      <c r="IF164" s="436"/>
      <c r="IG164" s="436"/>
      <c r="IH164" s="436"/>
      <c r="II164" s="436"/>
      <c r="IJ164" s="436"/>
      <c r="IK164" s="436"/>
      <c r="IL164" s="436"/>
      <c r="IM164" s="436"/>
      <c r="IN164" s="436"/>
      <c r="IO164" s="436"/>
      <c r="IP164" s="436"/>
      <c r="IQ164" s="265"/>
      <c r="IR164" s="265"/>
    </row>
    <row r="165" spans="1:252" s="461" customFormat="1" x14ac:dyDescent="0.35">
      <c r="A165" s="685"/>
      <c r="B165" s="503"/>
      <c r="C165" s="503"/>
      <c r="D165" s="439"/>
      <c r="E165" s="686"/>
      <c r="J165" s="1591"/>
      <c r="M165" s="436"/>
      <c r="N165" s="436"/>
      <c r="O165" s="436"/>
      <c r="P165" s="436"/>
      <c r="Q165" s="436"/>
      <c r="R165" s="436"/>
      <c r="S165" s="436"/>
      <c r="T165" s="436"/>
      <c r="U165" s="436"/>
      <c r="V165" s="436"/>
      <c r="W165" s="436"/>
      <c r="X165" s="436"/>
      <c r="Y165" s="436"/>
      <c r="Z165" s="436"/>
      <c r="AA165" s="436"/>
      <c r="AB165" s="436"/>
      <c r="AC165" s="436"/>
      <c r="AD165" s="436"/>
      <c r="AE165" s="436"/>
      <c r="AF165" s="436"/>
      <c r="AG165" s="436"/>
      <c r="AH165" s="436"/>
      <c r="AI165" s="436"/>
      <c r="AJ165" s="436"/>
      <c r="AK165" s="436"/>
      <c r="AL165" s="436"/>
      <c r="AM165" s="436"/>
      <c r="AN165" s="436"/>
      <c r="AO165" s="436"/>
      <c r="AP165" s="436"/>
      <c r="AQ165" s="436"/>
      <c r="AR165" s="436"/>
      <c r="AS165" s="436"/>
      <c r="AT165" s="436"/>
      <c r="AU165" s="436"/>
      <c r="AV165" s="436"/>
      <c r="AW165" s="436"/>
      <c r="AX165" s="436"/>
      <c r="AY165" s="436"/>
      <c r="AZ165" s="436"/>
      <c r="BA165" s="436"/>
      <c r="BB165" s="436"/>
      <c r="BC165" s="436"/>
      <c r="BD165" s="436"/>
      <c r="BE165" s="436"/>
      <c r="BF165" s="436"/>
      <c r="BG165" s="436"/>
      <c r="BH165" s="436"/>
      <c r="BI165" s="436"/>
      <c r="BJ165" s="436"/>
      <c r="BK165" s="436"/>
      <c r="BL165" s="436"/>
      <c r="BM165" s="436"/>
      <c r="BN165" s="436"/>
      <c r="BO165" s="436"/>
      <c r="BP165" s="436"/>
      <c r="BQ165" s="436"/>
      <c r="BR165" s="436"/>
      <c r="BS165" s="436"/>
      <c r="BT165" s="436"/>
      <c r="BU165" s="436"/>
      <c r="BV165" s="436"/>
      <c r="BW165" s="436"/>
      <c r="BX165" s="436"/>
      <c r="BY165" s="436"/>
      <c r="BZ165" s="436"/>
      <c r="CA165" s="436"/>
      <c r="CB165" s="436"/>
      <c r="CC165" s="436"/>
      <c r="CD165" s="436"/>
      <c r="CE165" s="436"/>
      <c r="CF165" s="436"/>
      <c r="CG165" s="436"/>
      <c r="CH165" s="436"/>
      <c r="CI165" s="436"/>
      <c r="CJ165" s="436"/>
      <c r="CK165" s="436"/>
      <c r="CL165" s="436"/>
      <c r="CM165" s="436"/>
      <c r="CN165" s="436"/>
      <c r="CO165" s="436"/>
      <c r="CP165" s="436"/>
      <c r="CQ165" s="436"/>
      <c r="CR165" s="436"/>
      <c r="CS165" s="436"/>
      <c r="CT165" s="436"/>
      <c r="CU165" s="436"/>
      <c r="CV165" s="436"/>
      <c r="CW165" s="436"/>
      <c r="CX165" s="436"/>
      <c r="CY165" s="436"/>
      <c r="CZ165" s="436"/>
      <c r="DA165" s="436"/>
      <c r="DB165" s="436"/>
      <c r="DC165" s="436"/>
      <c r="DD165" s="436"/>
      <c r="DE165" s="436"/>
      <c r="DF165" s="436"/>
      <c r="DG165" s="436"/>
      <c r="DH165" s="436"/>
      <c r="DI165" s="436"/>
      <c r="DJ165" s="436"/>
      <c r="DK165" s="436"/>
      <c r="DL165" s="436"/>
      <c r="DM165" s="436"/>
      <c r="DN165" s="436"/>
      <c r="DO165" s="436"/>
      <c r="DP165" s="436"/>
      <c r="DQ165" s="436"/>
      <c r="DR165" s="436"/>
      <c r="DS165" s="436"/>
      <c r="DT165" s="436"/>
      <c r="DU165" s="436"/>
      <c r="DV165" s="436"/>
      <c r="DW165" s="436"/>
      <c r="DX165" s="436"/>
      <c r="DY165" s="436"/>
      <c r="DZ165" s="436"/>
      <c r="EA165" s="436"/>
      <c r="EB165" s="436"/>
      <c r="EC165" s="436"/>
      <c r="ED165" s="436"/>
      <c r="EE165" s="436"/>
      <c r="EF165" s="436"/>
      <c r="EG165" s="436"/>
      <c r="EH165" s="436"/>
      <c r="EI165" s="436"/>
      <c r="EJ165" s="436"/>
      <c r="EK165" s="436"/>
      <c r="EL165" s="436"/>
      <c r="EM165" s="436"/>
      <c r="EN165" s="436"/>
      <c r="EO165" s="436"/>
      <c r="EP165" s="436"/>
      <c r="EQ165" s="436"/>
      <c r="ER165" s="436"/>
      <c r="ES165" s="436"/>
      <c r="ET165" s="436"/>
      <c r="EU165" s="436"/>
      <c r="EV165" s="436"/>
      <c r="EW165" s="436"/>
      <c r="EX165" s="436"/>
      <c r="EY165" s="436"/>
      <c r="EZ165" s="436"/>
      <c r="FA165" s="436"/>
      <c r="FB165" s="436"/>
      <c r="FC165" s="436"/>
      <c r="FD165" s="436"/>
      <c r="FE165" s="436"/>
      <c r="FF165" s="436"/>
      <c r="FG165" s="436"/>
      <c r="FH165" s="436"/>
      <c r="FI165" s="436"/>
      <c r="FJ165" s="436"/>
      <c r="FK165" s="436"/>
      <c r="FL165" s="436"/>
      <c r="FM165" s="436"/>
      <c r="FN165" s="436"/>
      <c r="FO165" s="436"/>
      <c r="FP165" s="436"/>
      <c r="FQ165" s="436"/>
      <c r="FR165" s="436"/>
      <c r="FS165" s="436"/>
      <c r="FT165" s="436"/>
      <c r="FU165" s="436"/>
      <c r="FV165" s="436"/>
      <c r="FW165" s="436"/>
      <c r="FX165" s="436"/>
      <c r="FY165" s="436"/>
      <c r="FZ165" s="436"/>
      <c r="GA165" s="436"/>
      <c r="GB165" s="436"/>
      <c r="GC165" s="436"/>
      <c r="GD165" s="436"/>
      <c r="GE165" s="436"/>
      <c r="GF165" s="436"/>
      <c r="GG165" s="436"/>
      <c r="GH165" s="436"/>
      <c r="GI165" s="436"/>
      <c r="GJ165" s="436"/>
      <c r="GK165" s="436"/>
      <c r="GL165" s="436"/>
      <c r="GM165" s="436"/>
      <c r="GN165" s="436"/>
      <c r="GO165" s="436"/>
      <c r="GP165" s="436"/>
      <c r="GQ165" s="436"/>
      <c r="GR165" s="436"/>
      <c r="GS165" s="436"/>
      <c r="GT165" s="436"/>
      <c r="GU165" s="436"/>
      <c r="GV165" s="436"/>
      <c r="GW165" s="436"/>
      <c r="GX165" s="436"/>
      <c r="GY165" s="436"/>
      <c r="GZ165" s="436"/>
      <c r="HA165" s="436"/>
      <c r="HB165" s="436"/>
      <c r="HC165" s="436"/>
      <c r="HD165" s="436"/>
      <c r="HE165" s="436"/>
      <c r="HF165" s="436"/>
      <c r="HG165" s="436"/>
      <c r="HH165" s="436"/>
      <c r="HI165" s="436"/>
      <c r="HJ165" s="436"/>
      <c r="HK165" s="436"/>
      <c r="HL165" s="436"/>
      <c r="HM165" s="436"/>
      <c r="HN165" s="436"/>
      <c r="HO165" s="436"/>
      <c r="HP165" s="436"/>
      <c r="HQ165" s="436"/>
      <c r="HR165" s="436"/>
      <c r="HS165" s="436"/>
      <c r="HT165" s="436"/>
      <c r="HU165" s="436"/>
      <c r="HV165" s="436"/>
      <c r="HW165" s="436"/>
      <c r="HX165" s="436"/>
      <c r="HY165" s="436"/>
      <c r="HZ165" s="436"/>
      <c r="IA165" s="436"/>
      <c r="IB165" s="436"/>
      <c r="IC165" s="436"/>
      <c r="ID165" s="436"/>
      <c r="IE165" s="436"/>
      <c r="IF165" s="436"/>
      <c r="IG165" s="436"/>
      <c r="IH165" s="436"/>
      <c r="II165" s="436"/>
      <c r="IJ165" s="436"/>
      <c r="IK165" s="436"/>
      <c r="IL165" s="436"/>
      <c r="IM165" s="436"/>
      <c r="IN165" s="436"/>
      <c r="IO165" s="436"/>
      <c r="IP165" s="436"/>
      <c r="IQ165" s="265"/>
      <c r="IR165" s="265"/>
    </row>
    <row r="166" spans="1:252" s="461" customFormat="1" x14ac:dyDescent="0.35">
      <c r="A166" s="685"/>
      <c r="B166" s="503"/>
      <c r="C166" s="503"/>
      <c r="D166" s="439"/>
      <c r="E166" s="686"/>
      <c r="J166" s="1591"/>
      <c r="M166" s="436"/>
      <c r="N166" s="436"/>
      <c r="O166" s="436"/>
      <c r="P166" s="436"/>
      <c r="Q166" s="436"/>
      <c r="R166" s="436"/>
      <c r="S166" s="436"/>
      <c r="T166" s="436"/>
      <c r="U166" s="436"/>
      <c r="V166" s="436"/>
      <c r="W166" s="436"/>
      <c r="X166" s="436"/>
      <c r="Y166" s="436"/>
      <c r="Z166" s="436"/>
      <c r="AA166" s="436"/>
      <c r="AB166" s="436"/>
      <c r="AC166" s="436"/>
      <c r="AD166" s="436"/>
      <c r="AE166" s="436"/>
      <c r="AF166" s="436"/>
      <c r="AG166" s="436"/>
      <c r="AH166" s="436"/>
      <c r="AI166" s="436"/>
      <c r="AJ166" s="436"/>
      <c r="AK166" s="436"/>
      <c r="AL166" s="436"/>
      <c r="AM166" s="436"/>
      <c r="AN166" s="436"/>
      <c r="AO166" s="436"/>
      <c r="AP166" s="436"/>
      <c r="AQ166" s="436"/>
      <c r="AR166" s="436"/>
      <c r="AS166" s="436"/>
      <c r="AT166" s="436"/>
      <c r="AU166" s="436"/>
      <c r="AV166" s="436"/>
      <c r="AW166" s="436"/>
      <c r="AX166" s="436"/>
      <c r="AY166" s="436"/>
      <c r="AZ166" s="436"/>
      <c r="BA166" s="436"/>
      <c r="BB166" s="436"/>
      <c r="BC166" s="436"/>
      <c r="BD166" s="436"/>
      <c r="BE166" s="436"/>
      <c r="BF166" s="436"/>
      <c r="BG166" s="436"/>
      <c r="BH166" s="436"/>
      <c r="BI166" s="436"/>
      <c r="BJ166" s="436"/>
      <c r="BK166" s="436"/>
      <c r="BL166" s="436"/>
      <c r="BM166" s="436"/>
      <c r="BN166" s="436"/>
      <c r="BO166" s="436"/>
      <c r="BP166" s="436"/>
      <c r="BQ166" s="436"/>
      <c r="BR166" s="436"/>
      <c r="BS166" s="436"/>
      <c r="BT166" s="436"/>
      <c r="BU166" s="436"/>
      <c r="BV166" s="436"/>
      <c r="BW166" s="436"/>
      <c r="BX166" s="436"/>
      <c r="BY166" s="436"/>
      <c r="BZ166" s="436"/>
      <c r="CA166" s="436"/>
      <c r="CB166" s="436"/>
      <c r="CC166" s="436"/>
      <c r="CD166" s="436"/>
      <c r="CE166" s="436"/>
      <c r="CF166" s="436"/>
      <c r="CG166" s="436"/>
      <c r="CH166" s="436"/>
      <c r="CI166" s="436"/>
      <c r="CJ166" s="436"/>
      <c r="CK166" s="436"/>
      <c r="CL166" s="436"/>
      <c r="CM166" s="436"/>
      <c r="CN166" s="436"/>
      <c r="CO166" s="436"/>
      <c r="CP166" s="436"/>
      <c r="CQ166" s="436"/>
      <c r="CR166" s="436"/>
      <c r="CS166" s="436"/>
      <c r="CT166" s="436"/>
      <c r="CU166" s="436"/>
      <c r="CV166" s="436"/>
      <c r="CW166" s="436"/>
      <c r="CX166" s="436"/>
      <c r="CY166" s="436"/>
      <c r="CZ166" s="436"/>
      <c r="DA166" s="436"/>
      <c r="DB166" s="436"/>
      <c r="DC166" s="436"/>
      <c r="DD166" s="436"/>
      <c r="DE166" s="436"/>
      <c r="DF166" s="436"/>
      <c r="DG166" s="436"/>
      <c r="DH166" s="436"/>
      <c r="DI166" s="436"/>
      <c r="DJ166" s="436"/>
      <c r="DK166" s="436"/>
      <c r="DL166" s="436"/>
      <c r="DM166" s="436"/>
      <c r="DN166" s="436"/>
      <c r="DO166" s="436"/>
      <c r="DP166" s="436"/>
      <c r="DQ166" s="436"/>
      <c r="DR166" s="436"/>
      <c r="DS166" s="436"/>
      <c r="DT166" s="436"/>
      <c r="DU166" s="436"/>
      <c r="DV166" s="436"/>
      <c r="DW166" s="436"/>
      <c r="DX166" s="436"/>
      <c r="DY166" s="436"/>
      <c r="DZ166" s="436"/>
      <c r="EA166" s="436"/>
      <c r="EB166" s="436"/>
      <c r="EC166" s="436"/>
      <c r="ED166" s="436"/>
      <c r="EE166" s="436"/>
      <c r="EF166" s="436"/>
      <c r="EG166" s="436"/>
      <c r="EH166" s="436"/>
      <c r="EI166" s="436"/>
      <c r="EJ166" s="436"/>
      <c r="EK166" s="436"/>
      <c r="EL166" s="436"/>
      <c r="EM166" s="436"/>
      <c r="EN166" s="436"/>
      <c r="EO166" s="436"/>
      <c r="EP166" s="436"/>
      <c r="EQ166" s="436"/>
      <c r="ER166" s="436"/>
      <c r="ES166" s="436"/>
      <c r="ET166" s="436"/>
      <c r="EU166" s="436"/>
      <c r="EV166" s="436"/>
      <c r="EW166" s="436"/>
      <c r="EX166" s="436"/>
      <c r="EY166" s="436"/>
      <c r="EZ166" s="436"/>
      <c r="FA166" s="436"/>
      <c r="FB166" s="436"/>
      <c r="FC166" s="436"/>
      <c r="FD166" s="436"/>
      <c r="FE166" s="436"/>
      <c r="FF166" s="436"/>
      <c r="FG166" s="436"/>
      <c r="FH166" s="436"/>
      <c r="FI166" s="436"/>
      <c r="FJ166" s="436"/>
      <c r="FK166" s="436"/>
      <c r="FL166" s="436"/>
      <c r="FM166" s="436"/>
      <c r="FN166" s="436"/>
      <c r="FO166" s="436"/>
      <c r="FP166" s="436"/>
      <c r="FQ166" s="436"/>
      <c r="FR166" s="436"/>
      <c r="FS166" s="436"/>
      <c r="FT166" s="436"/>
      <c r="FU166" s="436"/>
      <c r="FV166" s="436"/>
      <c r="FW166" s="436"/>
      <c r="FX166" s="436"/>
      <c r="FY166" s="436"/>
      <c r="FZ166" s="436"/>
      <c r="GA166" s="436"/>
      <c r="GB166" s="436"/>
      <c r="GC166" s="436"/>
      <c r="GD166" s="436"/>
      <c r="GE166" s="436"/>
      <c r="GF166" s="436"/>
      <c r="GG166" s="436"/>
      <c r="GH166" s="436"/>
      <c r="GI166" s="436"/>
      <c r="GJ166" s="436"/>
      <c r="GK166" s="436"/>
      <c r="GL166" s="436"/>
      <c r="GM166" s="436"/>
      <c r="GN166" s="436"/>
      <c r="GO166" s="436"/>
      <c r="GP166" s="436"/>
      <c r="GQ166" s="436"/>
      <c r="GR166" s="436"/>
      <c r="GS166" s="436"/>
      <c r="GT166" s="436"/>
      <c r="GU166" s="436"/>
      <c r="GV166" s="436"/>
      <c r="GW166" s="436"/>
      <c r="GX166" s="436"/>
      <c r="GY166" s="436"/>
      <c r="GZ166" s="436"/>
      <c r="HA166" s="436"/>
      <c r="HB166" s="436"/>
      <c r="HC166" s="436"/>
      <c r="HD166" s="436"/>
      <c r="HE166" s="436"/>
      <c r="HF166" s="436"/>
      <c r="HG166" s="436"/>
      <c r="HH166" s="436"/>
      <c r="HI166" s="436"/>
      <c r="HJ166" s="436"/>
      <c r="HK166" s="436"/>
      <c r="HL166" s="436"/>
      <c r="HM166" s="436"/>
      <c r="HN166" s="436"/>
      <c r="HO166" s="436"/>
      <c r="HP166" s="436"/>
      <c r="HQ166" s="436"/>
      <c r="HR166" s="436"/>
      <c r="HS166" s="436"/>
      <c r="HT166" s="436"/>
      <c r="HU166" s="436"/>
      <c r="HV166" s="436"/>
      <c r="HW166" s="436"/>
      <c r="HX166" s="436"/>
      <c r="HY166" s="436"/>
      <c r="HZ166" s="436"/>
      <c r="IA166" s="436"/>
      <c r="IB166" s="436"/>
      <c r="IC166" s="436"/>
      <c r="ID166" s="436"/>
      <c r="IE166" s="436"/>
      <c r="IF166" s="436"/>
      <c r="IG166" s="436"/>
      <c r="IH166" s="436"/>
      <c r="II166" s="436"/>
      <c r="IJ166" s="436"/>
      <c r="IK166" s="436"/>
      <c r="IL166" s="436"/>
      <c r="IM166" s="436"/>
      <c r="IN166" s="436"/>
      <c r="IO166" s="436"/>
      <c r="IP166" s="436"/>
      <c r="IQ166" s="265"/>
      <c r="IR166" s="265"/>
    </row>
    <row r="167" spans="1:252" s="461" customFormat="1" x14ac:dyDescent="0.35">
      <c r="A167" s="685"/>
      <c r="B167" s="503"/>
      <c r="C167" s="503"/>
      <c r="D167" s="439"/>
      <c r="E167" s="686"/>
      <c r="J167" s="1591"/>
      <c r="M167" s="436"/>
      <c r="N167" s="436"/>
      <c r="O167" s="436"/>
      <c r="P167" s="436"/>
      <c r="Q167" s="436"/>
      <c r="R167" s="436"/>
      <c r="S167" s="436"/>
      <c r="T167" s="436"/>
      <c r="U167" s="436"/>
      <c r="V167" s="436"/>
      <c r="W167" s="436"/>
      <c r="X167" s="436"/>
      <c r="Y167" s="436"/>
      <c r="Z167" s="436"/>
      <c r="AA167" s="436"/>
      <c r="AB167" s="436"/>
      <c r="AC167" s="436"/>
      <c r="AD167" s="436"/>
      <c r="AE167" s="436"/>
      <c r="AF167" s="436"/>
      <c r="AG167" s="436"/>
      <c r="AH167" s="436"/>
      <c r="AI167" s="436"/>
      <c r="AJ167" s="436"/>
      <c r="AK167" s="436"/>
      <c r="AL167" s="436"/>
      <c r="AM167" s="436"/>
      <c r="AN167" s="436"/>
      <c r="AO167" s="436"/>
      <c r="AP167" s="436"/>
      <c r="AQ167" s="436"/>
      <c r="AR167" s="436"/>
      <c r="AS167" s="436"/>
      <c r="AT167" s="436"/>
      <c r="AU167" s="436"/>
      <c r="AV167" s="436"/>
      <c r="AW167" s="436"/>
      <c r="AX167" s="436"/>
      <c r="AY167" s="436"/>
      <c r="AZ167" s="436"/>
      <c r="BA167" s="436"/>
      <c r="BB167" s="436"/>
      <c r="BC167" s="436"/>
      <c r="BD167" s="436"/>
      <c r="BE167" s="436"/>
      <c r="BF167" s="436"/>
      <c r="BG167" s="436"/>
      <c r="BH167" s="436"/>
      <c r="BI167" s="436"/>
      <c r="BJ167" s="436"/>
      <c r="BK167" s="436"/>
      <c r="BL167" s="436"/>
      <c r="BM167" s="436"/>
      <c r="BN167" s="436"/>
      <c r="BO167" s="436"/>
      <c r="BP167" s="436"/>
      <c r="BQ167" s="436"/>
      <c r="BR167" s="436"/>
      <c r="BS167" s="436"/>
      <c r="BT167" s="436"/>
      <c r="BU167" s="436"/>
      <c r="BV167" s="436"/>
      <c r="BW167" s="436"/>
      <c r="BX167" s="436"/>
      <c r="BY167" s="436"/>
      <c r="BZ167" s="436"/>
      <c r="CA167" s="436"/>
      <c r="CB167" s="436"/>
      <c r="CC167" s="436"/>
      <c r="CD167" s="436"/>
      <c r="CE167" s="436"/>
      <c r="CF167" s="436"/>
      <c r="CG167" s="436"/>
      <c r="CH167" s="436"/>
      <c r="CI167" s="436"/>
      <c r="CJ167" s="436"/>
      <c r="CK167" s="436"/>
      <c r="CL167" s="436"/>
      <c r="CM167" s="436"/>
      <c r="CN167" s="436"/>
      <c r="CO167" s="436"/>
      <c r="CP167" s="436"/>
      <c r="CQ167" s="436"/>
      <c r="CR167" s="436"/>
      <c r="CS167" s="436"/>
      <c r="CT167" s="436"/>
      <c r="CU167" s="436"/>
      <c r="CV167" s="436"/>
      <c r="CW167" s="436"/>
      <c r="CX167" s="436"/>
      <c r="CY167" s="436"/>
      <c r="CZ167" s="436"/>
      <c r="DA167" s="436"/>
      <c r="DB167" s="436"/>
      <c r="DC167" s="436"/>
      <c r="DD167" s="436"/>
      <c r="DE167" s="436"/>
      <c r="DF167" s="436"/>
      <c r="DG167" s="436"/>
      <c r="DH167" s="436"/>
      <c r="DI167" s="436"/>
      <c r="DJ167" s="436"/>
      <c r="DK167" s="436"/>
      <c r="DL167" s="436"/>
      <c r="DM167" s="436"/>
      <c r="DN167" s="436"/>
      <c r="DO167" s="436"/>
      <c r="DP167" s="436"/>
      <c r="DQ167" s="436"/>
      <c r="DR167" s="436"/>
      <c r="DS167" s="436"/>
      <c r="DT167" s="436"/>
      <c r="DU167" s="436"/>
      <c r="DV167" s="436"/>
      <c r="DW167" s="436"/>
      <c r="DX167" s="436"/>
      <c r="DY167" s="436"/>
      <c r="DZ167" s="436"/>
      <c r="EA167" s="436"/>
      <c r="EB167" s="436"/>
      <c r="EC167" s="436"/>
      <c r="ED167" s="436"/>
      <c r="EE167" s="436"/>
      <c r="EF167" s="436"/>
      <c r="EG167" s="436"/>
      <c r="EH167" s="436"/>
      <c r="EI167" s="436"/>
      <c r="EJ167" s="436"/>
      <c r="EK167" s="436"/>
      <c r="EL167" s="436"/>
      <c r="EM167" s="436"/>
      <c r="EN167" s="436"/>
      <c r="EO167" s="436"/>
      <c r="EP167" s="436"/>
      <c r="EQ167" s="436"/>
      <c r="ER167" s="436"/>
      <c r="ES167" s="436"/>
      <c r="ET167" s="436"/>
      <c r="EU167" s="436"/>
      <c r="EV167" s="436"/>
      <c r="EW167" s="436"/>
      <c r="EX167" s="436"/>
      <c r="EY167" s="436"/>
      <c r="EZ167" s="436"/>
      <c r="FA167" s="436"/>
      <c r="FB167" s="436"/>
      <c r="FC167" s="436"/>
      <c r="FD167" s="436"/>
      <c r="FE167" s="436"/>
      <c r="FF167" s="436"/>
      <c r="FG167" s="436"/>
      <c r="FH167" s="436"/>
      <c r="FI167" s="436"/>
      <c r="FJ167" s="436"/>
      <c r="FK167" s="436"/>
      <c r="FL167" s="436"/>
      <c r="FM167" s="436"/>
      <c r="FN167" s="436"/>
      <c r="FO167" s="436"/>
      <c r="FP167" s="436"/>
      <c r="FQ167" s="436"/>
      <c r="FR167" s="436"/>
      <c r="FS167" s="436"/>
      <c r="FT167" s="436"/>
      <c r="FU167" s="436"/>
      <c r="FV167" s="436"/>
      <c r="FW167" s="436"/>
      <c r="FX167" s="436"/>
      <c r="FY167" s="436"/>
      <c r="FZ167" s="436"/>
      <c r="GA167" s="436"/>
      <c r="GB167" s="436"/>
      <c r="GC167" s="436"/>
      <c r="GD167" s="436"/>
      <c r="GE167" s="436"/>
      <c r="GF167" s="436"/>
      <c r="GG167" s="436"/>
      <c r="GH167" s="436"/>
      <c r="GI167" s="436"/>
      <c r="GJ167" s="436"/>
      <c r="GK167" s="436"/>
      <c r="GL167" s="436"/>
      <c r="GM167" s="436"/>
      <c r="GN167" s="436"/>
      <c r="GO167" s="436"/>
      <c r="GP167" s="436"/>
      <c r="GQ167" s="436"/>
      <c r="GR167" s="436"/>
      <c r="GS167" s="436"/>
      <c r="GT167" s="436"/>
      <c r="GU167" s="436"/>
      <c r="GV167" s="436"/>
      <c r="GW167" s="436"/>
      <c r="GX167" s="436"/>
      <c r="GY167" s="436"/>
      <c r="GZ167" s="436"/>
      <c r="HA167" s="436"/>
      <c r="HB167" s="436"/>
      <c r="HC167" s="436"/>
      <c r="HD167" s="436"/>
      <c r="HE167" s="436"/>
      <c r="HF167" s="436"/>
      <c r="HG167" s="436"/>
      <c r="HH167" s="436"/>
      <c r="HI167" s="436"/>
      <c r="HJ167" s="436"/>
      <c r="HK167" s="436"/>
      <c r="HL167" s="436"/>
      <c r="HM167" s="436"/>
      <c r="HN167" s="436"/>
      <c r="HO167" s="436"/>
      <c r="HP167" s="436"/>
      <c r="HQ167" s="436"/>
      <c r="HR167" s="436"/>
      <c r="HS167" s="436"/>
      <c r="HT167" s="436"/>
      <c r="HU167" s="436"/>
      <c r="HV167" s="436"/>
      <c r="HW167" s="436"/>
      <c r="HX167" s="436"/>
      <c r="HY167" s="436"/>
      <c r="HZ167" s="436"/>
      <c r="IA167" s="436"/>
      <c r="IB167" s="436"/>
      <c r="IC167" s="436"/>
      <c r="ID167" s="436"/>
      <c r="IE167" s="436"/>
      <c r="IF167" s="436"/>
      <c r="IG167" s="436"/>
      <c r="IH167" s="436"/>
      <c r="II167" s="436"/>
      <c r="IJ167" s="436"/>
      <c r="IK167" s="436"/>
      <c r="IL167" s="436"/>
      <c r="IM167" s="436"/>
      <c r="IN167" s="436"/>
      <c r="IO167" s="436"/>
      <c r="IP167" s="436"/>
      <c r="IQ167" s="265"/>
      <c r="IR167" s="265"/>
    </row>
    <row r="168" spans="1:252" s="461" customFormat="1" x14ac:dyDescent="0.35">
      <c r="A168" s="685"/>
      <c r="B168" s="503"/>
      <c r="C168" s="503"/>
      <c r="D168" s="439"/>
      <c r="E168" s="686"/>
      <c r="J168" s="1591"/>
      <c r="M168" s="436"/>
      <c r="N168" s="436"/>
      <c r="O168" s="436"/>
      <c r="P168" s="436"/>
      <c r="Q168" s="436"/>
      <c r="R168" s="436"/>
      <c r="S168" s="436"/>
      <c r="T168" s="436"/>
      <c r="U168" s="436"/>
      <c r="V168" s="436"/>
      <c r="W168" s="436"/>
      <c r="X168" s="436"/>
      <c r="Y168" s="436"/>
      <c r="Z168" s="436"/>
      <c r="AA168" s="436"/>
      <c r="AB168" s="436"/>
      <c r="AC168" s="436"/>
      <c r="AD168" s="436"/>
      <c r="AE168" s="436"/>
      <c r="AF168" s="436"/>
      <c r="AG168" s="436"/>
      <c r="AH168" s="436"/>
      <c r="AI168" s="436"/>
      <c r="AJ168" s="436"/>
      <c r="AK168" s="436"/>
      <c r="AL168" s="436"/>
      <c r="AM168" s="436"/>
      <c r="AN168" s="436"/>
      <c r="AO168" s="436"/>
      <c r="AP168" s="436"/>
      <c r="AQ168" s="436"/>
      <c r="AR168" s="436"/>
      <c r="AS168" s="436"/>
      <c r="AT168" s="436"/>
      <c r="AU168" s="436"/>
      <c r="AV168" s="436"/>
      <c r="AW168" s="436"/>
      <c r="AX168" s="436"/>
      <c r="AY168" s="436"/>
      <c r="AZ168" s="436"/>
      <c r="BA168" s="436"/>
      <c r="BB168" s="436"/>
      <c r="BC168" s="436"/>
      <c r="BD168" s="436"/>
      <c r="BE168" s="436"/>
      <c r="BF168" s="436"/>
      <c r="BG168" s="436"/>
      <c r="BH168" s="436"/>
      <c r="BI168" s="436"/>
      <c r="BJ168" s="436"/>
      <c r="BK168" s="436"/>
      <c r="BL168" s="436"/>
      <c r="BM168" s="436"/>
      <c r="BN168" s="436"/>
      <c r="BO168" s="436"/>
      <c r="BP168" s="436"/>
      <c r="BQ168" s="436"/>
      <c r="BR168" s="436"/>
      <c r="BS168" s="436"/>
      <c r="BT168" s="436"/>
      <c r="BU168" s="436"/>
      <c r="BV168" s="436"/>
      <c r="BW168" s="436"/>
      <c r="BX168" s="436"/>
      <c r="BY168" s="436"/>
      <c r="BZ168" s="436"/>
      <c r="CA168" s="436"/>
      <c r="CB168" s="436"/>
      <c r="CC168" s="436"/>
      <c r="CD168" s="436"/>
      <c r="CE168" s="436"/>
      <c r="CF168" s="436"/>
      <c r="CG168" s="436"/>
      <c r="CH168" s="436"/>
      <c r="CI168" s="436"/>
      <c r="CJ168" s="436"/>
      <c r="CK168" s="436"/>
      <c r="CL168" s="436"/>
      <c r="CM168" s="436"/>
      <c r="CN168" s="436"/>
      <c r="CO168" s="436"/>
      <c r="CP168" s="436"/>
      <c r="CQ168" s="436"/>
      <c r="CR168" s="436"/>
      <c r="CS168" s="436"/>
      <c r="CT168" s="436"/>
      <c r="CU168" s="436"/>
      <c r="CV168" s="436"/>
      <c r="CW168" s="436"/>
      <c r="CX168" s="436"/>
      <c r="CY168" s="436"/>
      <c r="CZ168" s="436"/>
      <c r="DA168" s="436"/>
      <c r="DB168" s="436"/>
      <c r="DC168" s="436"/>
      <c r="DD168" s="436"/>
      <c r="DE168" s="436"/>
      <c r="DF168" s="436"/>
      <c r="DG168" s="436"/>
      <c r="DH168" s="436"/>
      <c r="DI168" s="436"/>
      <c r="DJ168" s="436"/>
      <c r="DK168" s="436"/>
      <c r="DL168" s="436"/>
      <c r="DM168" s="436"/>
      <c r="DN168" s="436"/>
      <c r="DO168" s="436"/>
      <c r="DP168" s="436"/>
      <c r="DQ168" s="436"/>
      <c r="DR168" s="436"/>
      <c r="DS168" s="436"/>
      <c r="DT168" s="436"/>
      <c r="DU168" s="436"/>
      <c r="DV168" s="436"/>
      <c r="DW168" s="436"/>
      <c r="DX168" s="436"/>
      <c r="DY168" s="436"/>
      <c r="DZ168" s="436"/>
      <c r="EA168" s="436"/>
      <c r="EB168" s="436"/>
      <c r="EC168" s="436"/>
      <c r="ED168" s="436"/>
      <c r="EE168" s="436"/>
      <c r="EF168" s="436"/>
      <c r="EG168" s="436"/>
      <c r="EH168" s="436"/>
      <c r="EI168" s="436"/>
      <c r="EJ168" s="436"/>
      <c r="EK168" s="436"/>
      <c r="EL168" s="436"/>
      <c r="EM168" s="436"/>
      <c r="EN168" s="436"/>
      <c r="EO168" s="436"/>
      <c r="EP168" s="436"/>
      <c r="EQ168" s="436"/>
      <c r="ER168" s="436"/>
      <c r="ES168" s="436"/>
      <c r="ET168" s="436"/>
      <c r="EU168" s="436"/>
      <c r="EV168" s="436"/>
      <c r="EW168" s="436"/>
      <c r="EX168" s="436"/>
      <c r="EY168" s="436"/>
      <c r="EZ168" s="436"/>
      <c r="FA168" s="436"/>
      <c r="FB168" s="436"/>
      <c r="FC168" s="436"/>
      <c r="FD168" s="436"/>
      <c r="FE168" s="436"/>
      <c r="FF168" s="436"/>
      <c r="FG168" s="436"/>
      <c r="FH168" s="436"/>
      <c r="FI168" s="436"/>
      <c r="FJ168" s="436"/>
      <c r="FK168" s="436"/>
      <c r="FL168" s="436"/>
      <c r="FM168" s="436"/>
      <c r="FN168" s="436"/>
      <c r="FO168" s="436"/>
      <c r="FP168" s="436"/>
      <c r="FQ168" s="436"/>
      <c r="FR168" s="436"/>
      <c r="FS168" s="436"/>
      <c r="FT168" s="436"/>
      <c r="FU168" s="436"/>
      <c r="FV168" s="436"/>
      <c r="FW168" s="436"/>
      <c r="FX168" s="436"/>
      <c r="FY168" s="436"/>
      <c r="FZ168" s="436"/>
      <c r="GA168" s="436"/>
      <c r="GB168" s="436"/>
      <c r="GC168" s="436"/>
      <c r="GD168" s="436"/>
      <c r="GE168" s="436"/>
      <c r="GF168" s="436"/>
      <c r="GG168" s="436"/>
      <c r="GH168" s="436"/>
      <c r="GI168" s="436"/>
      <c r="GJ168" s="436"/>
      <c r="GK168" s="436"/>
      <c r="GL168" s="436"/>
      <c r="GM168" s="436"/>
      <c r="GN168" s="436"/>
      <c r="GO168" s="436"/>
      <c r="GP168" s="436"/>
      <c r="GQ168" s="436"/>
      <c r="GR168" s="436"/>
      <c r="GS168" s="436"/>
      <c r="GT168" s="436"/>
      <c r="GU168" s="436"/>
      <c r="GV168" s="436"/>
      <c r="GW168" s="436"/>
      <c r="GX168" s="436"/>
      <c r="GY168" s="436"/>
      <c r="GZ168" s="436"/>
      <c r="HA168" s="436"/>
      <c r="HB168" s="436"/>
      <c r="HC168" s="436"/>
      <c r="HD168" s="436"/>
      <c r="HE168" s="436"/>
      <c r="HF168" s="436"/>
      <c r="HG168" s="436"/>
      <c r="HH168" s="436"/>
      <c r="HI168" s="436"/>
      <c r="HJ168" s="436"/>
      <c r="HK168" s="436"/>
      <c r="HL168" s="436"/>
      <c r="HM168" s="436"/>
      <c r="HN168" s="436"/>
      <c r="HO168" s="436"/>
      <c r="HP168" s="436"/>
      <c r="HQ168" s="436"/>
      <c r="HR168" s="436"/>
      <c r="HS168" s="436"/>
      <c r="HT168" s="436"/>
      <c r="HU168" s="436"/>
      <c r="HV168" s="436"/>
      <c r="HW168" s="436"/>
      <c r="HX168" s="436"/>
      <c r="HY168" s="436"/>
      <c r="HZ168" s="436"/>
      <c r="IA168" s="436"/>
      <c r="IB168" s="436"/>
      <c r="IC168" s="436"/>
      <c r="ID168" s="436"/>
      <c r="IE168" s="436"/>
      <c r="IF168" s="436"/>
      <c r="IG168" s="436"/>
      <c r="IH168" s="436"/>
      <c r="II168" s="436"/>
      <c r="IJ168" s="436"/>
      <c r="IK168" s="436"/>
      <c r="IL168" s="436"/>
      <c r="IM168" s="436"/>
      <c r="IN168" s="436"/>
      <c r="IO168" s="436"/>
      <c r="IP168" s="436"/>
      <c r="IQ168" s="265"/>
      <c r="IR168" s="265"/>
    </row>
    <row r="169" spans="1:252" s="461" customFormat="1" x14ac:dyDescent="0.35">
      <c r="A169" s="685"/>
      <c r="B169" s="503"/>
      <c r="C169" s="503"/>
      <c r="D169" s="439"/>
      <c r="E169" s="686"/>
      <c r="J169" s="1591"/>
      <c r="M169" s="436"/>
      <c r="N169" s="436"/>
      <c r="O169" s="436"/>
      <c r="P169" s="436"/>
      <c r="Q169" s="436"/>
      <c r="R169" s="436"/>
      <c r="S169" s="436"/>
      <c r="T169" s="436"/>
      <c r="U169" s="436"/>
      <c r="V169" s="436"/>
      <c r="W169" s="436"/>
      <c r="X169" s="436"/>
      <c r="Y169" s="436"/>
      <c r="Z169" s="436"/>
      <c r="AA169" s="436"/>
      <c r="AB169" s="436"/>
      <c r="AC169" s="436"/>
      <c r="AD169" s="436"/>
      <c r="AE169" s="436"/>
      <c r="AF169" s="436"/>
      <c r="AG169" s="436"/>
      <c r="AH169" s="436"/>
      <c r="AI169" s="436"/>
      <c r="AJ169" s="436"/>
      <c r="AK169" s="436"/>
      <c r="AL169" s="436"/>
      <c r="AM169" s="436"/>
      <c r="AN169" s="436"/>
      <c r="AO169" s="436"/>
      <c r="AP169" s="436"/>
      <c r="AQ169" s="436"/>
      <c r="AR169" s="436"/>
      <c r="AS169" s="436"/>
      <c r="AT169" s="436"/>
      <c r="AU169" s="436"/>
      <c r="AV169" s="436"/>
      <c r="AW169" s="436"/>
      <c r="AX169" s="436"/>
      <c r="AY169" s="436"/>
      <c r="AZ169" s="436"/>
      <c r="BA169" s="436"/>
      <c r="BB169" s="436"/>
      <c r="BC169" s="436"/>
      <c r="BD169" s="436"/>
      <c r="BE169" s="436"/>
      <c r="BF169" s="436"/>
      <c r="BG169" s="436"/>
      <c r="BH169" s="436"/>
      <c r="BI169" s="436"/>
      <c r="BJ169" s="436"/>
      <c r="BK169" s="436"/>
      <c r="BL169" s="436"/>
      <c r="BM169" s="436"/>
      <c r="BN169" s="436"/>
      <c r="BO169" s="436"/>
      <c r="BP169" s="436"/>
      <c r="BQ169" s="436"/>
      <c r="BR169" s="436"/>
      <c r="BS169" s="436"/>
      <c r="BT169" s="436"/>
      <c r="BU169" s="436"/>
      <c r="BV169" s="436"/>
      <c r="BW169" s="436"/>
      <c r="BX169" s="436"/>
      <c r="BY169" s="436"/>
      <c r="BZ169" s="436"/>
      <c r="CA169" s="436"/>
      <c r="CB169" s="436"/>
      <c r="CC169" s="436"/>
      <c r="CD169" s="436"/>
      <c r="CE169" s="436"/>
      <c r="CF169" s="436"/>
      <c r="CG169" s="436"/>
      <c r="CH169" s="436"/>
      <c r="CI169" s="436"/>
      <c r="CJ169" s="436"/>
      <c r="CK169" s="436"/>
      <c r="CL169" s="436"/>
      <c r="CM169" s="436"/>
      <c r="CN169" s="436"/>
      <c r="CO169" s="436"/>
      <c r="CP169" s="436"/>
      <c r="CQ169" s="436"/>
      <c r="CR169" s="436"/>
      <c r="CS169" s="436"/>
      <c r="CT169" s="436"/>
      <c r="CU169" s="436"/>
      <c r="CV169" s="436"/>
      <c r="CW169" s="436"/>
      <c r="CX169" s="436"/>
      <c r="CY169" s="436"/>
      <c r="CZ169" s="436"/>
      <c r="DA169" s="436"/>
      <c r="DB169" s="436"/>
      <c r="DC169" s="436"/>
      <c r="DD169" s="436"/>
      <c r="DE169" s="436"/>
      <c r="DF169" s="436"/>
      <c r="DG169" s="436"/>
      <c r="DH169" s="436"/>
      <c r="DI169" s="436"/>
      <c r="DJ169" s="436"/>
      <c r="DK169" s="436"/>
      <c r="DL169" s="436"/>
      <c r="DM169" s="436"/>
      <c r="DN169" s="436"/>
      <c r="DO169" s="436"/>
      <c r="DP169" s="436"/>
      <c r="DQ169" s="436"/>
      <c r="DR169" s="436"/>
      <c r="DS169" s="436"/>
      <c r="DT169" s="436"/>
      <c r="DU169" s="436"/>
      <c r="DV169" s="436"/>
      <c r="DW169" s="436"/>
      <c r="DX169" s="436"/>
      <c r="DY169" s="436"/>
      <c r="DZ169" s="436"/>
      <c r="EA169" s="436"/>
      <c r="EB169" s="436"/>
      <c r="EC169" s="436"/>
      <c r="ED169" s="436"/>
      <c r="EE169" s="436"/>
      <c r="EF169" s="436"/>
      <c r="EG169" s="436"/>
      <c r="EH169" s="436"/>
      <c r="EI169" s="436"/>
      <c r="EJ169" s="436"/>
      <c r="EK169" s="436"/>
      <c r="EL169" s="436"/>
      <c r="EM169" s="436"/>
      <c r="EN169" s="436"/>
      <c r="EO169" s="436"/>
      <c r="EP169" s="436"/>
      <c r="EQ169" s="436"/>
      <c r="ER169" s="436"/>
      <c r="ES169" s="436"/>
      <c r="ET169" s="436"/>
      <c r="EU169" s="436"/>
      <c r="EV169" s="436"/>
      <c r="EW169" s="436"/>
      <c r="EX169" s="436"/>
      <c r="EY169" s="436"/>
      <c r="EZ169" s="436"/>
      <c r="FA169" s="436"/>
      <c r="FB169" s="436"/>
      <c r="FC169" s="436"/>
      <c r="FD169" s="436"/>
      <c r="FE169" s="436"/>
      <c r="FF169" s="436"/>
      <c r="FG169" s="436"/>
      <c r="FH169" s="436"/>
      <c r="FI169" s="436"/>
      <c r="FJ169" s="436"/>
      <c r="FK169" s="436"/>
      <c r="FL169" s="436"/>
      <c r="FM169" s="436"/>
      <c r="FN169" s="436"/>
      <c r="FO169" s="436"/>
      <c r="FP169" s="436"/>
      <c r="FQ169" s="436"/>
      <c r="FR169" s="436"/>
      <c r="FS169" s="436"/>
      <c r="FT169" s="436"/>
      <c r="FU169" s="436"/>
      <c r="FV169" s="436"/>
      <c r="FW169" s="436"/>
      <c r="FX169" s="436"/>
      <c r="FY169" s="436"/>
      <c r="FZ169" s="436"/>
      <c r="GA169" s="436"/>
      <c r="GB169" s="436"/>
      <c r="GC169" s="436"/>
      <c r="GD169" s="436"/>
      <c r="GE169" s="436"/>
      <c r="GF169" s="436"/>
      <c r="GG169" s="436"/>
      <c r="GH169" s="436"/>
      <c r="GI169" s="436"/>
      <c r="GJ169" s="436"/>
      <c r="GK169" s="436"/>
      <c r="GL169" s="436"/>
      <c r="GM169" s="436"/>
      <c r="GN169" s="436"/>
      <c r="GO169" s="436"/>
      <c r="GP169" s="436"/>
      <c r="GQ169" s="436"/>
      <c r="GR169" s="436"/>
      <c r="GS169" s="436"/>
      <c r="GT169" s="436"/>
      <c r="GU169" s="436"/>
      <c r="GV169" s="436"/>
      <c r="GW169" s="436"/>
      <c r="GX169" s="436"/>
      <c r="GY169" s="436"/>
      <c r="GZ169" s="436"/>
      <c r="HA169" s="436"/>
      <c r="HB169" s="436"/>
      <c r="HC169" s="436"/>
      <c r="HD169" s="436"/>
      <c r="HE169" s="436"/>
      <c r="HF169" s="436"/>
      <c r="HG169" s="436"/>
      <c r="HH169" s="436"/>
      <c r="HI169" s="436"/>
      <c r="HJ169" s="436"/>
      <c r="HK169" s="436"/>
      <c r="HL169" s="436"/>
      <c r="HM169" s="436"/>
      <c r="HN169" s="436"/>
      <c r="HO169" s="436"/>
      <c r="HP169" s="436"/>
      <c r="HQ169" s="436"/>
      <c r="HR169" s="436"/>
      <c r="HS169" s="436"/>
      <c r="HT169" s="436"/>
      <c r="HU169" s="436"/>
      <c r="HV169" s="436"/>
      <c r="HW169" s="436"/>
      <c r="HX169" s="436"/>
      <c r="HY169" s="436"/>
      <c r="HZ169" s="436"/>
      <c r="IA169" s="436"/>
      <c r="IB169" s="436"/>
      <c r="IC169" s="436"/>
      <c r="ID169" s="436"/>
      <c r="IE169" s="436"/>
      <c r="IF169" s="436"/>
      <c r="IG169" s="436"/>
      <c r="IH169" s="436"/>
      <c r="II169" s="436"/>
      <c r="IJ169" s="436"/>
      <c r="IK169" s="436"/>
      <c r="IL169" s="436"/>
      <c r="IM169" s="436"/>
      <c r="IN169" s="436"/>
      <c r="IO169" s="436"/>
      <c r="IP169" s="436"/>
      <c r="IQ169" s="265"/>
      <c r="IR169" s="265"/>
    </row>
    <row r="170" spans="1:252" s="461" customFormat="1" x14ac:dyDescent="0.35">
      <c r="A170" s="685"/>
      <c r="B170" s="503"/>
      <c r="C170" s="503"/>
      <c r="D170" s="439"/>
      <c r="E170" s="686"/>
      <c r="J170" s="1591"/>
      <c r="M170" s="436"/>
      <c r="N170" s="436"/>
      <c r="O170" s="436"/>
      <c r="P170" s="436"/>
      <c r="Q170" s="436"/>
      <c r="R170" s="436"/>
      <c r="S170" s="436"/>
      <c r="T170" s="436"/>
      <c r="U170" s="436"/>
      <c r="V170" s="436"/>
      <c r="W170" s="436"/>
      <c r="X170" s="436"/>
      <c r="Y170" s="436"/>
      <c r="Z170" s="436"/>
      <c r="AA170" s="436"/>
      <c r="AB170" s="436"/>
      <c r="AC170" s="436"/>
      <c r="AD170" s="436"/>
      <c r="AE170" s="436"/>
      <c r="AF170" s="436"/>
      <c r="AG170" s="436"/>
      <c r="AH170" s="436"/>
      <c r="AI170" s="436"/>
      <c r="AJ170" s="436"/>
      <c r="AK170" s="436"/>
      <c r="AL170" s="436"/>
      <c r="AM170" s="436"/>
      <c r="AN170" s="436"/>
      <c r="AO170" s="436"/>
      <c r="AP170" s="436"/>
      <c r="AQ170" s="436"/>
      <c r="AR170" s="436"/>
      <c r="AS170" s="436"/>
      <c r="AT170" s="436"/>
      <c r="AU170" s="436"/>
      <c r="AV170" s="436"/>
      <c r="AW170" s="436"/>
      <c r="AX170" s="436"/>
      <c r="AY170" s="436"/>
      <c r="AZ170" s="436"/>
      <c r="BA170" s="436"/>
      <c r="BB170" s="436"/>
      <c r="BC170" s="436"/>
      <c r="BD170" s="436"/>
      <c r="BE170" s="436"/>
      <c r="BF170" s="436"/>
      <c r="BG170" s="436"/>
      <c r="BH170" s="436"/>
      <c r="BI170" s="436"/>
      <c r="BJ170" s="436"/>
      <c r="BK170" s="436"/>
      <c r="BL170" s="436"/>
      <c r="BM170" s="436"/>
      <c r="BN170" s="436"/>
      <c r="BO170" s="436"/>
      <c r="BP170" s="436"/>
      <c r="BQ170" s="436"/>
      <c r="BR170" s="436"/>
      <c r="BS170" s="436"/>
      <c r="BT170" s="436"/>
      <c r="BU170" s="436"/>
      <c r="BV170" s="436"/>
      <c r="BW170" s="436"/>
      <c r="BX170" s="436"/>
      <c r="BY170" s="436"/>
      <c r="BZ170" s="436"/>
      <c r="CA170" s="436"/>
      <c r="CB170" s="436"/>
      <c r="CC170" s="436"/>
      <c r="CD170" s="436"/>
      <c r="CE170" s="436"/>
      <c r="CF170" s="436"/>
      <c r="CG170" s="436"/>
      <c r="CH170" s="436"/>
      <c r="CI170" s="436"/>
      <c r="CJ170" s="436"/>
      <c r="CK170" s="436"/>
      <c r="CL170" s="436"/>
      <c r="CM170" s="436"/>
      <c r="CN170" s="436"/>
      <c r="CO170" s="436"/>
      <c r="CP170" s="436"/>
      <c r="CQ170" s="436"/>
      <c r="CR170" s="436"/>
      <c r="CS170" s="436"/>
      <c r="CT170" s="436"/>
      <c r="CU170" s="436"/>
      <c r="CV170" s="436"/>
      <c r="CW170" s="436"/>
      <c r="CX170" s="436"/>
      <c r="CY170" s="436"/>
      <c r="CZ170" s="436"/>
      <c r="DA170" s="436"/>
      <c r="DB170" s="436"/>
      <c r="DC170" s="436"/>
      <c r="DD170" s="436"/>
      <c r="DE170" s="436"/>
      <c r="DF170" s="436"/>
      <c r="DG170" s="436"/>
      <c r="DH170" s="436"/>
      <c r="DI170" s="436"/>
      <c r="DJ170" s="436"/>
      <c r="DK170" s="436"/>
      <c r="DL170" s="436"/>
      <c r="DM170" s="436"/>
      <c r="DN170" s="436"/>
      <c r="DO170" s="436"/>
      <c r="DP170" s="436"/>
      <c r="DQ170" s="436"/>
      <c r="DR170" s="436"/>
      <c r="DS170" s="436"/>
      <c r="DT170" s="436"/>
      <c r="DU170" s="436"/>
      <c r="DV170" s="436"/>
      <c r="DW170" s="436"/>
      <c r="DX170" s="436"/>
      <c r="DY170" s="436"/>
      <c r="DZ170" s="436"/>
      <c r="EA170" s="436"/>
      <c r="EB170" s="436"/>
      <c r="EC170" s="436"/>
      <c r="ED170" s="436"/>
      <c r="EE170" s="436"/>
      <c r="EF170" s="436"/>
      <c r="EG170" s="436"/>
      <c r="EH170" s="436"/>
      <c r="EI170" s="436"/>
      <c r="EJ170" s="436"/>
      <c r="EK170" s="436"/>
      <c r="EL170" s="436"/>
      <c r="EM170" s="436"/>
      <c r="EN170" s="436"/>
      <c r="EO170" s="436"/>
      <c r="EP170" s="436"/>
      <c r="EQ170" s="436"/>
      <c r="ER170" s="436"/>
      <c r="ES170" s="436"/>
      <c r="ET170" s="436"/>
      <c r="EU170" s="436"/>
      <c r="EV170" s="436"/>
      <c r="EW170" s="436"/>
      <c r="EX170" s="436"/>
      <c r="EY170" s="436"/>
      <c r="EZ170" s="436"/>
      <c r="FA170" s="436"/>
      <c r="FB170" s="436"/>
      <c r="FC170" s="436"/>
      <c r="FD170" s="436"/>
      <c r="FE170" s="436"/>
      <c r="FF170" s="436"/>
      <c r="FG170" s="436"/>
      <c r="FH170" s="436"/>
      <c r="FI170" s="436"/>
      <c r="FJ170" s="436"/>
      <c r="FK170" s="436"/>
      <c r="FL170" s="436"/>
      <c r="FM170" s="436"/>
      <c r="FN170" s="436"/>
      <c r="FO170" s="436"/>
      <c r="FP170" s="436"/>
      <c r="FQ170" s="436"/>
      <c r="FR170" s="436"/>
      <c r="FS170" s="436"/>
      <c r="FT170" s="436"/>
      <c r="FU170" s="436"/>
      <c r="FV170" s="436"/>
      <c r="FW170" s="436"/>
      <c r="FX170" s="436"/>
      <c r="FY170" s="436"/>
      <c r="FZ170" s="436"/>
      <c r="GA170" s="436"/>
      <c r="GB170" s="436"/>
      <c r="GC170" s="436"/>
      <c r="GD170" s="436"/>
      <c r="GE170" s="436"/>
      <c r="GF170" s="436"/>
      <c r="GG170" s="436"/>
      <c r="GH170" s="436"/>
      <c r="GI170" s="436"/>
      <c r="GJ170" s="436"/>
      <c r="GK170" s="436"/>
      <c r="GL170" s="436"/>
      <c r="GM170" s="436"/>
      <c r="GN170" s="436"/>
      <c r="GO170" s="436"/>
      <c r="GP170" s="436"/>
      <c r="GQ170" s="436"/>
      <c r="GR170" s="436"/>
      <c r="GS170" s="436"/>
      <c r="GT170" s="436"/>
      <c r="GU170" s="436"/>
      <c r="GV170" s="436"/>
      <c r="GW170" s="436"/>
      <c r="GX170" s="436"/>
      <c r="GY170" s="436"/>
      <c r="GZ170" s="436"/>
      <c r="HA170" s="436"/>
      <c r="HB170" s="436"/>
      <c r="HC170" s="436"/>
      <c r="HD170" s="436"/>
      <c r="HE170" s="436"/>
      <c r="HF170" s="436"/>
      <c r="HG170" s="436"/>
      <c r="HH170" s="436"/>
      <c r="HI170" s="436"/>
      <c r="HJ170" s="436"/>
      <c r="HK170" s="436"/>
      <c r="HL170" s="436"/>
      <c r="HM170" s="436"/>
      <c r="HN170" s="436"/>
      <c r="HO170" s="436"/>
      <c r="HP170" s="436"/>
      <c r="HQ170" s="436"/>
      <c r="HR170" s="436"/>
      <c r="HS170" s="436"/>
      <c r="HT170" s="436"/>
      <c r="HU170" s="436"/>
      <c r="HV170" s="436"/>
      <c r="HW170" s="436"/>
      <c r="HX170" s="436"/>
      <c r="HY170" s="436"/>
      <c r="HZ170" s="436"/>
      <c r="IA170" s="436"/>
      <c r="IB170" s="436"/>
      <c r="IC170" s="436"/>
      <c r="ID170" s="436"/>
      <c r="IE170" s="436"/>
      <c r="IF170" s="436"/>
      <c r="IG170" s="436"/>
      <c r="IH170" s="436"/>
      <c r="II170" s="436"/>
      <c r="IJ170" s="436"/>
      <c r="IK170" s="436"/>
      <c r="IL170" s="436"/>
      <c r="IM170" s="436"/>
      <c r="IN170" s="436"/>
      <c r="IO170" s="436"/>
      <c r="IP170" s="436"/>
      <c r="IQ170" s="265"/>
      <c r="IR170" s="265"/>
    </row>
    <row r="171" spans="1:252" s="461" customFormat="1" x14ac:dyDescent="0.35">
      <c r="A171" s="685"/>
      <c r="B171" s="503"/>
      <c r="C171" s="503"/>
      <c r="D171" s="439"/>
      <c r="E171" s="686"/>
      <c r="J171" s="1591"/>
      <c r="M171" s="436"/>
      <c r="N171" s="436"/>
      <c r="O171" s="436"/>
      <c r="P171" s="436"/>
      <c r="Q171" s="436"/>
      <c r="R171" s="436"/>
      <c r="S171" s="436"/>
      <c r="T171" s="436"/>
      <c r="U171" s="436"/>
      <c r="V171" s="436"/>
      <c r="W171" s="436"/>
      <c r="X171" s="436"/>
      <c r="Y171" s="436"/>
      <c r="Z171" s="436"/>
      <c r="AA171" s="436"/>
      <c r="AB171" s="436"/>
      <c r="AC171" s="436"/>
      <c r="AD171" s="436"/>
      <c r="AE171" s="436"/>
      <c r="AF171" s="436"/>
      <c r="AG171" s="436"/>
      <c r="AH171" s="436"/>
      <c r="AI171" s="436"/>
      <c r="AJ171" s="436"/>
      <c r="AK171" s="436"/>
      <c r="AL171" s="436"/>
      <c r="AM171" s="436"/>
      <c r="AN171" s="436"/>
      <c r="AO171" s="436"/>
      <c r="AP171" s="436"/>
      <c r="AQ171" s="436"/>
      <c r="AR171" s="436"/>
      <c r="AS171" s="436"/>
      <c r="AT171" s="436"/>
      <c r="AU171" s="436"/>
      <c r="AV171" s="436"/>
      <c r="AW171" s="436"/>
      <c r="AX171" s="436"/>
      <c r="AY171" s="436"/>
      <c r="AZ171" s="436"/>
      <c r="BA171" s="436"/>
      <c r="BB171" s="436"/>
      <c r="BC171" s="436"/>
      <c r="BD171" s="436"/>
      <c r="BE171" s="436"/>
      <c r="BF171" s="436"/>
      <c r="BG171" s="436"/>
      <c r="BH171" s="436"/>
      <c r="BI171" s="436"/>
      <c r="BJ171" s="436"/>
      <c r="BK171" s="436"/>
      <c r="BL171" s="436"/>
      <c r="BM171" s="436"/>
      <c r="BN171" s="436"/>
      <c r="BO171" s="436"/>
      <c r="BP171" s="436"/>
      <c r="BQ171" s="436"/>
      <c r="BR171" s="436"/>
      <c r="BS171" s="436"/>
      <c r="BT171" s="436"/>
      <c r="BU171" s="436"/>
      <c r="BV171" s="436"/>
      <c r="BW171" s="436"/>
      <c r="BX171" s="436"/>
      <c r="BY171" s="436"/>
      <c r="BZ171" s="436"/>
      <c r="CA171" s="436"/>
      <c r="CB171" s="436"/>
      <c r="CC171" s="436"/>
      <c r="CD171" s="436"/>
      <c r="CE171" s="436"/>
      <c r="CF171" s="436"/>
      <c r="CG171" s="436"/>
      <c r="CH171" s="436"/>
      <c r="CI171" s="436"/>
      <c r="CJ171" s="436"/>
      <c r="CK171" s="436"/>
      <c r="CL171" s="436"/>
      <c r="CM171" s="436"/>
      <c r="CN171" s="436"/>
      <c r="CO171" s="436"/>
      <c r="CP171" s="436"/>
      <c r="CQ171" s="436"/>
      <c r="CR171" s="436"/>
      <c r="CS171" s="436"/>
      <c r="CT171" s="436"/>
      <c r="CU171" s="436"/>
      <c r="CV171" s="436"/>
      <c r="CW171" s="436"/>
      <c r="CX171" s="436"/>
      <c r="CY171" s="436"/>
      <c r="CZ171" s="436"/>
      <c r="DA171" s="436"/>
      <c r="DB171" s="436"/>
      <c r="DC171" s="436"/>
      <c r="DD171" s="436"/>
      <c r="DE171" s="436"/>
      <c r="DF171" s="436"/>
      <c r="DG171" s="436"/>
      <c r="DH171" s="436"/>
      <c r="DI171" s="436"/>
      <c r="DJ171" s="436"/>
      <c r="DK171" s="436"/>
      <c r="DL171" s="436"/>
      <c r="DM171" s="436"/>
      <c r="DN171" s="436"/>
      <c r="DO171" s="436"/>
      <c r="DP171" s="436"/>
      <c r="DQ171" s="436"/>
      <c r="DR171" s="436"/>
      <c r="DS171" s="436"/>
      <c r="DT171" s="436"/>
      <c r="DU171" s="436"/>
      <c r="DV171" s="436"/>
      <c r="DW171" s="436"/>
      <c r="DX171" s="436"/>
      <c r="DY171" s="436"/>
      <c r="DZ171" s="436"/>
      <c r="EA171" s="436"/>
      <c r="EB171" s="436"/>
      <c r="EC171" s="436"/>
      <c r="ED171" s="436"/>
      <c r="EE171" s="436"/>
      <c r="EF171" s="436"/>
      <c r="EG171" s="436"/>
      <c r="EH171" s="436"/>
      <c r="EI171" s="436"/>
      <c r="EJ171" s="436"/>
      <c r="EK171" s="436"/>
      <c r="EL171" s="436"/>
      <c r="EM171" s="436"/>
      <c r="EN171" s="436"/>
      <c r="EO171" s="436"/>
      <c r="EP171" s="436"/>
      <c r="EQ171" s="436"/>
      <c r="ER171" s="436"/>
      <c r="ES171" s="436"/>
      <c r="ET171" s="436"/>
      <c r="EU171" s="436"/>
      <c r="EV171" s="436"/>
      <c r="EW171" s="436"/>
      <c r="EX171" s="436"/>
      <c r="EY171" s="436"/>
      <c r="EZ171" s="436"/>
      <c r="FA171" s="436"/>
      <c r="FB171" s="436"/>
      <c r="FC171" s="436"/>
      <c r="FD171" s="436"/>
      <c r="FE171" s="436"/>
      <c r="FF171" s="436"/>
      <c r="FG171" s="436"/>
      <c r="FH171" s="436"/>
      <c r="FI171" s="436"/>
      <c r="FJ171" s="436"/>
      <c r="FK171" s="436"/>
      <c r="FL171" s="436"/>
      <c r="FM171" s="436"/>
      <c r="FN171" s="436"/>
      <c r="FO171" s="436"/>
      <c r="FP171" s="436"/>
      <c r="FQ171" s="436"/>
      <c r="FR171" s="436"/>
      <c r="FS171" s="436"/>
      <c r="FT171" s="436"/>
      <c r="FU171" s="436"/>
      <c r="FV171" s="436"/>
      <c r="FW171" s="436"/>
      <c r="FX171" s="436"/>
      <c r="FY171" s="436"/>
      <c r="FZ171" s="436"/>
      <c r="GA171" s="436"/>
      <c r="GB171" s="436"/>
      <c r="GC171" s="436"/>
      <c r="GD171" s="436"/>
      <c r="GE171" s="436"/>
      <c r="GF171" s="436"/>
      <c r="GG171" s="436"/>
      <c r="GH171" s="436"/>
      <c r="GI171" s="436"/>
      <c r="GJ171" s="436"/>
      <c r="GK171" s="436"/>
      <c r="GL171" s="436"/>
      <c r="GM171" s="436"/>
      <c r="GN171" s="436"/>
      <c r="GO171" s="436"/>
      <c r="GP171" s="436"/>
      <c r="GQ171" s="436"/>
      <c r="GR171" s="436"/>
      <c r="GS171" s="436"/>
      <c r="GT171" s="436"/>
      <c r="GU171" s="436"/>
      <c r="GV171" s="436"/>
      <c r="GW171" s="436"/>
      <c r="GX171" s="436"/>
      <c r="GY171" s="436"/>
      <c r="GZ171" s="436"/>
      <c r="HA171" s="436"/>
      <c r="HB171" s="436"/>
      <c r="HC171" s="436"/>
      <c r="HD171" s="436"/>
      <c r="HE171" s="436"/>
      <c r="HF171" s="436"/>
      <c r="HG171" s="436"/>
      <c r="HH171" s="436"/>
      <c r="HI171" s="436"/>
      <c r="HJ171" s="436"/>
      <c r="HK171" s="436"/>
      <c r="HL171" s="436"/>
      <c r="HM171" s="436"/>
      <c r="HN171" s="436"/>
      <c r="HO171" s="436"/>
      <c r="HP171" s="436"/>
      <c r="HQ171" s="436"/>
      <c r="HR171" s="436"/>
      <c r="HS171" s="436"/>
      <c r="HT171" s="436"/>
      <c r="HU171" s="436"/>
      <c r="HV171" s="436"/>
      <c r="HW171" s="436"/>
      <c r="HX171" s="436"/>
      <c r="HY171" s="436"/>
      <c r="HZ171" s="436"/>
      <c r="IA171" s="436"/>
      <c r="IB171" s="436"/>
      <c r="IC171" s="436"/>
      <c r="ID171" s="436"/>
      <c r="IE171" s="436"/>
      <c r="IF171" s="436"/>
      <c r="IG171" s="436"/>
      <c r="IH171" s="436"/>
      <c r="II171" s="436"/>
      <c r="IJ171" s="436"/>
      <c r="IK171" s="436"/>
      <c r="IL171" s="436"/>
      <c r="IM171" s="436"/>
      <c r="IN171" s="436"/>
      <c r="IO171" s="436"/>
      <c r="IP171" s="436"/>
      <c r="IQ171" s="265"/>
      <c r="IR171" s="265"/>
    </row>
    <row r="172" spans="1:252" s="461" customFormat="1" x14ac:dyDescent="0.35">
      <c r="A172" s="685"/>
      <c r="B172" s="503"/>
      <c r="C172" s="503"/>
      <c r="D172" s="439"/>
      <c r="E172" s="686"/>
      <c r="J172" s="1591"/>
      <c r="M172" s="436"/>
      <c r="N172" s="436"/>
      <c r="O172" s="436"/>
      <c r="P172" s="436"/>
      <c r="Q172" s="436"/>
      <c r="R172" s="436"/>
      <c r="S172" s="436"/>
      <c r="T172" s="436"/>
      <c r="U172" s="436"/>
      <c r="V172" s="436"/>
      <c r="W172" s="436"/>
      <c r="X172" s="436"/>
      <c r="Y172" s="436"/>
      <c r="Z172" s="436"/>
      <c r="AA172" s="436"/>
      <c r="AB172" s="436"/>
      <c r="AC172" s="436"/>
      <c r="AD172" s="436"/>
      <c r="AE172" s="436"/>
      <c r="AF172" s="436"/>
      <c r="AG172" s="436"/>
      <c r="AH172" s="436"/>
      <c r="AI172" s="436"/>
      <c r="AJ172" s="436"/>
      <c r="AK172" s="436"/>
      <c r="AL172" s="436"/>
      <c r="AM172" s="436"/>
      <c r="AN172" s="436"/>
      <c r="AO172" s="436"/>
      <c r="AP172" s="436"/>
      <c r="AQ172" s="436"/>
      <c r="AR172" s="436"/>
      <c r="AS172" s="436"/>
      <c r="AT172" s="436"/>
      <c r="AU172" s="436"/>
      <c r="AV172" s="436"/>
      <c r="AW172" s="436"/>
      <c r="AX172" s="436"/>
      <c r="AY172" s="436"/>
      <c r="AZ172" s="436"/>
      <c r="BA172" s="436"/>
      <c r="BB172" s="436"/>
      <c r="BC172" s="436"/>
      <c r="BD172" s="436"/>
      <c r="BE172" s="436"/>
      <c r="BF172" s="436"/>
      <c r="BG172" s="436"/>
      <c r="BH172" s="436"/>
      <c r="BI172" s="436"/>
      <c r="BJ172" s="436"/>
      <c r="BK172" s="436"/>
      <c r="BL172" s="436"/>
      <c r="BM172" s="436"/>
      <c r="BN172" s="436"/>
      <c r="BO172" s="436"/>
      <c r="BP172" s="436"/>
      <c r="BQ172" s="436"/>
      <c r="BR172" s="436"/>
      <c r="BS172" s="436"/>
      <c r="BT172" s="436"/>
      <c r="BU172" s="436"/>
      <c r="BV172" s="436"/>
      <c r="BW172" s="436"/>
      <c r="BX172" s="436"/>
      <c r="BY172" s="436"/>
      <c r="BZ172" s="436"/>
      <c r="CA172" s="436"/>
      <c r="CB172" s="436"/>
      <c r="CC172" s="436"/>
      <c r="CD172" s="436"/>
      <c r="CE172" s="436"/>
      <c r="CF172" s="436"/>
      <c r="CG172" s="436"/>
      <c r="CH172" s="436"/>
      <c r="CI172" s="436"/>
      <c r="CJ172" s="436"/>
      <c r="CK172" s="436"/>
      <c r="CL172" s="436"/>
      <c r="CM172" s="436"/>
      <c r="CN172" s="436"/>
      <c r="CO172" s="436"/>
      <c r="CP172" s="436"/>
      <c r="CQ172" s="436"/>
      <c r="CR172" s="436"/>
      <c r="CS172" s="436"/>
      <c r="CT172" s="436"/>
      <c r="CU172" s="436"/>
      <c r="CV172" s="436"/>
      <c r="CW172" s="436"/>
      <c r="CX172" s="436"/>
      <c r="CY172" s="436"/>
      <c r="CZ172" s="436"/>
      <c r="DA172" s="436"/>
      <c r="DB172" s="436"/>
      <c r="DC172" s="436"/>
      <c r="DD172" s="436"/>
      <c r="DE172" s="436"/>
      <c r="DF172" s="436"/>
      <c r="DG172" s="436"/>
      <c r="DH172" s="436"/>
      <c r="DI172" s="436"/>
      <c r="DJ172" s="436"/>
      <c r="DK172" s="436"/>
      <c r="DL172" s="436"/>
      <c r="DM172" s="436"/>
      <c r="DN172" s="436"/>
      <c r="DO172" s="436"/>
      <c r="DP172" s="436"/>
      <c r="DQ172" s="436"/>
      <c r="DR172" s="436"/>
      <c r="DS172" s="436"/>
      <c r="DT172" s="436"/>
      <c r="DU172" s="436"/>
      <c r="DV172" s="436"/>
      <c r="DW172" s="436"/>
      <c r="DX172" s="436"/>
      <c r="DY172" s="436"/>
      <c r="DZ172" s="436"/>
      <c r="EA172" s="436"/>
      <c r="EB172" s="436"/>
      <c r="EC172" s="436"/>
      <c r="ED172" s="436"/>
      <c r="EE172" s="436"/>
      <c r="EF172" s="436"/>
      <c r="EG172" s="436"/>
      <c r="EH172" s="436"/>
      <c r="EI172" s="436"/>
      <c r="EJ172" s="436"/>
      <c r="EK172" s="436"/>
      <c r="EL172" s="436"/>
      <c r="EM172" s="436"/>
      <c r="EN172" s="436"/>
      <c r="EO172" s="436"/>
      <c r="EP172" s="436"/>
      <c r="EQ172" s="436"/>
      <c r="ER172" s="436"/>
      <c r="ES172" s="436"/>
      <c r="ET172" s="436"/>
      <c r="EU172" s="436"/>
      <c r="EV172" s="436"/>
      <c r="EW172" s="436"/>
      <c r="EX172" s="436"/>
      <c r="EY172" s="436"/>
      <c r="EZ172" s="436"/>
      <c r="FA172" s="436"/>
      <c r="FB172" s="436"/>
      <c r="FC172" s="436"/>
      <c r="FD172" s="436"/>
      <c r="FE172" s="436"/>
      <c r="FF172" s="436"/>
      <c r="FG172" s="436"/>
      <c r="FH172" s="436"/>
      <c r="FI172" s="436"/>
      <c r="FJ172" s="436"/>
      <c r="FK172" s="436"/>
      <c r="FL172" s="436"/>
      <c r="FM172" s="436"/>
      <c r="FN172" s="436"/>
      <c r="FO172" s="436"/>
      <c r="FP172" s="436"/>
      <c r="FQ172" s="436"/>
      <c r="FR172" s="436"/>
      <c r="FS172" s="436"/>
      <c r="FT172" s="436"/>
      <c r="FU172" s="436"/>
      <c r="FV172" s="436"/>
      <c r="FW172" s="436"/>
      <c r="FX172" s="436"/>
      <c r="FY172" s="436"/>
      <c r="FZ172" s="436"/>
      <c r="GA172" s="436"/>
      <c r="GB172" s="436"/>
      <c r="GC172" s="436"/>
      <c r="GD172" s="436"/>
      <c r="GE172" s="436"/>
      <c r="GF172" s="436"/>
      <c r="GG172" s="436"/>
      <c r="GH172" s="436"/>
      <c r="GI172" s="436"/>
      <c r="GJ172" s="436"/>
      <c r="GK172" s="436"/>
      <c r="GL172" s="436"/>
      <c r="GM172" s="436"/>
      <c r="GN172" s="436"/>
      <c r="GO172" s="436"/>
      <c r="GP172" s="436"/>
      <c r="GQ172" s="436"/>
      <c r="GR172" s="436"/>
      <c r="GS172" s="436"/>
      <c r="GT172" s="436"/>
      <c r="GU172" s="436"/>
      <c r="GV172" s="436"/>
      <c r="GW172" s="436"/>
      <c r="GX172" s="436"/>
      <c r="GY172" s="436"/>
      <c r="GZ172" s="436"/>
      <c r="HA172" s="436"/>
      <c r="HB172" s="436"/>
      <c r="HC172" s="436"/>
      <c r="HD172" s="436"/>
      <c r="HE172" s="436"/>
      <c r="HF172" s="436"/>
      <c r="HG172" s="436"/>
      <c r="HH172" s="436"/>
      <c r="HI172" s="436"/>
      <c r="HJ172" s="436"/>
      <c r="HK172" s="436"/>
      <c r="HL172" s="436"/>
      <c r="HM172" s="436"/>
      <c r="HN172" s="436"/>
      <c r="HO172" s="436"/>
      <c r="HP172" s="436"/>
      <c r="HQ172" s="436"/>
      <c r="HR172" s="436"/>
      <c r="HS172" s="436"/>
      <c r="HT172" s="436"/>
      <c r="HU172" s="436"/>
      <c r="HV172" s="436"/>
      <c r="HW172" s="436"/>
      <c r="HX172" s="436"/>
      <c r="HY172" s="436"/>
      <c r="HZ172" s="436"/>
      <c r="IA172" s="436"/>
      <c r="IB172" s="436"/>
      <c r="IC172" s="436"/>
      <c r="ID172" s="436"/>
      <c r="IE172" s="436"/>
      <c r="IF172" s="436"/>
      <c r="IG172" s="436"/>
      <c r="IH172" s="436"/>
      <c r="II172" s="436"/>
      <c r="IJ172" s="436"/>
      <c r="IK172" s="436"/>
      <c r="IL172" s="436"/>
      <c r="IM172" s="436"/>
      <c r="IN172" s="436"/>
      <c r="IO172" s="436"/>
      <c r="IP172" s="436"/>
      <c r="IQ172" s="265"/>
      <c r="IR172" s="265"/>
    </row>
    <row r="173" spans="1:252" s="461" customFormat="1" x14ac:dyDescent="0.35">
      <c r="A173" s="685"/>
      <c r="B173" s="503"/>
      <c r="C173" s="503"/>
      <c r="D173" s="439"/>
      <c r="E173" s="686"/>
      <c r="J173" s="1591"/>
      <c r="M173" s="436"/>
      <c r="N173" s="436"/>
      <c r="O173" s="436"/>
      <c r="P173" s="436"/>
      <c r="Q173" s="436"/>
      <c r="R173" s="436"/>
      <c r="S173" s="436"/>
      <c r="T173" s="436"/>
      <c r="U173" s="436"/>
      <c r="V173" s="436"/>
      <c r="W173" s="436"/>
      <c r="X173" s="436"/>
      <c r="Y173" s="436"/>
      <c r="Z173" s="436"/>
      <c r="AA173" s="436"/>
      <c r="AB173" s="436"/>
      <c r="AC173" s="436"/>
      <c r="AD173" s="436"/>
      <c r="AE173" s="436"/>
      <c r="AF173" s="436"/>
      <c r="AG173" s="436"/>
      <c r="AH173" s="436"/>
      <c r="AI173" s="436"/>
      <c r="AJ173" s="436"/>
      <c r="AK173" s="436"/>
      <c r="AL173" s="436"/>
      <c r="AM173" s="436"/>
      <c r="AN173" s="436"/>
      <c r="AO173" s="436"/>
      <c r="AP173" s="436"/>
      <c r="AQ173" s="436"/>
      <c r="AR173" s="436"/>
      <c r="AS173" s="436"/>
      <c r="AT173" s="436"/>
      <c r="AU173" s="436"/>
      <c r="AV173" s="436"/>
      <c r="AW173" s="436"/>
      <c r="AX173" s="436"/>
      <c r="AY173" s="436"/>
      <c r="AZ173" s="436"/>
      <c r="BA173" s="436"/>
      <c r="BB173" s="436"/>
      <c r="BC173" s="436"/>
      <c r="BD173" s="436"/>
      <c r="BE173" s="436"/>
      <c r="BF173" s="436"/>
      <c r="BG173" s="436"/>
      <c r="BH173" s="436"/>
      <c r="BI173" s="436"/>
      <c r="BJ173" s="436"/>
      <c r="BK173" s="436"/>
      <c r="BL173" s="436"/>
      <c r="BM173" s="436"/>
      <c r="BN173" s="436"/>
      <c r="BO173" s="436"/>
      <c r="BP173" s="436"/>
      <c r="BQ173" s="436"/>
      <c r="BR173" s="436"/>
      <c r="BS173" s="436"/>
      <c r="BT173" s="436"/>
      <c r="BU173" s="436"/>
      <c r="BV173" s="436"/>
      <c r="BW173" s="436"/>
      <c r="BX173" s="436"/>
      <c r="BY173" s="436"/>
      <c r="BZ173" s="436"/>
      <c r="CA173" s="436"/>
      <c r="CB173" s="436"/>
      <c r="CC173" s="436"/>
      <c r="CD173" s="436"/>
      <c r="CE173" s="436"/>
      <c r="CF173" s="436"/>
      <c r="CG173" s="436"/>
      <c r="CH173" s="436"/>
      <c r="CI173" s="436"/>
      <c r="CJ173" s="436"/>
      <c r="CK173" s="436"/>
      <c r="CL173" s="436"/>
      <c r="CM173" s="436"/>
      <c r="CN173" s="436"/>
      <c r="CO173" s="436"/>
      <c r="CP173" s="436"/>
      <c r="CQ173" s="436"/>
      <c r="CR173" s="436"/>
      <c r="CS173" s="436"/>
      <c r="CT173" s="436"/>
      <c r="CU173" s="436"/>
      <c r="CV173" s="436"/>
      <c r="CW173" s="436"/>
      <c r="CX173" s="436"/>
      <c r="CY173" s="436"/>
      <c r="CZ173" s="436"/>
      <c r="DA173" s="436"/>
      <c r="DB173" s="436"/>
      <c r="DC173" s="436"/>
      <c r="DD173" s="436"/>
      <c r="DE173" s="436"/>
      <c r="DF173" s="436"/>
      <c r="DG173" s="436"/>
      <c r="DH173" s="436"/>
      <c r="DI173" s="436"/>
      <c r="DJ173" s="436"/>
      <c r="DK173" s="436"/>
      <c r="DL173" s="436"/>
      <c r="DM173" s="436"/>
      <c r="DN173" s="436"/>
      <c r="DO173" s="436"/>
      <c r="DP173" s="436"/>
      <c r="DQ173" s="436"/>
      <c r="DR173" s="436"/>
      <c r="DS173" s="436"/>
      <c r="DT173" s="436"/>
      <c r="DU173" s="436"/>
      <c r="DV173" s="436"/>
      <c r="DW173" s="436"/>
      <c r="DX173" s="436"/>
      <c r="DY173" s="436"/>
      <c r="DZ173" s="436"/>
      <c r="EA173" s="436"/>
      <c r="EB173" s="436"/>
      <c r="EC173" s="436"/>
      <c r="ED173" s="436"/>
      <c r="EE173" s="436"/>
      <c r="EF173" s="436"/>
      <c r="EG173" s="436"/>
      <c r="EH173" s="436"/>
      <c r="EI173" s="436"/>
      <c r="EJ173" s="436"/>
      <c r="EK173" s="436"/>
      <c r="EL173" s="436"/>
      <c r="EM173" s="436"/>
      <c r="EN173" s="436"/>
      <c r="EO173" s="436"/>
      <c r="EP173" s="436"/>
      <c r="EQ173" s="436"/>
      <c r="ER173" s="436"/>
      <c r="ES173" s="436"/>
      <c r="ET173" s="436"/>
      <c r="EU173" s="436"/>
      <c r="EV173" s="436"/>
      <c r="EW173" s="436"/>
      <c r="EX173" s="436"/>
      <c r="EY173" s="436"/>
      <c r="EZ173" s="436"/>
      <c r="FA173" s="436"/>
      <c r="FB173" s="436"/>
      <c r="FC173" s="436"/>
      <c r="FD173" s="436"/>
      <c r="FE173" s="436"/>
      <c r="FF173" s="436"/>
      <c r="FG173" s="436"/>
      <c r="FH173" s="436"/>
      <c r="FI173" s="436"/>
      <c r="FJ173" s="436"/>
      <c r="FK173" s="436"/>
      <c r="FL173" s="436"/>
      <c r="FM173" s="436"/>
      <c r="FN173" s="436"/>
      <c r="FO173" s="436"/>
      <c r="FP173" s="436"/>
      <c r="FQ173" s="436"/>
      <c r="FR173" s="436"/>
      <c r="FS173" s="436"/>
      <c r="FT173" s="436"/>
      <c r="FU173" s="436"/>
      <c r="FV173" s="436"/>
      <c r="FW173" s="436"/>
      <c r="FX173" s="436"/>
      <c r="FY173" s="436"/>
      <c r="FZ173" s="436"/>
      <c r="GA173" s="436"/>
      <c r="GB173" s="436"/>
      <c r="GC173" s="436"/>
      <c r="GD173" s="436"/>
      <c r="GE173" s="436"/>
      <c r="GF173" s="436"/>
      <c r="GG173" s="436"/>
      <c r="GH173" s="436"/>
      <c r="GI173" s="436"/>
      <c r="GJ173" s="436"/>
      <c r="GK173" s="436"/>
      <c r="GL173" s="436"/>
      <c r="GM173" s="436"/>
      <c r="GN173" s="436"/>
      <c r="GO173" s="436"/>
      <c r="GP173" s="436"/>
      <c r="GQ173" s="436"/>
      <c r="GR173" s="436"/>
      <c r="GS173" s="436"/>
      <c r="GT173" s="436"/>
      <c r="GU173" s="436"/>
      <c r="GV173" s="436"/>
      <c r="GW173" s="436"/>
      <c r="GX173" s="436"/>
      <c r="GY173" s="436"/>
      <c r="GZ173" s="436"/>
      <c r="HA173" s="436"/>
      <c r="HB173" s="436"/>
      <c r="HC173" s="436"/>
      <c r="HD173" s="436"/>
      <c r="HE173" s="436"/>
      <c r="HF173" s="436"/>
      <c r="HG173" s="436"/>
      <c r="HH173" s="436"/>
      <c r="HI173" s="436"/>
      <c r="HJ173" s="436"/>
      <c r="HK173" s="436"/>
      <c r="HL173" s="436"/>
      <c r="HM173" s="436"/>
      <c r="HN173" s="436"/>
      <c r="HO173" s="436"/>
      <c r="HP173" s="436"/>
      <c r="HQ173" s="436"/>
      <c r="HR173" s="436"/>
      <c r="HS173" s="436"/>
      <c r="HT173" s="436"/>
      <c r="HU173" s="436"/>
      <c r="HV173" s="436"/>
      <c r="HW173" s="436"/>
      <c r="HX173" s="436"/>
      <c r="HY173" s="436"/>
      <c r="HZ173" s="436"/>
      <c r="IA173" s="436"/>
      <c r="IB173" s="436"/>
      <c r="IC173" s="436"/>
      <c r="ID173" s="436"/>
      <c r="IE173" s="436"/>
      <c r="IF173" s="436"/>
      <c r="IG173" s="436"/>
      <c r="IH173" s="436"/>
      <c r="II173" s="436"/>
      <c r="IJ173" s="436"/>
      <c r="IK173" s="436"/>
      <c r="IL173" s="436"/>
      <c r="IM173" s="436"/>
      <c r="IN173" s="436"/>
      <c r="IO173" s="436"/>
      <c r="IP173" s="436"/>
      <c r="IQ173" s="265"/>
      <c r="IR173" s="265"/>
    </row>
    <row r="174" spans="1:252" s="461" customFormat="1" x14ac:dyDescent="0.35">
      <c r="A174" s="685"/>
      <c r="B174" s="503"/>
      <c r="C174" s="503"/>
      <c r="D174" s="439"/>
      <c r="E174" s="686"/>
      <c r="J174" s="1591"/>
      <c r="M174" s="436"/>
      <c r="N174" s="436"/>
      <c r="O174" s="436"/>
      <c r="P174" s="436"/>
      <c r="Q174" s="436"/>
      <c r="R174" s="436"/>
      <c r="S174" s="436"/>
      <c r="T174" s="436"/>
      <c r="U174" s="436"/>
      <c r="V174" s="436"/>
      <c r="W174" s="436"/>
      <c r="X174" s="436"/>
      <c r="Y174" s="436"/>
      <c r="Z174" s="436"/>
      <c r="AA174" s="436"/>
      <c r="AB174" s="436"/>
      <c r="AC174" s="436"/>
      <c r="AD174" s="436"/>
      <c r="AE174" s="436"/>
      <c r="AF174" s="436"/>
      <c r="AG174" s="436"/>
      <c r="AH174" s="436"/>
      <c r="AI174" s="436"/>
      <c r="AJ174" s="436"/>
      <c r="AK174" s="436"/>
      <c r="AL174" s="436"/>
      <c r="AM174" s="436"/>
      <c r="AN174" s="436"/>
      <c r="AO174" s="436"/>
      <c r="AP174" s="436"/>
      <c r="AQ174" s="436"/>
      <c r="AR174" s="436"/>
      <c r="AS174" s="436"/>
      <c r="AT174" s="436"/>
      <c r="AU174" s="436"/>
      <c r="AV174" s="436"/>
      <c r="AW174" s="436"/>
      <c r="AX174" s="436"/>
      <c r="AY174" s="436"/>
      <c r="AZ174" s="436"/>
      <c r="BA174" s="436"/>
      <c r="BB174" s="436"/>
      <c r="BC174" s="436"/>
      <c r="BD174" s="436"/>
      <c r="BE174" s="436"/>
      <c r="BF174" s="436"/>
      <c r="BG174" s="436"/>
      <c r="BH174" s="436"/>
      <c r="BI174" s="436"/>
      <c r="BJ174" s="436"/>
      <c r="BK174" s="436"/>
      <c r="BL174" s="436"/>
      <c r="BM174" s="436"/>
      <c r="BN174" s="436"/>
      <c r="BO174" s="436"/>
      <c r="BP174" s="436"/>
      <c r="BQ174" s="436"/>
      <c r="BR174" s="436"/>
      <c r="BS174" s="436"/>
      <c r="BT174" s="436"/>
      <c r="BU174" s="436"/>
      <c r="BV174" s="436"/>
      <c r="BW174" s="436"/>
      <c r="BX174" s="436"/>
      <c r="BY174" s="436"/>
      <c r="BZ174" s="436"/>
      <c r="CA174" s="436"/>
      <c r="CB174" s="436"/>
      <c r="CC174" s="436"/>
      <c r="CD174" s="436"/>
      <c r="CE174" s="436"/>
      <c r="CF174" s="436"/>
      <c r="CG174" s="436"/>
      <c r="CH174" s="436"/>
      <c r="CI174" s="436"/>
      <c r="CJ174" s="436"/>
      <c r="CK174" s="436"/>
      <c r="CL174" s="436"/>
      <c r="CM174" s="436"/>
      <c r="CN174" s="436"/>
      <c r="CO174" s="436"/>
      <c r="CP174" s="436"/>
      <c r="CQ174" s="436"/>
      <c r="CR174" s="436"/>
      <c r="CS174" s="436"/>
      <c r="CT174" s="436"/>
      <c r="CU174" s="436"/>
      <c r="CV174" s="436"/>
      <c r="CW174" s="436"/>
      <c r="CX174" s="436"/>
      <c r="CY174" s="436"/>
      <c r="CZ174" s="436"/>
      <c r="DA174" s="436"/>
      <c r="DB174" s="436"/>
      <c r="DC174" s="436"/>
      <c r="DD174" s="436"/>
      <c r="DE174" s="436"/>
      <c r="DF174" s="436"/>
      <c r="DG174" s="436"/>
      <c r="DH174" s="436"/>
      <c r="DI174" s="436"/>
      <c r="DJ174" s="436"/>
      <c r="DK174" s="436"/>
      <c r="DL174" s="436"/>
      <c r="DM174" s="436"/>
      <c r="DN174" s="436"/>
      <c r="DO174" s="436"/>
      <c r="DP174" s="436"/>
      <c r="DQ174" s="436"/>
      <c r="DR174" s="436"/>
      <c r="DS174" s="436"/>
      <c r="DT174" s="436"/>
      <c r="DU174" s="436"/>
      <c r="DV174" s="436"/>
      <c r="DW174" s="436"/>
      <c r="DX174" s="436"/>
      <c r="DY174" s="436"/>
      <c r="DZ174" s="436"/>
      <c r="EA174" s="436"/>
      <c r="EB174" s="436"/>
      <c r="EC174" s="436"/>
      <c r="ED174" s="436"/>
      <c r="EE174" s="436"/>
      <c r="EF174" s="436"/>
      <c r="EG174" s="436"/>
      <c r="EH174" s="436"/>
      <c r="EI174" s="436"/>
      <c r="EJ174" s="436"/>
      <c r="EK174" s="436"/>
      <c r="EL174" s="436"/>
      <c r="EM174" s="436"/>
      <c r="EN174" s="436"/>
      <c r="EO174" s="436"/>
      <c r="EP174" s="436"/>
      <c r="EQ174" s="436"/>
      <c r="ER174" s="436"/>
      <c r="ES174" s="436"/>
      <c r="ET174" s="436"/>
      <c r="EU174" s="436"/>
      <c r="EV174" s="436"/>
      <c r="EW174" s="436"/>
      <c r="EX174" s="436"/>
      <c r="EY174" s="436"/>
      <c r="EZ174" s="436"/>
      <c r="FA174" s="436"/>
      <c r="FB174" s="436"/>
      <c r="FC174" s="436"/>
      <c r="FD174" s="436"/>
      <c r="FE174" s="436"/>
      <c r="FF174" s="436"/>
      <c r="FG174" s="436"/>
      <c r="FH174" s="436"/>
      <c r="FI174" s="436"/>
      <c r="FJ174" s="436"/>
      <c r="FK174" s="436"/>
      <c r="FL174" s="436"/>
      <c r="FM174" s="436"/>
      <c r="FN174" s="436"/>
      <c r="FO174" s="436"/>
      <c r="FP174" s="436"/>
      <c r="FQ174" s="436"/>
      <c r="FR174" s="436"/>
      <c r="FS174" s="436"/>
      <c r="FT174" s="436"/>
      <c r="FU174" s="436"/>
      <c r="FV174" s="436"/>
      <c r="FW174" s="436"/>
      <c r="FX174" s="436"/>
      <c r="FY174" s="436"/>
      <c r="FZ174" s="436"/>
      <c r="GA174" s="436"/>
      <c r="GB174" s="436"/>
      <c r="GC174" s="436"/>
      <c r="GD174" s="436"/>
      <c r="GE174" s="436"/>
      <c r="GF174" s="436"/>
      <c r="GG174" s="436"/>
      <c r="GH174" s="436"/>
      <c r="GI174" s="436"/>
      <c r="GJ174" s="436"/>
      <c r="GK174" s="436"/>
      <c r="GL174" s="436"/>
      <c r="GM174" s="436"/>
      <c r="GN174" s="436"/>
      <c r="GO174" s="436"/>
      <c r="GP174" s="436"/>
      <c r="GQ174" s="436"/>
      <c r="GR174" s="436"/>
      <c r="GS174" s="436"/>
      <c r="GT174" s="436"/>
      <c r="GU174" s="436"/>
      <c r="GV174" s="436"/>
      <c r="GW174" s="436"/>
      <c r="GX174" s="436"/>
      <c r="GY174" s="436"/>
      <c r="GZ174" s="436"/>
      <c r="HA174" s="436"/>
      <c r="HB174" s="436"/>
      <c r="HC174" s="436"/>
      <c r="HD174" s="436"/>
      <c r="HE174" s="436"/>
      <c r="HF174" s="436"/>
      <c r="HG174" s="436"/>
      <c r="HH174" s="436"/>
      <c r="HI174" s="436"/>
      <c r="HJ174" s="436"/>
      <c r="HK174" s="436"/>
      <c r="HL174" s="436"/>
      <c r="HM174" s="436"/>
      <c r="HN174" s="436"/>
      <c r="HO174" s="436"/>
      <c r="HP174" s="436"/>
      <c r="HQ174" s="436"/>
      <c r="HR174" s="436"/>
      <c r="HS174" s="436"/>
      <c r="HT174" s="436"/>
      <c r="HU174" s="436"/>
      <c r="HV174" s="436"/>
      <c r="HW174" s="436"/>
      <c r="HX174" s="436"/>
      <c r="HY174" s="436"/>
      <c r="HZ174" s="436"/>
      <c r="IA174" s="436"/>
      <c r="IB174" s="436"/>
      <c r="IC174" s="436"/>
      <c r="ID174" s="436"/>
      <c r="IE174" s="436"/>
      <c r="IF174" s="436"/>
      <c r="IG174" s="436"/>
      <c r="IH174" s="436"/>
      <c r="II174" s="436"/>
      <c r="IJ174" s="436"/>
      <c r="IK174" s="436"/>
      <c r="IL174" s="436"/>
      <c r="IM174" s="436"/>
      <c r="IN174" s="436"/>
      <c r="IO174" s="436"/>
      <c r="IP174" s="436"/>
      <c r="IQ174" s="265"/>
      <c r="IR174" s="265"/>
    </row>
    <row r="175" spans="1:252" s="461" customFormat="1" x14ac:dyDescent="0.35">
      <c r="A175" s="685"/>
      <c r="B175" s="503"/>
      <c r="C175" s="503"/>
      <c r="D175" s="439"/>
      <c r="E175" s="686"/>
      <c r="J175" s="1591"/>
      <c r="M175" s="436"/>
      <c r="N175" s="436"/>
      <c r="O175" s="436"/>
      <c r="P175" s="436"/>
      <c r="Q175" s="436"/>
      <c r="R175" s="436"/>
      <c r="S175" s="436"/>
      <c r="T175" s="436"/>
      <c r="U175" s="436"/>
      <c r="V175" s="436"/>
      <c r="W175" s="436"/>
      <c r="X175" s="436"/>
      <c r="Y175" s="436"/>
      <c r="Z175" s="436"/>
      <c r="AA175" s="436"/>
      <c r="AB175" s="436"/>
      <c r="AC175" s="436"/>
      <c r="AD175" s="436"/>
      <c r="AE175" s="436"/>
      <c r="AF175" s="436"/>
      <c r="AG175" s="436"/>
      <c r="AH175" s="436"/>
      <c r="AI175" s="436"/>
      <c r="AJ175" s="436"/>
      <c r="AK175" s="436"/>
      <c r="AL175" s="436"/>
      <c r="AM175" s="436"/>
      <c r="AN175" s="436"/>
      <c r="AO175" s="436"/>
      <c r="AP175" s="436"/>
      <c r="AQ175" s="436"/>
      <c r="AR175" s="436"/>
      <c r="AS175" s="436"/>
      <c r="AT175" s="436"/>
      <c r="AU175" s="436"/>
      <c r="AV175" s="436"/>
      <c r="AW175" s="436"/>
      <c r="AX175" s="436"/>
      <c r="AY175" s="436"/>
      <c r="AZ175" s="436"/>
      <c r="BA175" s="436"/>
      <c r="BB175" s="436"/>
      <c r="BC175" s="436"/>
      <c r="BD175" s="436"/>
      <c r="BE175" s="436"/>
      <c r="BF175" s="436"/>
      <c r="BG175" s="436"/>
      <c r="BH175" s="436"/>
      <c r="BI175" s="436"/>
      <c r="BJ175" s="436"/>
      <c r="BK175" s="436"/>
      <c r="BL175" s="436"/>
      <c r="BM175" s="436"/>
      <c r="BN175" s="436"/>
      <c r="BO175" s="436"/>
      <c r="BP175" s="436"/>
      <c r="BQ175" s="436"/>
      <c r="BR175" s="436"/>
      <c r="BS175" s="436"/>
      <c r="BT175" s="436"/>
      <c r="BU175" s="436"/>
      <c r="BV175" s="436"/>
      <c r="BW175" s="436"/>
      <c r="BX175" s="436"/>
      <c r="BY175" s="436"/>
      <c r="BZ175" s="436"/>
      <c r="CA175" s="436"/>
      <c r="CB175" s="436"/>
      <c r="CC175" s="436"/>
      <c r="CD175" s="436"/>
      <c r="CE175" s="436"/>
      <c r="CF175" s="436"/>
      <c r="CG175" s="436"/>
      <c r="CH175" s="436"/>
      <c r="CI175" s="436"/>
      <c r="CJ175" s="436"/>
      <c r="CK175" s="436"/>
      <c r="CL175" s="436"/>
      <c r="CM175" s="436"/>
      <c r="CN175" s="436"/>
      <c r="CO175" s="436"/>
      <c r="CP175" s="436"/>
      <c r="CQ175" s="436"/>
      <c r="CR175" s="436"/>
      <c r="CS175" s="436"/>
      <c r="CT175" s="436"/>
      <c r="CU175" s="436"/>
      <c r="CV175" s="436"/>
      <c r="CW175" s="436"/>
      <c r="CX175" s="436"/>
      <c r="CY175" s="436"/>
      <c r="CZ175" s="436"/>
      <c r="DA175" s="436"/>
      <c r="DB175" s="436"/>
      <c r="DC175" s="436"/>
      <c r="DD175" s="436"/>
      <c r="DE175" s="436"/>
      <c r="DF175" s="436"/>
      <c r="DG175" s="436"/>
      <c r="DH175" s="436"/>
      <c r="DI175" s="436"/>
      <c r="DJ175" s="436"/>
      <c r="DK175" s="436"/>
      <c r="DL175" s="436"/>
      <c r="DM175" s="436"/>
      <c r="DN175" s="436"/>
      <c r="DO175" s="436"/>
      <c r="DP175" s="436"/>
      <c r="DQ175" s="436"/>
      <c r="DR175" s="436"/>
      <c r="DS175" s="436"/>
      <c r="DT175" s="436"/>
      <c r="DU175" s="436"/>
      <c r="DV175" s="436"/>
      <c r="DW175" s="436"/>
      <c r="DX175" s="436"/>
      <c r="DY175" s="436"/>
      <c r="DZ175" s="436"/>
      <c r="EA175" s="436"/>
      <c r="EB175" s="436"/>
      <c r="EC175" s="436"/>
      <c r="ED175" s="436"/>
      <c r="EE175" s="436"/>
      <c r="EF175" s="436"/>
      <c r="EG175" s="436"/>
      <c r="EH175" s="436"/>
      <c r="EI175" s="436"/>
      <c r="EJ175" s="436"/>
      <c r="EK175" s="436"/>
      <c r="EL175" s="436"/>
      <c r="EM175" s="436"/>
      <c r="EN175" s="436"/>
      <c r="EO175" s="436"/>
      <c r="EP175" s="436"/>
      <c r="EQ175" s="436"/>
      <c r="ER175" s="436"/>
      <c r="ES175" s="436"/>
      <c r="ET175" s="436"/>
      <c r="EU175" s="436"/>
      <c r="EV175" s="436"/>
      <c r="EW175" s="436"/>
      <c r="EX175" s="436"/>
      <c r="EY175" s="436"/>
      <c r="EZ175" s="436"/>
      <c r="FA175" s="436"/>
      <c r="FB175" s="436"/>
      <c r="FC175" s="436"/>
      <c r="FD175" s="436"/>
      <c r="FE175" s="436"/>
      <c r="FF175" s="436"/>
      <c r="FG175" s="436"/>
      <c r="FH175" s="436"/>
      <c r="FI175" s="436"/>
      <c r="FJ175" s="436"/>
      <c r="FK175" s="436"/>
      <c r="FL175" s="436"/>
      <c r="FM175" s="436"/>
      <c r="FN175" s="436"/>
      <c r="FO175" s="436"/>
      <c r="FP175" s="436"/>
      <c r="FQ175" s="436"/>
      <c r="FR175" s="436"/>
      <c r="FS175" s="436"/>
      <c r="FT175" s="436"/>
      <c r="FU175" s="436"/>
      <c r="FV175" s="436"/>
      <c r="FW175" s="436"/>
      <c r="FX175" s="436"/>
      <c r="FY175" s="436"/>
      <c r="FZ175" s="436"/>
      <c r="GA175" s="436"/>
      <c r="GB175" s="436"/>
      <c r="GC175" s="436"/>
      <c r="GD175" s="436"/>
      <c r="GE175" s="436"/>
      <c r="GF175" s="436"/>
      <c r="GG175" s="436"/>
      <c r="GH175" s="436"/>
      <c r="GI175" s="436"/>
      <c r="GJ175" s="436"/>
      <c r="GK175" s="436"/>
      <c r="GL175" s="436"/>
      <c r="GM175" s="436"/>
      <c r="GN175" s="436"/>
      <c r="GO175" s="436"/>
      <c r="GP175" s="436"/>
      <c r="GQ175" s="436"/>
      <c r="GR175" s="436"/>
      <c r="GS175" s="436"/>
      <c r="GT175" s="436"/>
      <c r="GU175" s="436"/>
      <c r="GV175" s="436"/>
      <c r="GW175" s="436"/>
      <c r="GX175" s="436"/>
      <c r="GY175" s="436"/>
      <c r="GZ175" s="436"/>
      <c r="HA175" s="436"/>
      <c r="HB175" s="436"/>
      <c r="HC175" s="436"/>
      <c r="HD175" s="436"/>
      <c r="HE175" s="436"/>
      <c r="HF175" s="436"/>
      <c r="HG175" s="436"/>
      <c r="HH175" s="436"/>
      <c r="HI175" s="436"/>
      <c r="HJ175" s="436"/>
      <c r="HK175" s="436"/>
      <c r="HL175" s="436"/>
      <c r="HM175" s="436"/>
      <c r="HN175" s="436"/>
      <c r="HO175" s="436"/>
      <c r="HP175" s="436"/>
      <c r="HQ175" s="436"/>
      <c r="HR175" s="436"/>
      <c r="HS175" s="436"/>
      <c r="HT175" s="436"/>
      <c r="HU175" s="436"/>
      <c r="HV175" s="436"/>
      <c r="HW175" s="436"/>
      <c r="HX175" s="436"/>
      <c r="HY175" s="436"/>
      <c r="HZ175" s="436"/>
      <c r="IA175" s="436"/>
      <c r="IB175" s="436"/>
      <c r="IC175" s="436"/>
      <c r="ID175" s="436"/>
      <c r="IE175" s="436"/>
      <c r="IF175" s="436"/>
      <c r="IG175" s="436"/>
      <c r="IH175" s="436"/>
      <c r="II175" s="436"/>
      <c r="IJ175" s="436"/>
      <c r="IK175" s="436"/>
      <c r="IL175" s="436"/>
      <c r="IM175" s="436"/>
      <c r="IN175" s="436"/>
      <c r="IO175" s="436"/>
      <c r="IP175" s="436"/>
      <c r="IQ175" s="265"/>
      <c r="IR175" s="265"/>
    </row>
    <row r="176" spans="1:252" s="461" customFormat="1" x14ac:dyDescent="0.35">
      <c r="A176" s="685"/>
      <c r="B176" s="503"/>
      <c r="C176" s="503"/>
      <c r="D176" s="439"/>
      <c r="E176" s="686"/>
      <c r="J176" s="1591"/>
      <c r="M176" s="436"/>
      <c r="N176" s="436"/>
      <c r="O176" s="436"/>
      <c r="P176" s="436"/>
      <c r="Q176" s="436"/>
      <c r="R176" s="436"/>
      <c r="S176" s="436"/>
      <c r="T176" s="436"/>
      <c r="U176" s="436"/>
      <c r="V176" s="436"/>
      <c r="W176" s="436"/>
      <c r="X176" s="436"/>
      <c r="Y176" s="436"/>
      <c r="Z176" s="436"/>
      <c r="AA176" s="436"/>
      <c r="AB176" s="436"/>
      <c r="AC176" s="436"/>
      <c r="AD176" s="436"/>
      <c r="AE176" s="436"/>
      <c r="AF176" s="436"/>
      <c r="AG176" s="436"/>
      <c r="AH176" s="436"/>
      <c r="AI176" s="436"/>
      <c r="AJ176" s="436"/>
      <c r="AK176" s="436"/>
      <c r="AL176" s="436"/>
      <c r="AM176" s="436"/>
      <c r="AN176" s="436"/>
      <c r="AO176" s="436"/>
      <c r="AP176" s="436"/>
      <c r="AQ176" s="436"/>
      <c r="AR176" s="436"/>
      <c r="AS176" s="436"/>
      <c r="AT176" s="436"/>
      <c r="AU176" s="436"/>
      <c r="AV176" s="436"/>
      <c r="AW176" s="436"/>
      <c r="AX176" s="436"/>
      <c r="AY176" s="436"/>
      <c r="AZ176" s="436"/>
      <c r="BA176" s="436"/>
      <c r="BB176" s="436"/>
      <c r="BC176" s="436"/>
      <c r="BD176" s="436"/>
      <c r="BE176" s="436"/>
      <c r="BF176" s="436"/>
      <c r="BG176" s="436"/>
      <c r="BH176" s="436"/>
      <c r="BI176" s="436"/>
      <c r="BJ176" s="436"/>
      <c r="BK176" s="436"/>
      <c r="BL176" s="436"/>
      <c r="BM176" s="436"/>
      <c r="BN176" s="436"/>
      <c r="BO176" s="436"/>
      <c r="BP176" s="436"/>
      <c r="BQ176" s="436"/>
      <c r="BR176" s="436"/>
      <c r="BS176" s="436"/>
      <c r="BT176" s="436"/>
      <c r="BU176" s="436"/>
      <c r="BV176" s="436"/>
      <c r="BW176" s="436"/>
      <c r="BX176" s="436"/>
      <c r="BY176" s="436"/>
      <c r="BZ176" s="436"/>
      <c r="CA176" s="436"/>
      <c r="CB176" s="436"/>
      <c r="CC176" s="436"/>
      <c r="CD176" s="436"/>
      <c r="CE176" s="436"/>
      <c r="CF176" s="436"/>
      <c r="CG176" s="436"/>
      <c r="CH176" s="436"/>
      <c r="CI176" s="436"/>
      <c r="CJ176" s="436"/>
      <c r="CK176" s="436"/>
      <c r="CL176" s="436"/>
      <c r="CM176" s="436"/>
      <c r="CN176" s="436"/>
      <c r="CO176" s="436"/>
      <c r="CP176" s="436"/>
      <c r="CQ176" s="436"/>
      <c r="CR176" s="436"/>
      <c r="CS176" s="436"/>
      <c r="CT176" s="436"/>
      <c r="CU176" s="436"/>
      <c r="CV176" s="436"/>
      <c r="CW176" s="436"/>
      <c r="CX176" s="436"/>
      <c r="CY176" s="436"/>
      <c r="CZ176" s="436"/>
      <c r="DA176" s="436"/>
      <c r="DB176" s="436"/>
      <c r="DC176" s="436"/>
      <c r="DD176" s="436"/>
      <c r="DE176" s="436"/>
      <c r="DF176" s="436"/>
      <c r="DG176" s="436"/>
      <c r="DH176" s="436"/>
      <c r="DI176" s="436"/>
      <c r="DJ176" s="436"/>
      <c r="DK176" s="436"/>
      <c r="DL176" s="436"/>
      <c r="DM176" s="436"/>
      <c r="DN176" s="436"/>
      <c r="DO176" s="436"/>
      <c r="DP176" s="436"/>
      <c r="DQ176" s="436"/>
      <c r="DR176" s="436"/>
      <c r="DS176" s="436"/>
      <c r="DT176" s="436"/>
      <c r="DU176" s="436"/>
      <c r="DV176" s="436"/>
      <c r="DW176" s="436"/>
      <c r="DX176" s="436"/>
      <c r="DY176" s="436"/>
      <c r="DZ176" s="436"/>
      <c r="EA176" s="436"/>
      <c r="EB176" s="436"/>
      <c r="EC176" s="436"/>
      <c r="ED176" s="436"/>
      <c r="EE176" s="436"/>
      <c r="EF176" s="436"/>
      <c r="EG176" s="436"/>
      <c r="EH176" s="436"/>
      <c r="EI176" s="436"/>
      <c r="EJ176" s="436"/>
      <c r="EK176" s="436"/>
      <c r="EL176" s="436"/>
      <c r="EM176" s="436"/>
      <c r="EN176" s="436"/>
      <c r="EO176" s="436"/>
      <c r="EP176" s="436"/>
      <c r="EQ176" s="436"/>
      <c r="ER176" s="436"/>
      <c r="ES176" s="436"/>
      <c r="ET176" s="436"/>
      <c r="EU176" s="436"/>
      <c r="EV176" s="436"/>
      <c r="EW176" s="436"/>
      <c r="EX176" s="436"/>
      <c r="EY176" s="436"/>
      <c r="EZ176" s="436"/>
      <c r="FA176" s="436"/>
      <c r="FB176" s="436"/>
      <c r="FC176" s="436"/>
      <c r="FD176" s="436"/>
      <c r="FE176" s="436"/>
      <c r="FF176" s="436"/>
      <c r="FG176" s="436"/>
      <c r="FH176" s="436"/>
      <c r="FI176" s="436"/>
      <c r="FJ176" s="436"/>
      <c r="FK176" s="436"/>
      <c r="FL176" s="436"/>
      <c r="FM176" s="436"/>
      <c r="FN176" s="436"/>
      <c r="FO176" s="436"/>
      <c r="FP176" s="436"/>
      <c r="FQ176" s="436"/>
      <c r="FR176" s="436"/>
      <c r="FS176" s="436"/>
      <c r="FT176" s="436"/>
      <c r="FU176" s="436"/>
      <c r="FV176" s="436"/>
      <c r="FW176" s="436"/>
      <c r="FX176" s="436"/>
      <c r="FY176" s="436"/>
      <c r="FZ176" s="436"/>
      <c r="GA176" s="436"/>
      <c r="GB176" s="436"/>
      <c r="GC176" s="436"/>
      <c r="GD176" s="436"/>
      <c r="GE176" s="436"/>
      <c r="GF176" s="436"/>
      <c r="GG176" s="436"/>
      <c r="GH176" s="436"/>
      <c r="GI176" s="436"/>
      <c r="GJ176" s="436"/>
      <c r="GK176" s="436"/>
      <c r="GL176" s="436"/>
      <c r="GM176" s="436"/>
      <c r="GN176" s="436"/>
      <c r="GO176" s="436"/>
      <c r="GP176" s="436"/>
      <c r="GQ176" s="436"/>
      <c r="GR176" s="436"/>
      <c r="GS176" s="436"/>
      <c r="GT176" s="436"/>
      <c r="GU176" s="436"/>
      <c r="GV176" s="436"/>
      <c r="GW176" s="436"/>
      <c r="GX176" s="436"/>
      <c r="GY176" s="436"/>
      <c r="GZ176" s="436"/>
      <c r="HA176" s="436"/>
      <c r="HB176" s="436"/>
      <c r="HC176" s="436"/>
      <c r="HD176" s="436"/>
      <c r="HE176" s="436"/>
      <c r="HF176" s="436"/>
      <c r="HG176" s="436"/>
      <c r="HH176" s="436"/>
      <c r="HI176" s="436"/>
      <c r="HJ176" s="436"/>
      <c r="HK176" s="436"/>
      <c r="HL176" s="436"/>
      <c r="HM176" s="436"/>
      <c r="HN176" s="436"/>
      <c r="HO176" s="436"/>
      <c r="HP176" s="436"/>
      <c r="HQ176" s="436"/>
      <c r="HR176" s="436"/>
      <c r="HS176" s="436"/>
      <c r="HT176" s="436"/>
      <c r="HU176" s="436"/>
      <c r="HV176" s="436"/>
      <c r="HW176" s="436"/>
      <c r="HX176" s="436"/>
      <c r="HY176" s="436"/>
      <c r="HZ176" s="436"/>
      <c r="IA176" s="436"/>
      <c r="IB176" s="436"/>
      <c r="IC176" s="436"/>
      <c r="ID176" s="436"/>
      <c r="IE176" s="436"/>
      <c r="IF176" s="436"/>
      <c r="IG176" s="436"/>
      <c r="IH176" s="436"/>
      <c r="II176" s="436"/>
      <c r="IJ176" s="436"/>
      <c r="IK176" s="436"/>
      <c r="IL176" s="436"/>
      <c r="IM176" s="436"/>
      <c r="IN176" s="436"/>
      <c r="IO176" s="436"/>
      <c r="IP176" s="436"/>
      <c r="IQ176" s="265"/>
      <c r="IR176" s="265"/>
    </row>
    <row r="177" spans="1:252" s="461" customFormat="1" x14ac:dyDescent="0.35">
      <c r="A177" s="685"/>
      <c r="B177" s="503"/>
      <c r="C177" s="503"/>
      <c r="D177" s="439"/>
      <c r="E177" s="686"/>
      <c r="J177" s="1591"/>
      <c r="M177" s="436"/>
      <c r="N177" s="436"/>
      <c r="O177" s="436"/>
      <c r="P177" s="436"/>
      <c r="Q177" s="436"/>
      <c r="R177" s="436"/>
      <c r="S177" s="436"/>
      <c r="T177" s="436"/>
      <c r="U177" s="436"/>
      <c r="V177" s="436"/>
      <c r="W177" s="436"/>
      <c r="X177" s="436"/>
      <c r="Y177" s="436"/>
      <c r="Z177" s="436"/>
      <c r="AA177" s="436"/>
      <c r="AB177" s="436"/>
      <c r="AC177" s="436"/>
      <c r="AD177" s="436"/>
      <c r="AE177" s="436"/>
      <c r="AF177" s="436"/>
      <c r="AG177" s="436"/>
      <c r="AH177" s="436"/>
      <c r="AI177" s="436"/>
      <c r="AJ177" s="436"/>
      <c r="AK177" s="436"/>
      <c r="AL177" s="436"/>
      <c r="AM177" s="436"/>
      <c r="AN177" s="436"/>
      <c r="AO177" s="436"/>
      <c r="AP177" s="436"/>
      <c r="AQ177" s="436"/>
      <c r="AR177" s="436"/>
      <c r="AS177" s="436"/>
      <c r="AT177" s="436"/>
      <c r="AU177" s="436"/>
      <c r="AV177" s="436"/>
      <c r="AW177" s="436"/>
      <c r="AX177" s="436"/>
      <c r="AY177" s="436"/>
      <c r="AZ177" s="436"/>
      <c r="BA177" s="436"/>
      <c r="BB177" s="436"/>
      <c r="BC177" s="436"/>
      <c r="BD177" s="436"/>
      <c r="BE177" s="436"/>
      <c r="BF177" s="436"/>
      <c r="BG177" s="436"/>
      <c r="BH177" s="436"/>
      <c r="BI177" s="436"/>
      <c r="BJ177" s="436"/>
      <c r="BK177" s="436"/>
      <c r="BL177" s="436"/>
      <c r="BM177" s="436"/>
      <c r="BN177" s="436"/>
      <c r="BO177" s="436"/>
      <c r="BP177" s="436"/>
      <c r="BQ177" s="436"/>
      <c r="BR177" s="436"/>
      <c r="BS177" s="436"/>
      <c r="BT177" s="436"/>
      <c r="BU177" s="436"/>
      <c r="BV177" s="436"/>
      <c r="BW177" s="436"/>
      <c r="BX177" s="436"/>
      <c r="BY177" s="436"/>
      <c r="BZ177" s="436"/>
      <c r="CA177" s="436"/>
      <c r="CB177" s="436"/>
      <c r="CC177" s="436"/>
      <c r="CD177" s="436"/>
      <c r="CE177" s="436"/>
      <c r="CF177" s="436"/>
      <c r="CG177" s="436"/>
      <c r="CH177" s="436"/>
      <c r="CI177" s="436"/>
      <c r="CJ177" s="436"/>
      <c r="CK177" s="436"/>
      <c r="CL177" s="436"/>
      <c r="CM177" s="436"/>
      <c r="CN177" s="436"/>
      <c r="CO177" s="436"/>
      <c r="CP177" s="436"/>
      <c r="CQ177" s="436"/>
      <c r="CR177" s="436"/>
      <c r="CS177" s="436"/>
      <c r="CT177" s="436"/>
      <c r="CU177" s="436"/>
      <c r="CV177" s="436"/>
      <c r="CW177" s="436"/>
      <c r="CX177" s="436"/>
      <c r="CY177" s="436"/>
      <c r="CZ177" s="436"/>
      <c r="DA177" s="436"/>
      <c r="DB177" s="436"/>
      <c r="DC177" s="436"/>
      <c r="DD177" s="436"/>
      <c r="DE177" s="436"/>
      <c r="DF177" s="436"/>
      <c r="DG177" s="436"/>
      <c r="DH177" s="436"/>
      <c r="DI177" s="436"/>
      <c r="DJ177" s="436"/>
      <c r="DK177" s="436"/>
      <c r="DL177" s="436"/>
      <c r="DM177" s="436"/>
      <c r="DN177" s="436"/>
      <c r="DO177" s="436"/>
      <c r="DP177" s="436"/>
      <c r="DQ177" s="436"/>
      <c r="DR177" s="436"/>
      <c r="DS177" s="436"/>
      <c r="DT177" s="436"/>
      <c r="DU177" s="436"/>
      <c r="DV177" s="436"/>
      <c r="DW177" s="436"/>
      <c r="DX177" s="436"/>
      <c r="DY177" s="436"/>
      <c r="DZ177" s="436"/>
      <c r="EA177" s="436"/>
      <c r="EB177" s="436"/>
      <c r="EC177" s="436"/>
      <c r="ED177" s="436"/>
      <c r="EE177" s="436"/>
      <c r="EF177" s="436"/>
      <c r="EG177" s="436"/>
      <c r="EH177" s="436"/>
      <c r="EI177" s="436"/>
      <c r="EJ177" s="436"/>
      <c r="EK177" s="436"/>
      <c r="EL177" s="436"/>
      <c r="EM177" s="436"/>
      <c r="EN177" s="436"/>
      <c r="EO177" s="436"/>
      <c r="EP177" s="436"/>
      <c r="EQ177" s="436"/>
      <c r="ER177" s="436"/>
      <c r="ES177" s="436"/>
      <c r="ET177" s="436"/>
      <c r="EU177" s="436"/>
      <c r="EV177" s="436"/>
      <c r="EW177" s="436"/>
      <c r="EX177" s="436"/>
      <c r="EY177" s="436"/>
      <c r="EZ177" s="436"/>
      <c r="FA177" s="436"/>
      <c r="FB177" s="436"/>
      <c r="FC177" s="436"/>
      <c r="FD177" s="436"/>
      <c r="FE177" s="436"/>
      <c r="FF177" s="436"/>
      <c r="FG177" s="436"/>
      <c r="FH177" s="436"/>
      <c r="FI177" s="436"/>
      <c r="FJ177" s="436"/>
      <c r="FK177" s="436"/>
      <c r="FL177" s="436"/>
      <c r="FM177" s="436"/>
      <c r="FN177" s="436"/>
      <c r="FO177" s="436"/>
      <c r="FP177" s="436"/>
      <c r="FQ177" s="436"/>
      <c r="FR177" s="436"/>
      <c r="FS177" s="436"/>
      <c r="FT177" s="436"/>
      <c r="FU177" s="436"/>
      <c r="FV177" s="436"/>
      <c r="FW177" s="436"/>
      <c r="FX177" s="436"/>
      <c r="FY177" s="436"/>
      <c r="FZ177" s="436"/>
      <c r="GA177" s="436"/>
      <c r="GB177" s="436"/>
      <c r="GC177" s="436"/>
      <c r="GD177" s="436"/>
      <c r="GE177" s="436"/>
      <c r="GF177" s="436"/>
      <c r="GG177" s="436"/>
      <c r="GH177" s="436"/>
      <c r="GI177" s="436"/>
      <c r="GJ177" s="436"/>
      <c r="GK177" s="436"/>
      <c r="GL177" s="436"/>
      <c r="GM177" s="436"/>
      <c r="GN177" s="436"/>
      <c r="GO177" s="436"/>
      <c r="GP177" s="436"/>
      <c r="GQ177" s="436"/>
      <c r="GR177" s="436"/>
      <c r="GS177" s="436"/>
      <c r="GT177" s="436"/>
      <c r="GU177" s="436"/>
      <c r="GV177" s="436"/>
      <c r="GW177" s="436"/>
      <c r="GX177" s="436"/>
      <c r="GY177" s="436"/>
      <c r="GZ177" s="436"/>
      <c r="HA177" s="436"/>
      <c r="HB177" s="436"/>
      <c r="HC177" s="436"/>
      <c r="HD177" s="436"/>
      <c r="HE177" s="436"/>
      <c r="HF177" s="436"/>
      <c r="HG177" s="436"/>
      <c r="HH177" s="436"/>
      <c r="HI177" s="436"/>
      <c r="HJ177" s="436"/>
      <c r="HK177" s="436"/>
      <c r="HL177" s="436"/>
      <c r="HM177" s="436"/>
      <c r="HN177" s="436"/>
      <c r="HO177" s="436"/>
      <c r="HP177" s="436"/>
      <c r="HQ177" s="436"/>
      <c r="HR177" s="436"/>
      <c r="HS177" s="436"/>
      <c r="HT177" s="436"/>
      <c r="HU177" s="436"/>
      <c r="HV177" s="436"/>
      <c r="HW177" s="436"/>
      <c r="HX177" s="436"/>
      <c r="HY177" s="436"/>
      <c r="HZ177" s="436"/>
      <c r="IA177" s="436"/>
      <c r="IB177" s="436"/>
      <c r="IC177" s="436"/>
      <c r="ID177" s="436"/>
      <c r="IE177" s="436"/>
      <c r="IF177" s="436"/>
      <c r="IG177" s="436"/>
      <c r="IH177" s="436"/>
      <c r="II177" s="436"/>
      <c r="IJ177" s="436"/>
      <c r="IK177" s="436"/>
      <c r="IL177" s="436"/>
      <c r="IM177" s="436"/>
      <c r="IN177" s="436"/>
      <c r="IO177" s="436"/>
      <c r="IP177" s="436"/>
      <c r="IQ177" s="265"/>
      <c r="IR177" s="265"/>
    </row>
    <row r="178" spans="1:252" s="461" customFormat="1" x14ac:dyDescent="0.35">
      <c r="A178" s="685"/>
      <c r="B178" s="503"/>
      <c r="C178" s="503"/>
      <c r="D178" s="439"/>
      <c r="E178" s="686"/>
      <c r="J178" s="1591"/>
      <c r="M178" s="436"/>
      <c r="N178" s="436"/>
      <c r="O178" s="436"/>
      <c r="P178" s="436"/>
      <c r="Q178" s="436"/>
      <c r="R178" s="436"/>
      <c r="S178" s="436"/>
      <c r="T178" s="436"/>
      <c r="U178" s="436"/>
      <c r="V178" s="436"/>
      <c r="W178" s="436"/>
      <c r="X178" s="436"/>
      <c r="Y178" s="436"/>
      <c r="Z178" s="436"/>
      <c r="AA178" s="436"/>
      <c r="AB178" s="436"/>
      <c r="AC178" s="436"/>
      <c r="AD178" s="436"/>
      <c r="AE178" s="436"/>
      <c r="AF178" s="436"/>
      <c r="AG178" s="436"/>
      <c r="AH178" s="436"/>
      <c r="AI178" s="436"/>
      <c r="AJ178" s="436"/>
      <c r="AK178" s="436"/>
      <c r="AL178" s="436"/>
      <c r="AM178" s="436"/>
      <c r="AN178" s="436"/>
      <c r="AO178" s="436"/>
      <c r="AP178" s="436"/>
      <c r="AQ178" s="436"/>
      <c r="AR178" s="436"/>
      <c r="AS178" s="436"/>
      <c r="AT178" s="436"/>
      <c r="AU178" s="436"/>
      <c r="AV178" s="436"/>
      <c r="AW178" s="436"/>
      <c r="AX178" s="436"/>
      <c r="AY178" s="436"/>
      <c r="AZ178" s="436"/>
      <c r="BA178" s="436"/>
      <c r="BB178" s="436"/>
      <c r="BC178" s="436"/>
      <c r="BD178" s="436"/>
      <c r="BE178" s="436"/>
      <c r="BF178" s="436"/>
      <c r="BG178" s="436"/>
      <c r="BH178" s="436"/>
      <c r="BI178" s="436"/>
      <c r="BJ178" s="436"/>
      <c r="BK178" s="436"/>
      <c r="BL178" s="436"/>
      <c r="BM178" s="436"/>
      <c r="BN178" s="436"/>
      <c r="BO178" s="436"/>
      <c r="BP178" s="436"/>
      <c r="BQ178" s="436"/>
      <c r="BR178" s="436"/>
      <c r="BS178" s="436"/>
      <c r="BT178" s="436"/>
      <c r="BU178" s="436"/>
      <c r="BV178" s="436"/>
      <c r="BW178" s="436"/>
      <c r="BX178" s="436"/>
      <c r="BY178" s="436"/>
      <c r="BZ178" s="436"/>
      <c r="CA178" s="436"/>
      <c r="CB178" s="436"/>
      <c r="CC178" s="436"/>
      <c r="CD178" s="436"/>
      <c r="CE178" s="436"/>
      <c r="CF178" s="436"/>
      <c r="CG178" s="436"/>
      <c r="CH178" s="436"/>
      <c r="CI178" s="436"/>
      <c r="CJ178" s="436"/>
      <c r="CK178" s="436"/>
      <c r="CL178" s="436"/>
      <c r="CM178" s="436"/>
      <c r="CN178" s="436"/>
      <c r="CO178" s="436"/>
      <c r="CP178" s="436"/>
      <c r="CQ178" s="436"/>
      <c r="CR178" s="436"/>
      <c r="CS178" s="436"/>
      <c r="CT178" s="436"/>
      <c r="CU178" s="436"/>
      <c r="CV178" s="436"/>
      <c r="CW178" s="436"/>
      <c r="CX178" s="436"/>
      <c r="CY178" s="436"/>
      <c r="CZ178" s="436"/>
      <c r="DA178" s="436"/>
      <c r="DB178" s="436"/>
      <c r="DC178" s="436"/>
      <c r="DD178" s="436"/>
      <c r="DE178" s="436"/>
      <c r="DF178" s="436"/>
      <c r="DG178" s="436"/>
      <c r="DH178" s="436"/>
      <c r="DI178" s="436"/>
      <c r="DJ178" s="436"/>
      <c r="DK178" s="436"/>
      <c r="DL178" s="436"/>
      <c r="DM178" s="436"/>
      <c r="DN178" s="436"/>
      <c r="DO178" s="436"/>
      <c r="DP178" s="436"/>
      <c r="DQ178" s="436"/>
      <c r="DR178" s="436"/>
      <c r="DS178" s="436"/>
      <c r="DT178" s="436"/>
      <c r="DU178" s="436"/>
      <c r="DV178" s="436"/>
      <c r="DW178" s="436"/>
      <c r="DX178" s="436"/>
      <c r="DY178" s="436"/>
      <c r="DZ178" s="436"/>
      <c r="EA178" s="436"/>
      <c r="EB178" s="436"/>
      <c r="EC178" s="436"/>
      <c r="ED178" s="436"/>
      <c r="EE178" s="436"/>
      <c r="EF178" s="436"/>
      <c r="EG178" s="436"/>
      <c r="EH178" s="436"/>
      <c r="EI178" s="436"/>
      <c r="EJ178" s="436"/>
      <c r="EK178" s="436"/>
      <c r="EL178" s="436"/>
      <c r="EM178" s="436"/>
      <c r="EN178" s="436"/>
      <c r="EO178" s="436"/>
      <c r="EP178" s="436"/>
      <c r="EQ178" s="436"/>
      <c r="ER178" s="436"/>
      <c r="ES178" s="436"/>
      <c r="ET178" s="436"/>
      <c r="EU178" s="436"/>
      <c r="EV178" s="436"/>
      <c r="EW178" s="436"/>
      <c r="EX178" s="436"/>
      <c r="EY178" s="436"/>
      <c r="EZ178" s="436"/>
      <c r="FA178" s="436"/>
      <c r="FB178" s="436"/>
      <c r="FC178" s="436"/>
      <c r="FD178" s="436"/>
      <c r="FE178" s="436"/>
      <c r="FF178" s="436"/>
      <c r="FG178" s="436"/>
      <c r="FH178" s="436"/>
      <c r="FI178" s="436"/>
      <c r="FJ178" s="436"/>
      <c r="FK178" s="436"/>
      <c r="FL178" s="436"/>
      <c r="FM178" s="436"/>
      <c r="FN178" s="436"/>
      <c r="FO178" s="436"/>
      <c r="FP178" s="436"/>
      <c r="FQ178" s="436"/>
      <c r="FR178" s="436"/>
      <c r="FS178" s="436"/>
      <c r="FT178" s="436"/>
      <c r="FU178" s="436"/>
      <c r="FV178" s="436"/>
      <c r="FW178" s="436"/>
      <c r="FX178" s="436"/>
      <c r="FY178" s="436"/>
      <c r="FZ178" s="436"/>
      <c r="GA178" s="436"/>
      <c r="GB178" s="436"/>
      <c r="GC178" s="436"/>
      <c r="GD178" s="436"/>
      <c r="GE178" s="436"/>
      <c r="GF178" s="436"/>
      <c r="GG178" s="436"/>
      <c r="GH178" s="436"/>
      <c r="GI178" s="436"/>
      <c r="GJ178" s="436"/>
      <c r="GK178" s="436"/>
      <c r="GL178" s="436"/>
      <c r="GM178" s="436"/>
      <c r="GN178" s="436"/>
      <c r="GO178" s="436"/>
      <c r="GP178" s="436"/>
      <c r="GQ178" s="436"/>
      <c r="GR178" s="436"/>
      <c r="GS178" s="436"/>
      <c r="GT178" s="436"/>
      <c r="GU178" s="436"/>
      <c r="GV178" s="436"/>
      <c r="GW178" s="436"/>
      <c r="GX178" s="436"/>
      <c r="GY178" s="436"/>
      <c r="GZ178" s="436"/>
      <c r="HA178" s="436"/>
      <c r="HB178" s="436"/>
      <c r="HC178" s="436"/>
      <c r="HD178" s="436"/>
      <c r="HE178" s="436"/>
      <c r="HF178" s="436"/>
      <c r="HG178" s="436"/>
      <c r="HH178" s="436"/>
      <c r="HI178" s="436"/>
      <c r="HJ178" s="436"/>
      <c r="HK178" s="436"/>
      <c r="HL178" s="436"/>
      <c r="HM178" s="436"/>
      <c r="HN178" s="436"/>
      <c r="HO178" s="436"/>
      <c r="HP178" s="436"/>
      <c r="HQ178" s="436"/>
      <c r="HR178" s="436"/>
      <c r="HS178" s="436"/>
      <c r="HT178" s="436"/>
      <c r="HU178" s="436"/>
      <c r="HV178" s="436"/>
      <c r="HW178" s="436"/>
      <c r="HX178" s="436"/>
      <c r="HY178" s="436"/>
      <c r="HZ178" s="436"/>
      <c r="IA178" s="436"/>
      <c r="IB178" s="436"/>
      <c r="IC178" s="436"/>
      <c r="ID178" s="436"/>
      <c r="IE178" s="436"/>
      <c r="IF178" s="436"/>
      <c r="IG178" s="436"/>
      <c r="IH178" s="436"/>
      <c r="II178" s="436"/>
      <c r="IJ178" s="436"/>
      <c r="IK178" s="436"/>
      <c r="IL178" s="436"/>
      <c r="IM178" s="436"/>
      <c r="IN178" s="436"/>
      <c r="IO178" s="436"/>
      <c r="IP178" s="436"/>
      <c r="IQ178" s="265"/>
      <c r="IR178" s="265"/>
    </row>
    <row r="179" spans="1:252" s="461" customFormat="1" x14ac:dyDescent="0.35">
      <c r="A179" s="685"/>
      <c r="B179" s="503"/>
      <c r="C179" s="503"/>
      <c r="D179" s="439"/>
      <c r="E179" s="686"/>
      <c r="J179" s="1591"/>
      <c r="M179" s="436"/>
      <c r="N179" s="436"/>
      <c r="O179" s="436"/>
      <c r="P179" s="436"/>
      <c r="Q179" s="436"/>
      <c r="R179" s="436"/>
      <c r="S179" s="436"/>
      <c r="T179" s="436"/>
      <c r="U179" s="436"/>
      <c r="V179" s="436"/>
      <c r="W179" s="436"/>
      <c r="X179" s="436"/>
      <c r="Y179" s="436"/>
      <c r="Z179" s="436"/>
      <c r="AA179" s="436"/>
      <c r="AB179" s="436"/>
      <c r="AC179" s="436"/>
      <c r="AD179" s="436"/>
      <c r="AE179" s="436"/>
      <c r="AF179" s="436"/>
      <c r="AG179" s="436"/>
      <c r="AH179" s="436"/>
      <c r="AI179" s="436"/>
      <c r="AJ179" s="436"/>
      <c r="AK179" s="436"/>
      <c r="AL179" s="436"/>
      <c r="AM179" s="436"/>
      <c r="AN179" s="436"/>
      <c r="AO179" s="436"/>
      <c r="AP179" s="436"/>
      <c r="AQ179" s="436"/>
      <c r="AR179" s="436"/>
      <c r="AS179" s="436"/>
      <c r="AT179" s="436"/>
      <c r="AU179" s="436"/>
      <c r="AV179" s="436"/>
      <c r="AW179" s="436"/>
      <c r="AX179" s="436"/>
      <c r="AY179" s="436"/>
      <c r="AZ179" s="436"/>
      <c r="BA179" s="436"/>
      <c r="BB179" s="436"/>
      <c r="BC179" s="436"/>
      <c r="BD179" s="436"/>
      <c r="BE179" s="436"/>
      <c r="BF179" s="436"/>
      <c r="BG179" s="436"/>
      <c r="BH179" s="436"/>
      <c r="BI179" s="436"/>
      <c r="BJ179" s="436"/>
      <c r="BK179" s="436"/>
      <c r="BL179" s="436"/>
      <c r="BM179" s="436"/>
      <c r="BN179" s="436"/>
      <c r="BO179" s="436"/>
      <c r="BP179" s="436"/>
      <c r="BQ179" s="436"/>
      <c r="BR179" s="436"/>
      <c r="BS179" s="436"/>
      <c r="BT179" s="436"/>
      <c r="BU179" s="436"/>
      <c r="BV179" s="436"/>
      <c r="BW179" s="436"/>
      <c r="BX179" s="436"/>
      <c r="BY179" s="436"/>
      <c r="BZ179" s="436"/>
      <c r="CA179" s="436"/>
      <c r="CB179" s="436"/>
      <c r="CC179" s="436"/>
      <c r="CD179" s="436"/>
      <c r="CE179" s="436"/>
      <c r="CF179" s="436"/>
      <c r="CG179" s="436"/>
      <c r="CH179" s="436"/>
      <c r="CI179" s="436"/>
      <c r="CJ179" s="436"/>
      <c r="CK179" s="436"/>
      <c r="CL179" s="436"/>
      <c r="CM179" s="436"/>
      <c r="CN179" s="436"/>
      <c r="CO179" s="436"/>
      <c r="CP179" s="436"/>
      <c r="CQ179" s="436"/>
      <c r="CR179" s="436"/>
      <c r="CS179" s="436"/>
      <c r="CT179" s="436"/>
      <c r="CU179" s="436"/>
      <c r="CV179" s="436"/>
      <c r="CW179" s="436"/>
      <c r="CX179" s="436"/>
      <c r="CY179" s="436"/>
      <c r="CZ179" s="436"/>
      <c r="DA179" s="436"/>
      <c r="DB179" s="436"/>
      <c r="DC179" s="436"/>
      <c r="DD179" s="436"/>
      <c r="DE179" s="436"/>
      <c r="DF179" s="436"/>
      <c r="DG179" s="436"/>
      <c r="DH179" s="436"/>
      <c r="DI179" s="436"/>
      <c r="DJ179" s="436"/>
      <c r="DK179" s="436"/>
      <c r="DL179" s="436"/>
      <c r="DM179" s="436"/>
      <c r="DN179" s="436"/>
      <c r="DO179" s="436"/>
      <c r="DP179" s="436"/>
      <c r="DQ179" s="436"/>
      <c r="DR179" s="436"/>
      <c r="DS179" s="436"/>
      <c r="DT179" s="436"/>
      <c r="DU179" s="436"/>
      <c r="DV179" s="436"/>
      <c r="DW179" s="436"/>
      <c r="DX179" s="436"/>
      <c r="DY179" s="436"/>
      <c r="DZ179" s="436"/>
      <c r="EA179" s="436"/>
      <c r="EB179" s="436"/>
      <c r="EC179" s="436"/>
      <c r="ED179" s="436"/>
      <c r="EE179" s="436"/>
      <c r="EF179" s="436"/>
      <c r="EG179" s="436"/>
      <c r="EH179" s="436"/>
      <c r="EI179" s="436"/>
      <c r="EJ179" s="436"/>
      <c r="EK179" s="436"/>
      <c r="EL179" s="436"/>
      <c r="EM179" s="436"/>
      <c r="EN179" s="436"/>
      <c r="EO179" s="436"/>
      <c r="EP179" s="436"/>
      <c r="EQ179" s="436"/>
      <c r="ER179" s="436"/>
      <c r="ES179" s="436"/>
      <c r="ET179" s="436"/>
      <c r="EU179" s="436"/>
      <c r="EV179" s="436"/>
      <c r="EW179" s="436"/>
      <c r="EX179" s="436"/>
      <c r="EY179" s="436"/>
      <c r="EZ179" s="436"/>
      <c r="FA179" s="436"/>
      <c r="FB179" s="436"/>
      <c r="FC179" s="436"/>
      <c r="FD179" s="436"/>
      <c r="FE179" s="436"/>
      <c r="FF179" s="436"/>
      <c r="FG179" s="436"/>
      <c r="FH179" s="436"/>
      <c r="FI179" s="436"/>
      <c r="FJ179" s="436"/>
      <c r="FK179" s="436"/>
      <c r="FL179" s="436"/>
      <c r="FM179" s="436"/>
      <c r="FN179" s="436"/>
      <c r="FO179" s="436"/>
      <c r="FP179" s="436"/>
      <c r="FQ179" s="436"/>
      <c r="FR179" s="436"/>
      <c r="FS179" s="436"/>
      <c r="FT179" s="436"/>
      <c r="FU179" s="436"/>
      <c r="FV179" s="436"/>
      <c r="FW179" s="436"/>
      <c r="FX179" s="436"/>
      <c r="FY179" s="436"/>
      <c r="FZ179" s="436"/>
      <c r="GA179" s="436"/>
      <c r="GB179" s="436"/>
      <c r="GC179" s="436"/>
      <c r="GD179" s="436"/>
      <c r="GE179" s="436"/>
      <c r="GF179" s="436"/>
      <c r="GG179" s="436"/>
      <c r="GH179" s="436"/>
      <c r="GI179" s="436"/>
      <c r="GJ179" s="436"/>
      <c r="GK179" s="436"/>
      <c r="GL179" s="436"/>
      <c r="GM179" s="436"/>
      <c r="GN179" s="436"/>
      <c r="GO179" s="436"/>
      <c r="GP179" s="436"/>
      <c r="GQ179" s="436"/>
      <c r="GR179" s="436"/>
      <c r="GS179" s="436"/>
      <c r="GT179" s="436"/>
      <c r="GU179" s="436"/>
      <c r="GV179" s="436"/>
      <c r="GW179" s="436"/>
      <c r="GX179" s="436"/>
      <c r="GY179" s="436"/>
      <c r="GZ179" s="436"/>
      <c r="HA179" s="436"/>
      <c r="HB179" s="436"/>
      <c r="HC179" s="436"/>
      <c r="HD179" s="436"/>
      <c r="HE179" s="436"/>
      <c r="HF179" s="436"/>
      <c r="HG179" s="436"/>
      <c r="HH179" s="436"/>
      <c r="HI179" s="436"/>
      <c r="HJ179" s="436"/>
      <c r="HK179" s="436"/>
      <c r="HL179" s="436"/>
      <c r="HM179" s="436"/>
      <c r="HN179" s="436"/>
      <c r="HO179" s="436"/>
      <c r="HP179" s="436"/>
      <c r="HQ179" s="436"/>
      <c r="HR179" s="436"/>
      <c r="HS179" s="436"/>
      <c r="HT179" s="436"/>
      <c r="HU179" s="436"/>
      <c r="HV179" s="436"/>
      <c r="HW179" s="436"/>
      <c r="HX179" s="436"/>
      <c r="HY179" s="436"/>
      <c r="HZ179" s="436"/>
      <c r="IA179" s="436"/>
      <c r="IB179" s="436"/>
      <c r="IC179" s="436"/>
      <c r="ID179" s="436"/>
      <c r="IE179" s="436"/>
      <c r="IF179" s="436"/>
      <c r="IG179" s="436"/>
      <c r="IH179" s="436"/>
      <c r="II179" s="436"/>
      <c r="IJ179" s="436"/>
      <c r="IK179" s="436"/>
      <c r="IL179" s="436"/>
      <c r="IM179" s="436"/>
      <c r="IN179" s="436"/>
      <c r="IO179" s="436"/>
      <c r="IP179" s="436"/>
      <c r="IQ179" s="265"/>
      <c r="IR179" s="265"/>
    </row>
    <row r="180" spans="1:252" s="461" customFormat="1" x14ac:dyDescent="0.35">
      <c r="A180" s="685"/>
      <c r="B180" s="503"/>
      <c r="C180" s="503"/>
      <c r="D180" s="439"/>
      <c r="E180" s="686"/>
      <c r="J180" s="1591"/>
      <c r="M180" s="436"/>
      <c r="N180" s="436"/>
      <c r="O180" s="436"/>
      <c r="P180" s="436"/>
      <c r="Q180" s="436"/>
      <c r="R180" s="436"/>
      <c r="S180" s="436"/>
      <c r="T180" s="436"/>
      <c r="U180" s="436"/>
      <c r="V180" s="436"/>
      <c r="W180" s="436"/>
      <c r="X180" s="436"/>
      <c r="Y180" s="436"/>
      <c r="Z180" s="436"/>
      <c r="AA180" s="436"/>
      <c r="AB180" s="436"/>
      <c r="AC180" s="436"/>
      <c r="AD180" s="436"/>
      <c r="AE180" s="436"/>
      <c r="AF180" s="436"/>
      <c r="AG180" s="436"/>
      <c r="AH180" s="436"/>
      <c r="AI180" s="436"/>
      <c r="AJ180" s="436"/>
      <c r="AK180" s="436"/>
      <c r="AL180" s="436"/>
      <c r="AM180" s="436"/>
      <c r="AN180" s="436"/>
      <c r="AO180" s="436"/>
      <c r="AP180" s="436"/>
      <c r="AQ180" s="436"/>
      <c r="AR180" s="436"/>
      <c r="AS180" s="436"/>
      <c r="AT180" s="436"/>
      <c r="AU180" s="436"/>
      <c r="AV180" s="436"/>
      <c r="AW180" s="436"/>
      <c r="AX180" s="436"/>
      <c r="AY180" s="436"/>
      <c r="AZ180" s="436"/>
      <c r="BA180" s="436"/>
      <c r="BB180" s="436"/>
      <c r="BC180" s="436"/>
      <c r="BD180" s="436"/>
      <c r="BE180" s="436"/>
      <c r="BF180" s="436"/>
      <c r="BG180" s="436"/>
      <c r="BH180" s="436"/>
      <c r="BI180" s="436"/>
      <c r="BJ180" s="436"/>
      <c r="BK180" s="436"/>
      <c r="BL180" s="436"/>
      <c r="BM180" s="436"/>
      <c r="BN180" s="436"/>
      <c r="BO180" s="436"/>
      <c r="BP180" s="436"/>
      <c r="BQ180" s="436"/>
      <c r="BR180" s="436"/>
      <c r="BS180" s="436"/>
      <c r="BT180" s="436"/>
      <c r="BU180" s="436"/>
      <c r="BV180" s="436"/>
      <c r="BW180" s="436"/>
      <c r="BX180" s="436"/>
      <c r="BY180" s="436"/>
      <c r="BZ180" s="436"/>
      <c r="CA180" s="436"/>
      <c r="CB180" s="436"/>
      <c r="CC180" s="436"/>
      <c r="CD180" s="436"/>
      <c r="CE180" s="436"/>
      <c r="CF180" s="436"/>
      <c r="CG180" s="436"/>
      <c r="CH180" s="436"/>
      <c r="CI180" s="436"/>
      <c r="CJ180" s="436"/>
      <c r="CK180" s="436"/>
      <c r="CL180" s="436"/>
      <c r="CM180" s="436"/>
      <c r="CN180" s="436"/>
      <c r="CO180" s="436"/>
      <c r="CP180" s="436"/>
      <c r="CQ180" s="436"/>
      <c r="CR180" s="436"/>
      <c r="CS180" s="436"/>
      <c r="CT180" s="436"/>
      <c r="CU180" s="436"/>
      <c r="CV180" s="436"/>
      <c r="CW180" s="436"/>
      <c r="CX180" s="436"/>
      <c r="CY180" s="436"/>
      <c r="CZ180" s="436"/>
      <c r="DA180" s="436"/>
      <c r="DB180" s="436"/>
      <c r="DC180" s="436"/>
      <c r="DD180" s="436"/>
      <c r="DE180" s="436"/>
      <c r="DF180" s="436"/>
      <c r="DG180" s="436"/>
      <c r="DH180" s="436"/>
      <c r="DI180" s="436"/>
      <c r="DJ180" s="436"/>
      <c r="DK180" s="436"/>
      <c r="DL180" s="436"/>
      <c r="DM180" s="436"/>
      <c r="DN180" s="436"/>
      <c r="DO180" s="436"/>
      <c r="DP180" s="436"/>
      <c r="DQ180" s="436"/>
      <c r="DR180" s="436"/>
      <c r="DS180" s="436"/>
      <c r="DT180" s="436"/>
      <c r="DU180" s="436"/>
      <c r="DV180" s="436"/>
      <c r="DW180" s="436"/>
      <c r="DX180" s="436"/>
      <c r="DY180" s="436"/>
      <c r="DZ180" s="436"/>
      <c r="EA180" s="436"/>
      <c r="EB180" s="436"/>
      <c r="EC180" s="436"/>
      <c r="ED180" s="436"/>
      <c r="EE180" s="436"/>
      <c r="EF180" s="436"/>
      <c r="EG180" s="436"/>
      <c r="EH180" s="436"/>
      <c r="EI180" s="436"/>
      <c r="EJ180" s="436"/>
      <c r="EK180" s="436"/>
      <c r="EL180" s="436"/>
      <c r="EM180" s="436"/>
      <c r="EN180" s="436"/>
      <c r="EO180" s="436"/>
      <c r="EP180" s="436"/>
      <c r="EQ180" s="436"/>
      <c r="ER180" s="436"/>
      <c r="ES180" s="436"/>
      <c r="ET180" s="436"/>
      <c r="EU180" s="436"/>
      <c r="EV180" s="436"/>
      <c r="EW180" s="436"/>
      <c r="EX180" s="436"/>
      <c r="EY180" s="436"/>
      <c r="EZ180" s="436"/>
      <c r="FA180" s="436"/>
      <c r="FB180" s="436"/>
      <c r="FC180" s="436"/>
      <c r="FD180" s="436"/>
      <c r="FE180" s="436"/>
      <c r="FF180" s="436"/>
      <c r="FG180" s="436"/>
      <c r="FH180" s="436"/>
      <c r="FI180" s="436"/>
      <c r="FJ180" s="436"/>
      <c r="FK180" s="436"/>
      <c r="FL180" s="436"/>
      <c r="FM180" s="436"/>
      <c r="FN180" s="436"/>
      <c r="FO180" s="436"/>
      <c r="FP180" s="436"/>
      <c r="FQ180" s="436"/>
      <c r="FR180" s="436"/>
      <c r="FS180" s="436"/>
      <c r="FT180" s="436"/>
      <c r="FU180" s="436"/>
      <c r="FV180" s="436"/>
      <c r="FW180" s="436"/>
      <c r="FX180" s="436"/>
      <c r="FY180" s="436"/>
      <c r="FZ180" s="436"/>
      <c r="GA180" s="436"/>
      <c r="GB180" s="436"/>
      <c r="GC180" s="436"/>
      <c r="GD180" s="436"/>
      <c r="GE180" s="436"/>
      <c r="GF180" s="436"/>
      <c r="GG180" s="436"/>
      <c r="GH180" s="436"/>
      <c r="GI180" s="436"/>
      <c r="GJ180" s="436"/>
      <c r="GK180" s="436"/>
      <c r="GL180" s="436"/>
      <c r="GM180" s="436"/>
      <c r="GN180" s="436"/>
      <c r="GO180" s="436"/>
      <c r="GP180" s="436"/>
      <c r="GQ180" s="436"/>
      <c r="GR180" s="436"/>
      <c r="GS180" s="436"/>
      <c r="GT180" s="436"/>
      <c r="GU180" s="436"/>
      <c r="GV180" s="436"/>
      <c r="GW180" s="436"/>
      <c r="GX180" s="436"/>
      <c r="GY180" s="436"/>
      <c r="GZ180" s="436"/>
      <c r="HA180" s="436"/>
      <c r="HB180" s="436"/>
      <c r="HC180" s="436"/>
      <c r="HD180" s="436"/>
      <c r="HE180" s="436"/>
      <c r="HF180" s="436"/>
      <c r="HG180" s="436"/>
      <c r="HH180" s="436"/>
      <c r="HI180" s="436"/>
      <c r="HJ180" s="436"/>
      <c r="HK180" s="436"/>
      <c r="HL180" s="436"/>
      <c r="HM180" s="436"/>
      <c r="HN180" s="436"/>
      <c r="HO180" s="436"/>
      <c r="HP180" s="436"/>
      <c r="HQ180" s="436"/>
      <c r="HR180" s="436"/>
      <c r="HS180" s="436"/>
      <c r="HT180" s="436"/>
      <c r="HU180" s="436"/>
      <c r="HV180" s="436"/>
      <c r="HW180" s="436"/>
      <c r="HX180" s="436"/>
      <c r="HY180" s="436"/>
      <c r="HZ180" s="436"/>
      <c r="IA180" s="436"/>
      <c r="IB180" s="436"/>
      <c r="IC180" s="436"/>
      <c r="ID180" s="436"/>
      <c r="IE180" s="436"/>
      <c r="IF180" s="436"/>
      <c r="IG180" s="436"/>
      <c r="IH180" s="436"/>
      <c r="II180" s="436"/>
      <c r="IJ180" s="436"/>
      <c r="IK180" s="436"/>
      <c r="IL180" s="436"/>
      <c r="IM180" s="436"/>
      <c r="IN180" s="436"/>
      <c r="IO180" s="436"/>
      <c r="IP180" s="436"/>
      <c r="IQ180" s="265"/>
      <c r="IR180" s="265"/>
    </row>
    <row r="181" spans="1:252" s="461" customFormat="1" x14ac:dyDescent="0.35">
      <c r="A181" s="685"/>
      <c r="B181" s="503"/>
      <c r="C181" s="503"/>
      <c r="D181" s="439"/>
      <c r="E181" s="686"/>
      <c r="J181" s="1591"/>
      <c r="M181" s="436"/>
      <c r="N181" s="436"/>
      <c r="O181" s="436"/>
      <c r="P181" s="436"/>
      <c r="Q181" s="436"/>
      <c r="R181" s="436"/>
      <c r="S181" s="436"/>
      <c r="T181" s="436"/>
      <c r="U181" s="436"/>
      <c r="V181" s="436"/>
      <c r="W181" s="436"/>
      <c r="X181" s="436"/>
      <c r="Y181" s="436"/>
      <c r="Z181" s="436"/>
      <c r="AA181" s="436"/>
      <c r="AB181" s="436"/>
      <c r="AC181" s="436"/>
      <c r="AD181" s="436"/>
      <c r="AE181" s="436"/>
      <c r="AF181" s="436"/>
      <c r="AG181" s="436"/>
      <c r="AH181" s="436"/>
      <c r="AI181" s="436"/>
      <c r="AJ181" s="436"/>
      <c r="AK181" s="436"/>
      <c r="AL181" s="436"/>
      <c r="AM181" s="436"/>
      <c r="AN181" s="436"/>
      <c r="AO181" s="436"/>
      <c r="AP181" s="436"/>
      <c r="AQ181" s="436"/>
      <c r="AR181" s="436"/>
      <c r="AS181" s="436"/>
      <c r="AT181" s="436"/>
      <c r="AU181" s="436"/>
      <c r="AV181" s="436"/>
      <c r="AW181" s="436"/>
      <c r="AX181" s="436"/>
      <c r="AY181" s="436"/>
      <c r="AZ181" s="436"/>
      <c r="BA181" s="436"/>
      <c r="BB181" s="436"/>
      <c r="BC181" s="436"/>
      <c r="BD181" s="436"/>
      <c r="BE181" s="436"/>
      <c r="BF181" s="436"/>
      <c r="BG181" s="436"/>
      <c r="BH181" s="436"/>
      <c r="BI181" s="436"/>
      <c r="BJ181" s="436"/>
      <c r="BK181" s="436"/>
      <c r="BL181" s="436"/>
      <c r="BM181" s="436"/>
      <c r="BN181" s="436"/>
      <c r="BO181" s="436"/>
      <c r="BP181" s="436"/>
      <c r="BQ181" s="436"/>
      <c r="BR181" s="436"/>
      <c r="BS181" s="436"/>
      <c r="BT181" s="436"/>
      <c r="BU181" s="436"/>
      <c r="BV181" s="436"/>
      <c r="BW181" s="436"/>
      <c r="BX181" s="436"/>
      <c r="BY181" s="436"/>
      <c r="BZ181" s="436"/>
      <c r="CA181" s="436"/>
      <c r="CB181" s="436"/>
      <c r="CC181" s="436"/>
      <c r="CD181" s="436"/>
      <c r="CE181" s="436"/>
      <c r="CF181" s="436"/>
      <c r="CG181" s="436"/>
      <c r="CH181" s="436"/>
      <c r="CI181" s="436"/>
      <c r="CJ181" s="436"/>
      <c r="CK181" s="436"/>
      <c r="CL181" s="436"/>
      <c r="CM181" s="436"/>
      <c r="CN181" s="436"/>
      <c r="CO181" s="436"/>
      <c r="CP181" s="436"/>
      <c r="CQ181" s="436"/>
      <c r="CR181" s="436"/>
      <c r="CS181" s="436"/>
      <c r="CT181" s="436"/>
      <c r="CU181" s="436"/>
      <c r="CV181" s="436"/>
      <c r="CW181" s="436"/>
      <c r="CX181" s="436"/>
      <c r="CY181" s="436"/>
      <c r="CZ181" s="436"/>
      <c r="DA181" s="436"/>
      <c r="DB181" s="436"/>
      <c r="DC181" s="436"/>
      <c r="DD181" s="436"/>
      <c r="DE181" s="436"/>
      <c r="DF181" s="436"/>
      <c r="DG181" s="436"/>
      <c r="DH181" s="436"/>
      <c r="DI181" s="436"/>
      <c r="DJ181" s="436"/>
      <c r="DK181" s="436"/>
      <c r="DL181" s="436"/>
      <c r="DM181" s="436"/>
      <c r="DN181" s="436"/>
      <c r="DO181" s="436"/>
      <c r="DP181" s="436"/>
      <c r="DQ181" s="436"/>
      <c r="DR181" s="436"/>
      <c r="DS181" s="436"/>
      <c r="DT181" s="436"/>
      <c r="DU181" s="436"/>
      <c r="DV181" s="436"/>
      <c r="DW181" s="436"/>
      <c r="DX181" s="436"/>
      <c r="DY181" s="436"/>
      <c r="DZ181" s="436"/>
      <c r="EA181" s="436"/>
      <c r="EB181" s="436"/>
      <c r="EC181" s="436"/>
      <c r="ED181" s="436"/>
      <c r="EE181" s="436"/>
      <c r="EF181" s="436"/>
      <c r="EG181" s="436"/>
      <c r="EH181" s="436"/>
      <c r="EI181" s="436"/>
      <c r="EJ181" s="436"/>
      <c r="EK181" s="436"/>
      <c r="EL181" s="436"/>
      <c r="EM181" s="436"/>
      <c r="EN181" s="436"/>
      <c r="EO181" s="436"/>
      <c r="EP181" s="436"/>
      <c r="EQ181" s="436"/>
      <c r="ER181" s="436"/>
      <c r="ES181" s="436"/>
      <c r="ET181" s="436"/>
      <c r="EU181" s="436"/>
      <c r="EV181" s="436"/>
      <c r="EW181" s="436"/>
      <c r="EX181" s="436"/>
      <c r="EY181" s="436"/>
      <c r="EZ181" s="436"/>
      <c r="FA181" s="436"/>
      <c r="FB181" s="436"/>
      <c r="FC181" s="436"/>
      <c r="FD181" s="436"/>
      <c r="FE181" s="436"/>
      <c r="FF181" s="436"/>
      <c r="FG181" s="436"/>
      <c r="FH181" s="436"/>
      <c r="FI181" s="436"/>
      <c r="FJ181" s="436"/>
      <c r="FK181" s="436"/>
      <c r="FL181" s="436"/>
      <c r="FM181" s="436"/>
      <c r="FN181" s="436"/>
      <c r="FO181" s="436"/>
      <c r="FP181" s="436"/>
      <c r="FQ181" s="436"/>
      <c r="FR181" s="436"/>
      <c r="FS181" s="436"/>
      <c r="FT181" s="436"/>
      <c r="FU181" s="436"/>
      <c r="FV181" s="436"/>
      <c r="FW181" s="436"/>
      <c r="FX181" s="436"/>
      <c r="FY181" s="436"/>
      <c r="FZ181" s="436"/>
      <c r="GA181" s="436"/>
      <c r="GB181" s="436"/>
      <c r="GC181" s="436"/>
      <c r="GD181" s="436"/>
      <c r="GE181" s="436"/>
      <c r="GF181" s="436"/>
      <c r="GG181" s="436"/>
      <c r="GH181" s="436"/>
      <c r="GI181" s="436"/>
      <c r="GJ181" s="436"/>
      <c r="GK181" s="436"/>
      <c r="GL181" s="436"/>
      <c r="GM181" s="436"/>
      <c r="GN181" s="436"/>
      <c r="GO181" s="436"/>
      <c r="GP181" s="436"/>
      <c r="GQ181" s="436"/>
      <c r="GR181" s="436"/>
      <c r="GS181" s="436"/>
      <c r="GT181" s="436"/>
      <c r="GU181" s="436"/>
      <c r="GV181" s="436"/>
      <c r="GW181" s="436"/>
      <c r="GX181" s="436"/>
      <c r="GY181" s="436"/>
      <c r="GZ181" s="436"/>
      <c r="HA181" s="436"/>
      <c r="HB181" s="436"/>
      <c r="HC181" s="436"/>
      <c r="HD181" s="436"/>
      <c r="HE181" s="436"/>
      <c r="HF181" s="436"/>
      <c r="HG181" s="436"/>
      <c r="HH181" s="436"/>
      <c r="HI181" s="436"/>
      <c r="HJ181" s="436"/>
      <c r="HK181" s="436"/>
      <c r="HL181" s="436"/>
      <c r="HM181" s="436"/>
      <c r="HN181" s="436"/>
      <c r="HO181" s="436"/>
      <c r="HP181" s="436"/>
      <c r="HQ181" s="436"/>
      <c r="HR181" s="436"/>
      <c r="HS181" s="436"/>
      <c r="HT181" s="436"/>
      <c r="HU181" s="436"/>
      <c r="HV181" s="436"/>
      <c r="HW181" s="436"/>
      <c r="HX181" s="436"/>
      <c r="HY181" s="436"/>
      <c r="HZ181" s="436"/>
      <c r="IA181" s="436"/>
      <c r="IB181" s="436"/>
      <c r="IC181" s="436"/>
      <c r="ID181" s="436"/>
      <c r="IE181" s="436"/>
      <c r="IF181" s="436"/>
      <c r="IG181" s="436"/>
      <c r="IH181" s="436"/>
      <c r="II181" s="436"/>
      <c r="IJ181" s="436"/>
      <c r="IK181" s="436"/>
      <c r="IL181" s="436"/>
      <c r="IM181" s="436"/>
      <c r="IN181" s="436"/>
      <c r="IO181" s="436"/>
      <c r="IP181" s="436"/>
      <c r="IQ181" s="265"/>
      <c r="IR181" s="265"/>
    </row>
    <row r="182" spans="1:252" s="461" customFormat="1" x14ac:dyDescent="0.35">
      <c r="A182" s="685"/>
      <c r="B182" s="503"/>
      <c r="C182" s="503"/>
      <c r="D182" s="439"/>
      <c r="E182" s="686"/>
      <c r="J182" s="1591"/>
      <c r="M182" s="436"/>
      <c r="N182" s="436"/>
      <c r="O182" s="436"/>
      <c r="P182" s="436"/>
      <c r="Q182" s="436"/>
      <c r="R182" s="436"/>
      <c r="S182" s="436"/>
      <c r="T182" s="436"/>
      <c r="U182" s="436"/>
      <c r="V182" s="436"/>
      <c r="W182" s="436"/>
      <c r="X182" s="436"/>
      <c r="Y182" s="436"/>
      <c r="Z182" s="436"/>
      <c r="AA182" s="436"/>
      <c r="AB182" s="436"/>
      <c r="AC182" s="436"/>
      <c r="AD182" s="436"/>
      <c r="AE182" s="436"/>
      <c r="AF182" s="436"/>
      <c r="AG182" s="436"/>
      <c r="AH182" s="436"/>
      <c r="AI182" s="436"/>
      <c r="AJ182" s="436"/>
      <c r="AK182" s="436"/>
      <c r="AL182" s="436"/>
      <c r="AM182" s="436"/>
      <c r="AN182" s="436"/>
      <c r="AO182" s="436"/>
      <c r="AP182" s="436"/>
      <c r="AQ182" s="436"/>
      <c r="AR182" s="436"/>
      <c r="AS182" s="436"/>
      <c r="AT182" s="436"/>
      <c r="AU182" s="436"/>
      <c r="AV182" s="436"/>
      <c r="AW182" s="436"/>
      <c r="AX182" s="436"/>
      <c r="AY182" s="436"/>
      <c r="AZ182" s="436"/>
      <c r="BA182" s="436"/>
      <c r="BB182" s="436"/>
      <c r="BC182" s="436"/>
      <c r="BD182" s="436"/>
      <c r="BE182" s="436"/>
      <c r="BF182" s="436"/>
      <c r="BG182" s="436"/>
      <c r="BH182" s="436"/>
      <c r="BI182" s="436"/>
      <c r="BJ182" s="436"/>
      <c r="BK182" s="436"/>
      <c r="BL182" s="436"/>
      <c r="BM182" s="436"/>
      <c r="BN182" s="436"/>
      <c r="BO182" s="436"/>
      <c r="BP182" s="436"/>
      <c r="BQ182" s="436"/>
      <c r="BR182" s="436"/>
      <c r="BS182" s="436"/>
      <c r="BT182" s="436"/>
      <c r="BU182" s="436"/>
      <c r="BV182" s="436"/>
      <c r="BW182" s="436"/>
      <c r="BX182" s="436"/>
      <c r="BY182" s="436"/>
      <c r="BZ182" s="436"/>
      <c r="CA182" s="436"/>
      <c r="CB182" s="436"/>
      <c r="CC182" s="436"/>
      <c r="CD182" s="436"/>
      <c r="CE182" s="436"/>
      <c r="CF182" s="436"/>
      <c r="CG182" s="436"/>
      <c r="CH182" s="436"/>
      <c r="CI182" s="436"/>
      <c r="CJ182" s="436"/>
      <c r="CK182" s="436"/>
      <c r="CL182" s="436"/>
      <c r="CM182" s="436"/>
      <c r="CN182" s="436"/>
      <c r="CO182" s="436"/>
      <c r="CP182" s="436"/>
      <c r="CQ182" s="436"/>
      <c r="CR182" s="436"/>
      <c r="CS182" s="436"/>
      <c r="CT182" s="436"/>
      <c r="CU182" s="436"/>
      <c r="CV182" s="436"/>
      <c r="CW182" s="436"/>
      <c r="CX182" s="436"/>
      <c r="CY182" s="436"/>
      <c r="CZ182" s="436"/>
      <c r="DA182" s="436"/>
      <c r="DB182" s="436"/>
      <c r="DC182" s="436"/>
      <c r="DD182" s="436"/>
      <c r="DE182" s="436"/>
      <c r="DF182" s="436"/>
      <c r="DG182" s="436"/>
      <c r="DH182" s="436"/>
      <c r="DI182" s="436"/>
      <c r="DJ182" s="436"/>
      <c r="DK182" s="436"/>
      <c r="DL182" s="436"/>
      <c r="DM182" s="436"/>
      <c r="DN182" s="436"/>
      <c r="DO182" s="436"/>
      <c r="DP182" s="436"/>
      <c r="DQ182" s="436"/>
      <c r="DR182" s="436"/>
      <c r="DS182" s="436"/>
      <c r="DT182" s="436"/>
      <c r="DU182" s="436"/>
      <c r="DV182" s="436"/>
      <c r="DW182" s="436"/>
      <c r="DX182" s="436"/>
      <c r="DY182" s="436"/>
      <c r="DZ182" s="436"/>
      <c r="EA182" s="436"/>
      <c r="EB182" s="436"/>
      <c r="EC182" s="436"/>
      <c r="ED182" s="436"/>
      <c r="EE182" s="436"/>
      <c r="EF182" s="436"/>
      <c r="EG182" s="436"/>
      <c r="EH182" s="436"/>
      <c r="EI182" s="436"/>
      <c r="EJ182" s="436"/>
      <c r="EK182" s="436"/>
      <c r="EL182" s="436"/>
      <c r="EM182" s="436"/>
      <c r="EN182" s="436"/>
      <c r="EO182" s="436"/>
      <c r="EP182" s="436"/>
      <c r="EQ182" s="436"/>
      <c r="ER182" s="436"/>
      <c r="ES182" s="436"/>
      <c r="ET182" s="436"/>
      <c r="EU182" s="436"/>
      <c r="EV182" s="436"/>
      <c r="EW182" s="436"/>
      <c r="EX182" s="436"/>
      <c r="EY182" s="436"/>
      <c r="EZ182" s="436"/>
      <c r="FA182" s="436"/>
      <c r="FB182" s="436"/>
      <c r="FC182" s="436"/>
      <c r="FD182" s="436"/>
      <c r="FE182" s="436"/>
      <c r="FF182" s="436"/>
      <c r="FG182" s="436"/>
      <c r="FH182" s="436"/>
      <c r="FI182" s="436"/>
      <c r="FJ182" s="436"/>
      <c r="FK182" s="436"/>
      <c r="FL182" s="436"/>
      <c r="FM182" s="436"/>
      <c r="FN182" s="436"/>
      <c r="FO182" s="436"/>
      <c r="FP182" s="436"/>
      <c r="FQ182" s="436"/>
      <c r="FR182" s="436"/>
      <c r="FS182" s="436"/>
      <c r="FT182" s="436"/>
      <c r="FU182" s="436"/>
      <c r="FV182" s="436"/>
      <c r="FW182" s="436"/>
      <c r="FX182" s="436"/>
      <c r="FY182" s="436"/>
      <c r="FZ182" s="436"/>
      <c r="GA182" s="436"/>
      <c r="GB182" s="436"/>
      <c r="GC182" s="436"/>
      <c r="GD182" s="436"/>
      <c r="GE182" s="436"/>
      <c r="GF182" s="436"/>
      <c r="GG182" s="436"/>
      <c r="GH182" s="436"/>
      <c r="GI182" s="436"/>
      <c r="GJ182" s="436"/>
      <c r="GK182" s="436"/>
      <c r="GL182" s="436"/>
      <c r="GM182" s="436"/>
      <c r="GN182" s="436"/>
      <c r="GO182" s="436"/>
      <c r="GP182" s="436"/>
      <c r="GQ182" s="436"/>
      <c r="GR182" s="436"/>
      <c r="GS182" s="436"/>
      <c r="GT182" s="436"/>
      <c r="GU182" s="436"/>
      <c r="GV182" s="436"/>
      <c r="GW182" s="436"/>
      <c r="GX182" s="436"/>
      <c r="GY182" s="436"/>
      <c r="GZ182" s="436"/>
      <c r="HA182" s="436"/>
      <c r="HB182" s="436"/>
      <c r="HC182" s="436"/>
      <c r="HD182" s="436"/>
      <c r="HE182" s="436"/>
      <c r="HF182" s="436"/>
      <c r="HG182" s="436"/>
      <c r="HH182" s="436"/>
      <c r="HI182" s="436"/>
      <c r="HJ182" s="436"/>
      <c r="HK182" s="436"/>
      <c r="HL182" s="436"/>
      <c r="HM182" s="436"/>
      <c r="HN182" s="436"/>
      <c r="HO182" s="436"/>
      <c r="HP182" s="436"/>
      <c r="HQ182" s="436"/>
      <c r="HR182" s="436"/>
      <c r="HS182" s="436"/>
      <c r="HT182" s="436"/>
      <c r="HU182" s="436"/>
      <c r="HV182" s="436"/>
      <c r="HW182" s="436"/>
      <c r="HX182" s="436"/>
      <c r="HY182" s="436"/>
      <c r="HZ182" s="436"/>
      <c r="IA182" s="436"/>
      <c r="IB182" s="436"/>
      <c r="IC182" s="436"/>
      <c r="ID182" s="436"/>
      <c r="IE182" s="436"/>
      <c r="IF182" s="436"/>
      <c r="IG182" s="436"/>
      <c r="IH182" s="436"/>
      <c r="II182" s="436"/>
      <c r="IJ182" s="436"/>
      <c r="IK182" s="436"/>
      <c r="IL182" s="436"/>
      <c r="IM182" s="436"/>
      <c r="IN182" s="436"/>
      <c r="IO182" s="436"/>
      <c r="IP182" s="436"/>
      <c r="IQ182" s="265"/>
      <c r="IR182" s="265"/>
    </row>
    <row r="183" spans="1:252" s="461" customFormat="1" x14ac:dyDescent="0.35">
      <c r="A183" s="685"/>
      <c r="B183" s="503"/>
      <c r="C183" s="503"/>
      <c r="D183" s="439"/>
      <c r="E183" s="686"/>
      <c r="J183" s="1591"/>
      <c r="M183" s="436"/>
      <c r="N183" s="436"/>
      <c r="O183" s="436"/>
      <c r="P183" s="436"/>
      <c r="Q183" s="436"/>
      <c r="R183" s="436"/>
      <c r="S183" s="436"/>
      <c r="T183" s="436"/>
      <c r="U183" s="436"/>
      <c r="V183" s="436"/>
      <c r="W183" s="436"/>
      <c r="X183" s="436"/>
      <c r="Y183" s="436"/>
      <c r="Z183" s="436"/>
      <c r="AA183" s="436"/>
      <c r="AB183" s="436"/>
      <c r="AC183" s="436"/>
      <c r="AD183" s="436"/>
      <c r="AE183" s="436"/>
      <c r="AF183" s="436"/>
      <c r="AG183" s="436"/>
      <c r="AH183" s="436"/>
      <c r="AI183" s="436"/>
      <c r="AJ183" s="436"/>
      <c r="AK183" s="436"/>
      <c r="AL183" s="436"/>
      <c r="AM183" s="436"/>
      <c r="AN183" s="436"/>
      <c r="AO183" s="436"/>
      <c r="AP183" s="436"/>
      <c r="AQ183" s="436"/>
      <c r="AR183" s="436"/>
      <c r="AS183" s="436"/>
      <c r="AT183" s="436"/>
      <c r="AU183" s="436"/>
      <c r="AV183" s="436"/>
      <c r="AW183" s="436"/>
      <c r="AX183" s="436"/>
      <c r="AY183" s="436"/>
      <c r="AZ183" s="436"/>
      <c r="BA183" s="436"/>
      <c r="BB183" s="436"/>
      <c r="BC183" s="436"/>
      <c r="BD183" s="436"/>
      <c r="BE183" s="436"/>
      <c r="BF183" s="436"/>
      <c r="BG183" s="436"/>
      <c r="BH183" s="436"/>
      <c r="BI183" s="436"/>
      <c r="BJ183" s="436"/>
      <c r="BK183" s="436"/>
      <c r="BL183" s="436"/>
      <c r="BM183" s="436"/>
      <c r="BN183" s="436"/>
      <c r="BO183" s="436"/>
      <c r="BP183" s="436"/>
      <c r="BQ183" s="436"/>
      <c r="BR183" s="436"/>
      <c r="BS183" s="436"/>
      <c r="BT183" s="436"/>
      <c r="BU183" s="436"/>
      <c r="BV183" s="436"/>
      <c r="BW183" s="436"/>
      <c r="BX183" s="436"/>
      <c r="BY183" s="436"/>
      <c r="BZ183" s="436"/>
      <c r="CA183" s="436"/>
      <c r="CB183" s="436"/>
      <c r="CC183" s="436"/>
      <c r="CD183" s="436"/>
      <c r="CE183" s="436"/>
      <c r="CF183" s="436"/>
      <c r="CG183" s="436"/>
      <c r="CH183" s="436"/>
      <c r="CI183" s="436"/>
      <c r="CJ183" s="436"/>
      <c r="CK183" s="436"/>
      <c r="CL183" s="436"/>
      <c r="CM183" s="436"/>
      <c r="CN183" s="436"/>
      <c r="CO183" s="436"/>
      <c r="CP183" s="436"/>
      <c r="CQ183" s="436"/>
      <c r="CR183" s="436"/>
      <c r="CS183" s="436"/>
      <c r="CT183" s="436"/>
      <c r="CU183" s="436"/>
      <c r="CV183" s="436"/>
      <c r="CW183" s="436"/>
      <c r="CX183" s="436"/>
      <c r="CY183" s="436"/>
      <c r="CZ183" s="436"/>
      <c r="DA183" s="436"/>
      <c r="DB183" s="436"/>
      <c r="DC183" s="436"/>
      <c r="DD183" s="436"/>
      <c r="DE183" s="436"/>
      <c r="DF183" s="436"/>
      <c r="DG183" s="436"/>
      <c r="DH183" s="436"/>
      <c r="DI183" s="436"/>
      <c r="DJ183" s="436"/>
      <c r="DK183" s="436"/>
      <c r="DL183" s="436"/>
      <c r="DM183" s="436"/>
      <c r="DN183" s="436"/>
      <c r="DO183" s="436"/>
      <c r="DP183" s="436"/>
      <c r="DQ183" s="436"/>
      <c r="DR183" s="436"/>
      <c r="DS183" s="436"/>
      <c r="DT183" s="436"/>
      <c r="DU183" s="436"/>
      <c r="DV183" s="436"/>
      <c r="DW183" s="436"/>
      <c r="DX183" s="436"/>
      <c r="DY183" s="436"/>
      <c r="DZ183" s="436"/>
      <c r="EA183" s="436"/>
      <c r="EB183" s="436"/>
      <c r="EC183" s="436"/>
      <c r="ED183" s="436"/>
      <c r="EE183" s="436"/>
      <c r="EF183" s="436"/>
      <c r="EG183" s="436"/>
      <c r="EH183" s="436"/>
      <c r="EI183" s="436"/>
      <c r="EJ183" s="436"/>
      <c r="EK183" s="436"/>
      <c r="EL183" s="436"/>
      <c r="EM183" s="436"/>
      <c r="EN183" s="436"/>
      <c r="EO183" s="436"/>
      <c r="EP183" s="436"/>
      <c r="EQ183" s="436"/>
      <c r="ER183" s="436"/>
      <c r="ES183" s="436"/>
      <c r="ET183" s="436"/>
      <c r="EU183" s="436"/>
      <c r="EV183" s="436"/>
      <c r="EW183" s="436"/>
      <c r="EX183" s="436"/>
      <c r="EY183" s="436"/>
      <c r="EZ183" s="436"/>
      <c r="FA183" s="436"/>
      <c r="FB183" s="436"/>
      <c r="FC183" s="436"/>
      <c r="FD183" s="436"/>
      <c r="FE183" s="436"/>
      <c r="FF183" s="436"/>
      <c r="FG183" s="436"/>
      <c r="FH183" s="436"/>
      <c r="FI183" s="436"/>
      <c r="FJ183" s="436"/>
      <c r="FK183" s="436"/>
      <c r="FL183" s="436"/>
      <c r="FM183" s="436"/>
      <c r="FN183" s="436"/>
      <c r="FO183" s="436"/>
      <c r="FP183" s="436"/>
      <c r="FQ183" s="436"/>
      <c r="FR183" s="436"/>
      <c r="FS183" s="436"/>
      <c r="FT183" s="436"/>
      <c r="FU183" s="436"/>
      <c r="FV183" s="436"/>
      <c r="FW183" s="436"/>
      <c r="FX183" s="436"/>
      <c r="FY183" s="436"/>
      <c r="FZ183" s="436"/>
      <c r="GA183" s="436"/>
      <c r="GB183" s="436"/>
      <c r="GC183" s="436"/>
      <c r="GD183" s="436"/>
      <c r="GE183" s="436"/>
      <c r="GF183" s="436"/>
      <c r="GG183" s="436"/>
      <c r="GH183" s="436"/>
      <c r="GI183" s="436"/>
      <c r="GJ183" s="436"/>
      <c r="GK183" s="436"/>
      <c r="GL183" s="436"/>
      <c r="GM183" s="436"/>
      <c r="GN183" s="436"/>
      <c r="GO183" s="436"/>
      <c r="GP183" s="436"/>
      <c r="GQ183" s="436"/>
      <c r="GR183" s="436"/>
      <c r="GS183" s="436"/>
      <c r="GT183" s="436"/>
      <c r="GU183" s="436"/>
      <c r="GV183" s="436"/>
      <c r="GW183" s="436"/>
      <c r="GX183" s="436"/>
      <c r="GY183" s="436"/>
      <c r="GZ183" s="436"/>
      <c r="HA183" s="436"/>
      <c r="HB183" s="436"/>
      <c r="HC183" s="436"/>
      <c r="HD183" s="436"/>
      <c r="HE183" s="436"/>
      <c r="HF183" s="436"/>
      <c r="HG183" s="436"/>
      <c r="HH183" s="436"/>
      <c r="HI183" s="436"/>
      <c r="HJ183" s="436"/>
      <c r="HK183" s="436"/>
      <c r="HL183" s="436"/>
      <c r="HM183" s="436"/>
      <c r="HN183" s="436"/>
      <c r="HO183" s="436"/>
      <c r="HP183" s="436"/>
      <c r="HQ183" s="436"/>
      <c r="HR183" s="436"/>
      <c r="HS183" s="436"/>
      <c r="HT183" s="436"/>
      <c r="HU183" s="436"/>
      <c r="HV183" s="436"/>
      <c r="HW183" s="436"/>
      <c r="HX183" s="436"/>
      <c r="HY183" s="436"/>
      <c r="HZ183" s="436"/>
      <c r="IA183" s="436"/>
      <c r="IB183" s="436"/>
      <c r="IC183" s="436"/>
      <c r="ID183" s="436"/>
      <c r="IE183" s="436"/>
      <c r="IF183" s="436"/>
      <c r="IG183" s="436"/>
      <c r="IH183" s="436"/>
      <c r="II183" s="436"/>
      <c r="IJ183" s="436"/>
      <c r="IK183" s="436"/>
      <c r="IL183" s="436"/>
      <c r="IM183" s="436"/>
      <c r="IN183" s="436"/>
      <c r="IO183" s="436"/>
      <c r="IP183" s="436"/>
      <c r="IQ183" s="265"/>
      <c r="IR183" s="265"/>
    </row>
    <row r="184" spans="1:252" s="461" customFormat="1" x14ac:dyDescent="0.35">
      <c r="A184" s="685"/>
      <c r="B184" s="503"/>
      <c r="C184" s="503"/>
      <c r="D184" s="439"/>
      <c r="E184" s="686"/>
      <c r="J184" s="1591"/>
      <c r="M184" s="436"/>
      <c r="N184" s="436"/>
      <c r="O184" s="436"/>
      <c r="P184" s="436"/>
      <c r="Q184" s="436"/>
      <c r="R184" s="436"/>
      <c r="S184" s="436"/>
      <c r="T184" s="436"/>
      <c r="U184" s="436"/>
      <c r="V184" s="436"/>
      <c r="W184" s="436"/>
      <c r="X184" s="436"/>
      <c r="Y184" s="436"/>
      <c r="Z184" s="436"/>
      <c r="AA184" s="436"/>
      <c r="AB184" s="436"/>
      <c r="AC184" s="436"/>
      <c r="AD184" s="436"/>
      <c r="AE184" s="436"/>
      <c r="AF184" s="436"/>
      <c r="AG184" s="436"/>
      <c r="AH184" s="436"/>
      <c r="AI184" s="436"/>
      <c r="AJ184" s="436"/>
      <c r="AK184" s="436"/>
      <c r="AL184" s="436"/>
      <c r="AM184" s="436"/>
      <c r="AN184" s="436"/>
      <c r="AO184" s="436"/>
      <c r="AP184" s="436"/>
      <c r="AQ184" s="436"/>
      <c r="AR184" s="436"/>
      <c r="AS184" s="436"/>
      <c r="AT184" s="436"/>
      <c r="AU184" s="436"/>
      <c r="AV184" s="436"/>
      <c r="AW184" s="436"/>
      <c r="AX184" s="436"/>
      <c r="AY184" s="436"/>
      <c r="AZ184" s="436"/>
      <c r="BA184" s="436"/>
      <c r="BB184" s="436"/>
      <c r="BC184" s="436"/>
      <c r="BD184" s="436"/>
      <c r="BE184" s="436"/>
      <c r="BF184" s="436"/>
      <c r="BG184" s="436"/>
      <c r="BH184" s="436"/>
      <c r="BI184" s="436"/>
      <c r="BJ184" s="436"/>
      <c r="BK184" s="436"/>
      <c r="BL184" s="436"/>
      <c r="BM184" s="436"/>
      <c r="BN184" s="436"/>
      <c r="BO184" s="436"/>
      <c r="BP184" s="436"/>
      <c r="BQ184" s="436"/>
      <c r="BR184" s="436"/>
      <c r="BS184" s="436"/>
      <c r="BT184" s="436"/>
      <c r="BU184" s="436"/>
      <c r="BV184" s="436"/>
      <c r="BW184" s="436"/>
      <c r="BX184" s="436"/>
      <c r="BY184" s="436"/>
      <c r="BZ184" s="436"/>
      <c r="CA184" s="436"/>
      <c r="CB184" s="436"/>
      <c r="CC184" s="436"/>
      <c r="CD184" s="436"/>
      <c r="CE184" s="436"/>
      <c r="CF184" s="436"/>
      <c r="CG184" s="436"/>
      <c r="CH184" s="436"/>
      <c r="CI184" s="436"/>
      <c r="CJ184" s="436"/>
      <c r="CK184" s="436"/>
      <c r="CL184" s="436"/>
      <c r="CM184" s="436"/>
      <c r="CN184" s="436"/>
      <c r="CO184" s="436"/>
      <c r="CP184" s="436"/>
      <c r="CQ184" s="436"/>
      <c r="CR184" s="436"/>
      <c r="CS184" s="436"/>
      <c r="CT184" s="436"/>
      <c r="CU184" s="436"/>
      <c r="CV184" s="436"/>
      <c r="CW184" s="436"/>
      <c r="CX184" s="436"/>
      <c r="CY184" s="436"/>
      <c r="CZ184" s="436"/>
      <c r="DA184" s="436"/>
      <c r="DB184" s="436"/>
      <c r="DC184" s="436"/>
      <c r="DD184" s="436"/>
      <c r="DE184" s="436"/>
      <c r="DF184" s="436"/>
      <c r="DG184" s="436"/>
      <c r="DH184" s="436"/>
      <c r="DI184" s="436"/>
      <c r="DJ184" s="436"/>
      <c r="DK184" s="436"/>
      <c r="DL184" s="436"/>
      <c r="DM184" s="436"/>
      <c r="DN184" s="436"/>
      <c r="DO184" s="436"/>
      <c r="DP184" s="436"/>
      <c r="DQ184" s="436"/>
      <c r="DR184" s="436"/>
      <c r="DS184" s="436"/>
      <c r="DT184" s="436"/>
      <c r="DU184" s="436"/>
      <c r="DV184" s="436"/>
      <c r="DW184" s="436"/>
      <c r="DX184" s="436"/>
      <c r="DY184" s="436"/>
      <c r="DZ184" s="436"/>
      <c r="EA184" s="436"/>
      <c r="EB184" s="436"/>
      <c r="EC184" s="436"/>
      <c r="ED184" s="436"/>
      <c r="EE184" s="436"/>
      <c r="EF184" s="436"/>
      <c r="EG184" s="436"/>
      <c r="EH184" s="436"/>
      <c r="EI184" s="436"/>
      <c r="EJ184" s="436"/>
      <c r="EK184" s="436"/>
      <c r="EL184" s="436"/>
      <c r="EM184" s="436"/>
      <c r="EN184" s="436"/>
      <c r="EO184" s="436"/>
      <c r="EP184" s="436"/>
      <c r="EQ184" s="436"/>
      <c r="ER184" s="436"/>
      <c r="ES184" s="436"/>
      <c r="ET184" s="436"/>
      <c r="EU184" s="436"/>
      <c r="EV184" s="436"/>
      <c r="EW184" s="436"/>
      <c r="EX184" s="436"/>
      <c r="EY184" s="436"/>
      <c r="EZ184" s="436"/>
      <c r="FA184" s="436"/>
      <c r="FB184" s="436"/>
      <c r="FC184" s="436"/>
      <c r="FD184" s="436"/>
      <c r="FE184" s="436"/>
      <c r="FF184" s="436"/>
      <c r="FG184" s="436"/>
      <c r="FH184" s="436"/>
      <c r="FI184" s="436"/>
      <c r="FJ184" s="436"/>
      <c r="FK184" s="436"/>
      <c r="FL184" s="436"/>
      <c r="FM184" s="436"/>
      <c r="FN184" s="436"/>
      <c r="FO184" s="436"/>
      <c r="FP184" s="436"/>
      <c r="FQ184" s="436"/>
      <c r="FR184" s="436"/>
      <c r="FS184" s="436"/>
      <c r="FT184" s="436"/>
      <c r="FU184" s="436"/>
      <c r="FV184" s="436"/>
      <c r="FW184" s="436"/>
      <c r="FX184" s="436"/>
      <c r="FY184" s="436"/>
      <c r="FZ184" s="436"/>
      <c r="GA184" s="436"/>
      <c r="GB184" s="436"/>
      <c r="GC184" s="436"/>
      <c r="GD184" s="436"/>
      <c r="GE184" s="436"/>
      <c r="GF184" s="436"/>
      <c r="GG184" s="436"/>
      <c r="GH184" s="436"/>
      <c r="GI184" s="436"/>
      <c r="GJ184" s="436"/>
      <c r="GK184" s="436"/>
      <c r="GL184" s="436"/>
      <c r="GM184" s="436"/>
      <c r="GN184" s="436"/>
      <c r="GO184" s="436"/>
      <c r="GP184" s="436"/>
      <c r="GQ184" s="436"/>
      <c r="GR184" s="436"/>
      <c r="GS184" s="436"/>
      <c r="GT184" s="436"/>
      <c r="GU184" s="436"/>
      <c r="GV184" s="436"/>
      <c r="GW184" s="436"/>
      <c r="GX184" s="436"/>
      <c r="GY184" s="436"/>
      <c r="GZ184" s="436"/>
      <c r="HA184" s="436"/>
      <c r="HB184" s="436"/>
      <c r="HC184" s="436"/>
      <c r="HD184" s="436"/>
      <c r="HE184" s="436"/>
      <c r="HF184" s="436"/>
      <c r="HG184" s="436"/>
      <c r="HH184" s="436"/>
      <c r="HI184" s="436"/>
      <c r="HJ184" s="436"/>
      <c r="HK184" s="436"/>
      <c r="HL184" s="436"/>
      <c r="HM184" s="436"/>
      <c r="HN184" s="436"/>
      <c r="HO184" s="436"/>
      <c r="HP184" s="436"/>
      <c r="HQ184" s="436"/>
      <c r="HR184" s="436"/>
      <c r="HS184" s="436"/>
      <c r="HT184" s="436"/>
      <c r="HU184" s="436"/>
      <c r="HV184" s="436"/>
      <c r="HW184" s="436"/>
      <c r="HX184" s="436"/>
      <c r="HY184" s="436"/>
      <c r="HZ184" s="436"/>
      <c r="IA184" s="436"/>
      <c r="IB184" s="436"/>
      <c r="IC184" s="436"/>
      <c r="ID184" s="436"/>
      <c r="IE184" s="436"/>
      <c r="IF184" s="436"/>
      <c r="IG184" s="436"/>
      <c r="IH184" s="436"/>
      <c r="II184" s="436"/>
      <c r="IJ184" s="436"/>
      <c r="IK184" s="436"/>
      <c r="IL184" s="436"/>
      <c r="IM184" s="436"/>
      <c r="IN184" s="436"/>
      <c r="IO184" s="436"/>
      <c r="IP184" s="436"/>
      <c r="IQ184" s="265"/>
      <c r="IR184" s="265"/>
    </row>
    <row r="185" spans="1:252" s="461" customFormat="1" x14ac:dyDescent="0.35">
      <c r="A185" s="685"/>
      <c r="B185" s="503"/>
      <c r="C185" s="503"/>
      <c r="D185" s="439"/>
      <c r="E185" s="686"/>
      <c r="J185" s="1591"/>
      <c r="M185" s="436"/>
      <c r="N185" s="436"/>
      <c r="O185" s="436"/>
      <c r="P185" s="436"/>
      <c r="Q185" s="436"/>
      <c r="R185" s="436"/>
      <c r="S185" s="436"/>
      <c r="T185" s="436"/>
      <c r="U185" s="436"/>
      <c r="V185" s="436"/>
      <c r="W185" s="436"/>
      <c r="X185" s="436"/>
      <c r="Y185" s="436"/>
      <c r="Z185" s="436"/>
      <c r="AA185" s="436"/>
      <c r="AB185" s="436"/>
      <c r="AC185" s="436"/>
      <c r="AD185" s="436"/>
      <c r="AE185" s="436"/>
      <c r="AF185" s="436"/>
      <c r="AG185" s="436"/>
      <c r="AH185" s="436"/>
      <c r="AI185" s="436"/>
      <c r="AJ185" s="436"/>
      <c r="AK185" s="436"/>
      <c r="AL185" s="436"/>
      <c r="AM185" s="436"/>
      <c r="AN185" s="436"/>
      <c r="AO185" s="436"/>
      <c r="AP185" s="436"/>
      <c r="AQ185" s="436"/>
      <c r="AR185" s="436"/>
      <c r="AS185" s="436"/>
      <c r="AT185" s="436"/>
      <c r="AU185" s="436"/>
      <c r="AV185" s="436"/>
      <c r="AW185" s="436"/>
      <c r="AX185" s="436"/>
      <c r="AY185" s="436"/>
      <c r="AZ185" s="436"/>
      <c r="BA185" s="436"/>
      <c r="BB185" s="436"/>
      <c r="BC185" s="436"/>
      <c r="BD185" s="436"/>
      <c r="BE185" s="436"/>
      <c r="BF185" s="436"/>
      <c r="BG185" s="436"/>
      <c r="BH185" s="436"/>
      <c r="BI185" s="436"/>
      <c r="BJ185" s="436"/>
      <c r="BK185" s="436"/>
      <c r="BL185" s="436"/>
      <c r="BM185" s="436"/>
      <c r="BN185" s="436"/>
      <c r="BO185" s="436"/>
      <c r="BP185" s="436"/>
      <c r="BQ185" s="436"/>
      <c r="BR185" s="436"/>
      <c r="BS185" s="436"/>
      <c r="BT185" s="436"/>
      <c r="BU185" s="436"/>
      <c r="BV185" s="436"/>
      <c r="BW185" s="436"/>
      <c r="BX185" s="436"/>
      <c r="BY185" s="436"/>
      <c r="BZ185" s="436"/>
      <c r="CA185" s="436"/>
      <c r="CB185" s="436"/>
      <c r="CC185" s="436"/>
      <c r="CD185" s="436"/>
      <c r="CE185" s="436"/>
      <c r="CF185" s="436"/>
      <c r="CG185" s="436"/>
      <c r="CH185" s="436"/>
      <c r="CI185" s="436"/>
      <c r="CJ185" s="436"/>
      <c r="CK185" s="436"/>
      <c r="CL185" s="436"/>
      <c r="CM185" s="436"/>
      <c r="CN185" s="436"/>
      <c r="CO185" s="436"/>
      <c r="CP185" s="436"/>
      <c r="CQ185" s="436"/>
      <c r="CR185" s="436"/>
      <c r="CS185" s="436"/>
      <c r="CT185" s="436"/>
      <c r="CU185" s="436"/>
      <c r="CV185" s="436"/>
      <c r="CW185" s="436"/>
      <c r="CX185" s="436"/>
      <c r="CY185" s="436"/>
      <c r="CZ185" s="436"/>
      <c r="DA185" s="436"/>
      <c r="DB185" s="436"/>
      <c r="DC185" s="436"/>
      <c r="DD185" s="436"/>
      <c r="DE185" s="436"/>
      <c r="DF185" s="436"/>
      <c r="DG185" s="436"/>
      <c r="DH185" s="436"/>
      <c r="DI185" s="436"/>
      <c r="DJ185" s="436"/>
      <c r="DK185" s="436"/>
      <c r="DL185" s="436"/>
      <c r="DM185" s="436"/>
      <c r="DN185" s="436"/>
      <c r="DO185" s="436"/>
      <c r="DP185" s="436"/>
      <c r="DQ185" s="436"/>
      <c r="DR185" s="436"/>
      <c r="DS185" s="436"/>
      <c r="DT185" s="436"/>
      <c r="DU185" s="436"/>
      <c r="DV185" s="436"/>
      <c r="DW185" s="436"/>
      <c r="DX185" s="436"/>
      <c r="DY185" s="436"/>
      <c r="DZ185" s="436"/>
      <c r="EA185" s="436"/>
      <c r="EB185" s="436"/>
      <c r="EC185" s="436"/>
      <c r="ED185" s="436"/>
      <c r="EE185" s="436"/>
      <c r="EF185" s="436"/>
      <c r="EG185" s="436"/>
      <c r="EH185" s="436"/>
      <c r="EI185" s="436"/>
      <c r="EJ185" s="436"/>
      <c r="EK185" s="436"/>
      <c r="EL185" s="436"/>
      <c r="EM185" s="436"/>
      <c r="EN185" s="436"/>
      <c r="EO185" s="436"/>
      <c r="EP185" s="436"/>
      <c r="EQ185" s="436"/>
      <c r="ER185" s="436"/>
      <c r="ES185" s="436"/>
      <c r="ET185" s="436"/>
      <c r="EU185" s="436"/>
      <c r="EV185" s="436"/>
      <c r="EW185" s="436"/>
      <c r="EX185" s="436"/>
      <c r="EY185" s="436"/>
      <c r="EZ185" s="436"/>
      <c r="FA185" s="436"/>
      <c r="FB185" s="436"/>
      <c r="FC185" s="436"/>
      <c r="FD185" s="436"/>
      <c r="FE185" s="436"/>
      <c r="FF185" s="436"/>
      <c r="FG185" s="436"/>
      <c r="FH185" s="436"/>
      <c r="FI185" s="436"/>
      <c r="FJ185" s="436"/>
      <c r="FK185" s="436"/>
      <c r="FL185" s="436"/>
      <c r="FM185" s="436"/>
      <c r="FN185" s="436"/>
      <c r="FO185" s="436"/>
      <c r="FP185" s="436"/>
      <c r="FQ185" s="436"/>
      <c r="FR185" s="436"/>
      <c r="FS185" s="436"/>
      <c r="FT185" s="436"/>
      <c r="FU185" s="436"/>
      <c r="FV185" s="436"/>
      <c r="FW185" s="436"/>
      <c r="FX185" s="436"/>
      <c r="FY185" s="436"/>
      <c r="FZ185" s="436"/>
      <c r="GA185" s="436"/>
      <c r="GB185" s="436"/>
      <c r="GC185" s="436"/>
      <c r="GD185" s="436"/>
      <c r="GE185" s="436"/>
      <c r="GF185" s="436"/>
      <c r="GG185" s="436"/>
      <c r="GH185" s="436"/>
      <c r="GI185" s="436"/>
      <c r="GJ185" s="436"/>
      <c r="GK185" s="436"/>
      <c r="GL185" s="436"/>
      <c r="GM185" s="436"/>
      <c r="GN185" s="436"/>
      <c r="GO185" s="436"/>
      <c r="GP185" s="436"/>
      <c r="GQ185" s="436"/>
      <c r="GR185" s="436"/>
      <c r="GS185" s="436"/>
      <c r="GT185" s="436"/>
      <c r="GU185" s="436"/>
      <c r="GV185" s="436"/>
      <c r="GW185" s="436"/>
      <c r="GX185" s="436"/>
      <c r="GY185" s="436"/>
      <c r="GZ185" s="436"/>
      <c r="HA185" s="436"/>
      <c r="HB185" s="436"/>
      <c r="HC185" s="436"/>
      <c r="HD185" s="436"/>
      <c r="HE185" s="436"/>
      <c r="HF185" s="436"/>
      <c r="HG185" s="436"/>
      <c r="HH185" s="436"/>
      <c r="HI185" s="436"/>
      <c r="HJ185" s="436"/>
      <c r="HK185" s="436"/>
      <c r="HL185" s="436"/>
      <c r="HM185" s="436"/>
      <c r="HN185" s="436"/>
      <c r="HO185" s="436"/>
      <c r="HP185" s="436"/>
      <c r="HQ185" s="436"/>
      <c r="HR185" s="436"/>
      <c r="HS185" s="436"/>
      <c r="HT185" s="436"/>
      <c r="HU185" s="436"/>
      <c r="HV185" s="436"/>
      <c r="HW185" s="436"/>
      <c r="HX185" s="436"/>
      <c r="HY185" s="436"/>
      <c r="HZ185" s="436"/>
      <c r="IA185" s="436"/>
      <c r="IB185" s="436"/>
      <c r="IC185" s="436"/>
      <c r="ID185" s="436"/>
      <c r="IE185" s="436"/>
      <c r="IF185" s="436"/>
      <c r="IG185" s="436"/>
      <c r="IH185" s="436"/>
      <c r="II185" s="436"/>
      <c r="IJ185" s="436"/>
      <c r="IK185" s="436"/>
      <c r="IL185" s="436"/>
      <c r="IM185" s="436"/>
      <c r="IN185" s="436"/>
      <c r="IO185" s="436"/>
      <c r="IP185" s="436"/>
      <c r="IQ185" s="265"/>
      <c r="IR185" s="265"/>
    </row>
    <row r="186" spans="1:252" s="461" customFormat="1" x14ac:dyDescent="0.35">
      <c r="A186" s="685"/>
      <c r="B186" s="503"/>
      <c r="C186" s="503"/>
      <c r="D186" s="439"/>
      <c r="E186" s="686"/>
      <c r="J186" s="1591"/>
      <c r="M186" s="436"/>
      <c r="N186" s="436"/>
      <c r="O186" s="436"/>
      <c r="P186" s="436"/>
      <c r="Q186" s="436"/>
      <c r="R186" s="436"/>
      <c r="S186" s="436"/>
      <c r="T186" s="436"/>
      <c r="U186" s="436"/>
      <c r="V186" s="436"/>
      <c r="W186" s="436"/>
      <c r="X186" s="436"/>
      <c r="Y186" s="436"/>
      <c r="Z186" s="436"/>
      <c r="AA186" s="436"/>
      <c r="AB186" s="436"/>
      <c r="AC186" s="436"/>
      <c r="AD186" s="436"/>
      <c r="AE186" s="436"/>
      <c r="AF186" s="436"/>
      <c r="AG186" s="436"/>
      <c r="AH186" s="436"/>
      <c r="AI186" s="436"/>
      <c r="AJ186" s="436"/>
      <c r="AK186" s="436"/>
      <c r="AL186" s="436"/>
      <c r="AM186" s="436"/>
      <c r="AN186" s="436"/>
      <c r="AO186" s="436"/>
      <c r="AP186" s="436"/>
      <c r="AQ186" s="436"/>
      <c r="AR186" s="436"/>
      <c r="AS186" s="436"/>
      <c r="AT186" s="436"/>
      <c r="AU186" s="436"/>
      <c r="AV186" s="436"/>
      <c r="AW186" s="436"/>
      <c r="AX186" s="436"/>
      <c r="AY186" s="436"/>
      <c r="AZ186" s="436"/>
      <c r="BA186" s="436"/>
      <c r="BB186" s="436"/>
      <c r="BC186" s="436"/>
      <c r="BD186" s="436"/>
      <c r="BE186" s="436"/>
      <c r="BF186" s="436"/>
      <c r="BG186" s="436"/>
      <c r="BH186" s="436"/>
      <c r="BI186" s="436"/>
      <c r="BJ186" s="436"/>
      <c r="BK186" s="436"/>
      <c r="BL186" s="436"/>
      <c r="BM186" s="436"/>
      <c r="BN186" s="436"/>
      <c r="BO186" s="436"/>
      <c r="BP186" s="436"/>
      <c r="BQ186" s="436"/>
      <c r="BR186" s="436"/>
      <c r="BS186" s="436"/>
      <c r="BT186" s="436"/>
      <c r="BU186" s="436"/>
      <c r="BV186" s="436"/>
      <c r="BW186" s="436"/>
      <c r="BX186" s="436"/>
      <c r="BY186" s="436"/>
      <c r="BZ186" s="436"/>
      <c r="CA186" s="436"/>
      <c r="CB186" s="436"/>
      <c r="CC186" s="436"/>
      <c r="CD186" s="436"/>
      <c r="CE186" s="436"/>
      <c r="CF186" s="436"/>
      <c r="CG186" s="436"/>
      <c r="CH186" s="436"/>
      <c r="CI186" s="436"/>
      <c r="CJ186" s="436"/>
      <c r="CK186" s="436"/>
      <c r="CL186" s="436"/>
      <c r="CM186" s="436"/>
      <c r="CN186" s="436"/>
      <c r="CO186" s="436"/>
      <c r="CP186" s="436"/>
      <c r="CQ186" s="436"/>
      <c r="CR186" s="436"/>
      <c r="CS186" s="436"/>
      <c r="CT186" s="436"/>
      <c r="CU186" s="436"/>
      <c r="CV186" s="436"/>
      <c r="CW186" s="436"/>
      <c r="CX186" s="436"/>
      <c r="CY186" s="436"/>
      <c r="CZ186" s="436"/>
      <c r="DA186" s="436"/>
      <c r="DB186" s="436"/>
      <c r="DC186" s="436"/>
      <c r="DD186" s="436"/>
      <c r="DE186" s="436"/>
      <c r="DF186" s="436"/>
      <c r="DG186" s="436"/>
      <c r="DH186" s="436"/>
      <c r="DI186" s="436"/>
      <c r="DJ186" s="436"/>
      <c r="DK186" s="436"/>
      <c r="DL186" s="436"/>
      <c r="DM186" s="436"/>
      <c r="DN186" s="436"/>
      <c r="DO186" s="436"/>
      <c r="DP186" s="436"/>
      <c r="DQ186" s="436"/>
      <c r="DR186" s="436"/>
      <c r="DS186" s="436"/>
      <c r="DT186" s="436"/>
      <c r="DU186" s="436"/>
      <c r="DV186" s="436"/>
      <c r="DW186" s="436"/>
      <c r="DX186" s="436"/>
      <c r="DY186" s="436"/>
      <c r="DZ186" s="436"/>
      <c r="EA186" s="436"/>
      <c r="EB186" s="436"/>
      <c r="EC186" s="436"/>
      <c r="ED186" s="436"/>
      <c r="EE186" s="436"/>
      <c r="EF186" s="436"/>
      <c r="EG186" s="436"/>
      <c r="EH186" s="436"/>
      <c r="EI186" s="436"/>
      <c r="EJ186" s="436"/>
      <c r="EK186" s="436"/>
      <c r="EL186" s="436"/>
      <c r="EM186" s="436"/>
      <c r="EN186" s="436"/>
      <c r="EO186" s="436"/>
      <c r="EP186" s="436"/>
      <c r="EQ186" s="436"/>
      <c r="ER186" s="436"/>
      <c r="ES186" s="436"/>
      <c r="ET186" s="436"/>
      <c r="EU186" s="436"/>
      <c r="EV186" s="436"/>
      <c r="EW186" s="436"/>
      <c r="EX186" s="436"/>
      <c r="EY186" s="436"/>
      <c r="EZ186" s="436"/>
      <c r="FA186" s="436"/>
      <c r="FB186" s="436"/>
      <c r="FC186" s="436"/>
      <c r="FD186" s="436"/>
      <c r="FE186" s="436"/>
      <c r="FF186" s="436"/>
      <c r="FG186" s="436"/>
      <c r="FH186" s="436"/>
      <c r="FI186" s="436"/>
      <c r="FJ186" s="436"/>
      <c r="FK186" s="436"/>
      <c r="FL186" s="436"/>
      <c r="FM186" s="436"/>
      <c r="FN186" s="436"/>
      <c r="FO186" s="436"/>
      <c r="FP186" s="436"/>
      <c r="FQ186" s="436"/>
      <c r="FR186" s="436"/>
      <c r="FS186" s="436"/>
      <c r="FT186" s="436"/>
      <c r="FU186" s="436"/>
      <c r="FV186" s="436"/>
      <c r="FW186" s="436"/>
      <c r="FX186" s="436"/>
      <c r="FY186" s="436"/>
      <c r="FZ186" s="436"/>
      <c r="GA186" s="436"/>
      <c r="GB186" s="436"/>
      <c r="GC186" s="436"/>
      <c r="GD186" s="436"/>
      <c r="GE186" s="436"/>
      <c r="GF186" s="436"/>
      <c r="GG186" s="436"/>
      <c r="GH186" s="436"/>
      <c r="GI186" s="436"/>
      <c r="GJ186" s="436"/>
      <c r="GK186" s="436"/>
      <c r="GL186" s="436"/>
      <c r="GM186" s="436"/>
      <c r="GN186" s="436"/>
      <c r="GO186" s="436"/>
      <c r="GP186" s="436"/>
      <c r="GQ186" s="436"/>
      <c r="GR186" s="436"/>
      <c r="GS186" s="436"/>
      <c r="GT186" s="436"/>
      <c r="GU186" s="436"/>
      <c r="GV186" s="436"/>
      <c r="GW186" s="436"/>
      <c r="GX186" s="436"/>
      <c r="GY186" s="436"/>
      <c r="GZ186" s="436"/>
      <c r="HA186" s="436"/>
      <c r="HB186" s="436"/>
      <c r="HC186" s="436"/>
      <c r="HD186" s="436"/>
      <c r="HE186" s="436"/>
      <c r="HF186" s="436"/>
      <c r="HG186" s="436"/>
      <c r="HH186" s="436"/>
      <c r="HI186" s="436"/>
      <c r="HJ186" s="436"/>
      <c r="HK186" s="436"/>
      <c r="HL186" s="436"/>
      <c r="HM186" s="436"/>
      <c r="HN186" s="436"/>
      <c r="HO186" s="436"/>
      <c r="HP186" s="436"/>
      <c r="HQ186" s="436"/>
      <c r="HR186" s="436"/>
      <c r="HS186" s="436"/>
      <c r="HT186" s="436"/>
      <c r="HU186" s="436"/>
      <c r="HV186" s="436"/>
      <c r="HW186" s="436"/>
      <c r="HX186" s="436"/>
      <c r="HY186" s="436"/>
      <c r="HZ186" s="436"/>
      <c r="IA186" s="436"/>
      <c r="IB186" s="436"/>
      <c r="IC186" s="436"/>
      <c r="ID186" s="436"/>
      <c r="IE186" s="436"/>
      <c r="IF186" s="436"/>
      <c r="IG186" s="436"/>
      <c r="IH186" s="436"/>
      <c r="II186" s="436"/>
      <c r="IJ186" s="436"/>
      <c r="IK186" s="436"/>
      <c r="IL186" s="436"/>
      <c r="IM186" s="436"/>
      <c r="IN186" s="436"/>
      <c r="IO186" s="436"/>
      <c r="IP186" s="436"/>
      <c r="IQ186" s="265"/>
      <c r="IR186" s="265"/>
    </row>
    <row r="187" spans="1:252" s="461" customFormat="1" x14ac:dyDescent="0.35">
      <c r="A187" s="685"/>
      <c r="B187" s="503"/>
      <c r="C187" s="503"/>
      <c r="D187" s="439"/>
      <c r="E187" s="686"/>
      <c r="J187" s="1591"/>
      <c r="M187" s="436"/>
      <c r="N187" s="436"/>
      <c r="O187" s="436"/>
      <c r="P187" s="436"/>
      <c r="Q187" s="436"/>
      <c r="R187" s="436"/>
      <c r="S187" s="436"/>
      <c r="T187" s="436"/>
      <c r="U187" s="436"/>
      <c r="V187" s="436"/>
      <c r="W187" s="436"/>
      <c r="X187" s="436"/>
      <c r="Y187" s="436"/>
      <c r="Z187" s="436"/>
      <c r="AA187" s="436"/>
      <c r="AB187" s="436"/>
      <c r="AC187" s="436"/>
      <c r="AD187" s="436"/>
      <c r="AE187" s="436"/>
      <c r="AF187" s="436"/>
      <c r="AG187" s="436"/>
      <c r="AH187" s="436"/>
      <c r="AI187" s="436"/>
      <c r="AJ187" s="436"/>
      <c r="AK187" s="436"/>
      <c r="AL187" s="436"/>
      <c r="AM187" s="436"/>
      <c r="AN187" s="436"/>
      <c r="AO187" s="436"/>
      <c r="AP187" s="436"/>
      <c r="AQ187" s="436"/>
      <c r="AR187" s="436"/>
      <c r="AS187" s="436"/>
      <c r="AT187" s="436"/>
      <c r="AU187" s="436"/>
      <c r="AV187" s="436"/>
      <c r="AW187" s="436"/>
      <c r="AX187" s="436"/>
      <c r="AY187" s="436"/>
      <c r="AZ187" s="436"/>
      <c r="BA187" s="436"/>
      <c r="BB187" s="436"/>
      <c r="BC187" s="436"/>
      <c r="BD187" s="436"/>
      <c r="BE187" s="436"/>
      <c r="BF187" s="436"/>
      <c r="BG187" s="436"/>
      <c r="BH187" s="436"/>
      <c r="BI187" s="436"/>
      <c r="BJ187" s="436"/>
      <c r="BK187" s="436"/>
      <c r="BL187" s="436"/>
      <c r="BM187" s="436"/>
      <c r="BN187" s="436"/>
      <c r="BO187" s="436"/>
      <c r="BP187" s="436"/>
      <c r="BQ187" s="436"/>
      <c r="BR187" s="436"/>
      <c r="BS187" s="436"/>
      <c r="BT187" s="436"/>
      <c r="BU187" s="436"/>
      <c r="BV187" s="436"/>
      <c r="BW187" s="436"/>
      <c r="BX187" s="436"/>
      <c r="BY187" s="436"/>
      <c r="BZ187" s="436"/>
      <c r="CA187" s="436"/>
      <c r="CB187" s="436"/>
      <c r="CC187" s="436"/>
      <c r="CD187" s="436"/>
      <c r="CE187" s="436"/>
      <c r="CF187" s="436"/>
      <c r="CG187" s="436"/>
      <c r="CH187" s="436"/>
      <c r="CI187" s="436"/>
      <c r="CJ187" s="436"/>
      <c r="CK187" s="436"/>
      <c r="CL187" s="436"/>
      <c r="CM187" s="436"/>
      <c r="CN187" s="436"/>
      <c r="CO187" s="436"/>
      <c r="CP187" s="436"/>
      <c r="CQ187" s="436"/>
      <c r="CR187" s="436"/>
      <c r="CS187" s="436"/>
      <c r="CT187" s="436"/>
      <c r="CU187" s="436"/>
      <c r="CV187" s="436"/>
      <c r="CW187" s="436"/>
      <c r="CX187" s="436"/>
      <c r="CY187" s="436"/>
      <c r="CZ187" s="436"/>
      <c r="DA187" s="436"/>
      <c r="DB187" s="436"/>
      <c r="DC187" s="436"/>
      <c r="DD187" s="436"/>
      <c r="DE187" s="436"/>
      <c r="DF187" s="436"/>
      <c r="DG187" s="436"/>
      <c r="DH187" s="436"/>
      <c r="DI187" s="436"/>
      <c r="DJ187" s="436"/>
      <c r="DK187" s="436"/>
      <c r="DL187" s="436"/>
      <c r="DM187" s="436"/>
      <c r="DN187" s="436"/>
      <c r="DO187" s="436"/>
      <c r="DP187" s="436"/>
      <c r="DQ187" s="436"/>
      <c r="DR187" s="436"/>
      <c r="DS187" s="436"/>
      <c r="DT187" s="436"/>
      <c r="DU187" s="436"/>
      <c r="DV187" s="436"/>
      <c r="DW187" s="436"/>
      <c r="DX187" s="436"/>
      <c r="DY187" s="436"/>
      <c r="DZ187" s="436"/>
      <c r="EA187" s="436"/>
      <c r="EB187" s="436"/>
      <c r="EC187" s="436"/>
      <c r="ED187" s="436"/>
      <c r="EE187" s="436"/>
      <c r="EF187" s="436"/>
      <c r="EG187" s="436"/>
      <c r="EH187" s="436"/>
      <c r="EI187" s="436"/>
      <c r="EJ187" s="436"/>
      <c r="EK187" s="436"/>
      <c r="EL187" s="436"/>
      <c r="EM187" s="436"/>
      <c r="EN187" s="436"/>
      <c r="EO187" s="436"/>
      <c r="EP187" s="436"/>
      <c r="EQ187" s="436"/>
      <c r="ER187" s="436"/>
      <c r="ES187" s="436"/>
      <c r="ET187" s="436"/>
      <c r="EU187" s="436"/>
      <c r="EV187" s="436"/>
      <c r="EW187" s="436"/>
      <c r="EX187" s="436"/>
      <c r="EY187" s="436"/>
      <c r="EZ187" s="436"/>
      <c r="FA187" s="436"/>
      <c r="FB187" s="436"/>
      <c r="FC187" s="436"/>
      <c r="FD187" s="436"/>
      <c r="FE187" s="436"/>
      <c r="FF187" s="436"/>
      <c r="FG187" s="436"/>
      <c r="FH187" s="436"/>
      <c r="FI187" s="436"/>
      <c r="FJ187" s="436"/>
      <c r="FK187" s="436"/>
      <c r="FL187" s="436"/>
      <c r="FM187" s="436"/>
      <c r="FN187" s="436"/>
      <c r="FO187" s="436"/>
      <c r="FP187" s="436"/>
      <c r="FQ187" s="436"/>
      <c r="FR187" s="436"/>
      <c r="FS187" s="436"/>
      <c r="FT187" s="436"/>
      <c r="FU187" s="436"/>
      <c r="FV187" s="436"/>
      <c r="FW187" s="436"/>
      <c r="FX187" s="436"/>
      <c r="FY187" s="436"/>
      <c r="FZ187" s="436"/>
      <c r="GA187" s="436"/>
      <c r="GB187" s="436"/>
      <c r="GC187" s="436"/>
      <c r="GD187" s="436"/>
      <c r="GE187" s="436"/>
      <c r="GF187" s="436"/>
      <c r="GG187" s="436"/>
      <c r="GH187" s="436"/>
      <c r="GI187" s="436"/>
      <c r="GJ187" s="436"/>
      <c r="GK187" s="436"/>
      <c r="GL187" s="436"/>
      <c r="GM187" s="436"/>
      <c r="GN187" s="436"/>
      <c r="GO187" s="436"/>
      <c r="GP187" s="436"/>
      <c r="GQ187" s="436"/>
      <c r="GR187" s="436"/>
      <c r="GS187" s="436"/>
      <c r="GT187" s="436"/>
      <c r="GU187" s="436"/>
      <c r="GV187" s="436"/>
      <c r="GW187" s="436"/>
      <c r="GX187" s="436"/>
      <c r="GY187" s="436"/>
      <c r="GZ187" s="436"/>
      <c r="HA187" s="436"/>
      <c r="HB187" s="436"/>
      <c r="HC187" s="436"/>
      <c r="HD187" s="436"/>
      <c r="HE187" s="436"/>
      <c r="HF187" s="436"/>
      <c r="HG187" s="436"/>
      <c r="HH187" s="436"/>
      <c r="HI187" s="436"/>
      <c r="HJ187" s="436"/>
      <c r="HK187" s="436"/>
      <c r="HL187" s="436"/>
      <c r="HM187" s="436"/>
      <c r="HN187" s="436"/>
      <c r="HO187" s="436"/>
      <c r="HP187" s="436"/>
      <c r="HQ187" s="436"/>
      <c r="HR187" s="436"/>
      <c r="HS187" s="436"/>
      <c r="HT187" s="436"/>
      <c r="HU187" s="436"/>
      <c r="HV187" s="436"/>
      <c r="HW187" s="436"/>
      <c r="HX187" s="436"/>
      <c r="HY187" s="436"/>
      <c r="HZ187" s="436"/>
      <c r="IA187" s="436"/>
      <c r="IB187" s="436"/>
      <c r="IC187" s="436"/>
      <c r="ID187" s="436"/>
      <c r="IE187" s="436"/>
      <c r="IF187" s="436"/>
      <c r="IG187" s="436"/>
      <c r="IH187" s="436"/>
      <c r="II187" s="436"/>
      <c r="IJ187" s="436"/>
      <c r="IK187" s="436"/>
      <c r="IL187" s="436"/>
      <c r="IM187" s="436"/>
      <c r="IN187" s="436"/>
      <c r="IO187" s="436"/>
      <c r="IP187" s="436"/>
      <c r="IQ187" s="265"/>
      <c r="IR187" s="265"/>
    </row>
    <row r="188" spans="1:252" s="461" customFormat="1" x14ac:dyDescent="0.35">
      <c r="A188" s="685"/>
      <c r="B188" s="503"/>
      <c r="C188" s="503"/>
      <c r="D188" s="439"/>
      <c r="E188" s="686"/>
      <c r="J188" s="1591"/>
      <c r="M188" s="436"/>
      <c r="N188" s="436"/>
      <c r="O188" s="436"/>
      <c r="P188" s="436"/>
      <c r="Q188" s="436"/>
      <c r="R188" s="436"/>
      <c r="S188" s="436"/>
      <c r="T188" s="436"/>
      <c r="U188" s="436"/>
      <c r="V188" s="436"/>
      <c r="W188" s="436"/>
      <c r="X188" s="436"/>
      <c r="Y188" s="436"/>
      <c r="Z188" s="436"/>
      <c r="AA188" s="436"/>
      <c r="AB188" s="436"/>
      <c r="AC188" s="436"/>
      <c r="AD188" s="436"/>
      <c r="AE188" s="436"/>
      <c r="AF188" s="436"/>
      <c r="AG188" s="436"/>
      <c r="AH188" s="436"/>
      <c r="AI188" s="436"/>
      <c r="AJ188" s="436"/>
      <c r="AK188" s="436"/>
      <c r="AL188" s="436"/>
      <c r="AM188" s="436"/>
      <c r="AN188" s="436"/>
      <c r="AO188" s="436"/>
      <c r="AP188" s="436"/>
      <c r="AQ188" s="436"/>
      <c r="AR188" s="436"/>
      <c r="AS188" s="436"/>
      <c r="AT188" s="436"/>
      <c r="AU188" s="436"/>
      <c r="AV188" s="436"/>
      <c r="AW188" s="436"/>
      <c r="AX188" s="436"/>
      <c r="AY188" s="436"/>
      <c r="AZ188" s="436"/>
      <c r="BA188" s="436"/>
      <c r="BB188" s="436"/>
      <c r="BC188" s="436"/>
      <c r="BD188" s="436"/>
      <c r="BE188" s="436"/>
      <c r="BF188" s="436"/>
      <c r="BG188" s="436"/>
      <c r="BH188" s="436"/>
      <c r="BI188" s="436"/>
      <c r="BJ188" s="436"/>
      <c r="BK188" s="436"/>
      <c r="BL188" s="436"/>
      <c r="BM188" s="436"/>
      <c r="BN188" s="436"/>
      <c r="BO188" s="436"/>
      <c r="BP188" s="436"/>
      <c r="BQ188" s="436"/>
      <c r="BR188" s="436"/>
      <c r="BS188" s="436"/>
      <c r="BT188" s="436"/>
      <c r="BU188" s="436"/>
      <c r="BV188" s="436"/>
      <c r="BW188" s="436"/>
      <c r="BX188" s="436"/>
      <c r="BY188" s="436"/>
      <c r="BZ188" s="436"/>
      <c r="CA188" s="436"/>
      <c r="CB188" s="436"/>
      <c r="CC188" s="436"/>
      <c r="CD188" s="436"/>
      <c r="CE188" s="436"/>
      <c r="CF188" s="436"/>
      <c r="CG188" s="436"/>
      <c r="CH188" s="436"/>
      <c r="CI188" s="436"/>
      <c r="CJ188" s="436"/>
      <c r="CK188" s="436"/>
      <c r="CL188" s="436"/>
      <c r="CM188" s="436"/>
      <c r="CN188" s="436"/>
      <c r="CO188" s="436"/>
      <c r="CP188" s="436"/>
      <c r="CQ188" s="436"/>
      <c r="CR188" s="436"/>
      <c r="CS188" s="436"/>
      <c r="CT188" s="436"/>
      <c r="CU188" s="436"/>
      <c r="CV188" s="436"/>
      <c r="CW188" s="436"/>
      <c r="CX188" s="436"/>
      <c r="CY188" s="436"/>
      <c r="CZ188" s="436"/>
      <c r="DA188" s="436"/>
      <c r="DB188" s="436"/>
      <c r="DC188" s="436"/>
      <c r="DD188" s="436"/>
      <c r="DE188" s="436"/>
      <c r="DF188" s="436"/>
      <c r="DG188" s="436"/>
      <c r="DH188" s="436"/>
      <c r="DI188" s="436"/>
      <c r="DJ188" s="436"/>
      <c r="DK188" s="436"/>
      <c r="DL188" s="436"/>
      <c r="DM188" s="436"/>
      <c r="DN188" s="436"/>
      <c r="DO188" s="436"/>
      <c r="DP188" s="436"/>
      <c r="DQ188" s="436"/>
      <c r="DR188" s="436"/>
      <c r="DS188" s="436"/>
      <c r="DT188" s="436"/>
      <c r="DU188" s="436"/>
      <c r="DV188" s="436"/>
      <c r="DW188" s="436"/>
      <c r="DX188" s="436"/>
      <c r="DY188" s="436"/>
      <c r="DZ188" s="436"/>
      <c r="EA188" s="436"/>
      <c r="EB188" s="436"/>
      <c r="EC188" s="436"/>
      <c r="ED188" s="436"/>
      <c r="EE188" s="436"/>
      <c r="EF188" s="436"/>
      <c r="EG188" s="436"/>
      <c r="EH188" s="436"/>
      <c r="EI188" s="436"/>
      <c r="EJ188" s="436"/>
      <c r="EK188" s="436"/>
      <c r="EL188" s="436"/>
      <c r="EM188" s="436"/>
      <c r="EN188" s="436"/>
      <c r="EO188" s="436"/>
      <c r="EP188" s="436"/>
      <c r="EQ188" s="436"/>
      <c r="ER188" s="436"/>
      <c r="ES188" s="436"/>
      <c r="ET188" s="436"/>
      <c r="EU188" s="436"/>
      <c r="EV188" s="436"/>
      <c r="EW188" s="436"/>
      <c r="EX188" s="436"/>
      <c r="EY188" s="436"/>
      <c r="EZ188" s="436"/>
      <c r="FA188" s="436"/>
      <c r="FB188" s="436"/>
      <c r="FC188" s="436"/>
      <c r="FD188" s="436"/>
      <c r="FE188" s="436"/>
      <c r="FF188" s="436"/>
      <c r="FG188" s="436"/>
      <c r="FH188" s="436"/>
      <c r="FI188" s="436"/>
      <c r="FJ188" s="436"/>
      <c r="FK188" s="436"/>
      <c r="FL188" s="436"/>
      <c r="FM188" s="436"/>
      <c r="FN188" s="436"/>
      <c r="FO188" s="436"/>
      <c r="FP188" s="436"/>
      <c r="FQ188" s="436"/>
      <c r="FR188" s="436"/>
      <c r="FS188" s="436"/>
      <c r="FT188" s="436"/>
      <c r="FU188" s="436"/>
      <c r="FV188" s="436"/>
      <c r="FW188" s="436"/>
      <c r="FX188" s="436"/>
      <c r="FY188" s="436"/>
      <c r="FZ188" s="436"/>
      <c r="GA188" s="436"/>
      <c r="GB188" s="436"/>
      <c r="GC188" s="436"/>
      <c r="GD188" s="436"/>
      <c r="GE188" s="436"/>
      <c r="GF188" s="436"/>
      <c r="GG188" s="436"/>
      <c r="GH188" s="436"/>
      <c r="GI188" s="436"/>
      <c r="GJ188" s="436"/>
      <c r="GK188" s="436"/>
      <c r="GL188" s="436"/>
      <c r="GM188" s="436"/>
      <c r="GN188" s="436"/>
      <c r="GO188" s="436"/>
      <c r="GP188" s="436"/>
      <c r="GQ188" s="436"/>
      <c r="GR188" s="436"/>
      <c r="GS188" s="436"/>
      <c r="GT188" s="436"/>
      <c r="GU188" s="436"/>
      <c r="GV188" s="436"/>
      <c r="GW188" s="436"/>
      <c r="GX188" s="436"/>
      <c r="GY188" s="436"/>
      <c r="GZ188" s="436"/>
      <c r="HA188" s="436"/>
      <c r="HB188" s="436"/>
      <c r="HC188" s="436"/>
      <c r="HD188" s="436"/>
      <c r="HE188" s="436"/>
      <c r="HF188" s="436"/>
      <c r="HG188" s="436"/>
      <c r="HH188" s="436"/>
      <c r="HI188" s="436"/>
      <c r="HJ188" s="436"/>
      <c r="HK188" s="436"/>
      <c r="HL188" s="436"/>
      <c r="HM188" s="436"/>
      <c r="HN188" s="436"/>
      <c r="HO188" s="436"/>
      <c r="HP188" s="436"/>
      <c r="HQ188" s="436"/>
      <c r="HR188" s="436"/>
      <c r="HS188" s="436"/>
      <c r="HT188" s="436"/>
      <c r="HU188" s="436"/>
      <c r="HV188" s="436"/>
      <c r="HW188" s="436"/>
      <c r="HX188" s="436"/>
      <c r="HY188" s="436"/>
      <c r="HZ188" s="436"/>
      <c r="IA188" s="436"/>
      <c r="IB188" s="436"/>
      <c r="IC188" s="436"/>
      <c r="ID188" s="436"/>
      <c r="IE188" s="436"/>
      <c r="IF188" s="436"/>
      <c r="IG188" s="436"/>
      <c r="IH188" s="436"/>
      <c r="II188" s="436"/>
      <c r="IJ188" s="436"/>
      <c r="IK188" s="436"/>
      <c r="IL188" s="436"/>
      <c r="IM188" s="436"/>
      <c r="IN188" s="436"/>
      <c r="IO188" s="436"/>
      <c r="IP188" s="436"/>
      <c r="IQ188" s="265"/>
      <c r="IR188" s="265"/>
    </row>
    <row r="189" spans="1:252" s="461" customFormat="1" x14ac:dyDescent="0.35">
      <c r="A189" s="685"/>
      <c r="B189" s="503"/>
      <c r="C189" s="503"/>
      <c r="D189" s="439"/>
      <c r="E189" s="686"/>
      <c r="J189" s="1591"/>
      <c r="M189" s="436"/>
      <c r="N189" s="436"/>
      <c r="O189" s="436"/>
      <c r="P189" s="436"/>
      <c r="Q189" s="436"/>
      <c r="R189" s="436"/>
      <c r="S189" s="436"/>
      <c r="T189" s="436"/>
      <c r="U189" s="436"/>
      <c r="V189" s="436"/>
      <c r="W189" s="436"/>
      <c r="X189" s="436"/>
      <c r="Y189" s="436"/>
      <c r="Z189" s="436"/>
      <c r="AA189" s="436"/>
      <c r="AB189" s="436"/>
      <c r="AC189" s="436"/>
      <c r="AD189" s="436"/>
      <c r="AE189" s="436"/>
      <c r="AF189" s="436"/>
      <c r="AG189" s="436"/>
      <c r="AH189" s="436"/>
      <c r="AI189" s="436"/>
      <c r="AJ189" s="436"/>
      <c r="AK189" s="436"/>
      <c r="AL189" s="436"/>
      <c r="AM189" s="436"/>
      <c r="AN189" s="436"/>
      <c r="AO189" s="436"/>
      <c r="AP189" s="436"/>
      <c r="AQ189" s="436"/>
      <c r="AR189" s="436"/>
      <c r="AS189" s="436"/>
      <c r="AT189" s="436"/>
      <c r="AU189" s="436"/>
      <c r="AV189" s="436"/>
      <c r="AW189" s="436"/>
      <c r="AX189" s="436"/>
      <c r="AY189" s="436"/>
      <c r="AZ189" s="436"/>
      <c r="BA189" s="436"/>
      <c r="BB189" s="436"/>
      <c r="BC189" s="436"/>
      <c r="BD189" s="436"/>
      <c r="BE189" s="436"/>
      <c r="BF189" s="436"/>
      <c r="BG189" s="436"/>
      <c r="BH189" s="436"/>
      <c r="BI189" s="436"/>
      <c r="BJ189" s="436"/>
      <c r="BK189" s="436"/>
      <c r="BL189" s="436"/>
      <c r="BM189" s="436"/>
      <c r="BN189" s="436"/>
      <c r="BO189" s="436"/>
      <c r="BP189" s="436"/>
      <c r="BQ189" s="436"/>
      <c r="BR189" s="436"/>
      <c r="BS189" s="436"/>
      <c r="BT189" s="436"/>
      <c r="BU189" s="436"/>
      <c r="BV189" s="436"/>
      <c r="BW189" s="436"/>
      <c r="BX189" s="436"/>
      <c r="BY189" s="436"/>
      <c r="BZ189" s="436"/>
      <c r="CA189" s="436"/>
      <c r="CB189" s="436"/>
      <c r="CC189" s="436"/>
      <c r="CD189" s="436"/>
      <c r="CE189" s="436"/>
      <c r="CF189" s="436"/>
      <c r="CG189" s="436"/>
      <c r="CH189" s="436"/>
      <c r="CI189" s="436"/>
      <c r="CJ189" s="436"/>
      <c r="CK189" s="436"/>
      <c r="CL189" s="436"/>
      <c r="CM189" s="436"/>
      <c r="CN189" s="436"/>
      <c r="CO189" s="436"/>
      <c r="CP189" s="436"/>
      <c r="CQ189" s="436"/>
      <c r="CR189" s="436"/>
      <c r="CS189" s="436"/>
      <c r="CT189" s="436"/>
      <c r="CU189" s="436"/>
      <c r="CV189" s="436"/>
      <c r="CW189" s="436"/>
      <c r="CX189" s="436"/>
      <c r="CY189" s="436"/>
      <c r="CZ189" s="436"/>
      <c r="DA189" s="436"/>
      <c r="DB189" s="436"/>
      <c r="DC189" s="436"/>
      <c r="DD189" s="436"/>
      <c r="DE189" s="436"/>
      <c r="DF189" s="436"/>
      <c r="DG189" s="436"/>
      <c r="DH189" s="436"/>
      <c r="DI189" s="436"/>
      <c r="DJ189" s="436"/>
      <c r="DK189" s="436"/>
      <c r="DL189" s="436"/>
      <c r="DM189" s="436"/>
      <c r="DN189" s="436"/>
      <c r="DO189" s="436"/>
      <c r="DP189" s="436"/>
      <c r="DQ189" s="436"/>
      <c r="DR189" s="436"/>
      <c r="DS189" s="436"/>
      <c r="DT189" s="436"/>
      <c r="DU189" s="436"/>
      <c r="DV189" s="436"/>
      <c r="DW189" s="436"/>
      <c r="DX189" s="436"/>
      <c r="DY189" s="436"/>
      <c r="DZ189" s="436"/>
      <c r="EA189" s="436"/>
      <c r="EB189" s="436"/>
      <c r="EC189" s="436"/>
      <c r="ED189" s="436"/>
      <c r="EE189" s="436"/>
      <c r="EF189" s="436"/>
      <c r="EG189" s="436"/>
      <c r="EH189" s="436"/>
      <c r="EI189" s="436"/>
      <c r="EJ189" s="436"/>
      <c r="EK189" s="436"/>
      <c r="EL189" s="436"/>
      <c r="EM189" s="436"/>
      <c r="EN189" s="436"/>
      <c r="EO189" s="436"/>
      <c r="EP189" s="436"/>
      <c r="EQ189" s="436"/>
      <c r="ER189" s="436"/>
      <c r="ES189" s="436"/>
      <c r="ET189" s="436"/>
      <c r="EU189" s="436"/>
      <c r="EV189" s="436"/>
      <c r="EW189" s="436"/>
      <c r="EX189" s="436"/>
      <c r="EY189" s="436"/>
      <c r="EZ189" s="436"/>
      <c r="FA189" s="436"/>
      <c r="FB189" s="436"/>
      <c r="FC189" s="436"/>
      <c r="FD189" s="436"/>
      <c r="FE189" s="436"/>
      <c r="FF189" s="436"/>
      <c r="FG189" s="436"/>
      <c r="FH189" s="436"/>
      <c r="FI189" s="436"/>
      <c r="FJ189" s="436"/>
      <c r="FK189" s="436"/>
      <c r="FL189" s="436"/>
      <c r="FM189" s="436"/>
      <c r="FN189" s="436"/>
      <c r="FO189" s="436"/>
      <c r="FP189" s="436"/>
      <c r="FQ189" s="436"/>
      <c r="FR189" s="436"/>
      <c r="FS189" s="436"/>
      <c r="FT189" s="436"/>
      <c r="FU189" s="436"/>
      <c r="FV189" s="436"/>
      <c r="FW189" s="436"/>
      <c r="FX189" s="436"/>
      <c r="FY189" s="436"/>
      <c r="FZ189" s="436"/>
      <c r="GA189" s="436"/>
      <c r="GB189" s="436"/>
      <c r="GC189" s="436"/>
      <c r="GD189" s="436"/>
      <c r="GE189" s="436"/>
      <c r="GF189" s="436"/>
      <c r="GG189" s="436"/>
      <c r="GH189" s="436"/>
      <c r="GI189" s="436"/>
      <c r="GJ189" s="436"/>
      <c r="GK189" s="436"/>
      <c r="GL189" s="436"/>
      <c r="GM189" s="436"/>
      <c r="GN189" s="436"/>
      <c r="GO189" s="436"/>
      <c r="GP189" s="436"/>
      <c r="GQ189" s="436"/>
      <c r="GR189" s="436"/>
      <c r="GS189" s="436"/>
      <c r="GT189" s="436"/>
      <c r="GU189" s="436"/>
      <c r="GV189" s="436"/>
      <c r="GW189" s="436"/>
      <c r="GX189" s="436"/>
      <c r="GY189" s="436"/>
      <c r="GZ189" s="436"/>
      <c r="HA189" s="436"/>
      <c r="HB189" s="436"/>
      <c r="HC189" s="436"/>
      <c r="HD189" s="436"/>
      <c r="HE189" s="436"/>
      <c r="HF189" s="436"/>
      <c r="HG189" s="436"/>
      <c r="HH189" s="436"/>
      <c r="HI189" s="436"/>
      <c r="HJ189" s="436"/>
      <c r="HK189" s="436"/>
      <c r="HL189" s="436"/>
      <c r="HM189" s="436"/>
      <c r="HN189" s="436"/>
      <c r="HO189" s="436"/>
      <c r="HP189" s="436"/>
      <c r="HQ189" s="436"/>
      <c r="HR189" s="436"/>
      <c r="HS189" s="436"/>
      <c r="HT189" s="436"/>
      <c r="HU189" s="436"/>
      <c r="HV189" s="436"/>
      <c r="HW189" s="436"/>
      <c r="HX189" s="436"/>
      <c r="HY189" s="436"/>
      <c r="HZ189" s="436"/>
      <c r="IA189" s="436"/>
      <c r="IB189" s="436"/>
      <c r="IC189" s="436"/>
      <c r="ID189" s="436"/>
      <c r="IE189" s="436"/>
      <c r="IF189" s="436"/>
      <c r="IG189" s="436"/>
      <c r="IH189" s="436"/>
      <c r="II189" s="436"/>
      <c r="IJ189" s="436"/>
      <c r="IK189" s="436"/>
      <c r="IL189" s="436"/>
      <c r="IM189" s="436"/>
      <c r="IN189" s="436"/>
      <c r="IO189" s="436"/>
      <c r="IP189" s="436"/>
      <c r="IQ189" s="265"/>
      <c r="IR189" s="265"/>
    </row>
    <row r="190" spans="1:252" s="461" customFormat="1" x14ac:dyDescent="0.35">
      <c r="A190" s="685"/>
      <c r="B190" s="503"/>
      <c r="C190" s="503"/>
      <c r="D190" s="439"/>
      <c r="E190" s="686"/>
      <c r="J190" s="1591"/>
      <c r="M190" s="436"/>
      <c r="N190" s="436"/>
      <c r="O190" s="436"/>
      <c r="P190" s="436"/>
      <c r="Q190" s="436"/>
      <c r="R190" s="436"/>
      <c r="S190" s="436"/>
      <c r="T190" s="436"/>
      <c r="U190" s="436"/>
      <c r="V190" s="436"/>
      <c r="W190" s="436"/>
      <c r="X190" s="436"/>
      <c r="Y190" s="436"/>
      <c r="Z190" s="436"/>
      <c r="AA190" s="436"/>
      <c r="AB190" s="436"/>
      <c r="AC190" s="436"/>
      <c r="AD190" s="436"/>
      <c r="AE190" s="436"/>
      <c r="AF190" s="436"/>
      <c r="AG190" s="436"/>
      <c r="AH190" s="436"/>
      <c r="AI190" s="436"/>
      <c r="AJ190" s="436"/>
      <c r="AK190" s="436"/>
      <c r="AL190" s="436"/>
      <c r="AM190" s="436"/>
      <c r="AN190" s="436"/>
      <c r="AO190" s="436"/>
      <c r="AP190" s="436"/>
      <c r="AQ190" s="436"/>
      <c r="AR190" s="436"/>
      <c r="AS190" s="436"/>
      <c r="AT190" s="436"/>
      <c r="AU190" s="436"/>
      <c r="AV190" s="436"/>
      <c r="AW190" s="436"/>
      <c r="AX190" s="436"/>
      <c r="AY190" s="436"/>
      <c r="AZ190" s="436"/>
      <c r="BA190" s="436"/>
      <c r="BB190" s="436"/>
      <c r="BC190" s="436"/>
      <c r="BD190" s="436"/>
      <c r="BE190" s="436"/>
      <c r="BF190" s="436"/>
      <c r="BG190" s="436"/>
      <c r="BH190" s="436"/>
      <c r="BI190" s="436"/>
      <c r="BJ190" s="436"/>
      <c r="BK190" s="436"/>
      <c r="BL190" s="436"/>
      <c r="BM190" s="436"/>
      <c r="BN190" s="436"/>
      <c r="BO190" s="436"/>
      <c r="BP190" s="436"/>
      <c r="BQ190" s="436"/>
      <c r="BR190" s="436"/>
      <c r="BS190" s="436"/>
      <c r="BT190" s="436"/>
      <c r="BU190" s="436"/>
      <c r="BV190" s="436"/>
      <c r="BW190" s="436"/>
      <c r="BX190" s="436"/>
      <c r="BY190" s="436"/>
      <c r="BZ190" s="436"/>
      <c r="CA190" s="436"/>
      <c r="CB190" s="436"/>
      <c r="CC190" s="436"/>
      <c r="CD190" s="436"/>
      <c r="CE190" s="436"/>
      <c r="CF190" s="436"/>
      <c r="CG190" s="436"/>
      <c r="CH190" s="436"/>
      <c r="CI190" s="436"/>
      <c r="CJ190" s="436"/>
      <c r="CK190" s="436"/>
      <c r="CL190" s="436"/>
      <c r="CM190" s="436"/>
      <c r="CN190" s="436"/>
      <c r="CO190" s="436"/>
      <c r="CP190" s="436"/>
      <c r="CQ190" s="436"/>
      <c r="CR190" s="436"/>
      <c r="CS190" s="436"/>
      <c r="CT190" s="436"/>
      <c r="CU190" s="436"/>
      <c r="CV190" s="436"/>
      <c r="CW190" s="436"/>
      <c r="CX190" s="436"/>
      <c r="CY190" s="436"/>
      <c r="CZ190" s="436"/>
      <c r="DA190" s="436"/>
      <c r="DB190" s="436"/>
      <c r="DC190" s="436"/>
      <c r="DD190" s="436"/>
      <c r="DE190" s="436"/>
      <c r="DF190" s="436"/>
      <c r="DG190" s="436"/>
      <c r="DH190" s="436"/>
      <c r="DI190" s="436"/>
      <c r="DJ190" s="436"/>
      <c r="DK190" s="436"/>
      <c r="DL190" s="436"/>
      <c r="DM190" s="436"/>
      <c r="DN190" s="436"/>
      <c r="DO190" s="436"/>
      <c r="DP190" s="436"/>
      <c r="DQ190" s="436"/>
      <c r="DR190" s="436"/>
      <c r="DS190" s="436"/>
      <c r="DT190" s="436"/>
      <c r="DU190" s="436"/>
      <c r="DV190" s="436"/>
      <c r="DW190" s="436"/>
      <c r="DX190" s="436"/>
      <c r="DY190" s="436"/>
      <c r="DZ190" s="436"/>
      <c r="EA190" s="436"/>
      <c r="EB190" s="436"/>
      <c r="EC190" s="436"/>
      <c r="ED190" s="436"/>
      <c r="EE190" s="436"/>
      <c r="EF190" s="436"/>
      <c r="EG190" s="436"/>
      <c r="EH190" s="436"/>
      <c r="EI190" s="436"/>
      <c r="EJ190" s="436"/>
      <c r="EK190" s="436"/>
      <c r="EL190" s="436"/>
      <c r="EM190" s="436"/>
      <c r="EN190" s="436"/>
      <c r="EO190" s="436"/>
      <c r="EP190" s="436"/>
      <c r="EQ190" s="436"/>
      <c r="ER190" s="436"/>
      <c r="ES190" s="436"/>
      <c r="ET190" s="436"/>
      <c r="EU190" s="436"/>
      <c r="EV190" s="436"/>
      <c r="EW190" s="436"/>
      <c r="EX190" s="436"/>
      <c r="EY190" s="436"/>
      <c r="EZ190" s="436"/>
      <c r="FA190" s="436"/>
      <c r="FB190" s="436"/>
      <c r="FC190" s="436"/>
      <c r="FD190" s="436"/>
      <c r="FE190" s="436"/>
      <c r="FF190" s="436"/>
      <c r="FG190" s="436"/>
      <c r="FH190" s="436"/>
      <c r="FI190" s="436"/>
      <c r="FJ190" s="436"/>
      <c r="FK190" s="436"/>
      <c r="FL190" s="436"/>
      <c r="FM190" s="436"/>
      <c r="FN190" s="436"/>
      <c r="FO190" s="436"/>
      <c r="FP190" s="436"/>
      <c r="FQ190" s="436"/>
      <c r="FR190" s="436"/>
      <c r="FS190" s="436"/>
      <c r="FT190" s="436"/>
      <c r="FU190" s="436"/>
      <c r="FV190" s="436"/>
      <c r="FW190" s="436"/>
      <c r="FX190" s="436"/>
      <c r="FY190" s="436"/>
      <c r="FZ190" s="436"/>
      <c r="GA190" s="436"/>
      <c r="GB190" s="436"/>
      <c r="GC190" s="436"/>
      <c r="GD190" s="436"/>
      <c r="GE190" s="436"/>
      <c r="GF190" s="436"/>
      <c r="GG190" s="436"/>
      <c r="GH190" s="436"/>
      <c r="GI190" s="436"/>
      <c r="GJ190" s="436"/>
      <c r="GK190" s="436"/>
      <c r="GL190" s="436"/>
      <c r="GM190" s="436"/>
      <c r="GN190" s="436"/>
      <c r="GO190" s="436"/>
      <c r="GP190" s="436"/>
      <c r="GQ190" s="436"/>
      <c r="GR190" s="436"/>
      <c r="GS190" s="436"/>
      <c r="GT190" s="436"/>
      <c r="GU190" s="436"/>
      <c r="GV190" s="436"/>
      <c r="GW190" s="436"/>
      <c r="GX190" s="436"/>
      <c r="GY190" s="436"/>
      <c r="GZ190" s="436"/>
      <c r="HA190" s="436"/>
      <c r="HB190" s="436"/>
      <c r="HC190" s="436"/>
      <c r="HD190" s="436"/>
      <c r="HE190" s="436"/>
      <c r="HF190" s="436"/>
      <c r="HG190" s="436"/>
      <c r="HH190" s="436"/>
      <c r="HI190" s="436"/>
      <c r="HJ190" s="436"/>
      <c r="HK190" s="436"/>
      <c r="HL190" s="436"/>
      <c r="HM190" s="436"/>
      <c r="HN190" s="436"/>
      <c r="HO190" s="436"/>
      <c r="HP190" s="436"/>
      <c r="HQ190" s="436"/>
      <c r="HR190" s="436"/>
      <c r="HS190" s="436"/>
      <c r="HT190" s="436"/>
      <c r="HU190" s="436"/>
      <c r="HV190" s="436"/>
      <c r="HW190" s="436"/>
      <c r="HX190" s="436"/>
      <c r="HY190" s="436"/>
      <c r="HZ190" s="436"/>
      <c r="IA190" s="436"/>
      <c r="IB190" s="436"/>
      <c r="IC190" s="436"/>
      <c r="ID190" s="436"/>
      <c r="IE190" s="436"/>
      <c r="IF190" s="436"/>
      <c r="IG190" s="436"/>
      <c r="IH190" s="436"/>
      <c r="II190" s="436"/>
      <c r="IJ190" s="436"/>
      <c r="IK190" s="436"/>
      <c r="IL190" s="436"/>
      <c r="IM190" s="436"/>
      <c r="IN190" s="436"/>
      <c r="IO190" s="436"/>
      <c r="IP190" s="436"/>
      <c r="IQ190" s="265"/>
      <c r="IR190" s="265"/>
    </row>
    <row r="191" spans="1:252" s="461" customFormat="1" x14ac:dyDescent="0.35">
      <c r="A191" s="685"/>
      <c r="B191" s="503"/>
      <c r="C191" s="503"/>
      <c r="D191" s="439"/>
      <c r="E191" s="686"/>
      <c r="J191" s="1591"/>
      <c r="M191" s="436"/>
      <c r="N191" s="436"/>
      <c r="O191" s="436"/>
      <c r="P191" s="436"/>
      <c r="Q191" s="436"/>
      <c r="R191" s="436"/>
      <c r="S191" s="436"/>
      <c r="T191" s="436"/>
      <c r="U191" s="436"/>
      <c r="V191" s="436"/>
      <c r="W191" s="436"/>
      <c r="X191" s="436"/>
      <c r="Y191" s="436"/>
      <c r="Z191" s="436"/>
      <c r="AA191" s="436"/>
      <c r="AB191" s="436"/>
      <c r="AC191" s="436"/>
      <c r="AD191" s="436"/>
      <c r="AE191" s="436"/>
      <c r="AF191" s="436"/>
      <c r="AG191" s="436"/>
      <c r="AH191" s="436"/>
      <c r="AI191" s="436"/>
      <c r="AJ191" s="436"/>
      <c r="AK191" s="436"/>
      <c r="AL191" s="436"/>
      <c r="AM191" s="436"/>
      <c r="AN191" s="436"/>
      <c r="AO191" s="436"/>
      <c r="AP191" s="436"/>
      <c r="AQ191" s="436"/>
      <c r="AR191" s="436"/>
      <c r="AS191" s="436"/>
      <c r="AT191" s="436"/>
      <c r="AU191" s="436"/>
      <c r="AV191" s="436"/>
      <c r="AW191" s="436"/>
      <c r="AX191" s="436"/>
      <c r="AY191" s="436"/>
      <c r="AZ191" s="436"/>
      <c r="BA191" s="436"/>
      <c r="BB191" s="436"/>
      <c r="BC191" s="436"/>
      <c r="BD191" s="436"/>
      <c r="BE191" s="436"/>
      <c r="BF191" s="436"/>
      <c r="BG191" s="436"/>
      <c r="BH191" s="436"/>
      <c r="BI191" s="436"/>
      <c r="BJ191" s="436"/>
      <c r="BK191" s="436"/>
      <c r="BL191" s="436"/>
      <c r="BM191" s="436"/>
      <c r="BN191" s="436"/>
      <c r="BO191" s="436"/>
      <c r="BP191" s="436"/>
      <c r="BQ191" s="436"/>
      <c r="BR191" s="436"/>
      <c r="BS191" s="436"/>
      <c r="BT191" s="436"/>
      <c r="BU191" s="436"/>
      <c r="BV191" s="436"/>
      <c r="BW191" s="436"/>
      <c r="BX191" s="436"/>
      <c r="BY191" s="436"/>
      <c r="BZ191" s="436"/>
      <c r="CA191" s="436"/>
      <c r="CB191" s="436"/>
      <c r="CC191" s="436"/>
      <c r="CD191" s="436"/>
      <c r="CE191" s="436"/>
      <c r="CF191" s="436"/>
      <c r="CG191" s="436"/>
      <c r="CH191" s="436"/>
      <c r="CI191" s="436"/>
      <c r="CJ191" s="436"/>
      <c r="CK191" s="436"/>
      <c r="CL191" s="436"/>
      <c r="CM191" s="436"/>
      <c r="CN191" s="436"/>
      <c r="CO191" s="436"/>
      <c r="CP191" s="436"/>
      <c r="CQ191" s="436"/>
      <c r="CR191" s="436"/>
      <c r="CS191" s="436"/>
      <c r="CT191" s="436"/>
      <c r="CU191" s="436"/>
      <c r="CV191" s="436"/>
      <c r="CW191" s="436"/>
      <c r="CX191" s="436"/>
      <c r="CY191" s="436"/>
      <c r="CZ191" s="436"/>
      <c r="DA191" s="436"/>
      <c r="DB191" s="436"/>
      <c r="DC191" s="436"/>
      <c r="DD191" s="436"/>
      <c r="DE191" s="436"/>
      <c r="DF191" s="436"/>
      <c r="DG191" s="436"/>
      <c r="DH191" s="436"/>
      <c r="DI191" s="436"/>
      <c r="DJ191" s="436"/>
      <c r="DK191" s="436"/>
      <c r="DL191" s="436"/>
      <c r="DM191" s="436"/>
      <c r="DN191" s="436"/>
      <c r="DO191" s="436"/>
      <c r="DP191" s="436"/>
      <c r="DQ191" s="436"/>
      <c r="DR191" s="436"/>
      <c r="DS191" s="436"/>
      <c r="DT191" s="436"/>
      <c r="DU191" s="436"/>
      <c r="DV191" s="436"/>
      <c r="DW191" s="436"/>
      <c r="DX191" s="436"/>
      <c r="DY191" s="436"/>
      <c r="DZ191" s="436"/>
      <c r="EA191" s="436"/>
      <c r="EB191" s="436"/>
      <c r="EC191" s="436"/>
      <c r="ED191" s="436"/>
      <c r="EE191" s="436"/>
      <c r="EF191" s="436"/>
      <c r="EG191" s="436"/>
      <c r="EH191" s="436"/>
      <c r="EI191" s="436"/>
      <c r="EJ191" s="436"/>
      <c r="EK191" s="436"/>
      <c r="EL191" s="436"/>
      <c r="EM191" s="436"/>
      <c r="EN191" s="436"/>
      <c r="EO191" s="436"/>
      <c r="EP191" s="436"/>
      <c r="EQ191" s="436"/>
      <c r="ER191" s="436"/>
      <c r="ES191" s="436"/>
      <c r="ET191" s="436"/>
      <c r="EU191" s="436"/>
      <c r="EV191" s="436"/>
      <c r="EW191" s="436"/>
      <c r="EX191" s="436"/>
      <c r="EY191" s="436"/>
      <c r="EZ191" s="436"/>
      <c r="FA191" s="436"/>
      <c r="FB191" s="436"/>
      <c r="FC191" s="436"/>
      <c r="FD191" s="436"/>
      <c r="FE191" s="436"/>
      <c r="FF191" s="436"/>
      <c r="FG191" s="436"/>
      <c r="FH191" s="436"/>
      <c r="FI191" s="436"/>
      <c r="FJ191" s="436"/>
      <c r="FK191" s="436"/>
      <c r="FL191" s="436"/>
      <c r="FM191" s="436"/>
      <c r="FN191" s="436"/>
      <c r="FO191" s="436"/>
      <c r="FP191" s="436"/>
      <c r="FQ191" s="436"/>
      <c r="FR191" s="436"/>
      <c r="FS191" s="436"/>
      <c r="FT191" s="436"/>
      <c r="FU191" s="436"/>
      <c r="FV191" s="436"/>
      <c r="FW191" s="436"/>
      <c r="FX191" s="436"/>
      <c r="FY191" s="436"/>
      <c r="FZ191" s="436"/>
      <c r="GA191" s="436"/>
      <c r="GB191" s="436"/>
      <c r="GC191" s="436"/>
      <c r="GD191" s="436"/>
      <c r="GE191" s="436"/>
      <c r="GF191" s="436"/>
      <c r="GG191" s="436"/>
      <c r="GH191" s="436"/>
      <c r="GI191" s="436"/>
      <c r="GJ191" s="436"/>
      <c r="GK191" s="436"/>
      <c r="GL191" s="436"/>
      <c r="GM191" s="436"/>
      <c r="GN191" s="436"/>
      <c r="GO191" s="436"/>
      <c r="GP191" s="436"/>
      <c r="GQ191" s="436"/>
      <c r="GR191" s="436"/>
      <c r="GS191" s="436"/>
      <c r="GT191" s="436"/>
      <c r="GU191" s="436"/>
      <c r="GV191" s="436"/>
      <c r="GW191" s="436"/>
      <c r="GX191" s="436"/>
      <c r="GY191" s="436"/>
      <c r="GZ191" s="436"/>
      <c r="HA191" s="436"/>
      <c r="HB191" s="436"/>
      <c r="HC191" s="436"/>
      <c r="HD191" s="436"/>
      <c r="HE191" s="436"/>
      <c r="HF191" s="436"/>
      <c r="HG191" s="436"/>
      <c r="HH191" s="436"/>
      <c r="HI191" s="436"/>
      <c r="HJ191" s="436"/>
      <c r="HK191" s="436"/>
      <c r="HL191" s="436"/>
      <c r="HM191" s="436"/>
      <c r="HN191" s="436"/>
      <c r="HO191" s="436"/>
      <c r="HP191" s="436"/>
      <c r="HQ191" s="436"/>
      <c r="HR191" s="436"/>
      <c r="HS191" s="436"/>
      <c r="HT191" s="436"/>
      <c r="HU191" s="436"/>
      <c r="HV191" s="436"/>
      <c r="HW191" s="436"/>
      <c r="HX191" s="436"/>
      <c r="HY191" s="436"/>
      <c r="HZ191" s="436"/>
      <c r="IA191" s="436"/>
      <c r="IB191" s="436"/>
      <c r="IC191" s="436"/>
      <c r="ID191" s="436"/>
      <c r="IE191" s="436"/>
      <c r="IF191" s="436"/>
      <c r="IG191" s="436"/>
      <c r="IH191" s="436"/>
      <c r="II191" s="436"/>
      <c r="IJ191" s="436"/>
      <c r="IK191" s="436"/>
      <c r="IL191" s="436"/>
      <c r="IM191" s="436"/>
      <c r="IN191" s="436"/>
      <c r="IO191" s="436"/>
      <c r="IP191" s="436"/>
      <c r="IQ191" s="265"/>
      <c r="IR191" s="265"/>
    </row>
    <row r="192" spans="1:252" s="461" customFormat="1" x14ac:dyDescent="0.35">
      <c r="A192" s="685"/>
      <c r="B192" s="503"/>
      <c r="C192" s="503"/>
      <c r="D192" s="439"/>
      <c r="E192" s="686"/>
      <c r="J192" s="1591"/>
      <c r="M192" s="436"/>
      <c r="N192" s="436"/>
      <c r="O192" s="436"/>
      <c r="P192" s="436"/>
      <c r="Q192" s="436"/>
      <c r="R192" s="436"/>
      <c r="S192" s="436"/>
      <c r="T192" s="436"/>
      <c r="U192" s="436"/>
      <c r="V192" s="436"/>
      <c r="W192" s="436"/>
      <c r="X192" s="436"/>
      <c r="Y192" s="436"/>
      <c r="Z192" s="436"/>
      <c r="AA192" s="436"/>
      <c r="AB192" s="436"/>
      <c r="AC192" s="436"/>
      <c r="AD192" s="436"/>
      <c r="AE192" s="436"/>
      <c r="AF192" s="436"/>
      <c r="AG192" s="436"/>
      <c r="AH192" s="436"/>
      <c r="AI192" s="436"/>
      <c r="AJ192" s="436"/>
      <c r="AK192" s="436"/>
      <c r="AL192" s="436"/>
      <c r="AM192" s="436"/>
      <c r="AN192" s="436"/>
      <c r="AO192" s="436"/>
      <c r="AP192" s="436"/>
      <c r="AQ192" s="436"/>
      <c r="AR192" s="436"/>
      <c r="AS192" s="436"/>
      <c r="AT192" s="436"/>
      <c r="AU192" s="436"/>
      <c r="AV192" s="436"/>
      <c r="AW192" s="436"/>
      <c r="AX192" s="436"/>
      <c r="AY192" s="436"/>
      <c r="AZ192" s="436"/>
      <c r="BA192" s="436"/>
      <c r="BB192" s="436"/>
      <c r="BC192" s="436"/>
      <c r="BD192" s="436"/>
      <c r="BE192" s="436"/>
      <c r="BF192" s="436"/>
      <c r="BG192" s="436"/>
      <c r="BH192" s="436"/>
      <c r="BI192" s="436"/>
      <c r="BJ192" s="436"/>
      <c r="BK192" s="436"/>
      <c r="BL192" s="436"/>
      <c r="BM192" s="436"/>
      <c r="BN192" s="436"/>
      <c r="BO192" s="436"/>
      <c r="BP192" s="436"/>
      <c r="BQ192" s="436"/>
      <c r="BR192" s="436"/>
      <c r="BS192" s="436"/>
      <c r="BT192" s="436"/>
      <c r="BU192" s="436"/>
      <c r="BV192" s="436"/>
      <c r="BW192" s="436"/>
      <c r="BX192" s="436"/>
      <c r="BY192" s="436"/>
      <c r="BZ192" s="436"/>
      <c r="CA192" s="436"/>
      <c r="CB192" s="436"/>
      <c r="CC192" s="436"/>
      <c r="CD192" s="436"/>
      <c r="CE192" s="436"/>
      <c r="CF192" s="436"/>
      <c r="CG192" s="436"/>
      <c r="CH192" s="436"/>
      <c r="CI192" s="436"/>
      <c r="CJ192" s="436"/>
      <c r="CK192" s="436"/>
      <c r="CL192" s="436"/>
      <c r="CM192" s="436"/>
      <c r="CN192" s="436"/>
      <c r="CO192" s="436"/>
      <c r="CP192" s="436"/>
      <c r="CQ192" s="436"/>
      <c r="CR192" s="436"/>
      <c r="CS192" s="436"/>
      <c r="CT192" s="436"/>
      <c r="CU192" s="436"/>
      <c r="CV192" s="436"/>
      <c r="CW192" s="436"/>
      <c r="CX192" s="436"/>
      <c r="CY192" s="436"/>
      <c r="CZ192" s="436"/>
      <c r="DA192" s="436"/>
      <c r="DB192" s="436"/>
      <c r="DC192" s="436"/>
      <c r="DD192" s="436"/>
      <c r="DE192" s="436"/>
      <c r="DF192" s="436"/>
      <c r="DG192" s="436"/>
      <c r="DH192" s="436"/>
      <c r="DI192" s="436"/>
      <c r="DJ192" s="436"/>
      <c r="DK192" s="436"/>
      <c r="DL192" s="436"/>
      <c r="DM192" s="436"/>
      <c r="DN192" s="436"/>
      <c r="DO192" s="436"/>
      <c r="DP192" s="436"/>
      <c r="DQ192" s="436"/>
      <c r="DR192" s="436"/>
      <c r="DS192" s="436"/>
      <c r="DT192" s="436"/>
      <c r="DU192" s="436"/>
      <c r="DV192" s="436"/>
      <c r="DW192" s="436"/>
      <c r="DX192" s="436"/>
      <c r="DY192" s="436"/>
      <c r="DZ192" s="436"/>
      <c r="EA192" s="436"/>
      <c r="EB192" s="436"/>
      <c r="EC192" s="436"/>
      <c r="ED192" s="436"/>
      <c r="EE192" s="436"/>
      <c r="EF192" s="436"/>
      <c r="EG192" s="436"/>
      <c r="EH192" s="436"/>
      <c r="EI192" s="436"/>
      <c r="EJ192" s="436"/>
      <c r="EK192" s="436"/>
      <c r="EL192" s="436"/>
      <c r="EM192" s="436"/>
      <c r="EN192" s="436"/>
      <c r="EO192" s="436"/>
      <c r="EP192" s="436"/>
      <c r="EQ192" s="436"/>
      <c r="ER192" s="436"/>
      <c r="ES192" s="436"/>
      <c r="ET192" s="436"/>
      <c r="EU192" s="436"/>
      <c r="EV192" s="436"/>
      <c r="EW192" s="436"/>
      <c r="EX192" s="436"/>
      <c r="EY192" s="436"/>
      <c r="EZ192" s="436"/>
      <c r="FA192" s="436"/>
      <c r="FB192" s="436"/>
      <c r="FC192" s="436"/>
      <c r="FD192" s="436"/>
      <c r="FE192" s="436"/>
      <c r="FF192" s="436"/>
      <c r="FG192" s="436"/>
      <c r="FH192" s="436"/>
      <c r="FI192" s="436"/>
      <c r="FJ192" s="436"/>
      <c r="FK192" s="436"/>
      <c r="FL192" s="436"/>
      <c r="FM192" s="436"/>
      <c r="FN192" s="436"/>
      <c r="FO192" s="436"/>
      <c r="FP192" s="436"/>
      <c r="FQ192" s="436"/>
      <c r="FR192" s="436"/>
      <c r="FS192" s="436"/>
      <c r="FT192" s="436"/>
      <c r="FU192" s="436"/>
      <c r="FV192" s="436"/>
      <c r="FW192" s="436"/>
      <c r="FX192" s="436"/>
      <c r="FY192" s="436"/>
      <c r="FZ192" s="436"/>
      <c r="GA192" s="436"/>
      <c r="GB192" s="436"/>
      <c r="GC192" s="436"/>
      <c r="GD192" s="436"/>
      <c r="GE192" s="436"/>
      <c r="GF192" s="436"/>
      <c r="GG192" s="436"/>
      <c r="GH192" s="436"/>
      <c r="GI192" s="436"/>
      <c r="GJ192" s="436"/>
      <c r="GK192" s="436"/>
      <c r="GL192" s="436"/>
      <c r="GM192" s="436"/>
      <c r="GN192" s="436"/>
      <c r="GO192" s="436"/>
      <c r="GP192" s="436"/>
      <c r="GQ192" s="436"/>
      <c r="GR192" s="436"/>
      <c r="GS192" s="436"/>
      <c r="GT192" s="436"/>
      <c r="GU192" s="436"/>
      <c r="GV192" s="436"/>
      <c r="GW192" s="436"/>
      <c r="GX192" s="436"/>
      <c r="GY192" s="436"/>
      <c r="GZ192" s="436"/>
      <c r="HA192" s="436"/>
      <c r="HB192" s="436"/>
      <c r="HC192" s="436"/>
      <c r="HD192" s="436"/>
      <c r="HE192" s="436"/>
      <c r="HF192" s="436"/>
      <c r="HG192" s="436"/>
      <c r="HH192" s="436"/>
      <c r="HI192" s="436"/>
      <c r="HJ192" s="436"/>
      <c r="HK192" s="436"/>
      <c r="HL192" s="436"/>
      <c r="HM192" s="436"/>
      <c r="HN192" s="436"/>
      <c r="HO192" s="436"/>
      <c r="HP192" s="436"/>
      <c r="HQ192" s="436"/>
      <c r="HR192" s="436"/>
      <c r="HS192" s="436"/>
      <c r="HT192" s="436"/>
      <c r="HU192" s="436"/>
      <c r="HV192" s="436"/>
      <c r="HW192" s="436"/>
      <c r="HX192" s="436"/>
      <c r="HY192" s="436"/>
      <c r="HZ192" s="436"/>
      <c r="IA192" s="436"/>
      <c r="IB192" s="436"/>
      <c r="IC192" s="436"/>
      <c r="ID192" s="436"/>
      <c r="IE192" s="436"/>
      <c r="IF192" s="436"/>
      <c r="IG192" s="436"/>
      <c r="IH192" s="436"/>
      <c r="II192" s="436"/>
      <c r="IJ192" s="436"/>
      <c r="IK192" s="436"/>
      <c r="IL192" s="436"/>
      <c r="IM192" s="436"/>
      <c r="IN192" s="436"/>
      <c r="IO192" s="436"/>
      <c r="IP192" s="436"/>
      <c r="IQ192" s="265"/>
      <c r="IR192" s="265"/>
    </row>
    <row r="193" spans="1:252" s="461" customFormat="1" x14ac:dyDescent="0.35">
      <c r="A193" s="685"/>
      <c r="B193" s="503"/>
      <c r="C193" s="503"/>
      <c r="D193" s="439"/>
      <c r="E193" s="686"/>
      <c r="J193" s="1591"/>
      <c r="M193" s="436"/>
      <c r="N193" s="436"/>
      <c r="O193" s="436"/>
      <c r="P193" s="436"/>
      <c r="Q193" s="436"/>
      <c r="R193" s="436"/>
      <c r="S193" s="436"/>
      <c r="T193" s="436"/>
      <c r="U193" s="436"/>
      <c r="V193" s="436"/>
      <c r="W193" s="436"/>
      <c r="X193" s="436"/>
      <c r="Y193" s="436"/>
      <c r="Z193" s="436"/>
      <c r="AA193" s="436"/>
      <c r="AB193" s="436"/>
      <c r="AC193" s="436"/>
      <c r="AD193" s="436"/>
      <c r="AE193" s="436"/>
      <c r="AF193" s="436"/>
      <c r="AG193" s="436"/>
      <c r="AH193" s="436"/>
      <c r="AI193" s="436"/>
      <c r="AJ193" s="436"/>
      <c r="AK193" s="436"/>
      <c r="AL193" s="436"/>
      <c r="AM193" s="436"/>
      <c r="AN193" s="436"/>
      <c r="AO193" s="436"/>
      <c r="AP193" s="436"/>
      <c r="AQ193" s="436"/>
      <c r="AR193" s="436"/>
      <c r="AS193" s="436"/>
      <c r="AT193" s="436"/>
      <c r="AU193" s="436"/>
      <c r="AV193" s="436"/>
      <c r="AW193" s="436"/>
      <c r="AX193" s="436"/>
      <c r="AY193" s="436"/>
      <c r="AZ193" s="436"/>
      <c r="BA193" s="436"/>
      <c r="BB193" s="436"/>
      <c r="BC193" s="436"/>
      <c r="BD193" s="436"/>
      <c r="BE193" s="436"/>
      <c r="BF193" s="436"/>
      <c r="BG193" s="436"/>
      <c r="BH193" s="436"/>
      <c r="BI193" s="436"/>
      <c r="BJ193" s="436"/>
      <c r="BK193" s="436"/>
      <c r="BL193" s="436"/>
      <c r="BM193" s="436"/>
      <c r="BN193" s="436"/>
      <c r="BO193" s="436"/>
      <c r="BP193" s="436"/>
      <c r="BQ193" s="436"/>
      <c r="BR193" s="436"/>
      <c r="BS193" s="436"/>
      <c r="BT193" s="436"/>
      <c r="BU193" s="436"/>
      <c r="BV193" s="436"/>
      <c r="BW193" s="436"/>
      <c r="BX193" s="436"/>
      <c r="BY193" s="436"/>
      <c r="BZ193" s="436"/>
      <c r="CA193" s="436"/>
      <c r="CB193" s="436"/>
      <c r="CC193" s="436"/>
      <c r="CD193" s="436"/>
      <c r="CE193" s="436"/>
      <c r="CF193" s="436"/>
      <c r="CG193" s="436"/>
      <c r="CH193" s="436"/>
      <c r="CI193" s="436"/>
      <c r="CJ193" s="436"/>
      <c r="CK193" s="436"/>
      <c r="CL193" s="436"/>
      <c r="CM193" s="436"/>
      <c r="CN193" s="436"/>
      <c r="CO193" s="436"/>
      <c r="CP193" s="436"/>
      <c r="CQ193" s="436"/>
      <c r="CR193" s="436"/>
      <c r="CS193" s="436"/>
      <c r="CT193" s="436"/>
      <c r="CU193" s="436"/>
      <c r="CV193" s="436"/>
      <c r="CW193" s="436"/>
      <c r="CX193" s="436"/>
      <c r="CY193" s="436"/>
      <c r="CZ193" s="436"/>
      <c r="DA193" s="436"/>
      <c r="DB193" s="436"/>
      <c r="DC193" s="436"/>
      <c r="DD193" s="436"/>
      <c r="DE193" s="436"/>
      <c r="DF193" s="436"/>
      <c r="DG193" s="436"/>
      <c r="DH193" s="436"/>
      <c r="DI193" s="436"/>
      <c r="DJ193" s="436"/>
      <c r="DK193" s="436"/>
      <c r="DL193" s="436"/>
      <c r="DM193" s="436"/>
      <c r="DN193" s="436"/>
      <c r="DO193" s="436"/>
      <c r="DP193" s="436"/>
      <c r="DQ193" s="436"/>
      <c r="DR193" s="436"/>
      <c r="DS193" s="436"/>
      <c r="DT193" s="436"/>
      <c r="DU193" s="436"/>
      <c r="DV193" s="436"/>
      <c r="DW193" s="436"/>
      <c r="DX193" s="436"/>
      <c r="DY193" s="436"/>
      <c r="DZ193" s="436"/>
      <c r="EA193" s="436"/>
      <c r="EB193" s="436"/>
      <c r="EC193" s="436"/>
      <c r="ED193" s="436"/>
      <c r="EE193" s="436"/>
      <c r="EF193" s="436"/>
      <c r="EG193" s="436"/>
      <c r="EH193" s="436"/>
      <c r="EI193" s="436"/>
      <c r="EJ193" s="436"/>
      <c r="EK193" s="436"/>
      <c r="EL193" s="436"/>
      <c r="EM193" s="436"/>
      <c r="EN193" s="436"/>
      <c r="EO193" s="436"/>
      <c r="EP193" s="436"/>
      <c r="EQ193" s="436"/>
      <c r="ER193" s="436"/>
      <c r="ES193" s="436"/>
      <c r="ET193" s="436"/>
      <c r="EU193" s="436"/>
      <c r="EV193" s="436"/>
      <c r="EW193" s="436"/>
      <c r="EX193" s="436"/>
      <c r="EY193" s="436"/>
      <c r="EZ193" s="436"/>
      <c r="FA193" s="436"/>
      <c r="FB193" s="436"/>
      <c r="FC193" s="436"/>
      <c r="FD193" s="436"/>
      <c r="FE193" s="436"/>
      <c r="FF193" s="436"/>
      <c r="FG193" s="436"/>
      <c r="FH193" s="436"/>
      <c r="FI193" s="436"/>
      <c r="FJ193" s="436"/>
      <c r="FK193" s="436"/>
      <c r="FL193" s="436"/>
      <c r="FM193" s="436"/>
      <c r="FN193" s="436"/>
      <c r="FO193" s="436"/>
      <c r="FP193" s="436"/>
      <c r="FQ193" s="436"/>
      <c r="FR193" s="436"/>
      <c r="FS193" s="436"/>
      <c r="FT193" s="436"/>
      <c r="FU193" s="436"/>
      <c r="FV193" s="436"/>
      <c r="FW193" s="436"/>
      <c r="FX193" s="436"/>
      <c r="FY193" s="436"/>
      <c r="FZ193" s="436"/>
      <c r="GA193" s="436"/>
      <c r="GB193" s="436"/>
      <c r="GC193" s="436"/>
      <c r="GD193" s="436"/>
      <c r="GE193" s="436"/>
      <c r="GF193" s="436"/>
      <c r="GG193" s="436"/>
      <c r="GH193" s="436"/>
      <c r="GI193" s="436"/>
      <c r="GJ193" s="436"/>
      <c r="GK193" s="436"/>
      <c r="GL193" s="436"/>
      <c r="GM193" s="436"/>
      <c r="GN193" s="436"/>
      <c r="GO193" s="436"/>
      <c r="GP193" s="436"/>
      <c r="GQ193" s="436"/>
      <c r="GR193" s="436"/>
      <c r="GS193" s="436"/>
      <c r="GT193" s="436"/>
      <c r="GU193" s="436"/>
      <c r="GV193" s="436"/>
      <c r="GW193" s="436"/>
      <c r="GX193" s="436"/>
      <c r="GY193" s="436"/>
      <c r="GZ193" s="436"/>
      <c r="HA193" s="436"/>
      <c r="HB193" s="436"/>
      <c r="HC193" s="436"/>
      <c r="HD193" s="436"/>
      <c r="HE193" s="436"/>
      <c r="HF193" s="436"/>
      <c r="HG193" s="436"/>
      <c r="HH193" s="436"/>
      <c r="HI193" s="436"/>
      <c r="HJ193" s="436"/>
      <c r="HK193" s="436"/>
      <c r="HL193" s="436"/>
      <c r="HM193" s="436"/>
      <c r="HN193" s="436"/>
      <c r="HO193" s="436"/>
      <c r="HP193" s="436"/>
      <c r="HQ193" s="436"/>
      <c r="HR193" s="436"/>
      <c r="HS193" s="436"/>
      <c r="HT193" s="436"/>
      <c r="HU193" s="436"/>
      <c r="HV193" s="436"/>
      <c r="HW193" s="436"/>
      <c r="HX193" s="436"/>
      <c r="HY193" s="436"/>
      <c r="HZ193" s="436"/>
      <c r="IA193" s="436"/>
      <c r="IB193" s="436"/>
      <c r="IC193" s="436"/>
      <c r="ID193" s="436"/>
      <c r="IE193" s="436"/>
      <c r="IF193" s="436"/>
      <c r="IG193" s="436"/>
      <c r="IH193" s="436"/>
      <c r="II193" s="436"/>
      <c r="IJ193" s="436"/>
      <c r="IK193" s="436"/>
      <c r="IL193" s="436"/>
      <c r="IM193" s="436"/>
      <c r="IN193" s="436"/>
      <c r="IO193" s="436"/>
      <c r="IP193" s="436"/>
      <c r="IQ193" s="265"/>
      <c r="IR193" s="265"/>
    </row>
    <row r="194" spans="1:252" s="461" customFormat="1" x14ac:dyDescent="0.35">
      <c r="A194" s="685"/>
      <c r="B194" s="503"/>
      <c r="C194" s="503"/>
      <c r="D194" s="439"/>
      <c r="E194" s="686"/>
      <c r="J194" s="1591"/>
      <c r="M194" s="436"/>
      <c r="N194" s="436"/>
      <c r="O194" s="436"/>
      <c r="P194" s="436"/>
      <c r="Q194" s="436"/>
      <c r="R194" s="436"/>
      <c r="S194" s="436"/>
      <c r="T194" s="436"/>
      <c r="U194" s="436"/>
      <c r="V194" s="436"/>
      <c r="W194" s="436"/>
      <c r="X194" s="436"/>
      <c r="Y194" s="436"/>
      <c r="Z194" s="436"/>
      <c r="AA194" s="436"/>
      <c r="AB194" s="436"/>
      <c r="AC194" s="436"/>
      <c r="AD194" s="436"/>
      <c r="AE194" s="436"/>
      <c r="AF194" s="436"/>
      <c r="AG194" s="436"/>
      <c r="AH194" s="436"/>
      <c r="AI194" s="436"/>
      <c r="AJ194" s="436"/>
      <c r="AK194" s="436"/>
      <c r="AL194" s="436"/>
      <c r="AM194" s="436"/>
      <c r="AN194" s="436"/>
      <c r="AO194" s="436"/>
      <c r="AP194" s="436"/>
      <c r="AQ194" s="436"/>
      <c r="AR194" s="436"/>
      <c r="AS194" s="436"/>
      <c r="AT194" s="436"/>
      <c r="AU194" s="436"/>
      <c r="AV194" s="436"/>
      <c r="AW194" s="436"/>
      <c r="AX194" s="436"/>
      <c r="AY194" s="436"/>
      <c r="AZ194" s="436"/>
      <c r="BA194" s="436"/>
      <c r="BB194" s="436"/>
      <c r="BC194" s="436"/>
      <c r="BD194" s="436"/>
      <c r="BE194" s="436"/>
      <c r="BF194" s="436"/>
      <c r="BG194" s="436"/>
      <c r="BH194" s="436"/>
      <c r="BI194" s="436"/>
      <c r="BJ194" s="436"/>
      <c r="BK194" s="436"/>
      <c r="BL194" s="436"/>
      <c r="BM194" s="436"/>
      <c r="BN194" s="436"/>
      <c r="BO194" s="436"/>
      <c r="BP194" s="436"/>
      <c r="BQ194" s="436"/>
      <c r="BR194" s="436"/>
      <c r="BS194" s="436"/>
      <c r="BT194" s="436"/>
      <c r="BU194" s="436"/>
      <c r="BV194" s="436"/>
      <c r="BW194" s="436"/>
      <c r="BX194" s="436"/>
      <c r="BY194" s="436"/>
      <c r="BZ194" s="436"/>
      <c r="CA194" s="436"/>
      <c r="CB194" s="436"/>
      <c r="CC194" s="436"/>
      <c r="CD194" s="436"/>
      <c r="CE194" s="436"/>
      <c r="CF194" s="436"/>
      <c r="CG194" s="436"/>
      <c r="CH194" s="436"/>
      <c r="CI194" s="436"/>
      <c r="CJ194" s="436"/>
      <c r="CK194" s="436"/>
      <c r="CL194" s="436"/>
      <c r="CM194" s="436"/>
      <c r="CN194" s="436"/>
      <c r="CO194" s="436"/>
      <c r="CP194" s="436"/>
      <c r="CQ194" s="436"/>
      <c r="CR194" s="436"/>
      <c r="CS194" s="436"/>
      <c r="CT194" s="436"/>
      <c r="CU194" s="436"/>
      <c r="CV194" s="436"/>
      <c r="CW194" s="436"/>
      <c r="CX194" s="436"/>
      <c r="CY194" s="436"/>
      <c r="CZ194" s="436"/>
      <c r="DA194" s="436"/>
      <c r="DB194" s="436"/>
      <c r="DC194" s="436"/>
      <c r="DD194" s="436"/>
      <c r="DE194" s="436"/>
      <c r="DF194" s="436"/>
      <c r="DG194" s="436"/>
      <c r="DH194" s="436"/>
      <c r="DI194" s="436"/>
      <c r="DJ194" s="436"/>
      <c r="DK194" s="436"/>
      <c r="DL194" s="436"/>
      <c r="DM194" s="436"/>
      <c r="DN194" s="436"/>
      <c r="DO194" s="436"/>
      <c r="DP194" s="436"/>
      <c r="DQ194" s="436"/>
      <c r="DR194" s="436"/>
      <c r="DS194" s="436"/>
      <c r="DT194" s="436"/>
      <c r="DU194" s="436"/>
      <c r="DV194" s="436"/>
      <c r="DW194" s="436"/>
      <c r="DX194" s="436"/>
      <c r="DY194" s="436"/>
      <c r="DZ194" s="436"/>
      <c r="EA194" s="436"/>
      <c r="EB194" s="436"/>
      <c r="EC194" s="436"/>
      <c r="ED194" s="436"/>
      <c r="EE194" s="436"/>
      <c r="EF194" s="436"/>
      <c r="EG194" s="436"/>
      <c r="EH194" s="436"/>
      <c r="EI194" s="436"/>
      <c r="EJ194" s="436"/>
      <c r="EK194" s="436"/>
      <c r="EL194" s="436"/>
      <c r="EM194" s="436"/>
      <c r="EN194" s="436"/>
      <c r="EO194" s="436"/>
      <c r="EP194" s="436"/>
      <c r="EQ194" s="436"/>
      <c r="ER194" s="436"/>
      <c r="ES194" s="436"/>
      <c r="ET194" s="436"/>
      <c r="EU194" s="436"/>
      <c r="EV194" s="436"/>
      <c r="EW194" s="436"/>
      <c r="EX194" s="436"/>
      <c r="EY194" s="436"/>
      <c r="EZ194" s="436"/>
      <c r="FA194" s="436"/>
      <c r="FB194" s="436"/>
      <c r="FC194" s="436"/>
      <c r="FD194" s="436"/>
      <c r="FE194" s="436"/>
      <c r="FF194" s="436"/>
      <c r="FG194" s="436"/>
      <c r="FH194" s="436"/>
      <c r="FI194" s="436"/>
      <c r="FJ194" s="436"/>
      <c r="FK194" s="436"/>
      <c r="FL194" s="436"/>
      <c r="FM194" s="436"/>
      <c r="FN194" s="436"/>
      <c r="FO194" s="436"/>
      <c r="FP194" s="436"/>
      <c r="FQ194" s="436"/>
      <c r="FR194" s="436"/>
      <c r="FS194" s="436"/>
      <c r="FT194" s="436"/>
      <c r="FU194" s="436"/>
      <c r="FV194" s="436"/>
      <c r="FW194" s="436"/>
      <c r="FX194" s="436"/>
      <c r="FY194" s="436"/>
      <c r="FZ194" s="436"/>
      <c r="GA194" s="436"/>
      <c r="GB194" s="436"/>
      <c r="GC194" s="436"/>
      <c r="GD194" s="436"/>
      <c r="GE194" s="436"/>
      <c r="GF194" s="436"/>
      <c r="GG194" s="436"/>
      <c r="GH194" s="436"/>
      <c r="GI194" s="436"/>
      <c r="GJ194" s="436"/>
      <c r="GK194" s="436"/>
      <c r="GL194" s="436"/>
      <c r="GM194" s="436"/>
      <c r="GN194" s="436"/>
      <c r="GO194" s="436"/>
      <c r="GP194" s="436"/>
      <c r="GQ194" s="436"/>
      <c r="GR194" s="436"/>
      <c r="GS194" s="436"/>
      <c r="GT194" s="436"/>
      <c r="GU194" s="436"/>
      <c r="GV194" s="436"/>
      <c r="GW194" s="436"/>
      <c r="GX194" s="436"/>
      <c r="GY194" s="436"/>
      <c r="GZ194" s="436"/>
      <c r="HA194" s="436"/>
      <c r="HB194" s="436"/>
      <c r="HC194" s="436"/>
      <c r="HD194" s="436"/>
      <c r="HE194" s="436"/>
      <c r="HF194" s="436"/>
      <c r="HG194" s="436"/>
      <c r="HH194" s="436"/>
      <c r="HI194" s="436"/>
      <c r="HJ194" s="436"/>
      <c r="HK194" s="436"/>
      <c r="HL194" s="436"/>
      <c r="HM194" s="436"/>
      <c r="HN194" s="436"/>
      <c r="HO194" s="436"/>
      <c r="HP194" s="436"/>
      <c r="HQ194" s="436"/>
      <c r="HR194" s="436"/>
      <c r="HS194" s="436"/>
      <c r="HT194" s="436"/>
      <c r="HU194" s="436"/>
      <c r="HV194" s="436"/>
      <c r="HW194" s="436"/>
      <c r="HX194" s="436"/>
      <c r="HY194" s="436"/>
      <c r="HZ194" s="436"/>
      <c r="IA194" s="436"/>
      <c r="IB194" s="436"/>
      <c r="IC194" s="436"/>
      <c r="ID194" s="436"/>
      <c r="IE194" s="436"/>
      <c r="IF194" s="436"/>
      <c r="IG194" s="436"/>
      <c r="IH194" s="436"/>
      <c r="II194" s="436"/>
      <c r="IJ194" s="436"/>
      <c r="IK194" s="436"/>
      <c r="IL194" s="436"/>
      <c r="IM194" s="436"/>
      <c r="IN194" s="436"/>
      <c r="IO194" s="436"/>
      <c r="IP194" s="436"/>
      <c r="IQ194" s="265"/>
      <c r="IR194" s="265"/>
    </row>
    <row r="195" spans="1:252" s="461" customFormat="1" x14ac:dyDescent="0.35">
      <c r="A195" s="685"/>
      <c r="B195" s="503"/>
      <c r="C195" s="503"/>
      <c r="D195" s="439"/>
      <c r="E195" s="686"/>
      <c r="J195" s="1591"/>
      <c r="M195" s="436"/>
      <c r="N195" s="436"/>
      <c r="O195" s="436"/>
      <c r="P195" s="436"/>
      <c r="Q195" s="436"/>
      <c r="R195" s="436"/>
      <c r="S195" s="436"/>
      <c r="T195" s="436"/>
      <c r="U195" s="436"/>
      <c r="V195" s="436"/>
      <c r="W195" s="436"/>
      <c r="X195" s="436"/>
      <c r="Y195" s="436"/>
      <c r="Z195" s="436"/>
      <c r="AA195" s="436"/>
      <c r="AB195" s="436"/>
      <c r="AC195" s="436"/>
      <c r="AD195" s="436"/>
      <c r="AE195" s="436"/>
      <c r="AF195" s="436"/>
      <c r="AG195" s="436"/>
      <c r="AH195" s="436"/>
      <c r="AI195" s="436"/>
      <c r="AJ195" s="436"/>
      <c r="AK195" s="436"/>
      <c r="AL195" s="436"/>
      <c r="AM195" s="436"/>
      <c r="AN195" s="436"/>
      <c r="AO195" s="436"/>
      <c r="AP195" s="436"/>
      <c r="AQ195" s="436"/>
      <c r="AR195" s="436"/>
      <c r="AS195" s="436"/>
      <c r="AT195" s="436"/>
      <c r="AU195" s="436"/>
      <c r="AV195" s="436"/>
      <c r="AW195" s="436"/>
      <c r="AX195" s="436"/>
      <c r="AY195" s="436"/>
      <c r="AZ195" s="436"/>
      <c r="BA195" s="436"/>
      <c r="BB195" s="436"/>
      <c r="BC195" s="436"/>
      <c r="BD195" s="436"/>
      <c r="BE195" s="436"/>
      <c r="BF195" s="436"/>
      <c r="BG195" s="436"/>
      <c r="BH195" s="436"/>
      <c r="BI195" s="436"/>
      <c r="BJ195" s="436"/>
      <c r="BK195" s="436"/>
      <c r="BL195" s="436"/>
      <c r="BM195" s="436"/>
      <c r="BN195" s="436"/>
      <c r="BO195" s="436"/>
      <c r="BP195" s="436"/>
      <c r="BQ195" s="436"/>
      <c r="BR195" s="436"/>
      <c r="BS195" s="436"/>
      <c r="BT195" s="436"/>
      <c r="BU195" s="436"/>
      <c r="BV195" s="436"/>
      <c r="BW195" s="436"/>
      <c r="BX195" s="436"/>
      <c r="BY195" s="436"/>
      <c r="BZ195" s="436"/>
      <c r="CA195" s="436"/>
      <c r="CB195" s="436"/>
      <c r="CC195" s="436"/>
      <c r="CD195" s="436"/>
      <c r="CE195" s="436"/>
      <c r="CF195" s="436"/>
      <c r="CG195" s="436"/>
      <c r="CH195" s="436"/>
      <c r="CI195" s="436"/>
      <c r="CJ195" s="436"/>
      <c r="CK195" s="436"/>
      <c r="CL195" s="436"/>
      <c r="CM195" s="436"/>
      <c r="CN195" s="436"/>
      <c r="CO195" s="436"/>
      <c r="CP195" s="436"/>
      <c r="CQ195" s="436"/>
      <c r="CR195" s="436"/>
      <c r="CS195" s="436"/>
      <c r="CT195" s="436"/>
      <c r="CU195" s="436"/>
      <c r="CV195" s="436"/>
      <c r="CW195" s="436"/>
      <c r="CX195" s="436"/>
      <c r="CY195" s="436"/>
      <c r="CZ195" s="436"/>
      <c r="DA195" s="436"/>
      <c r="DB195" s="436"/>
      <c r="DC195" s="436"/>
      <c r="DD195" s="436"/>
      <c r="DE195" s="436"/>
      <c r="DF195" s="436"/>
      <c r="DG195" s="436"/>
      <c r="DH195" s="436"/>
      <c r="DI195" s="436"/>
      <c r="DJ195" s="436"/>
      <c r="DK195" s="436"/>
      <c r="DL195" s="436"/>
      <c r="DM195" s="436"/>
      <c r="DN195" s="436"/>
      <c r="DO195" s="436"/>
      <c r="DP195" s="436"/>
      <c r="DQ195" s="436"/>
      <c r="DR195" s="436"/>
      <c r="DS195" s="436"/>
      <c r="DT195" s="436"/>
      <c r="DU195" s="436"/>
      <c r="DV195" s="436"/>
      <c r="DW195" s="436"/>
      <c r="DX195" s="436"/>
      <c r="DY195" s="436"/>
      <c r="DZ195" s="436"/>
      <c r="EA195" s="436"/>
      <c r="EB195" s="436"/>
      <c r="EC195" s="436"/>
      <c r="ED195" s="436"/>
      <c r="EE195" s="436"/>
      <c r="EF195" s="436"/>
      <c r="EG195" s="436"/>
      <c r="EH195" s="436"/>
      <c r="EI195" s="436"/>
      <c r="EJ195" s="436"/>
      <c r="EK195" s="436"/>
      <c r="EL195" s="436"/>
      <c r="EM195" s="436"/>
      <c r="EN195" s="436"/>
      <c r="EO195" s="436"/>
      <c r="EP195" s="436"/>
      <c r="EQ195" s="436"/>
      <c r="ER195" s="436"/>
      <c r="ES195" s="436"/>
      <c r="ET195" s="436"/>
      <c r="EU195" s="436"/>
      <c r="EV195" s="436"/>
      <c r="EW195" s="436"/>
      <c r="EX195" s="436"/>
      <c r="EY195" s="436"/>
      <c r="EZ195" s="436"/>
      <c r="FA195" s="436"/>
      <c r="FB195" s="436"/>
      <c r="FC195" s="436"/>
      <c r="FD195" s="436"/>
      <c r="FE195" s="436"/>
      <c r="FF195" s="436"/>
      <c r="FG195" s="436"/>
      <c r="FH195" s="436"/>
      <c r="FI195" s="436"/>
      <c r="FJ195" s="436"/>
      <c r="FK195" s="436"/>
      <c r="FL195" s="436"/>
      <c r="FM195" s="436"/>
      <c r="FN195" s="436"/>
      <c r="FO195" s="436"/>
      <c r="FP195" s="436"/>
      <c r="FQ195" s="436"/>
      <c r="FR195" s="436"/>
      <c r="FS195" s="436"/>
      <c r="FT195" s="436"/>
      <c r="FU195" s="436"/>
      <c r="FV195" s="436"/>
      <c r="FW195" s="436"/>
      <c r="FX195" s="436"/>
      <c r="FY195" s="436"/>
      <c r="FZ195" s="436"/>
      <c r="GA195" s="436"/>
      <c r="GB195" s="436"/>
      <c r="GC195" s="436"/>
      <c r="GD195" s="436"/>
      <c r="GE195" s="436"/>
      <c r="GF195" s="436"/>
      <c r="GG195" s="436"/>
      <c r="GH195" s="436"/>
      <c r="GI195" s="436"/>
      <c r="GJ195" s="436"/>
      <c r="GK195" s="436"/>
      <c r="GL195" s="436"/>
      <c r="GM195" s="436"/>
      <c r="GN195" s="436"/>
      <c r="GO195" s="436"/>
      <c r="GP195" s="436"/>
      <c r="GQ195" s="436"/>
      <c r="GR195" s="436"/>
      <c r="GS195" s="436"/>
      <c r="GT195" s="436"/>
      <c r="GU195" s="436"/>
      <c r="GV195" s="436"/>
      <c r="GW195" s="436"/>
      <c r="GX195" s="436"/>
      <c r="GY195" s="436"/>
      <c r="GZ195" s="436"/>
      <c r="HA195" s="436"/>
      <c r="HB195" s="436"/>
      <c r="HC195" s="436"/>
      <c r="HD195" s="436"/>
      <c r="HE195" s="436"/>
      <c r="HF195" s="436"/>
      <c r="HG195" s="436"/>
      <c r="HH195" s="436"/>
      <c r="HI195" s="436"/>
      <c r="HJ195" s="436"/>
      <c r="HK195" s="436"/>
      <c r="HL195" s="436"/>
      <c r="HM195" s="436"/>
      <c r="HN195" s="436"/>
      <c r="HO195" s="436"/>
      <c r="HP195" s="436"/>
      <c r="HQ195" s="436"/>
      <c r="HR195" s="436"/>
      <c r="HS195" s="436"/>
      <c r="HT195" s="436"/>
      <c r="HU195" s="436"/>
      <c r="HV195" s="436"/>
      <c r="HW195" s="436"/>
      <c r="HX195" s="436"/>
      <c r="HY195" s="436"/>
      <c r="HZ195" s="436"/>
      <c r="IA195" s="436"/>
      <c r="IB195" s="436"/>
      <c r="IC195" s="436"/>
      <c r="ID195" s="436"/>
      <c r="IE195" s="436"/>
      <c r="IF195" s="436"/>
      <c r="IG195" s="436"/>
      <c r="IH195" s="436"/>
      <c r="II195" s="436"/>
      <c r="IJ195" s="436"/>
      <c r="IK195" s="436"/>
      <c r="IL195" s="436"/>
      <c r="IM195" s="436"/>
      <c r="IN195" s="436"/>
      <c r="IO195" s="436"/>
      <c r="IP195" s="436"/>
      <c r="IQ195" s="265"/>
      <c r="IR195" s="265"/>
    </row>
    <row r="196" spans="1:252" s="461" customFormat="1" x14ac:dyDescent="0.35">
      <c r="A196" s="685"/>
      <c r="B196" s="503"/>
      <c r="C196" s="503"/>
      <c r="D196" s="439"/>
      <c r="E196" s="686"/>
      <c r="J196" s="1591"/>
      <c r="M196" s="436"/>
      <c r="N196" s="436"/>
      <c r="O196" s="436"/>
      <c r="P196" s="436"/>
      <c r="Q196" s="436"/>
      <c r="R196" s="436"/>
      <c r="S196" s="436"/>
      <c r="T196" s="436"/>
      <c r="U196" s="436"/>
      <c r="V196" s="436"/>
      <c r="W196" s="436"/>
      <c r="X196" s="436"/>
      <c r="Y196" s="436"/>
      <c r="Z196" s="436"/>
      <c r="AA196" s="436"/>
      <c r="AB196" s="436"/>
      <c r="AC196" s="436"/>
      <c r="AD196" s="436"/>
      <c r="AE196" s="436"/>
      <c r="AF196" s="436"/>
      <c r="AG196" s="436"/>
      <c r="AH196" s="436"/>
      <c r="AI196" s="436"/>
      <c r="AJ196" s="436"/>
      <c r="AK196" s="436"/>
      <c r="AL196" s="436"/>
      <c r="AM196" s="436"/>
      <c r="AN196" s="436"/>
      <c r="AO196" s="436"/>
      <c r="AP196" s="436"/>
      <c r="AQ196" s="436"/>
      <c r="AR196" s="436"/>
      <c r="AS196" s="436"/>
      <c r="AT196" s="436"/>
      <c r="AU196" s="436"/>
      <c r="AV196" s="436"/>
      <c r="AW196" s="436"/>
      <c r="AX196" s="436"/>
      <c r="AY196" s="436"/>
      <c r="AZ196" s="436"/>
      <c r="BA196" s="436"/>
      <c r="BB196" s="436"/>
      <c r="BC196" s="436"/>
      <c r="BD196" s="436"/>
      <c r="BE196" s="436"/>
      <c r="BF196" s="436"/>
      <c r="BG196" s="436"/>
      <c r="BH196" s="436"/>
      <c r="BI196" s="436"/>
      <c r="BJ196" s="436"/>
      <c r="BK196" s="436"/>
      <c r="BL196" s="436"/>
      <c r="BM196" s="436"/>
      <c r="BN196" s="436"/>
      <c r="BO196" s="436"/>
      <c r="BP196" s="436"/>
      <c r="BQ196" s="436"/>
      <c r="BR196" s="436"/>
      <c r="BS196" s="436"/>
      <c r="BT196" s="436"/>
      <c r="BU196" s="436"/>
      <c r="BV196" s="436"/>
      <c r="BW196" s="436"/>
      <c r="BX196" s="436"/>
      <c r="BY196" s="436"/>
      <c r="BZ196" s="436"/>
      <c r="CA196" s="436"/>
      <c r="CB196" s="436"/>
      <c r="CC196" s="436"/>
      <c r="CD196" s="436"/>
      <c r="CE196" s="436"/>
      <c r="CF196" s="436"/>
      <c r="CG196" s="436"/>
      <c r="CH196" s="436"/>
      <c r="CI196" s="436"/>
      <c r="CJ196" s="436"/>
      <c r="CK196" s="436"/>
      <c r="CL196" s="436"/>
      <c r="CM196" s="436"/>
      <c r="CN196" s="436"/>
      <c r="CO196" s="436"/>
      <c r="CP196" s="436"/>
      <c r="CQ196" s="436"/>
      <c r="CR196" s="436"/>
      <c r="CS196" s="436"/>
      <c r="CT196" s="436"/>
      <c r="CU196" s="436"/>
      <c r="CV196" s="436"/>
      <c r="CW196" s="436"/>
      <c r="CX196" s="436"/>
      <c r="CY196" s="436"/>
      <c r="CZ196" s="436"/>
      <c r="DA196" s="436"/>
      <c r="DB196" s="436"/>
      <c r="DC196" s="436"/>
      <c r="DD196" s="436"/>
      <c r="DE196" s="436"/>
      <c r="DF196" s="436"/>
      <c r="DG196" s="436"/>
      <c r="DH196" s="436"/>
      <c r="DI196" s="436"/>
      <c r="DJ196" s="436"/>
      <c r="DK196" s="436"/>
      <c r="DL196" s="436"/>
      <c r="DM196" s="436"/>
      <c r="DN196" s="436"/>
      <c r="DO196" s="436"/>
      <c r="DP196" s="436"/>
      <c r="DQ196" s="436"/>
      <c r="DR196" s="436"/>
      <c r="DS196" s="436"/>
      <c r="DT196" s="436"/>
      <c r="DU196" s="436"/>
      <c r="DV196" s="436"/>
      <c r="DW196" s="436"/>
      <c r="DX196" s="436"/>
      <c r="DY196" s="436"/>
      <c r="DZ196" s="436"/>
      <c r="EA196" s="436"/>
      <c r="EB196" s="436"/>
      <c r="EC196" s="436"/>
      <c r="ED196" s="436"/>
      <c r="EE196" s="436"/>
      <c r="EF196" s="436"/>
      <c r="EG196" s="436"/>
      <c r="EH196" s="436"/>
      <c r="EI196" s="436"/>
      <c r="EJ196" s="436"/>
      <c r="EK196" s="436"/>
      <c r="EL196" s="436"/>
      <c r="EM196" s="436"/>
      <c r="EN196" s="436"/>
      <c r="EO196" s="436"/>
      <c r="EP196" s="436"/>
      <c r="EQ196" s="436"/>
      <c r="ER196" s="436"/>
      <c r="ES196" s="436"/>
      <c r="ET196" s="436"/>
      <c r="EU196" s="436"/>
      <c r="EV196" s="436"/>
      <c r="EW196" s="436"/>
      <c r="EX196" s="436"/>
      <c r="EY196" s="436"/>
      <c r="EZ196" s="436"/>
      <c r="FA196" s="436"/>
      <c r="FB196" s="436"/>
      <c r="FC196" s="436"/>
      <c r="FD196" s="436"/>
      <c r="FE196" s="436"/>
      <c r="FF196" s="436"/>
      <c r="FG196" s="436"/>
      <c r="FH196" s="436"/>
      <c r="FI196" s="436"/>
      <c r="FJ196" s="436"/>
      <c r="FK196" s="436"/>
      <c r="FL196" s="436"/>
      <c r="FM196" s="436"/>
      <c r="FN196" s="436"/>
      <c r="FO196" s="436"/>
      <c r="FP196" s="436"/>
      <c r="FQ196" s="436"/>
      <c r="FR196" s="436"/>
      <c r="FS196" s="436"/>
      <c r="FT196" s="436"/>
      <c r="FU196" s="436"/>
      <c r="FV196" s="436"/>
      <c r="FW196" s="436"/>
      <c r="FX196" s="436"/>
      <c r="FY196" s="436"/>
      <c r="FZ196" s="436"/>
      <c r="GA196" s="436"/>
      <c r="GB196" s="436"/>
      <c r="GC196" s="436"/>
      <c r="GD196" s="436"/>
      <c r="GE196" s="436"/>
      <c r="GF196" s="436"/>
      <c r="GG196" s="436"/>
      <c r="GH196" s="436"/>
      <c r="GI196" s="436"/>
      <c r="GJ196" s="436"/>
      <c r="GK196" s="436"/>
      <c r="GL196" s="436"/>
      <c r="GM196" s="436"/>
      <c r="GN196" s="436"/>
      <c r="GO196" s="436"/>
      <c r="GP196" s="436"/>
      <c r="GQ196" s="436"/>
      <c r="GR196" s="436"/>
      <c r="GS196" s="436"/>
      <c r="GT196" s="436"/>
      <c r="GU196" s="436"/>
      <c r="GV196" s="436"/>
      <c r="GW196" s="436"/>
      <c r="GX196" s="436"/>
      <c r="GY196" s="436"/>
      <c r="GZ196" s="436"/>
      <c r="HA196" s="436"/>
      <c r="HB196" s="436"/>
      <c r="HC196" s="436"/>
      <c r="HD196" s="436"/>
      <c r="HE196" s="436"/>
      <c r="HF196" s="436"/>
      <c r="HG196" s="436"/>
      <c r="HH196" s="436"/>
      <c r="HI196" s="436"/>
      <c r="HJ196" s="436"/>
      <c r="HK196" s="436"/>
      <c r="HL196" s="436"/>
      <c r="HM196" s="436"/>
      <c r="HN196" s="436"/>
      <c r="HO196" s="436"/>
      <c r="HP196" s="436"/>
      <c r="HQ196" s="436"/>
      <c r="HR196" s="436"/>
      <c r="HS196" s="436"/>
      <c r="HT196" s="436"/>
      <c r="HU196" s="436"/>
      <c r="HV196" s="436"/>
      <c r="HW196" s="436"/>
      <c r="HX196" s="436"/>
      <c r="HY196" s="436"/>
      <c r="HZ196" s="436"/>
      <c r="IA196" s="436"/>
      <c r="IB196" s="436"/>
      <c r="IC196" s="436"/>
      <c r="ID196" s="436"/>
      <c r="IE196" s="436"/>
      <c r="IF196" s="436"/>
      <c r="IG196" s="436"/>
      <c r="IH196" s="436"/>
      <c r="II196" s="436"/>
      <c r="IJ196" s="436"/>
      <c r="IK196" s="436"/>
      <c r="IL196" s="436"/>
      <c r="IM196" s="436"/>
      <c r="IN196" s="436"/>
      <c r="IO196" s="436"/>
      <c r="IP196" s="436"/>
      <c r="IQ196" s="265"/>
      <c r="IR196" s="265"/>
    </row>
    <row r="197" spans="1:252" s="461" customFormat="1" x14ac:dyDescent="0.35">
      <c r="A197" s="685"/>
      <c r="B197" s="503"/>
      <c r="C197" s="503"/>
      <c r="D197" s="439"/>
      <c r="E197" s="686"/>
      <c r="J197" s="1591"/>
      <c r="M197" s="436"/>
      <c r="N197" s="436"/>
      <c r="O197" s="436"/>
      <c r="P197" s="436"/>
      <c r="Q197" s="436"/>
      <c r="R197" s="436"/>
      <c r="S197" s="436"/>
      <c r="T197" s="436"/>
      <c r="U197" s="436"/>
      <c r="V197" s="436"/>
      <c r="W197" s="436"/>
      <c r="X197" s="436"/>
      <c r="Y197" s="436"/>
      <c r="Z197" s="436"/>
      <c r="AA197" s="436"/>
      <c r="AB197" s="436"/>
      <c r="AC197" s="436"/>
      <c r="AD197" s="436"/>
      <c r="AE197" s="436"/>
      <c r="AF197" s="436"/>
      <c r="AG197" s="436"/>
      <c r="AH197" s="436"/>
      <c r="AI197" s="436"/>
      <c r="AJ197" s="436"/>
      <c r="AK197" s="436"/>
      <c r="AL197" s="436"/>
      <c r="AM197" s="436"/>
      <c r="AN197" s="436"/>
      <c r="AO197" s="436"/>
      <c r="AP197" s="436"/>
      <c r="AQ197" s="436"/>
      <c r="AR197" s="436"/>
      <c r="AS197" s="436"/>
      <c r="AT197" s="436"/>
      <c r="AU197" s="436"/>
      <c r="AV197" s="436"/>
      <c r="AW197" s="436"/>
      <c r="AX197" s="436"/>
      <c r="AY197" s="436"/>
      <c r="AZ197" s="436"/>
      <c r="BA197" s="436"/>
      <c r="BB197" s="436"/>
      <c r="BC197" s="436"/>
      <c r="BD197" s="436"/>
      <c r="BE197" s="436"/>
      <c r="BF197" s="436"/>
      <c r="BG197" s="436"/>
      <c r="BH197" s="436"/>
      <c r="BI197" s="436"/>
      <c r="BJ197" s="436"/>
      <c r="BK197" s="436"/>
      <c r="BL197" s="436"/>
      <c r="BM197" s="436"/>
      <c r="BN197" s="436"/>
      <c r="BO197" s="436"/>
      <c r="BP197" s="436"/>
      <c r="BQ197" s="436"/>
      <c r="BR197" s="436"/>
      <c r="BS197" s="436"/>
      <c r="BT197" s="436"/>
      <c r="BU197" s="436"/>
      <c r="BV197" s="436"/>
      <c r="BW197" s="436"/>
      <c r="BX197" s="436"/>
      <c r="BY197" s="436"/>
      <c r="BZ197" s="436"/>
      <c r="CA197" s="436"/>
      <c r="CB197" s="436"/>
      <c r="CC197" s="436"/>
      <c r="CD197" s="436"/>
      <c r="CE197" s="436"/>
      <c r="CF197" s="436"/>
      <c r="CG197" s="436"/>
      <c r="CH197" s="436"/>
      <c r="CI197" s="436"/>
      <c r="CJ197" s="436"/>
      <c r="CK197" s="436"/>
      <c r="CL197" s="436"/>
      <c r="CM197" s="436"/>
      <c r="CN197" s="436"/>
      <c r="CO197" s="436"/>
      <c r="CP197" s="436"/>
      <c r="CQ197" s="436"/>
      <c r="CR197" s="436"/>
      <c r="CS197" s="436"/>
      <c r="CT197" s="436"/>
      <c r="CU197" s="436"/>
      <c r="CV197" s="436"/>
      <c r="CW197" s="436"/>
      <c r="CX197" s="436"/>
      <c r="CY197" s="436"/>
      <c r="CZ197" s="436"/>
      <c r="DA197" s="436"/>
      <c r="DB197" s="436"/>
      <c r="DC197" s="436"/>
      <c r="DD197" s="436"/>
      <c r="DE197" s="436"/>
      <c r="DF197" s="436"/>
      <c r="DG197" s="436"/>
      <c r="DH197" s="436"/>
      <c r="DI197" s="436"/>
      <c r="DJ197" s="436"/>
      <c r="DK197" s="436"/>
      <c r="DL197" s="436"/>
      <c r="DM197" s="436"/>
      <c r="DN197" s="436"/>
      <c r="DO197" s="436"/>
      <c r="DP197" s="436"/>
      <c r="DQ197" s="436"/>
      <c r="DR197" s="436"/>
      <c r="DS197" s="436"/>
      <c r="DT197" s="436"/>
      <c r="DU197" s="436"/>
      <c r="DV197" s="436"/>
      <c r="DW197" s="436"/>
      <c r="DX197" s="436"/>
      <c r="DY197" s="436"/>
      <c r="DZ197" s="436"/>
      <c r="EA197" s="436"/>
      <c r="EB197" s="436"/>
      <c r="EC197" s="436"/>
      <c r="ED197" s="436"/>
      <c r="EE197" s="436"/>
      <c r="EF197" s="436"/>
      <c r="EG197" s="436"/>
      <c r="EH197" s="436"/>
      <c r="EI197" s="436"/>
      <c r="EJ197" s="436"/>
      <c r="EK197" s="436"/>
      <c r="EL197" s="436"/>
      <c r="EM197" s="436"/>
      <c r="EN197" s="436"/>
      <c r="EO197" s="436"/>
      <c r="EP197" s="436"/>
      <c r="EQ197" s="436"/>
      <c r="ER197" s="436"/>
      <c r="ES197" s="436"/>
      <c r="ET197" s="436"/>
      <c r="EU197" s="436"/>
      <c r="EV197" s="436"/>
      <c r="EW197" s="436"/>
      <c r="EX197" s="436"/>
      <c r="EY197" s="436"/>
      <c r="EZ197" s="436"/>
      <c r="FA197" s="436"/>
      <c r="FB197" s="436"/>
      <c r="FC197" s="436"/>
      <c r="FD197" s="436"/>
      <c r="FE197" s="436"/>
      <c r="FF197" s="436"/>
      <c r="FG197" s="436"/>
      <c r="FH197" s="436"/>
      <c r="FI197" s="436"/>
      <c r="FJ197" s="436"/>
      <c r="FK197" s="436"/>
      <c r="FL197" s="436"/>
      <c r="FM197" s="436"/>
      <c r="FN197" s="436"/>
      <c r="FO197" s="436"/>
      <c r="FP197" s="436"/>
      <c r="FQ197" s="436"/>
      <c r="FR197" s="436"/>
      <c r="FS197" s="436"/>
      <c r="FT197" s="436"/>
      <c r="FU197" s="436"/>
      <c r="FV197" s="436"/>
      <c r="FW197" s="436"/>
      <c r="FX197" s="436"/>
      <c r="FY197" s="436"/>
      <c r="FZ197" s="436"/>
      <c r="GA197" s="436"/>
      <c r="GB197" s="436"/>
      <c r="GC197" s="436"/>
      <c r="GD197" s="436"/>
      <c r="GE197" s="436"/>
      <c r="GF197" s="436"/>
      <c r="GG197" s="436"/>
      <c r="GH197" s="436"/>
      <c r="GI197" s="436"/>
      <c r="GJ197" s="436"/>
      <c r="GK197" s="436"/>
      <c r="GL197" s="436"/>
      <c r="GM197" s="436"/>
      <c r="GN197" s="436"/>
      <c r="GO197" s="436"/>
      <c r="GP197" s="436"/>
      <c r="GQ197" s="436"/>
      <c r="GR197" s="436"/>
      <c r="GS197" s="436"/>
      <c r="GT197" s="436"/>
      <c r="GU197" s="436"/>
      <c r="GV197" s="436"/>
      <c r="GW197" s="436"/>
      <c r="GX197" s="436"/>
      <c r="GY197" s="436"/>
      <c r="GZ197" s="436"/>
      <c r="HA197" s="436"/>
      <c r="HB197" s="436"/>
      <c r="HC197" s="436"/>
      <c r="HD197" s="436"/>
      <c r="HE197" s="436"/>
      <c r="HF197" s="436"/>
      <c r="HG197" s="436"/>
      <c r="HH197" s="436"/>
      <c r="HI197" s="436"/>
      <c r="HJ197" s="436"/>
      <c r="HK197" s="436"/>
      <c r="HL197" s="436"/>
      <c r="HM197" s="436"/>
      <c r="HN197" s="436"/>
      <c r="HO197" s="436"/>
      <c r="HP197" s="436"/>
      <c r="HQ197" s="436"/>
      <c r="HR197" s="436"/>
      <c r="HS197" s="436"/>
      <c r="HT197" s="436"/>
      <c r="HU197" s="436"/>
      <c r="HV197" s="436"/>
      <c r="HW197" s="436"/>
      <c r="HX197" s="436"/>
      <c r="HY197" s="436"/>
      <c r="HZ197" s="436"/>
      <c r="IA197" s="436"/>
      <c r="IB197" s="436"/>
      <c r="IC197" s="436"/>
      <c r="ID197" s="436"/>
      <c r="IE197" s="436"/>
      <c r="IF197" s="436"/>
      <c r="IG197" s="436"/>
      <c r="IH197" s="436"/>
      <c r="II197" s="436"/>
      <c r="IJ197" s="436"/>
      <c r="IK197" s="436"/>
      <c r="IL197" s="436"/>
      <c r="IM197" s="436"/>
      <c r="IN197" s="436"/>
      <c r="IO197" s="436"/>
      <c r="IP197" s="436"/>
      <c r="IQ197" s="265"/>
      <c r="IR197" s="265"/>
    </row>
    <row r="198" spans="1:252" s="461" customFormat="1" x14ac:dyDescent="0.35">
      <c r="A198" s="685"/>
      <c r="B198" s="503"/>
      <c r="C198" s="503"/>
      <c r="D198" s="439"/>
      <c r="E198" s="686"/>
      <c r="J198" s="1591"/>
      <c r="M198" s="436"/>
      <c r="N198" s="436"/>
      <c r="O198" s="436"/>
      <c r="P198" s="436"/>
      <c r="Q198" s="436"/>
      <c r="R198" s="436"/>
      <c r="S198" s="436"/>
      <c r="T198" s="436"/>
      <c r="U198" s="436"/>
      <c r="V198" s="436"/>
      <c r="W198" s="436"/>
      <c r="X198" s="436"/>
      <c r="Y198" s="436"/>
      <c r="Z198" s="436"/>
      <c r="AA198" s="436"/>
      <c r="AB198" s="436"/>
      <c r="AC198" s="436"/>
      <c r="AD198" s="436"/>
      <c r="AE198" s="436"/>
      <c r="AF198" s="436"/>
      <c r="AG198" s="436"/>
      <c r="AH198" s="436"/>
      <c r="AI198" s="436"/>
      <c r="AJ198" s="436"/>
      <c r="AK198" s="436"/>
      <c r="AL198" s="436"/>
      <c r="AM198" s="436"/>
      <c r="AN198" s="436"/>
      <c r="AO198" s="436"/>
      <c r="AP198" s="436"/>
      <c r="AQ198" s="436"/>
      <c r="AR198" s="436"/>
      <c r="AS198" s="436"/>
      <c r="AT198" s="436"/>
      <c r="AU198" s="436"/>
      <c r="AV198" s="436"/>
      <c r="AW198" s="436"/>
      <c r="AX198" s="436"/>
      <c r="AY198" s="436"/>
      <c r="AZ198" s="436"/>
      <c r="BA198" s="436"/>
      <c r="BB198" s="436"/>
      <c r="BC198" s="436"/>
      <c r="BD198" s="436"/>
      <c r="BE198" s="436"/>
      <c r="BF198" s="436"/>
      <c r="BG198" s="436"/>
      <c r="BH198" s="436"/>
      <c r="BI198" s="436"/>
      <c r="BJ198" s="436"/>
      <c r="BK198" s="436"/>
      <c r="BL198" s="436"/>
      <c r="BM198" s="436"/>
      <c r="BN198" s="436"/>
      <c r="BO198" s="436"/>
      <c r="BP198" s="436"/>
      <c r="BQ198" s="436"/>
      <c r="BR198" s="436"/>
      <c r="BS198" s="436"/>
      <c r="BT198" s="436"/>
      <c r="BU198" s="436"/>
      <c r="BV198" s="436"/>
      <c r="BW198" s="436"/>
      <c r="BX198" s="436"/>
      <c r="BY198" s="436"/>
      <c r="BZ198" s="436"/>
      <c r="CA198" s="436"/>
      <c r="CB198" s="436"/>
      <c r="CC198" s="436"/>
      <c r="CD198" s="436"/>
      <c r="CE198" s="436"/>
      <c r="CF198" s="436"/>
      <c r="CG198" s="436"/>
      <c r="CH198" s="436"/>
      <c r="CI198" s="436"/>
      <c r="CJ198" s="436"/>
      <c r="CK198" s="436"/>
      <c r="CL198" s="436"/>
      <c r="CM198" s="436"/>
      <c r="CN198" s="436"/>
      <c r="CO198" s="436"/>
      <c r="CP198" s="436"/>
      <c r="CQ198" s="436"/>
      <c r="CR198" s="436"/>
      <c r="CS198" s="436"/>
      <c r="CT198" s="436"/>
      <c r="CU198" s="436"/>
      <c r="CV198" s="436"/>
      <c r="CW198" s="436"/>
      <c r="CX198" s="436"/>
      <c r="CY198" s="436"/>
      <c r="CZ198" s="436"/>
      <c r="DA198" s="436"/>
      <c r="DB198" s="436"/>
      <c r="DC198" s="436"/>
      <c r="DD198" s="436"/>
      <c r="DE198" s="436"/>
      <c r="DF198" s="436"/>
      <c r="DG198" s="436"/>
      <c r="DH198" s="436"/>
      <c r="DI198" s="436"/>
      <c r="DJ198" s="436"/>
      <c r="DK198" s="436"/>
      <c r="DL198" s="436"/>
      <c r="DM198" s="436"/>
      <c r="DN198" s="436"/>
      <c r="DO198" s="436"/>
      <c r="DP198" s="436"/>
      <c r="DQ198" s="436"/>
      <c r="DR198" s="436"/>
      <c r="DS198" s="436"/>
      <c r="DT198" s="436"/>
      <c r="DU198" s="436"/>
      <c r="DV198" s="436"/>
      <c r="DW198" s="436"/>
      <c r="DX198" s="436"/>
      <c r="DY198" s="436"/>
      <c r="DZ198" s="436"/>
      <c r="EA198" s="436"/>
      <c r="EB198" s="436"/>
      <c r="EC198" s="436"/>
      <c r="ED198" s="436"/>
      <c r="EE198" s="436"/>
      <c r="EF198" s="436"/>
      <c r="EG198" s="436"/>
      <c r="EH198" s="436"/>
      <c r="EI198" s="436"/>
      <c r="EJ198" s="436"/>
      <c r="EK198" s="436"/>
      <c r="EL198" s="436"/>
      <c r="EM198" s="436"/>
      <c r="EN198" s="436"/>
      <c r="EO198" s="436"/>
      <c r="EP198" s="436"/>
      <c r="EQ198" s="436"/>
      <c r="ER198" s="436"/>
      <c r="ES198" s="436"/>
      <c r="ET198" s="436"/>
      <c r="EU198" s="436"/>
      <c r="EV198" s="436"/>
      <c r="EW198" s="436"/>
      <c r="EX198" s="436"/>
      <c r="EY198" s="436"/>
      <c r="EZ198" s="436"/>
      <c r="FA198" s="436"/>
      <c r="FB198" s="436"/>
      <c r="FC198" s="436"/>
      <c r="FD198" s="436"/>
      <c r="FE198" s="436"/>
      <c r="FF198" s="436"/>
      <c r="FG198" s="436"/>
      <c r="FH198" s="436"/>
      <c r="FI198" s="436"/>
      <c r="FJ198" s="436"/>
      <c r="FK198" s="436"/>
      <c r="FL198" s="436"/>
      <c r="FM198" s="436"/>
      <c r="FN198" s="436"/>
      <c r="FO198" s="436"/>
      <c r="FP198" s="436"/>
      <c r="FQ198" s="436"/>
      <c r="FR198" s="436"/>
      <c r="FS198" s="436"/>
      <c r="FT198" s="436"/>
      <c r="FU198" s="436"/>
      <c r="FV198" s="436"/>
      <c r="FW198" s="436"/>
      <c r="FX198" s="436"/>
      <c r="FY198" s="436"/>
      <c r="FZ198" s="436"/>
      <c r="GA198" s="436"/>
      <c r="GB198" s="436"/>
      <c r="GC198" s="436"/>
      <c r="GD198" s="436"/>
      <c r="GE198" s="436"/>
      <c r="GF198" s="436"/>
      <c r="GG198" s="436"/>
      <c r="GH198" s="436"/>
      <c r="GI198" s="436"/>
      <c r="GJ198" s="436"/>
      <c r="GK198" s="436"/>
      <c r="GL198" s="436"/>
      <c r="GM198" s="436"/>
      <c r="GN198" s="436"/>
      <c r="GO198" s="436"/>
      <c r="GP198" s="436"/>
      <c r="GQ198" s="436"/>
      <c r="GR198" s="436"/>
      <c r="GS198" s="436"/>
      <c r="GT198" s="436"/>
      <c r="GU198" s="436"/>
      <c r="GV198" s="436"/>
      <c r="GW198" s="436"/>
      <c r="GX198" s="436"/>
      <c r="GY198" s="436"/>
      <c r="GZ198" s="436"/>
      <c r="HA198" s="436"/>
      <c r="HB198" s="436"/>
      <c r="HC198" s="436"/>
      <c r="HD198" s="436"/>
      <c r="HE198" s="436"/>
      <c r="HF198" s="436"/>
      <c r="HG198" s="436"/>
      <c r="HH198" s="436"/>
      <c r="HI198" s="436"/>
      <c r="HJ198" s="436"/>
      <c r="HK198" s="436"/>
      <c r="HL198" s="436"/>
      <c r="HM198" s="436"/>
      <c r="HN198" s="436"/>
      <c r="HO198" s="436"/>
      <c r="HP198" s="436"/>
      <c r="HQ198" s="436"/>
      <c r="HR198" s="436"/>
      <c r="HS198" s="436"/>
      <c r="HT198" s="436"/>
      <c r="HU198" s="436"/>
      <c r="HV198" s="436"/>
      <c r="HW198" s="436"/>
      <c r="HX198" s="436"/>
      <c r="HY198" s="436"/>
      <c r="HZ198" s="436"/>
      <c r="IA198" s="436"/>
      <c r="IB198" s="436"/>
      <c r="IC198" s="436"/>
      <c r="ID198" s="436"/>
      <c r="IE198" s="436"/>
      <c r="IF198" s="436"/>
      <c r="IG198" s="436"/>
      <c r="IH198" s="436"/>
      <c r="II198" s="436"/>
      <c r="IJ198" s="436"/>
      <c r="IK198" s="436"/>
      <c r="IL198" s="436"/>
      <c r="IM198" s="436"/>
      <c r="IN198" s="436"/>
      <c r="IO198" s="436"/>
      <c r="IP198" s="436"/>
      <c r="IQ198" s="265"/>
      <c r="IR198" s="265"/>
    </row>
    <row r="199" spans="1:252" s="461" customFormat="1" x14ac:dyDescent="0.35">
      <c r="A199" s="685"/>
      <c r="B199" s="503"/>
      <c r="C199" s="503"/>
      <c r="D199" s="439"/>
      <c r="E199" s="686"/>
      <c r="J199" s="1591"/>
      <c r="M199" s="436"/>
      <c r="N199" s="436"/>
      <c r="O199" s="436"/>
      <c r="P199" s="436"/>
      <c r="Q199" s="436"/>
      <c r="R199" s="436"/>
      <c r="S199" s="436"/>
      <c r="T199" s="436"/>
      <c r="U199" s="436"/>
      <c r="V199" s="436"/>
      <c r="W199" s="436"/>
      <c r="X199" s="436"/>
      <c r="Y199" s="436"/>
      <c r="Z199" s="436"/>
      <c r="AA199" s="436"/>
      <c r="AB199" s="436"/>
      <c r="AC199" s="436"/>
      <c r="AD199" s="436"/>
      <c r="AE199" s="436"/>
      <c r="AF199" s="436"/>
      <c r="AG199" s="436"/>
      <c r="AH199" s="436"/>
      <c r="AI199" s="436"/>
      <c r="AJ199" s="436"/>
      <c r="AK199" s="436"/>
      <c r="AL199" s="436"/>
      <c r="AM199" s="436"/>
      <c r="AN199" s="436"/>
      <c r="AO199" s="436"/>
      <c r="AP199" s="436"/>
      <c r="AQ199" s="436"/>
      <c r="AR199" s="436"/>
      <c r="AS199" s="436"/>
      <c r="AT199" s="436"/>
      <c r="AU199" s="436"/>
      <c r="AV199" s="436"/>
      <c r="AW199" s="436"/>
      <c r="AX199" s="436"/>
      <c r="AY199" s="436"/>
      <c r="AZ199" s="436"/>
      <c r="BA199" s="436"/>
      <c r="BB199" s="436"/>
      <c r="BC199" s="436"/>
      <c r="BD199" s="436"/>
      <c r="BE199" s="436"/>
      <c r="BF199" s="436"/>
      <c r="BG199" s="436"/>
      <c r="BH199" s="436"/>
      <c r="BI199" s="436"/>
      <c r="BJ199" s="436"/>
      <c r="BK199" s="436"/>
      <c r="BL199" s="436"/>
      <c r="BM199" s="436"/>
      <c r="BN199" s="436"/>
      <c r="BO199" s="436"/>
      <c r="BP199" s="436"/>
      <c r="BQ199" s="436"/>
      <c r="BR199" s="436"/>
      <c r="BS199" s="436"/>
      <c r="BT199" s="436"/>
      <c r="BU199" s="436"/>
      <c r="BV199" s="436"/>
      <c r="BW199" s="436"/>
      <c r="BX199" s="436"/>
      <c r="BY199" s="436"/>
      <c r="BZ199" s="436"/>
      <c r="CA199" s="436"/>
      <c r="CB199" s="436"/>
      <c r="CC199" s="436"/>
      <c r="CD199" s="436"/>
      <c r="CE199" s="436"/>
      <c r="CF199" s="436"/>
      <c r="CG199" s="436"/>
      <c r="CH199" s="436"/>
      <c r="CI199" s="436"/>
      <c r="CJ199" s="436"/>
      <c r="CK199" s="436"/>
      <c r="CL199" s="436"/>
      <c r="CM199" s="436"/>
      <c r="CN199" s="436"/>
      <c r="CO199" s="436"/>
      <c r="CP199" s="436"/>
      <c r="CQ199" s="436"/>
      <c r="CR199" s="436"/>
      <c r="CS199" s="436"/>
      <c r="CT199" s="436"/>
      <c r="CU199" s="436"/>
      <c r="CV199" s="436"/>
      <c r="CW199" s="436"/>
      <c r="CX199" s="436"/>
      <c r="CY199" s="436"/>
      <c r="CZ199" s="436"/>
      <c r="DA199" s="436"/>
      <c r="DB199" s="436"/>
      <c r="DC199" s="436"/>
      <c r="DD199" s="436"/>
      <c r="DE199" s="436"/>
      <c r="DF199" s="436"/>
      <c r="DG199" s="436"/>
      <c r="DH199" s="436"/>
      <c r="DI199" s="436"/>
      <c r="DJ199" s="436"/>
      <c r="DK199" s="436"/>
      <c r="DL199" s="436"/>
      <c r="DM199" s="436"/>
      <c r="DN199" s="436"/>
      <c r="DO199" s="436"/>
      <c r="DP199" s="436"/>
      <c r="DQ199" s="436"/>
      <c r="DR199" s="436"/>
      <c r="DS199" s="436"/>
      <c r="DT199" s="436"/>
      <c r="DU199" s="436"/>
      <c r="DV199" s="436"/>
      <c r="DW199" s="436"/>
      <c r="DX199" s="436"/>
      <c r="DY199" s="436"/>
      <c r="DZ199" s="436"/>
      <c r="EA199" s="436"/>
      <c r="EB199" s="436"/>
      <c r="EC199" s="436"/>
      <c r="ED199" s="436"/>
      <c r="EE199" s="436"/>
      <c r="EF199" s="436"/>
      <c r="EG199" s="436"/>
      <c r="EH199" s="436"/>
      <c r="EI199" s="436"/>
      <c r="EJ199" s="436"/>
      <c r="EK199" s="436"/>
      <c r="EL199" s="436"/>
      <c r="EM199" s="436"/>
      <c r="EN199" s="436"/>
      <c r="EO199" s="436"/>
      <c r="EP199" s="436"/>
      <c r="EQ199" s="436"/>
      <c r="ER199" s="436"/>
      <c r="ES199" s="436"/>
      <c r="ET199" s="436"/>
      <c r="EU199" s="436"/>
      <c r="EV199" s="436"/>
      <c r="EW199" s="436"/>
      <c r="EX199" s="436"/>
      <c r="EY199" s="436"/>
      <c r="EZ199" s="436"/>
      <c r="FA199" s="436"/>
      <c r="FB199" s="436"/>
      <c r="FC199" s="436"/>
      <c r="FD199" s="436"/>
      <c r="FE199" s="436"/>
      <c r="FF199" s="436"/>
      <c r="FG199" s="436"/>
      <c r="FH199" s="436"/>
      <c r="FI199" s="436"/>
      <c r="FJ199" s="436"/>
      <c r="FK199" s="436"/>
      <c r="FL199" s="436"/>
      <c r="FM199" s="436"/>
      <c r="FN199" s="436"/>
      <c r="FO199" s="436"/>
      <c r="FP199" s="436"/>
      <c r="FQ199" s="436"/>
      <c r="FR199" s="436"/>
      <c r="FS199" s="436"/>
      <c r="FT199" s="436"/>
      <c r="FU199" s="436"/>
      <c r="FV199" s="436"/>
      <c r="FW199" s="436"/>
      <c r="FX199" s="436"/>
      <c r="FY199" s="436"/>
      <c r="FZ199" s="436"/>
      <c r="GA199" s="436"/>
      <c r="GB199" s="436"/>
      <c r="GC199" s="436"/>
      <c r="GD199" s="436"/>
      <c r="GE199" s="436"/>
      <c r="GF199" s="436"/>
      <c r="GG199" s="436"/>
      <c r="GH199" s="436"/>
      <c r="GI199" s="436"/>
      <c r="GJ199" s="436"/>
      <c r="GK199" s="436"/>
      <c r="GL199" s="436"/>
      <c r="GM199" s="436"/>
      <c r="GN199" s="436"/>
      <c r="GO199" s="436"/>
      <c r="GP199" s="436"/>
      <c r="GQ199" s="436"/>
      <c r="GR199" s="436"/>
      <c r="GS199" s="436"/>
      <c r="GT199" s="436"/>
      <c r="GU199" s="436"/>
      <c r="GV199" s="436"/>
      <c r="GW199" s="436"/>
      <c r="GX199" s="436"/>
      <c r="GY199" s="436"/>
      <c r="GZ199" s="436"/>
      <c r="HA199" s="436"/>
      <c r="HB199" s="436"/>
      <c r="HC199" s="436"/>
      <c r="HD199" s="436"/>
      <c r="HE199" s="436"/>
      <c r="HF199" s="436"/>
      <c r="HG199" s="436"/>
      <c r="HH199" s="436"/>
      <c r="HI199" s="436"/>
      <c r="HJ199" s="436"/>
      <c r="HK199" s="436"/>
      <c r="HL199" s="436"/>
      <c r="HM199" s="436"/>
      <c r="HN199" s="436"/>
      <c r="HO199" s="436"/>
      <c r="HP199" s="436"/>
      <c r="HQ199" s="436"/>
      <c r="HR199" s="436"/>
      <c r="HS199" s="436"/>
      <c r="HT199" s="436"/>
      <c r="HU199" s="436"/>
      <c r="HV199" s="436"/>
      <c r="HW199" s="436"/>
      <c r="HX199" s="436"/>
      <c r="HY199" s="436"/>
      <c r="HZ199" s="436"/>
      <c r="IA199" s="436"/>
      <c r="IB199" s="436"/>
      <c r="IC199" s="436"/>
      <c r="ID199" s="436"/>
      <c r="IE199" s="436"/>
      <c r="IF199" s="436"/>
      <c r="IG199" s="436"/>
      <c r="IH199" s="436"/>
      <c r="II199" s="436"/>
      <c r="IJ199" s="436"/>
      <c r="IK199" s="436"/>
      <c r="IL199" s="436"/>
      <c r="IM199" s="436"/>
      <c r="IN199" s="436"/>
      <c r="IO199" s="436"/>
      <c r="IP199" s="436"/>
      <c r="IQ199" s="265"/>
      <c r="IR199" s="265"/>
    </row>
    <row r="200" spans="1:252" s="461" customFormat="1" x14ac:dyDescent="0.35">
      <c r="A200" s="685"/>
      <c r="B200" s="503"/>
      <c r="C200" s="503"/>
      <c r="D200" s="439"/>
      <c r="E200" s="686"/>
      <c r="J200" s="1591"/>
      <c r="M200" s="436"/>
      <c r="N200" s="436"/>
      <c r="O200" s="436"/>
      <c r="P200" s="436"/>
      <c r="Q200" s="436"/>
      <c r="R200" s="436"/>
      <c r="S200" s="436"/>
      <c r="T200" s="436"/>
      <c r="U200" s="436"/>
      <c r="V200" s="436"/>
      <c r="W200" s="436"/>
      <c r="X200" s="436"/>
      <c r="Y200" s="436"/>
      <c r="Z200" s="436"/>
      <c r="AA200" s="436"/>
      <c r="AB200" s="436"/>
      <c r="AC200" s="436"/>
      <c r="AD200" s="436"/>
      <c r="AE200" s="436"/>
      <c r="AF200" s="436"/>
      <c r="AG200" s="436"/>
      <c r="AH200" s="436"/>
      <c r="AI200" s="436"/>
      <c r="AJ200" s="436"/>
      <c r="AK200" s="436"/>
      <c r="AL200" s="436"/>
      <c r="AM200" s="436"/>
      <c r="AN200" s="436"/>
      <c r="AO200" s="436"/>
      <c r="AP200" s="436"/>
      <c r="AQ200" s="436"/>
      <c r="AR200" s="436"/>
      <c r="AS200" s="436"/>
      <c r="AT200" s="436"/>
      <c r="AU200" s="436"/>
      <c r="AV200" s="436"/>
      <c r="AW200" s="436"/>
      <c r="AX200" s="436"/>
      <c r="AY200" s="436"/>
      <c r="AZ200" s="436"/>
      <c r="BA200" s="436"/>
      <c r="BB200" s="436"/>
      <c r="BC200" s="436"/>
      <c r="BD200" s="436"/>
      <c r="BE200" s="436"/>
      <c r="BF200" s="436"/>
      <c r="BG200" s="436"/>
      <c r="BH200" s="436"/>
      <c r="BI200" s="436"/>
      <c r="BJ200" s="436"/>
      <c r="BK200" s="436"/>
      <c r="BL200" s="436"/>
      <c r="BM200" s="436"/>
      <c r="BN200" s="436"/>
      <c r="BO200" s="436"/>
      <c r="BP200" s="436"/>
      <c r="BQ200" s="436"/>
      <c r="BR200" s="436"/>
      <c r="BS200" s="436"/>
      <c r="BT200" s="436"/>
      <c r="BU200" s="436"/>
      <c r="BV200" s="436"/>
      <c r="BW200" s="436"/>
      <c r="BX200" s="436"/>
      <c r="BY200" s="436"/>
      <c r="BZ200" s="436"/>
      <c r="CA200" s="436"/>
      <c r="CB200" s="436"/>
      <c r="CC200" s="436"/>
      <c r="CD200" s="436"/>
      <c r="CE200" s="436"/>
      <c r="CF200" s="436"/>
      <c r="CG200" s="436"/>
      <c r="CH200" s="436"/>
      <c r="CI200" s="436"/>
      <c r="CJ200" s="436"/>
      <c r="CK200" s="436"/>
      <c r="CL200" s="436"/>
      <c r="CM200" s="436"/>
      <c r="CN200" s="436"/>
      <c r="CO200" s="436"/>
      <c r="CP200" s="436"/>
      <c r="CQ200" s="436"/>
      <c r="CR200" s="436"/>
      <c r="CS200" s="436"/>
      <c r="CT200" s="436"/>
      <c r="CU200" s="436"/>
      <c r="CV200" s="436"/>
      <c r="CW200" s="436"/>
      <c r="CX200" s="436"/>
      <c r="CY200" s="436"/>
      <c r="CZ200" s="436"/>
      <c r="DA200" s="436"/>
      <c r="DB200" s="436"/>
      <c r="DC200" s="436"/>
      <c r="DD200" s="436"/>
      <c r="DE200" s="436"/>
      <c r="DF200" s="436"/>
      <c r="DG200" s="436"/>
      <c r="DH200" s="436"/>
      <c r="DI200" s="436"/>
      <c r="DJ200" s="436"/>
      <c r="DK200" s="436"/>
      <c r="DL200" s="436"/>
      <c r="DM200" s="436"/>
      <c r="DN200" s="436"/>
      <c r="DO200" s="436"/>
      <c r="DP200" s="436"/>
      <c r="DQ200" s="436"/>
      <c r="DR200" s="436"/>
      <c r="DS200" s="436"/>
      <c r="DT200" s="436"/>
      <c r="DU200" s="436"/>
      <c r="DV200" s="436"/>
      <c r="DW200" s="436"/>
      <c r="DX200" s="436"/>
      <c r="DY200" s="436"/>
      <c r="DZ200" s="436"/>
      <c r="EA200" s="436"/>
      <c r="EB200" s="436"/>
      <c r="EC200" s="436"/>
      <c r="ED200" s="436"/>
      <c r="EE200" s="436"/>
      <c r="EF200" s="436"/>
      <c r="EG200" s="436"/>
      <c r="EH200" s="436"/>
      <c r="EI200" s="436"/>
      <c r="EJ200" s="436"/>
      <c r="EK200" s="436"/>
      <c r="EL200" s="436"/>
      <c r="EM200" s="436"/>
      <c r="EN200" s="436"/>
      <c r="EO200" s="436"/>
      <c r="EP200" s="436"/>
      <c r="EQ200" s="436"/>
      <c r="ER200" s="436"/>
      <c r="ES200" s="436"/>
      <c r="ET200" s="436"/>
      <c r="EU200" s="436"/>
      <c r="EV200" s="436"/>
      <c r="EW200" s="436"/>
      <c r="EX200" s="436"/>
      <c r="EY200" s="436"/>
      <c r="EZ200" s="436"/>
      <c r="FA200" s="436"/>
      <c r="FB200" s="436"/>
      <c r="FC200" s="436"/>
      <c r="FD200" s="436"/>
      <c r="FE200" s="436"/>
      <c r="FF200" s="436"/>
      <c r="FG200" s="436"/>
      <c r="FH200" s="436"/>
      <c r="FI200" s="436"/>
      <c r="FJ200" s="436"/>
      <c r="FK200" s="436"/>
      <c r="FL200" s="436"/>
      <c r="FM200" s="436"/>
      <c r="FN200" s="436"/>
      <c r="FO200" s="436"/>
      <c r="FP200" s="436"/>
      <c r="FQ200" s="436"/>
      <c r="FR200" s="436"/>
      <c r="FS200" s="436"/>
      <c r="FT200" s="436"/>
      <c r="FU200" s="436"/>
      <c r="FV200" s="436"/>
      <c r="FW200" s="436"/>
      <c r="FX200" s="436"/>
      <c r="FY200" s="436"/>
      <c r="FZ200" s="436"/>
      <c r="GA200" s="436"/>
      <c r="GB200" s="436"/>
      <c r="GC200" s="436"/>
      <c r="GD200" s="436"/>
      <c r="GE200" s="436"/>
      <c r="GF200" s="436"/>
      <c r="GG200" s="436"/>
      <c r="GH200" s="436"/>
      <c r="GI200" s="436"/>
      <c r="GJ200" s="436"/>
      <c r="GK200" s="436"/>
      <c r="GL200" s="436"/>
      <c r="GM200" s="436"/>
      <c r="GN200" s="436"/>
      <c r="GO200" s="436"/>
      <c r="GP200" s="436"/>
      <c r="GQ200" s="436"/>
      <c r="GR200" s="436"/>
      <c r="GS200" s="436"/>
      <c r="GT200" s="436"/>
      <c r="GU200" s="436"/>
      <c r="GV200" s="436"/>
      <c r="GW200" s="436"/>
      <c r="GX200" s="436"/>
      <c r="GY200" s="436"/>
      <c r="GZ200" s="436"/>
      <c r="HA200" s="436"/>
      <c r="HB200" s="436"/>
      <c r="HC200" s="436"/>
      <c r="HD200" s="436"/>
      <c r="HE200" s="436"/>
      <c r="HF200" s="436"/>
      <c r="HG200" s="436"/>
      <c r="HH200" s="436"/>
      <c r="HI200" s="436"/>
      <c r="HJ200" s="436"/>
      <c r="HK200" s="436"/>
      <c r="HL200" s="436"/>
      <c r="HM200" s="436"/>
      <c r="HN200" s="436"/>
      <c r="HO200" s="436"/>
      <c r="HP200" s="436"/>
      <c r="HQ200" s="436"/>
      <c r="HR200" s="436"/>
      <c r="HS200" s="436"/>
      <c r="HT200" s="436"/>
      <c r="HU200" s="436"/>
      <c r="HV200" s="436"/>
      <c r="HW200" s="436"/>
      <c r="HX200" s="436"/>
      <c r="HY200" s="436"/>
      <c r="HZ200" s="436"/>
      <c r="IA200" s="436"/>
      <c r="IB200" s="436"/>
      <c r="IC200" s="436"/>
      <c r="ID200" s="436"/>
      <c r="IE200" s="436"/>
      <c r="IF200" s="436"/>
      <c r="IG200" s="436"/>
      <c r="IH200" s="436"/>
      <c r="II200" s="436"/>
      <c r="IJ200" s="436"/>
      <c r="IK200" s="436"/>
      <c r="IL200" s="436"/>
      <c r="IM200" s="436"/>
      <c r="IN200" s="436"/>
      <c r="IO200" s="436"/>
      <c r="IP200" s="436"/>
      <c r="IQ200" s="265"/>
      <c r="IR200" s="265"/>
    </row>
    <row r="201" spans="1:252" s="461" customFormat="1" x14ac:dyDescent="0.35">
      <c r="A201" s="685"/>
      <c r="B201" s="503"/>
      <c r="C201" s="503"/>
      <c r="D201" s="439"/>
      <c r="E201" s="686"/>
      <c r="J201" s="1591"/>
      <c r="M201" s="436"/>
      <c r="N201" s="436"/>
      <c r="O201" s="436"/>
      <c r="P201" s="436"/>
      <c r="Q201" s="436"/>
      <c r="R201" s="436"/>
      <c r="S201" s="436"/>
      <c r="T201" s="436"/>
      <c r="U201" s="436"/>
      <c r="V201" s="436"/>
      <c r="W201" s="436"/>
      <c r="X201" s="436"/>
      <c r="Y201" s="436"/>
      <c r="Z201" s="436"/>
      <c r="AA201" s="436"/>
      <c r="AB201" s="436"/>
      <c r="AC201" s="436"/>
      <c r="AD201" s="436"/>
      <c r="AE201" s="436"/>
      <c r="AF201" s="436"/>
      <c r="AG201" s="436"/>
      <c r="AH201" s="436"/>
      <c r="AI201" s="436"/>
      <c r="AJ201" s="436"/>
      <c r="AK201" s="436"/>
      <c r="AL201" s="436"/>
      <c r="AM201" s="436"/>
      <c r="AN201" s="436"/>
      <c r="AO201" s="436"/>
      <c r="AP201" s="436"/>
      <c r="AQ201" s="436"/>
      <c r="AR201" s="436"/>
      <c r="AS201" s="436"/>
      <c r="AT201" s="436"/>
      <c r="AU201" s="436"/>
      <c r="AV201" s="436"/>
      <c r="AW201" s="436"/>
      <c r="AX201" s="436"/>
      <c r="AY201" s="436"/>
      <c r="AZ201" s="436"/>
      <c r="BA201" s="436"/>
      <c r="BB201" s="436"/>
      <c r="BC201" s="436"/>
      <c r="BD201" s="436"/>
      <c r="BE201" s="436"/>
      <c r="BF201" s="436"/>
      <c r="BG201" s="436"/>
      <c r="BH201" s="436"/>
      <c r="BI201" s="436"/>
      <c r="BJ201" s="436"/>
      <c r="BK201" s="436"/>
      <c r="BL201" s="436"/>
      <c r="BM201" s="436"/>
      <c r="BN201" s="436"/>
      <c r="BO201" s="436"/>
      <c r="BP201" s="436"/>
      <c r="BQ201" s="436"/>
      <c r="BR201" s="436"/>
      <c r="BS201" s="436"/>
      <c r="BT201" s="436"/>
      <c r="BU201" s="436"/>
      <c r="BV201" s="436"/>
      <c r="BW201" s="436"/>
      <c r="BX201" s="436"/>
      <c r="BY201" s="436"/>
      <c r="BZ201" s="436"/>
      <c r="CA201" s="436"/>
      <c r="CB201" s="436"/>
      <c r="CC201" s="436"/>
      <c r="CD201" s="436"/>
      <c r="CE201" s="436"/>
      <c r="CF201" s="436"/>
      <c r="CG201" s="436"/>
      <c r="CH201" s="436"/>
      <c r="CI201" s="436"/>
      <c r="CJ201" s="436"/>
      <c r="CK201" s="436"/>
      <c r="CL201" s="436"/>
      <c r="CM201" s="436"/>
      <c r="CN201" s="436"/>
      <c r="CO201" s="436"/>
      <c r="CP201" s="436"/>
      <c r="CQ201" s="436"/>
      <c r="CR201" s="436"/>
      <c r="CS201" s="436"/>
      <c r="CT201" s="436"/>
      <c r="CU201" s="436"/>
      <c r="CV201" s="436"/>
      <c r="CW201" s="436"/>
      <c r="CX201" s="436"/>
      <c r="CY201" s="436"/>
      <c r="CZ201" s="436"/>
      <c r="DA201" s="436"/>
      <c r="DB201" s="436"/>
      <c r="DC201" s="436"/>
      <c r="DD201" s="436"/>
      <c r="DE201" s="436"/>
      <c r="DF201" s="436"/>
      <c r="DG201" s="436"/>
      <c r="DH201" s="436"/>
      <c r="DI201" s="436"/>
      <c r="DJ201" s="436"/>
      <c r="DK201" s="436"/>
      <c r="DL201" s="436"/>
      <c r="DM201" s="436"/>
      <c r="DN201" s="436"/>
      <c r="DO201" s="436"/>
      <c r="DP201" s="436"/>
      <c r="DQ201" s="436"/>
      <c r="DR201" s="436"/>
      <c r="DS201" s="436"/>
      <c r="DT201" s="436"/>
      <c r="DU201" s="436"/>
      <c r="DV201" s="436"/>
      <c r="DW201" s="436"/>
      <c r="DX201" s="436"/>
      <c r="DY201" s="436"/>
      <c r="DZ201" s="436"/>
      <c r="EA201" s="436"/>
      <c r="EB201" s="436"/>
      <c r="EC201" s="436"/>
      <c r="ED201" s="436"/>
      <c r="EE201" s="436"/>
      <c r="EF201" s="436"/>
      <c r="EG201" s="436"/>
      <c r="EH201" s="436"/>
      <c r="EI201" s="436"/>
      <c r="EJ201" s="436"/>
      <c r="EK201" s="436"/>
      <c r="EL201" s="436"/>
      <c r="EM201" s="436"/>
      <c r="EN201" s="436"/>
      <c r="EO201" s="436"/>
      <c r="EP201" s="436"/>
      <c r="EQ201" s="436"/>
      <c r="ER201" s="436"/>
      <c r="ES201" s="436"/>
      <c r="ET201" s="436"/>
      <c r="EU201" s="436"/>
      <c r="EV201" s="436"/>
      <c r="EW201" s="436"/>
      <c r="EX201" s="436"/>
      <c r="EY201" s="436"/>
      <c r="EZ201" s="436"/>
      <c r="FA201" s="436"/>
      <c r="FB201" s="436"/>
      <c r="FC201" s="436"/>
      <c r="FD201" s="436"/>
      <c r="FE201" s="436"/>
      <c r="FF201" s="436"/>
      <c r="FG201" s="436"/>
      <c r="FH201" s="436"/>
      <c r="FI201" s="436"/>
      <c r="FJ201" s="436"/>
      <c r="FK201" s="436"/>
      <c r="FL201" s="436"/>
      <c r="FM201" s="436"/>
      <c r="FN201" s="436"/>
      <c r="FO201" s="436"/>
      <c r="FP201" s="436"/>
      <c r="FQ201" s="436"/>
      <c r="FR201" s="436"/>
      <c r="FS201" s="436"/>
      <c r="FT201" s="436"/>
      <c r="FU201" s="436"/>
      <c r="FV201" s="436"/>
      <c r="FW201" s="436"/>
      <c r="FX201" s="436"/>
      <c r="FY201" s="436"/>
      <c r="FZ201" s="436"/>
      <c r="GA201" s="436"/>
      <c r="GB201" s="436"/>
      <c r="GC201" s="436"/>
      <c r="GD201" s="436"/>
      <c r="GE201" s="436"/>
      <c r="GF201" s="436"/>
      <c r="GG201" s="436"/>
      <c r="GH201" s="436"/>
      <c r="GI201" s="436"/>
      <c r="GJ201" s="436"/>
      <c r="GK201" s="436"/>
      <c r="GL201" s="436"/>
      <c r="GM201" s="436"/>
      <c r="GN201" s="436"/>
      <c r="GO201" s="436"/>
      <c r="GP201" s="436"/>
      <c r="GQ201" s="436"/>
      <c r="GR201" s="436"/>
      <c r="GS201" s="436"/>
      <c r="GT201" s="436"/>
      <c r="GU201" s="436"/>
      <c r="GV201" s="436"/>
      <c r="GW201" s="436"/>
      <c r="GX201" s="436"/>
      <c r="GY201" s="436"/>
      <c r="GZ201" s="436"/>
      <c r="HA201" s="436"/>
      <c r="HB201" s="436"/>
      <c r="HC201" s="436"/>
      <c r="HD201" s="436"/>
      <c r="HE201" s="436"/>
      <c r="HF201" s="436"/>
      <c r="HG201" s="436"/>
      <c r="HH201" s="436"/>
      <c r="HI201" s="436"/>
      <c r="HJ201" s="436"/>
      <c r="HK201" s="436"/>
      <c r="HL201" s="436"/>
      <c r="HM201" s="436"/>
      <c r="HN201" s="436"/>
      <c r="HO201" s="436"/>
      <c r="HP201" s="436"/>
      <c r="HQ201" s="436"/>
      <c r="HR201" s="436"/>
      <c r="HS201" s="436"/>
      <c r="HT201" s="436"/>
      <c r="HU201" s="436"/>
      <c r="HV201" s="436"/>
      <c r="HW201" s="436"/>
      <c r="HX201" s="436"/>
      <c r="HY201" s="436"/>
      <c r="HZ201" s="436"/>
      <c r="IA201" s="436"/>
      <c r="IB201" s="436"/>
      <c r="IC201" s="436"/>
      <c r="ID201" s="436"/>
      <c r="IE201" s="436"/>
      <c r="IF201" s="436"/>
      <c r="IG201" s="436"/>
      <c r="IH201" s="436"/>
      <c r="II201" s="436"/>
      <c r="IJ201" s="436"/>
      <c r="IK201" s="436"/>
      <c r="IL201" s="436"/>
      <c r="IM201" s="436"/>
      <c r="IN201" s="436"/>
      <c r="IO201" s="436"/>
      <c r="IP201" s="436"/>
      <c r="IQ201" s="265"/>
      <c r="IR201" s="265"/>
    </row>
    <row r="202" spans="1:252" s="461" customFormat="1" x14ac:dyDescent="0.35">
      <c r="A202" s="685"/>
      <c r="B202" s="503"/>
      <c r="C202" s="503"/>
      <c r="D202" s="439"/>
      <c r="E202" s="686"/>
      <c r="J202" s="1591"/>
      <c r="M202" s="436"/>
      <c r="N202" s="436"/>
      <c r="O202" s="436"/>
      <c r="P202" s="436"/>
      <c r="Q202" s="436"/>
      <c r="R202" s="436"/>
      <c r="S202" s="436"/>
      <c r="T202" s="436"/>
      <c r="U202" s="436"/>
      <c r="V202" s="436"/>
      <c r="W202" s="436"/>
      <c r="X202" s="436"/>
      <c r="Y202" s="436"/>
      <c r="Z202" s="436"/>
      <c r="AA202" s="436"/>
      <c r="AB202" s="436"/>
      <c r="AC202" s="436"/>
      <c r="AD202" s="436"/>
      <c r="AE202" s="436"/>
      <c r="AF202" s="436"/>
      <c r="AG202" s="436"/>
      <c r="AH202" s="436"/>
      <c r="AI202" s="436"/>
      <c r="AJ202" s="436"/>
      <c r="AK202" s="436"/>
      <c r="AL202" s="436"/>
      <c r="AM202" s="436"/>
      <c r="AN202" s="436"/>
      <c r="AO202" s="436"/>
      <c r="AP202" s="436"/>
      <c r="AQ202" s="436"/>
      <c r="AR202" s="436"/>
      <c r="AS202" s="436"/>
      <c r="AT202" s="436"/>
      <c r="AU202" s="436"/>
      <c r="AV202" s="436"/>
      <c r="AW202" s="436"/>
      <c r="AX202" s="436"/>
      <c r="AY202" s="436"/>
      <c r="AZ202" s="436"/>
      <c r="BA202" s="436"/>
      <c r="BB202" s="436"/>
      <c r="BC202" s="436"/>
      <c r="BD202" s="436"/>
      <c r="BE202" s="436"/>
      <c r="BF202" s="436"/>
      <c r="BG202" s="436"/>
      <c r="BH202" s="436"/>
      <c r="BI202" s="436"/>
      <c r="BJ202" s="436"/>
      <c r="BK202" s="436"/>
      <c r="BL202" s="436"/>
      <c r="BM202" s="436"/>
      <c r="BN202" s="436"/>
      <c r="BO202" s="436"/>
      <c r="BP202" s="436"/>
      <c r="BQ202" s="436"/>
      <c r="BR202" s="436"/>
      <c r="BS202" s="436"/>
      <c r="BT202" s="436"/>
      <c r="BU202" s="436"/>
      <c r="BV202" s="436"/>
      <c r="BW202" s="436"/>
      <c r="BX202" s="436"/>
      <c r="BY202" s="436"/>
      <c r="BZ202" s="436"/>
      <c r="CA202" s="436"/>
      <c r="CB202" s="436"/>
      <c r="CC202" s="436"/>
      <c r="CD202" s="436"/>
      <c r="CE202" s="436"/>
      <c r="CF202" s="436"/>
      <c r="CG202" s="436"/>
      <c r="CH202" s="436"/>
      <c r="CI202" s="436"/>
      <c r="CJ202" s="436"/>
      <c r="CK202" s="436"/>
      <c r="CL202" s="436"/>
      <c r="CM202" s="436"/>
      <c r="CN202" s="436"/>
      <c r="CO202" s="436"/>
      <c r="CP202" s="436"/>
      <c r="CQ202" s="436"/>
      <c r="CR202" s="436"/>
      <c r="CS202" s="436"/>
      <c r="CT202" s="436"/>
      <c r="CU202" s="436"/>
      <c r="CV202" s="436"/>
      <c r="CW202" s="436"/>
      <c r="CX202" s="436"/>
      <c r="CY202" s="436"/>
      <c r="CZ202" s="436"/>
      <c r="DA202" s="436"/>
      <c r="DB202" s="436"/>
      <c r="DC202" s="436"/>
      <c r="DD202" s="436"/>
      <c r="DE202" s="436"/>
      <c r="DF202" s="436"/>
      <c r="DG202" s="436"/>
      <c r="DH202" s="436"/>
      <c r="DI202" s="436"/>
      <c r="DJ202" s="436"/>
      <c r="DK202" s="436"/>
      <c r="DL202" s="436"/>
      <c r="DM202" s="436"/>
      <c r="DN202" s="436"/>
      <c r="DO202" s="436"/>
      <c r="DP202" s="436"/>
      <c r="DQ202" s="436"/>
      <c r="DR202" s="436"/>
      <c r="DS202" s="436"/>
      <c r="DT202" s="436"/>
      <c r="DU202" s="436"/>
      <c r="DV202" s="436"/>
      <c r="DW202" s="436"/>
      <c r="DX202" s="436"/>
      <c r="DY202" s="436"/>
      <c r="DZ202" s="436"/>
      <c r="EA202" s="436"/>
      <c r="EB202" s="436"/>
      <c r="EC202" s="436"/>
      <c r="ED202" s="436"/>
      <c r="EE202" s="436"/>
      <c r="EF202" s="436"/>
      <c r="EG202" s="436"/>
      <c r="EH202" s="436"/>
      <c r="EI202" s="436"/>
      <c r="EJ202" s="436"/>
      <c r="EK202" s="436"/>
      <c r="EL202" s="436"/>
      <c r="EM202" s="436"/>
      <c r="EN202" s="436"/>
      <c r="EO202" s="436"/>
      <c r="EP202" s="436"/>
      <c r="EQ202" s="436"/>
      <c r="ER202" s="436"/>
      <c r="ES202" s="436"/>
      <c r="ET202" s="436"/>
      <c r="EU202" s="436"/>
      <c r="EV202" s="436"/>
      <c r="EW202" s="436"/>
      <c r="EX202" s="436"/>
      <c r="EY202" s="436"/>
      <c r="EZ202" s="436"/>
      <c r="FA202" s="436"/>
      <c r="FB202" s="436"/>
      <c r="FC202" s="436"/>
      <c r="FD202" s="436"/>
      <c r="FE202" s="436"/>
      <c r="FF202" s="436"/>
      <c r="FG202" s="436"/>
      <c r="FH202" s="436"/>
      <c r="FI202" s="436"/>
      <c r="FJ202" s="436"/>
      <c r="FK202" s="436"/>
      <c r="FL202" s="436"/>
      <c r="FM202" s="436"/>
      <c r="FN202" s="436"/>
      <c r="FO202" s="436"/>
      <c r="FP202" s="436"/>
      <c r="FQ202" s="436"/>
      <c r="FR202" s="436"/>
      <c r="FS202" s="436"/>
      <c r="FT202" s="436"/>
      <c r="FU202" s="436"/>
      <c r="FV202" s="436"/>
      <c r="FW202" s="436"/>
      <c r="FX202" s="436"/>
      <c r="FY202" s="436"/>
      <c r="FZ202" s="436"/>
      <c r="GA202" s="436"/>
      <c r="GB202" s="436"/>
      <c r="GC202" s="436"/>
      <c r="GD202" s="436"/>
      <c r="GE202" s="436"/>
      <c r="GF202" s="436"/>
      <c r="GG202" s="436"/>
      <c r="GH202" s="436"/>
      <c r="GI202" s="436"/>
      <c r="GJ202" s="436"/>
      <c r="GK202" s="436"/>
      <c r="GL202" s="436"/>
      <c r="GM202" s="436"/>
      <c r="GN202" s="436"/>
      <c r="GO202" s="436"/>
      <c r="GP202" s="436"/>
      <c r="GQ202" s="436"/>
      <c r="GR202" s="436"/>
      <c r="GS202" s="436"/>
      <c r="GT202" s="436"/>
      <c r="GU202" s="436"/>
      <c r="GV202" s="436"/>
      <c r="GW202" s="436"/>
      <c r="GX202" s="436"/>
      <c r="GY202" s="436"/>
      <c r="GZ202" s="436"/>
      <c r="HA202" s="436"/>
      <c r="HB202" s="436"/>
      <c r="HC202" s="436"/>
      <c r="HD202" s="436"/>
      <c r="HE202" s="436"/>
      <c r="HF202" s="436"/>
      <c r="HG202" s="436"/>
      <c r="HH202" s="436"/>
      <c r="HI202" s="436"/>
      <c r="HJ202" s="436"/>
      <c r="HK202" s="436"/>
      <c r="HL202" s="436"/>
      <c r="HM202" s="436"/>
      <c r="HN202" s="436"/>
      <c r="HO202" s="436"/>
      <c r="HP202" s="436"/>
      <c r="HQ202" s="436"/>
      <c r="HR202" s="436"/>
      <c r="HS202" s="436"/>
      <c r="HT202" s="436"/>
      <c r="HU202" s="436"/>
      <c r="HV202" s="436"/>
      <c r="HW202" s="436"/>
      <c r="HX202" s="436"/>
      <c r="HY202" s="436"/>
      <c r="HZ202" s="436"/>
      <c r="IA202" s="436"/>
      <c r="IB202" s="436"/>
      <c r="IC202" s="436"/>
      <c r="ID202" s="436"/>
      <c r="IE202" s="436"/>
      <c r="IF202" s="436"/>
      <c r="IG202" s="436"/>
      <c r="IH202" s="436"/>
      <c r="II202" s="436"/>
      <c r="IJ202" s="436"/>
      <c r="IK202" s="436"/>
      <c r="IL202" s="436"/>
      <c r="IM202" s="436"/>
      <c r="IN202" s="436"/>
      <c r="IO202" s="436"/>
      <c r="IP202" s="436"/>
      <c r="IQ202" s="265"/>
      <c r="IR202" s="265"/>
    </row>
    <row r="203" spans="1:252" s="461" customFormat="1" x14ac:dyDescent="0.35">
      <c r="A203" s="685"/>
      <c r="B203" s="503"/>
      <c r="C203" s="503"/>
      <c r="D203" s="439"/>
      <c r="E203" s="686"/>
      <c r="J203" s="1591"/>
      <c r="M203" s="436"/>
      <c r="N203" s="436"/>
      <c r="O203" s="436"/>
      <c r="P203" s="436"/>
      <c r="Q203" s="436"/>
      <c r="R203" s="436"/>
      <c r="S203" s="436"/>
      <c r="T203" s="436"/>
      <c r="U203" s="436"/>
      <c r="V203" s="436"/>
      <c r="W203" s="436"/>
      <c r="X203" s="436"/>
      <c r="Y203" s="436"/>
      <c r="Z203" s="436"/>
      <c r="AA203" s="436"/>
      <c r="AB203" s="436"/>
      <c r="AC203" s="436"/>
      <c r="AD203" s="436"/>
      <c r="AE203" s="436"/>
      <c r="AF203" s="436"/>
      <c r="AG203" s="436"/>
      <c r="AH203" s="436"/>
      <c r="AI203" s="436"/>
      <c r="AJ203" s="436"/>
      <c r="AK203" s="436"/>
      <c r="AL203" s="436"/>
      <c r="AM203" s="436"/>
      <c r="AN203" s="436"/>
      <c r="AO203" s="436"/>
      <c r="AP203" s="436"/>
      <c r="AQ203" s="436"/>
      <c r="AR203" s="436"/>
      <c r="AS203" s="436"/>
      <c r="AT203" s="436"/>
      <c r="AU203" s="436"/>
      <c r="AV203" s="436"/>
      <c r="AW203" s="436"/>
      <c r="AX203" s="436"/>
      <c r="AY203" s="436"/>
      <c r="AZ203" s="436"/>
      <c r="BA203" s="436"/>
      <c r="BB203" s="436"/>
      <c r="BC203" s="436"/>
      <c r="BD203" s="436"/>
      <c r="BE203" s="436"/>
      <c r="BF203" s="436"/>
      <c r="BG203" s="436"/>
      <c r="BH203" s="436"/>
      <c r="BI203" s="436"/>
      <c r="BJ203" s="436"/>
      <c r="BK203" s="436"/>
      <c r="BL203" s="436"/>
      <c r="BM203" s="436"/>
      <c r="BN203" s="436"/>
      <c r="BO203" s="436"/>
      <c r="BP203" s="436"/>
      <c r="BQ203" s="436"/>
      <c r="BR203" s="436"/>
      <c r="BS203" s="436"/>
      <c r="BT203" s="436"/>
      <c r="BU203" s="436"/>
      <c r="BV203" s="436"/>
      <c r="BW203" s="436"/>
      <c r="BX203" s="436"/>
      <c r="BY203" s="436"/>
      <c r="BZ203" s="436"/>
      <c r="CA203" s="436"/>
      <c r="CB203" s="436"/>
      <c r="CC203" s="436"/>
      <c r="CD203" s="436"/>
      <c r="CE203" s="436"/>
      <c r="CF203" s="436"/>
      <c r="CG203" s="436"/>
      <c r="CH203" s="436"/>
      <c r="CI203" s="436"/>
      <c r="CJ203" s="436"/>
      <c r="CK203" s="436"/>
      <c r="CL203" s="436"/>
      <c r="CM203" s="436"/>
      <c r="CN203" s="436"/>
      <c r="CO203" s="436"/>
      <c r="CP203" s="436"/>
      <c r="CQ203" s="436"/>
      <c r="CR203" s="436"/>
      <c r="CS203" s="436"/>
      <c r="CT203" s="436"/>
      <c r="CU203" s="436"/>
      <c r="CV203" s="436"/>
      <c r="CW203" s="436"/>
      <c r="CX203" s="436"/>
      <c r="CY203" s="436"/>
      <c r="CZ203" s="436"/>
      <c r="DA203" s="436"/>
      <c r="DB203" s="436"/>
      <c r="DC203" s="436"/>
      <c r="DD203" s="436"/>
      <c r="DE203" s="436"/>
      <c r="DF203" s="436"/>
      <c r="DG203" s="436"/>
      <c r="DH203" s="436"/>
      <c r="DI203" s="436"/>
      <c r="DJ203" s="436"/>
      <c r="DK203" s="436"/>
      <c r="DL203" s="436"/>
      <c r="DM203" s="436"/>
      <c r="DN203" s="436"/>
      <c r="DO203" s="436"/>
      <c r="DP203" s="436"/>
      <c r="DQ203" s="436"/>
      <c r="DR203" s="436"/>
      <c r="DS203" s="436"/>
      <c r="DT203" s="436"/>
      <c r="DU203" s="436"/>
      <c r="DV203" s="436"/>
      <c r="DW203" s="436"/>
      <c r="DX203" s="436"/>
      <c r="DY203" s="436"/>
      <c r="DZ203" s="436"/>
      <c r="EA203" s="436"/>
      <c r="EB203" s="436"/>
      <c r="EC203" s="436"/>
      <c r="ED203" s="436"/>
      <c r="EE203" s="436"/>
      <c r="EF203" s="436"/>
      <c r="EG203" s="436"/>
      <c r="EH203" s="436"/>
      <c r="EI203" s="436"/>
      <c r="EJ203" s="436"/>
      <c r="EK203" s="436"/>
      <c r="EL203" s="436"/>
      <c r="EM203" s="436"/>
      <c r="EN203" s="436"/>
      <c r="EO203" s="436"/>
      <c r="EP203" s="436"/>
      <c r="EQ203" s="436"/>
      <c r="ER203" s="436"/>
      <c r="ES203" s="436"/>
      <c r="ET203" s="436"/>
      <c r="EU203" s="436"/>
      <c r="EV203" s="436"/>
      <c r="EW203" s="436"/>
      <c r="EX203" s="436"/>
      <c r="EY203" s="436"/>
      <c r="EZ203" s="436"/>
      <c r="FA203" s="436"/>
      <c r="FB203" s="436"/>
      <c r="FC203" s="436"/>
      <c r="FD203" s="436"/>
      <c r="FE203" s="436"/>
      <c r="FF203" s="436"/>
      <c r="FG203" s="436"/>
      <c r="FH203" s="436"/>
      <c r="FI203" s="436"/>
      <c r="FJ203" s="436"/>
      <c r="FK203" s="436"/>
      <c r="FL203" s="436"/>
      <c r="FM203" s="436"/>
      <c r="FN203" s="436"/>
      <c r="FO203" s="436"/>
      <c r="FP203" s="436"/>
      <c r="FQ203" s="436"/>
      <c r="FR203" s="436"/>
      <c r="FS203" s="436"/>
      <c r="FT203" s="436"/>
      <c r="FU203" s="436"/>
      <c r="FV203" s="436"/>
      <c r="FW203" s="436"/>
      <c r="FX203" s="436"/>
      <c r="FY203" s="436"/>
      <c r="FZ203" s="436"/>
      <c r="GA203" s="436"/>
      <c r="GB203" s="436"/>
      <c r="GC203" s="436"/>
      <c r="GD203" s="436"/>
      <c r="GE203" s="436"/>
      <c r="GF203" s="436"/>
      <c r="GG203" s="436"/>
      <c r="GH203" s="436"/>
      <c r="GI203" s="436"/>
      <c r="GJ203" s="436"/>
      <c r="GK203" s="436"/>
      <c r="GL203" s="436"/>
      <c r="GM203" s="436"/>
      <c r="GN203" s="436"/>
      <c r="GO203" s="436"/>
      <c r="GP203" s="436"/>
      <c r="GQ203" s="436"/>
      <c r="GR203" s="436"/>
      <c r="GS203" s="436"/>
      <c r="GT203" s="436"/>
      <c r="GU203" s="436"/>
      <c r="GV203" s="436"/>
      <c r="GW203" s="436"/>
      <c r="GX203" s="436"/>
      <c r="GY203" s="436"/>
      <c r="GZ203" s="436"/>
      <c r="HA203" s="436"/>
      <c r="HB203" s="436"/>
      <c r="HC203" s="436"/>
      <c r="HD203" s="436"/>
      <c r="HE203" s="436"/>
      <c r="HF203" s="436"/>
      <c r="HG203" s="436"/>
      <c r="HH203" s="436"/>
      <c r="HI203" s="436"/>
      <c r="HJ203" s="436"/>
      <c r="HK203" s="436"/>
      <c r="HL203" s="436"/>
      <c r="HM203" s="436"/>
      <c r="HN203" s="436"/>
      <c r="HO203" s="436"/>
      <c r="HP203" s="436"/>
      <c r="HQ203" s="436"/>
      <c r="HR203" s="436"/>
      <c r="HS203" s="436"/>
      <c r="HT203" s="436"/>
      <c r="HU203" s="436"/>
      <c r="HV203" s="436"/>
      <c r="HW203" s="436"/>
      <c r="HX203" s="436"/>
      <c r="HY203" s="436"/>
      <c r="HZ203" s="436"/>
      <c r="IA203" s="436"/>
      <c r="IB203" s="436"/>
      <c r="IC203" s="436"/>
      <c r="ID203" s="436"/>
      <c r="IE203" s="436"/>
      <c r="IF203" s="436"/>
      <c r="IG203" s="436"/>
      <c r="IH203" s="436"/>
      <c r="II203" s="436"/>
      <c r="IJ203" s="436"/>
      <c r="IK203" s="436"/>
      <c r="IL203" s="436"/>
      <c r="IM203" s="436"/>
      <c r="IN203" s="436"/>
      <c r="IO203" s="436"/>
      <c r="IP203" s="436"/>
      <c r="IQ203" s="265"/>
      <c r="IR203" s="265"/>
    </row>
    <row r="204" spans="1:252" s="461" customFormat="1" x14ac:dyDescent="0.35">
      <c r="A204" s="685"/>
      <c r="B204" s="503"/>
      <c r="C204" s="503"/>
      <c r="D204" s="439"/>
      <c r="E204" s="686"/>
      <c r="J204" s="1591"/>
      <c r="M204" s="436"/>
      <c r="N204" s="436"/>
      <c r="O204" s="436"/>
      <c r="P204" s="436"/>
      <c r="Q204" s="436"/>
      <c r="R204" s="436"/>
      <c r="S204" s="436"/>
      <c r="T204" s="436"/>
      <c r="U204" s="436"/>
      <c r="V204" s="436"/>
      <c r="W204" s="436"/>
      <c r="X204" s="436"/>
      <c r="Y204" s="436"/>
      <c r="Z204" s="436"/>
      <c r="AA204" s="436"/>
      <c r="AB204" s="436"/>
      <c r="AC204" s="436"/>
      <c r="AD204" s="436"/>
      <c r="AE204" s="436"/>
      <c r="AF204" s="436"/>
      <c r="AG204" s="436"/>
      <c r="AH204" s="436"/>
      <c r="AI204" s="436"/>
      <c r="AJ204" s="436"/>
      <c r="AK204" s="436"/>
      <c r="AL204" s="436"/>
      <c r="AM204" s="436"/>
      <c r="AN204" s="436"/>
      <c r="AO204" s="436"/>
      <c r="AP204" s="436"/>
      <c r="AQ204" s="436"/>
      <c r="AR204" s="436"/>
      <c r="AS204" s="436"/>
      <c r="AT204" s="436"/>
      <c r="AU204" s="436"/>
      <c r="AV204" s="436"/>
      <c r="AW204" s="436"/>
      <c r="AX204" s="436"/>
      <c r="AY204" s="436"/>
      <c r="AZ204" s="436"/>
      <c r="BA204" s="436"/>
      <c r="BB204" s="436"/>
      <c r="BC204" s="436"/>
      <c r="BD204" s="436"/>
      <c r="BE204" s="436"/>
      <c r="BF204" s="436"/>
      <c r="BG204" s="436"/>
      <c r="BH204" s="436"/>
      <c r="BI204" s="436"/>
      <c r="BJ204" s="436"/>
      <c r="BK204" s="436"/>
      <c r="BL204" s="436"/>
      <c r="BM204" s="436"/>
      <c r="BN204" s="436"/>
      <c r="BO204" s="436"/>
      <c r="BP204" s="436"/>
      <c r="BQ204" s="436"/>
      <c r="BR204" s="436"/>
      <c r="BS204" s="436"/>
      <c r="BT204" s="436"/>
      <c r="BU204" s="436"/>
      <c r="BV204" s="436"/>
      <c r="BW204" s="436"/>
      <c r="BX204" s="436"/>
      <c r="BY204" s="436"/>
      <c r="BZ204" s="436"/>
      <c r="CA204" s="436"/>
      <c r="CB204" s="436"/>
      <c r="CC204" s="436"/>
      <c r="CD204" s="436"/>
      <c r="CE204" s="436"/>
      <c r="CF204" s="436"/>
      <c r="CG204" s="436"/>
      <c r="CH204" s="436"/>
      <c r="CI204" s="436"/>
      <c r="CJ204" s="436"/>
      <c r="CK204" s="436"/>
      <c r="CL204" s="436"/>
      <c r="CM204" s="436"/>
      <c r="CN204" s="436"/>
      <c r="CO204" s="436"/>
      <c r="CP204" s="436"/>
      <c r="CQ204" s="436"/>
      <c r="CR204" s="436"/>
      <c r="CS204" s="436"/>
      <c r="CT204" s="436"/>
      <c r="CU204" s="436"/>
      <c r="CV204" s="436"/>
      <c r="CW204" s="436"/>
      <c r="CX204" s="436"/>
      <c r="CY204" s="436"/>
      <c r="CZ204" s="436"/>
      <c r="DA204" s="436"/>
      <c r="DB204" s="436"/>
      <c r="DC204" s="436"/>
      <c r="DD204" s="436"/>
      <c r="DE204" s="436"/>
      <c r="DF204" s="436"/>
      <c r="DG204" s="436"/>
      <c r="DH204" s="436"/>
      <c r="DI204" s="436"/>
      <c r="DJ204" s="436"/>
      <c r="DK204" s="436"/>
      <c r="DL204" s="436"/>
      <c r="DM204" s="436"/>
      <c r="DN204" s="436"/>
      <c r="DO204" s="436"/>
      <c r="DP204" s="436"/>
      <c r="DQ204" s="436"/>
      <c r="DR204" s="436"/>
      <c r="DS204" s="436"/>
      <c r="DT204" s="436"/>
      <c r="DU204" s="436"/>
      <c r="DV204" s="436"/>
      <c r="DW204" s="436"/>
      <c r="DX204" s="436"/>
      <c r="DY204" s="436"/>
      <c r="DZ204" s="436"/>
      <c r="EA204" s="436"/>
      <c r="EB204" s="436"/>
      <c r="EC204" s="436"/>
      <c r="ED204" s="436"/>
      <c r="EE204" s="436"/>
      <c r="EF204" s="436"/>
      <c r="EG204" s="436"/>
      <c r="EH204" s="436"/>
      <c r="EI204" s="436"/>
      <c r="EJ204" s="436"/>
      <c r="EK204" s="436"/>
      <c r="EL204" s="436"/>
      <c r="EM204" s="436"/>
      <c r="EN204" s="436"/>
      <c r="EO204" s="436"/>
      <c r="EP204" s="436"/>
      <c r="EQ204" s="436"/>
      <c r="ER204" s="436"/>
      <c r="ES204" s="436"/>
      <c r="ET204" s="436"/>
      <c r="EU204" s="436"/>
      <c r="EV204" s="436"/>
      <c r="EW204" s="436"/>
      <c r="EX204" s="436"/>
      <c r="EY204" s="436"/>
      <c r="EZ204" s="436"/>
      <c r="FA204" s="436"/>
      <c r="FB204" s="436"/>
      <c r="FC204" s="436"/>
      <c r="FD204" s="436"/>
      <c r="FE204" s="436"/>
      <c r="FF204" s="436"/>
      <c r="FG204" s="436"/>
      <c r="FH204" s="436"/>
      <c r="FI204" s="436"/>
      <c r="FJ204" s="436"/>
      <c r="FK204" s="436"/>
      <c r="FL204" s="436"/>
      <c r="FM204" s="436"/>
      <c r="FN204" s="436"/>
      <c r="FO204" s="436"/>
      <c r="FP204" s="436"/>
      <c r="FQ204" s="436"/>
      <c r="FR204" s="436"/>
      <c r="FS204" s="436"/>
      <c r="FT204" s="436"/>
      <c r="FU204" s="436"/>
      <c r="FV204" s="436"/>
      <c r="FW204" s="436"/>
      <c r="FX204" s="436"/>
      <c r="FY204" s="436"/>
      <c r="FZ204" s="436"/>
      <c r="GA204" s="436"/>
      <c r="GB204" s="436"/>
      <c r="GC204" s="436"/>
      <c r="GD204" s="436"/>
      <c r="GE204" s="436"/>
      <c r="GF204" s="436"/>
      <c r="GG204" s="436"/>
      <c r="GH204" s="436"/>
      <c r="GI204" s="436"/>
      <c r="GJ204" s="436"/>
      <c r="GK204" s="436"/>
      <c r="GL204" s="436"/>
      <c r="GM204" s="436"/>
      <c r="GN204" s="436"/>
      <c r="GO204" s="436"/>
      <c r="GP204" s="436"/>
      <c r="GQ204" s="436"/>
      <c r="GR204" s="436"/>
      <c r="GS204" s="436"/>
      <c r="GT204" s="436"/>
      <c r="GU204" s="436"/>
      <c r="GV204" s="436"/>
      <c r="GW204" s="436"/>
      <c r="GX204" s="436"/>
      <c r="GY204" s="436"/>
      <c r="GZ204" s="436"/>
      <c r="HA204" s="436"/>
      <c r="HB204" s="436"/>
      <c r="HC204" s="436"/>
      <c r="HD204" s="436"/>
      <c r="HE204" s="436"/>
      <c r="HF204" s="436"/>
      <c r="HG204" s="436"/>
      <c r="HH204" s="436"/>
      <c r="HI204" s="436"/>
      <c r="HJ204" s="436"/>
      <c r="HK204" s="436"/>
      <c r="HL204" s="436"/>
      <c r="HM204" s="436"/>
      <c r="HN204" s="436"/>
      <c r="HO204" s="436"/>
      <c r="HP204" s="436"/>
      <c r="HQ204" s="436"/>
      <c r="HR204" s="436"/>
      <c r="HS204" s="436"/>
      <c r="HT204" s="436"/>
      <c r="HU204" s="436"/>
      <c r="HV204" s="436"/>
      <c r="HW204" s="436"/>
      <c r="HX204" s="436"/>
      <c r="HY204" s="436"/>
      <c r="HZ204" s="436"/>
      <c r="IA204" s="436"/>
      <c r="IB204" s="436"/>
      <c r="IC204" s="436"/>
      <c r="ID204" s="436"/>
      <c r="IE204" s="436"/>
      <c r="IF204" s="436"/>
      <c r="IG204" s="436"/>
      <c r="IH204" s="436"/>
      <c r="II204" s="436"/>
      <c r="IJ204" s="436"/>
      <c r="IK204" s="436"/>
      <c r="IL204" s="436"/>
      <c r="IM204" s="436"/>
      <c r="IN204" s="436"/>
      <c r="IO204" s="436"/>
      <c r="IP204" s="436"/>
      <c r="IQ204" s="265"/>
      <c r="IR204" s="265"/>
    </row>
    <row r="205" spans="1:252" s="461" customFormat="1" x14ac:dyDescent="0.35">
      <c r="A205" s="685"/>
      <c r="B205" s="503"/>
      <c r="C205" s="503"/>
      <c r="D205" s="439"/>
      <c r="E205" s="686"/>
      <c r="J205" s="1591"/>
      <c r="M205" s="436"/>
      <c r="N205" s="436"/>
      <c r="O205" s="436"/>
      <c r="P205" s="436"/>
      <c r="Q205" s="436"/>
      <c r="R205" s="436"/>
      <c r="S205" s="436"/>
      <c r="T205" s="436"/>
      <c r="U205" s="436"/>
      <c r="V205" s="436"/>
      <c r="W205" s="436"/>
      <c r="X205" s="436"/>
      <c r="Y205" s="436"/>
      <c r="Z205" s="436"/>
      <c r="AA205" s="436"/>
      <c r="AB205" s="436"/>
      <c r="AC205" s="436"/>
      <c r="AD205" s="436"/>
      <c r="AE205" s="436"/>
      <c r="AF205" s="436"/>
      <c r="AG205" s="436"/>
      <c r="AH205" s="436"/>
      <c r="AI205" s="436"/>
      <c r="AJ205" s="436"/>
      <c r="AK205" s="436"/>
      <c r="AL205" s="436"/>
      <c r="AM205" s="436"/>
      <c r="AN205" s="436"/>
      <c r="AO205" s="436"/>
      <c r="AP205" s="436"/>
      <c r="AQ205" s="436"/>
      <c r="AR205" s="436"/>
      <c r="AS205" s="436"/>
      <c r="AT205" s="436"/>
      <c r="AU205" s="436"/>
      <c r="AV205" s="436"/>
      <c r="AW205" s="436"/>
      <c r="AX205" s="436"/>
      <c r="AY205" s="436"/>
      <c r="AZ205" s="436"/>
      <c r="BA205" s="436"/>
      <c r="BB205" s="436"/>
      <c r="BC205" s="436"/>
      <c r="BD205" s="436"/>
      <c r="BE205" s="436"/>
      <c r="BF205" s="436"/>
      <c r="BG205" s="436"/>
      <c r="BH205" s="436"/>
      <c r="BI205" s="436"/>
      <c r="BJ205" s="436"/>
      <c r="BK205" s="436"/>
      <c r="BL205" s="436"/>
      <c r="BM205" s="436"/>
      <c r="BN205" s="436"/>
      <c r="BO205" s="436"/>
      <c r="BP205" s="436"/>
      <c r="BQ205" s="436"/>
      <c r="BR205" s="436"/>
      <c r="BS205" s="436"/>
      <c r="BT205" s="436"/>
      <c r="BU205" s="436"/>
      <c r="BV205" s="436"/>
      <c r="BW205" s="436"/>
      <c r="BX205" s="436"/>
      <c r="BY205" s="436"/>
      <c r="BZ205" s="436"/>
      <c r="CA205" s="436"/>
      <c r="CB205" s="436"/>
      <c r="CC205" s="436"/>
      <c r="CD205" s="436"/>
      <c r="CE205" s="436"/>
      <c r="CF205" s="436"/>
      <c r="CG205" s="436"/>
      <c r="CH205" s="436"/>
      <c r="CI205" s="436"/>
      <c r="CJ205" s="436"/>
      <c r="CK205" s="436"/>
      <c r="CL205" s="436"/>
      <c r="CM205" s="436"/>
      <c r="CN205" s="436"/>
      <c r="CO205" s="436"/>
      <c r="CP205" s="436"/>
      <c r="CQ205" s="436"/>
      <c r="CR205" s="436"/>
      <c r="CS205" s="436"/>
      <c r="CT205" s="436"/>
      <c r="CU205" s="436"/>
      <c r="CV205" s="436"/>
      <c r="CW205" s="436"/>
      <c r="CX205" s="436"/>
      <c r="CY205" s="436"/>
      <c r="CZ205" s="436"/>
      <c r="DA205" s="436"/>
      <c r="DB205" s="436"/>
      <c r="DC205" s="436"/>
      <c r="DD205" s="436"/>
      <c r="DE205" s="436"/>
      <c r="DF205" s="436"/>
      <c r="DG205" s="436"/>
      <c r="DH205" s="436"/>
      <c r="DI205" s="436"/>
      <c r="DJ205" s="436"/>
      <c r="DK205" s="436"/>
      <c r="DL205" s="436"/>
      <c r="DM205" s="436"/>
      <c r="DN205" s="436"/>
      <c r="DO205" s="436"/>
      <c r="DP205" s="436"/>
      <c r="DQ205" s="436"/>
      <c r="DR205" s="436"/>
      <c r="DS205" s="436"/>
      <c r="DT205" s="436"/>
      <c r="DU205" s="436"/>
      <c r="DV205" s="436"/>
      <c r="DW205" s="436"/>
      <c r="DX205" s="436"/>
      <c r="DY205" s="436"/>
      <c r="DZ205" s="436"/>
      <c r="EA205" s="436"/>
      <c r="EB205" s="436"/>
      <c r="EC205" s="436"/>
      <c r="ED205" s="436"/>
      <c r="EE205" s="436"/>
      <c r="EF205" s="436"/>
      <c r="EG205" s="436"/>
      <c r="EH205" s="436"/>
      <c r="EI205" s="436"/>
      <c r="EJ205" s="436"/>
      <c r="EK205" s="436"/>
      <c r="EL205" s="436"/>
      <c r="EM205" s="436"/>
      <c r="EN205" s="436"/>
      <c r="EO205" s="436"/>
      <c r="EP205" s="436"/>
      <c r="EQ205" s="436"/>
      <c r="ER205" s="436"/>
      <c r="ES205" s="436"/>
      <c r="ET205" s="436"/>
      <c r="EU205" s="436"/>
      <c r="EV205" s="436"/>
      <c r="EW205" s="436"/>
      <c r="EX205" s="436"/>
      <c r="EY205" s="436"/>
      <c r="EZ205" s="436"/>
      <c r="FA205" s="436"/>
      <c r="FB205" s="436"/>
      <c r="FC205" s="436"/>
      <c r="FD205" s="436"/>
      <c r="FE205" s="436"/>
      <c r="FF205" s="436"/>
      <c r="FG205" s="436"/>
      <c r="FH205" s="436"/>
      <c r="FI205" s="436"/>
      <c r="FJ205" s="436"/>
      <c r="FK205" s="436"/>
      <c r="FL205" s="436"/>
      <c r="FM205" s="436"/>
      <c r="FN205" s="436"/>
      <c r="FO205" s="436"/>
      <c r="FP205" s="436"/>
      <c r="FQ205" s="436"/>
      <c r="FR205" s="436"/>
      <c r="FS205" s="436"/>
      <c r="FT205" s="436"/>
      <c r="FU205" s="436"/>
      <c r="FV205" s="436"/>
      <c r="FW205" s="436"/>
      <c r="FX205" s="436"/>
      <c r="FY205" s="436"/>
      <c r="FZ205" s="436"/>
      <c r="GA205" s="436"/>
      <c r="GB205" s="436"/>
      <c r="GC205" s="436"/>
      <c r="GD205" s="436"/>
      <c r="GE205" s="436"/>
      <c r="GF205" s="436"/>
      <c r="GG205" s="436"/>
      <c r="GH205" s="436"/>
      <c r="GI205" s="436"/>
      <c r="GJ205" s="436"/>
      <c r="GK205" s="436"/>
      <c r="GL205" s="436"/>
      <c r="GM205" s="436"/>
      <c r="GN205" s="436"/>
      <c r="GO205" s="436"/>
      <c r="GP205" s="436"/>
      <c r="GQ205" s="436"/>
      <c r="GR205" s="436"/>
      <c r="GS205" s="436"/>
      <c r="GT205" s="436"/>
      <c r="GU205" s="436"/>
      <c r="GV205" s="436"/>
      <c r="GW205" s="436"/>
      <c r="GX205" s="436"/>
      <c r="GY205" s="436"/>
      <c r="GZ205" s="436"/>
      <c r="HA205" s="436"/>
      <c r="HB205" s="436"/>
      <c r="HC205" s="436"/>
      <c r="HD205" s="436"/>
      <c r="HE205" s="436"/>
      <c r="HF205" s="436"/>
      <c r="HG205" s="436"/>
      <c r="HH205" s="436"/>
      <c r="HI205" s="436"/>
      <c r="HJ205" s="436"/>
      <c r="HK205" s="436"/>
      <c r="HL205" s="436"/>
      <c r="HM205" s="436"/>
      <c r="HN205" s="436"/>
      <c r="HO205" s="436"/>
      <c r="HP205" s="436"/>
      <c r="HQ205" s="436"/>
      <c r="HR205" s="436"/>
      <c r="HS205" s="436"/>
      <c r="HT205" s="436"/>
      <c r="HU205" s="436"/>
      <c r="HV205" s="436"/>
      <c r="HW205" s="436"/>
      <c r="HX205" s="436"/>
      <c r="HY205" s="436"/>
      <c r="HZ205" s="436"/>
      <c r="IA205" s="436"/>
      <c r="IB205" s="436"/>
      <c r="IC205" s="436"/>
      <c r="ID205" s="436"/>
      <c r="IE205" s="436"/>
      <c r="IF205" s="436"/>
      <c r="IG205" s="436"/>
      <c r="IH205" s="436"/>
      <c r="II205" s="436"/>
      <c r="IJ205" s="436"/>
      <c r="IK205" s="436"/>
      <c r="IL205" s="436"/>
      <c r="IM205" s="436"/>
      <c r="IN205" s="436"/>
      <c r="IO205" s="436"/>
      <c r="IP205" s="436"/>
      <c r="IQ205" s="265"/>
      <c r="IR205" s="265"/>
    </row>
    <row r="206" spans="1:252" s="461" customFormat="1" x14ac:dyDescent="0.35">
      <c r="A206" s="685"/>
      <c r="B206" s="503"/>
      <c r="C206" s="503"/>
      <c r="D206" s="439"/>
      <c r="E206" s="686"/>
      <c r="J206" s="1591"/>
      <c r="M206" s="436"/>
      <c r="N206" s="436"/>
      <c r="O206" s="436"/>
      <c r="P206" s="436"/>
      <c r="Q206" s="436"/>
      <c r="R206" s="436"/>
      <c r="S206" s="436"/>
      <c r="T206" s="436"/>
      <c r="U206" s="436"/>
      <c r="V206" s="436"/>
      <c r="W206" s="436"/>
      <c r="X206" s="436"/>
      <c r="Y206" s="436"/>
      <c r="Z206" s="436"/>
      <c r="AA206" s="436"/>
      <c r="AB206" s="436"/>
      <c r="AC206" s="436"/>
      <c r="AD206" s="436"/>
      <c r="AE206" s="436"/>
      <c r="AF206" s="436"/>
      <c r="AG206" s="436"/>
      <c r="AH206" s="436"/>
      <c r="AI206" s="436"/>
      <c r="AJ206" s="436"/>
      <c r="AK206" s="436"/>
      <c r="AL206" s="436"/>
      <c r="AM206" s="436"/>
      <c r="AN206" s="436"/>
      <c r="AO206" s="436"/>
      <c r="AP206" s="436"/>
      <c r="AQ206" s="436"/>
      <c r="AR206" s="436"/>
      <c r="AS206" s="436"/>
      <c r="AT206" s="436"/>
      <c r="AU206" s="436"/>
      <c r="AV206" s="436"/>
      <c r="AW206" s="436"/>
      <c r="AX206" s="436"/>
      <c r="AY206" s="436"/>
      <c r="AZ206" s="436"/>
      <c r="BA206" s="436"/>
      <c r="BB206" s="436"/>
      <c r="BC206" s="436"/>
      <c r="BD206" s="436"/>
      <c r="BE206" s="436"/>
      <c r="BF206" s="436"/>
      <c r="BG206" s="436"/>
      <c r="BH206" s="436"/>
      <c r="BI206" s="436"/>
      <c r="BJ206" s="436"/>
      <c r="BK206" s="436"/>
      <c r="BL206" s="436"/>
      <c r="BM206" s="436"/>
      <c r="BN206" s="436"/>
      <c r="BO206" s="436"/>
      <c r="BP206" s="436"/>
      <c r="BQ206" s="436"/>
      <c r="BR206" s="436"/>
      <c r="BS206" s="436"/>
      <c r="BT206" s="436"/>
      <c r="BU206" s="436"/>
      <c r="BV206" s="436"/>
      <c r="BW206" s="436"/>
      <c r="BX206" s="436"/>
      <c r="BY206" s="436"/>
      <c r="BZ206" s="436"/>
      <c r="CA206" s="436"/>
      <c r="CB206" s="436"/>
      <c r="CC206" s="436"/>
      <c r="CD206" s="436"/>
      <c r="CE206" s="436"/>
      <c r="CF206" s="436"/>
      <c r="CG206" s="436"/>
      <c r="CH206" s="436"/>
      <c r="CI206" s="436"/>
      <c r="CJ206" s="436"/>
      <c r="CK206" s="436"/>
      <c r="CL206" s="436"/>
      <c r="CM206" s="436"/>
      <c r="CN206" s="436"/>
      <c r="CO206" s="436"/>
      <c r="CP206" s="436"/>
      <c r="CQ206" s="436"/>
      <c r="CR206" s="436"/>
      <c r="CS206" s="436"/>
      <c r="CT206" s="436"/>
      <c r="CU206" s="436"/>
      <c r="CV206" s="436"/>
      <c r="CW206" s="436"/>
      <c r="CX206" s="436"/>
      <c r="CY206" s="436"/>
      <c r="CZ206" s="436"/>
      <c r="DA206" s="436"/>
      <c r="DB206" s="436"/>
      <c r="DC206" s="436"/>
      <c r="DD206" s="436"/>
      <c r="DE206" s="436"/>
      <c r="DF206" s="436"/>
      <c r="DG206" s="436"/>
      <c r="DH206" s="436"/>
      <c r="DI206" s="436"/>
      <c r="DJ206" s="436"/>
      <c r="DK206" s="436"/>
      <c r="DL206" s="436"/>
      <c r="DM206" s="436"/>
      <c r="DN206" s="436"/>
      <c r="DO206" s="436"/>
      <c r="DP206" s="436"/>
      <c r="DQ206" s="436"/>
      <c r="DR206" s="436"/>
      <c r="DS206" s="436"/>
      <c r="DT206" s="436"/>
      <c r="DU206" s="436"/>
      <c r="DV206" s="436"/>
      <c r="DW206" s="436"/>
      <c r="DX206" s="436"/>
      <c r="DY206" s="436"/>
      <c r="DZ206" s="436"/>
      <c r="EA206" s="436"/>
      <c r="EB206" s="436"/>
      <c r="EC206" s="436"/>
      <c r="ED206" s="436"/>
      <c r="EE206" s="436"/>
      <c r="EF206" s="436"/>
      <c r="EG206" s="436"/>
      <c r="EH206" s="436"/>
      <c r="EI206" s="436"/>
      <c r="EJ206" s="436"/>
      <c r="EK206" s="436"/>
      <c r="EL206" s="436"/>
      <c r="EM206" s="436"/>
      <c r="EN206" s="436"/>
      <c r="EO206" s="436"/>
      <c r="EP206" s="436"/>
      <c r="EQ206" s="436"/>
      <c r="ER206" s="436"/>
      <c r="ES206" s="436"/>
      <c r="ET206" s="436"/>
      <c r="EU206" s="436"/>
      <c r="EV206" s="436"/>
      <c r="EW206" s="436"/>
      <c r="EX206" s="436"/>
      <c r="EY206" s="436"/>
      <c r="EZ206" s="436"/>
      <c r="FA206" s="436"/>
      <c r="FB206" s="436"/>
      <c r="FC206" s="436"/>
      <c r="FD206" s="436"/>
      <c r="FE206" s="436"/>
      <c r="FF206" s="436"/>
      <c r="FG206" s="436"/>
      <c r="FH206" s="436"/>
      <c r="FI206" s="436"/>
      <c r="FJ206" s="436"/>
      <c r="FK206" s="436"/>
      <c r="FL206" s="436"/>
      <c r="FM206" s="436"/>
      <c r="FN206" s="436"/>
      <c r="FO206" s="436"/>
      <c r="FP206" s="436"/>
      <c r="FQ206" s="436"/>
      <c r="FR206" s="436"/>
      <c r="FS206" s="436"/>
      <c r="FT206" s="436"/>
      <c r="FU206" s="436"/>
      <c r="FV206" s="436"/>
      <c r="FW206" s="436"/>
      <c r="FX206" s="436"/>
      <c r="FY206" s="436"/>
      <c r="FZ206" s="436"/>
      <c r="GA206" s="436"/>
      <c r="GB206" s="436"/>
      <c r="GC206" s="436"/>
      <c r="GD206" s="436"/>
      <c r="GE206" s="436"/>
      <c r="GF206" s="436"/>
      <c r="GG206" s="436"/>
      <c r="GH206" s="436"/>
      <c r="GI206" s="436"/>
      <c r="GJ206" s="436"/>
      <c r="GK206" s="436"/>
      <c r="GL206" s="436"/>
      <c r="GM206" s="436"/>
      <c r="GN206" s="436"/>
      <c r="GO206" s="436"/>
      <c r="GP206" s="436"/>
      <c r="GQ206" s="436"/>
      <c r="GR206" s="436"/>
      <c r="GS206" s="436"/>
      <c r="GT206" s="436"/>
      <c r="GU206" s="436"/>
      <c r="GV206" s="436"/>
      <c r="GW206" s="436"/>
      <c r="GX206" s="436"/>
      <c r="GY206" s="436"/>
      <c r="GZ206" s="436"/>
      <c r="HA206" s="436"/>
      <c r="HB206" s="436"/>
      <c r="HC206" s="436"/>
      <c r="HD206" s="436"/>
      <c r="HE206" s="436"/>
      <c r="HF206" s="436"/>
      <c r="HG206" s="436"/>
      <c r="HH206" s="436"/>
      <c r="HI206" s="436"/>
      <c r="HJ206" s="436"/>
      <c r="HK206" s="436"/>
      <c r="HL206" s="436"/>
      <c r="HM206" s="436"/>
      <c r="HN206" s="436"/>
      <c r="HO206" s="436"/>
      <c r="HP206" s="436"/>
      <c r="HQ206" s="436"/>
      <c r="HR206" s="436"/>
      <c r="HS206" s="436"/>
      <c r="HT206" s="436"/>
      <c r="HU206" s="436"/>
      <c r="HV206" s="436"/>
      <c r="HW206" s="436"/>
      <c r="HX206" s="436"/>
      <c r="HY206" s="436"/>
      <c r="HZ206" s="436"/>
      <c r="IA206" s="436"/>
      <c r="IB206" s="436"/>
      <c r="IC206" s="436"/>
      <c r="ID206" s="436"/>
      <c r="IE206" s="436"/>
      <c r="IF206" s="436"/>
      <c r="IG206" s="436"/>
      <c r="IH206" s="436"/>
      <c r="II206" s="436"/>
      <c r="IJ206" s="436"/>
      <c r="IK206" s="436"/>
      <c r="IL206" s="436"/>
      <c r="IM206" s="436"/>
      <c r="IN206" s="436"/>
      <c r="IO206" s="436"/>
      <c r="IP206" s="436"/>
      <c r="IQ206" s="265"/>
      <c r="IR206" s="265"/>
    </row>
    <row r="207" spans="1:252" s="461" customFormat="1" x14ac:dyDescent="0.35">
      <c r="A207" s="685"/>
      <c r="B207" s="503"/>
      <c r="C207" s="503"/>
      <c r="D207" s="439"/>
      <c r="E207" s="686"/>
      <c r="J207" s="1591"/>
      <c r="M207" s="436"/>
      <c r="N207" s="436"/>
      <c r="O207" s="436"/>
      <c r="P207" s="436"/>
      <c r="Q207" s="436"/>
      <c r="R207" s="436"/>
      <c r="S207" s="436"/>
      <c r="T207" s="436"/>
      <c r="U207" s="436"/>
      <c r="V207" s="436"/>
      <c r="W207" s="436"/>
      <c r="X207" s="436"/>
      <c r="Y207" s="436"/>
      <c r="Z207" s="436"/>
      <c r="AA207" s="436"/>
      <c r="AB207" s="436"/>
      <c r="AC207" s="436"/>
      <c r="AD207" s="436"/>
      <c r="AE207" s="436"/>
      <c r="AF207" s="436"/>
      <c r="AG207" s="436"/>
      <c r="AH207" s="436"/>
      <c r="AI207" s="436"/>
      <c r="AJ207" s="436"/>
      <c r="AK207" s="436"/>
      <c r="AL207" s="436"/>
      <c r="AM207" s="436"/>
      <c r="AN207" s="436"/>
      <c r="AO207" s="436"/>
      <c r="AP207" s="436"/>
      <c r="AQ207" s="436"/>
      <c r="AR207" s="436"/>
      <c r="AS207" s="436"/>
      <c r="AT207" s="436"/>
      <c r="AU207" s="436"/>
      <c r="AV207" s="436"/>
      <c r="AW207" s="436"/>
      <c r="AX207" s="436"/>
      <c r="AY207" s="436"/>
      <c r="AZ207" s="436"/>
      <c r="BA207" s="436"/>
      <c r="BB207" s="436"/>
      <c r="BC207" s="436"/>
      <c r="BD207" s="436"/>
      <c r="BE207" s="436"/>
      <c r="BF207" s="436"/>
      <c r="BG207" s="436"/>
      <c r="BH207" s="436"/>
      <c r="BI207" s="436"/>
      <c r="BJ207" s="436"/>
      <c r="BK207" s="436"/>
      <c r="BL207" s="436"/>
      <c r="BM207" s="436"/>
      <c r="BN207" s="436"/>
      <c r="BO207" s="436"/>
      <c r="BP207" s="436"/>
      <c r="BQ207" s="436"/>
      <c r="BR207" s="436"/>
      <c r="BS207" s="436"/>
      <c r="BT207" s="436"/>
      <c r="BU207" s="436"/>
      <c r="BV207" s="436"/>
      <c r="BW207" s="436"/>
      <c r="BX207" s="436"/>
      <c r="BY207" s="436"/>
      <c r="BZ207" s="436"/>
      <c r="CA207" s="436"/>
      <c r="CB207" s="436"/>
      <c r="CC207" s="436"/>
      <c r="CD207" s="436"/>
      <c r="CE207" s="436"/>
      <c r="CF207" s="436"/>
      <c r="CG207" s="436"/>
      <c r="CH207" s="436"/>
      <c r="CI207" s="436"/>
      <c r="CJ207" s="436"/>
      <c r="CK207" s="436"/>
      <c r="CL207" s="436"/>
      <c r="CM207" s="436"/>
      <c r="CN207" s="436"/>
      <c r="CO207" s="436"/>
      <c r="CP207" s="436"/>
      <c r="CQ207" s="436"/>
      <c r="CR207" s="436"/>
      <c r="CS207" s="436"/>
      <c r="CT207" s="436"/>
      <c r="CU207" s="436"/>
      <c r="CV207" s="436"/>
      <c r="CW207" s="436"/>
      <c r="CX207" s="436"/>
      <c r="CY207" s="436"/>
      <c r="CZ207" s="436"/>
      <c r="DA207" s="436"/>
      <c r="DB207" s="436"/>
      <c r="DC207" s="436"/>
      <c r="DD207" s="436"/>
      <c r="DE207" s="436"/>
      <c r="DF207" s="436"/>
      <c r="DG207" s="436"/>
      <c r="DH207" s="436"/>
      <c r="DI207" s="436"/>
      <c r="DJ207" s="436"/>
      <c r="DK207" s="436"/>
      <c r="DL207" s="436"/>
      <c r="DM207" s="436"/>
      <c r="DN207" s="436"/>
      <c r="DO207" s="436"/>
      <c r="DP207" s="436"/>
      <c r="DQ207" s="436"/>
      <c r="DR207" s="436"/>
      <c r="DS207" s="436"/>
      <c r="DT207" s="436"/>
      <c r="DU207" s="436"/>
      <c r="DV207" s="436"/>
      <c r="DW207" s="436"/>
      <c r="DX207" s="436"/>
      <c r="DY207" s="436"/>
      <c r="DZ207" s="436"/>
      <c r="EA207" s="436"/>
      <c r="EB207" s="436"/>
      <c r="EC207" s="436"/>
      <c r="ED207" s="436"/>
      <c r="EE207" s="436"/>
      <c r="EF207" s="436"/>
      <c r="EG207" s="436"/>
      <c r="EH207" s="436"/>
      <c r="EI207" s="436"/>
      <c r="EJ207" s="436"/>
      <c r="EK207" s="436"/>
      <c r="EL207" s="436"/>
      <c r="EM207" s="436"/>
      <c r="EN207" s="436"/>
      <c r="EO207" s="436"/>
      <c r="EP207" s="436"/>
      <c r="EQ207" s="436"/>
      <c r="ER207" s="436"/>
      <c r="ES207" s="436"/>
      <c r="ET207" s="436"/>
      <c r="EU207" s="436"/>
      <c r="EV207" s="436"/>
      <c r="EW207" s="436"/>
      <c r="EX207" s="436"/>
      <c r="EY207" s="436"/>
      <c r="EZ207" s="436"/>
      <c r="FA207" s="436"/>
      <c r="FB207" s="436"/>
      <c r="FC207" s="436"/>
      <c r="FD207" s="436"/>
      <c r="FE207" s="436"/>
      <c r="FF207" s="436"/>
      <c r="FG207" s="436"/>
      <c r="FH207" s="436"/>
      <c r="FI207" s="436"/>
      <c r="FJ207" s="436"/>
      <c r="FK207" s="436"/>
      <c r="FL207" s="436"/>
      <c r="FM207" s="436"/>
      <c r="FN207" s="436"/>
      <c r="FO207" s="436"/>
      <c r="FP207" s="436"/>
      <c r="FQ207" s="436"/>
      <c r="FR207" s="436"/>
      <c r="FS207" s="436"/>
      <c r="FT207" s="436"/>
      <c r="FU207" s="436"/>
      <c r="FV207" s="436"/>
      <c r="FW207" s="436"/>
      <c r="FX207" s="436"/>
      <c r="FY207" s="436"/>
      <c r="FZ207" s="436"/>
      <c r="GA207" s="436"/>
      <c r="GB207" s="436"/>
      <c r="GC207" s="436"/>
      <c r="GD207" s="436"/>
      <c r="GE207" s="436"/>
      <c r="GF207" s="436"/>
      <c r="GG207" s="436"/>
      <c r="GH207" s="436"/>
      <c r="GI207" s="436"/>
      <c r="GJ207" s="436"/>
      <c r="GK207" s="436"/>
      <c r="GL207" s="436"/>
      <c r="GM207" s="436"/>
      <c r="GN207" s="436"/>
      <c r="GO207" s="436"/>
      <c r="GP207" s="436"/>
      <c r="GQ207" s="436"/>
      <c r="GR207" s="436"/>
      <c r="GS207" s="436"/>
      <c r="GT207" s="436"/>
      <c r="GU207" s="436"/>
      <c r="GV207" s="436"/>
      <c r="GW207" s="436"/>
      <c r="GX207" s="436"/>
      <c r="GY207" s="436"/>
      <c r="GZ207" s="436"/>
      <c r="HA207" s="436"/>
      <c r="HB207" s="436"/>
      <c r="HC207" s="436"/>
      <c r="HD207" s="436"/>
      <c r="HE207" s="436"/>
      <c r="HF207" s="436"/>
      <c r="HG207" s="436"/>
      <c r="HH207" s="436"/>
      <c r="HI207" s="436"/>
      <c r="HJ207" s="436"/>
      <c r="HK207" s="436"/>
      <c r="HL207" s="436"/>
      <c r="HM207" s="436"/>
      <c r="HN207" s="436"/>
      <c r="HO207" s="436"/>
      <c r="HP207" s="436"/>
      <c r="HQ207" s="436"/>
      <c r="HR207" s="436"/>
      <c r="HS207" s="436"/>
      <c r="HT207" s="436"/>
      <c r="HU207" s="436"/>
      <c r="HV207" s="436"/>
      <c r="HW207" s="436"/>
      <c r="HX207" s="436"/>
      <c r="HY207" s="436"/>
      <c r="HZ207" s="436"/>
      <c r="IA207" s="436"/>
      <c r="IB207" s="436"/>
      <c r="IC207" s="436"/>
      <c r="ID207" s="436"/>
      <c r="IE207" s="436"/>
      <c r="IF207" s="436"/>
      <c r="IG207" s="436"/>
      <c r="IH207" s="436"/>
      <c r="II207" s="436"/>
      <c r="IJ207" s="436"/>
      <c r="IK207" s="436"/>
      <c r="IL207" s="436"/>
      <c r="IM207" s="436"/>
      <c r="IN207" s="436"/>
      <c r="IO207" s="436"/>
      <c r="IP207" s="436"/>
      <c r="IQ207" s="265"/>
      <c r="IR207" s="265"/>
    </row>
    <row r="208" spans="1:252" s="461" customFormat="1" x14ac:dyDescent="0.35">
      <c r="A208" s="685"/>
      <c r="B208" s="503"/>
      <c r="C208" s="503"/>
      <c r="D208" s="439"/>
      <c r="E208" s="686"/>
      <c r="J208" s="1591"/>
      <c r="M208" s="436"/>
      <c r="N208" s="436"/>
      <c r="O208" s="436"/>
      <c r="P208" s="436"/>
      <c r="Q208" s="436"/>
      <c r="R208" s="436"/>
      <c r="S208" s="436"/>
      <c r="T208" s="436"/>
      <c r="U208" s="436"/>
      <c r="V208" s="436"/>
      <c r="W208" s="436"/>
      <c r="X208" s="436"/>
      <c r="Y208" s="436"/>
      <c r="Z208" s="436"/>
      <c r="AA208" s="436"/>
      <c r="AB208" s="436"/>
      <c r="AC208" s="436"/>
      <c r="AD208" s="436"/>
      <c r="AE208" s="436"/>
      <c r="AF208" s="436"/>
      <c r="AG208" s="436"/>
      <c r="AH208" s="436"/>
      <c r="AI208" s="436"/>
      <c r="AJ208" s="436"/>
      <c r="AK208" s="436"/>
      <c r="AL208" s="436"/>
      <c r="AM208" s="436"/>
      <c r="AN208" s="436"/>
      <c r="AO208" s="436"/>
      <c r="AP208" s="436"/>
      <c r="AQ208" s="436"/>
      <c r="AR208" s="436"/>
      <c r="AS208" s="436"/>
      <c r="AT208" s="436"/>
      <c r="AU208" s="436"/>
      <c r="AV208" s="436"/>
      <c r="AW208" s="436"/>
      <c r="AX208" s="436"/>
      <c r="AY208" s="436"/>
      <c r="AZ208" s="436"/>
      <c r="BA208" s="436"/>
      <c r="BB208" s="436"/>
      <c r="BC208" s="436"/>
      <c r="BD208" s="436"/>
      <c r="BE208" s="436"/>
      <c r="BF208" s="436"/>
      <c r="BG208" s="436"/>
      <c r="BH208" s="436"/>
      <c r="BI208" s="436"/>
      <c r="BJ208" s="436"/>
      <c r="BK208" s="436"/>
      <c r="BL208" s="436"/>
      <c r="BM208" s="436"/>
      <c r="BN208" s="436"/>
      <c r="BO208" s="436"/>
      <c r="BP208" s="436"/>
      <c r="BQ208" s="436"/>
      <c r="BR208" s="436"/>
      <c r="BS208" s="436"/>
      <c r="BT208" s="436"/>
      <c r="BU208" s="436"/>
      <c r="BV208" s="436"/>
      <c r="BW208" s="436"/>
      <c r="BX208" s="436"/>
      <c r="BY208" s="436"/>
      <c r="BZ208" s="436"/>
      <c r="CA208" s="436"/>
      <c r="CB208" s="436"/>
      <c r="CC208" s="436"/>
      <c r="CD208" s="436"/>
      <c r="CE208" s="436"/>
      <c r="CF208" s="436"/>
      <c r="CG208" s="436"/>
      <c r="CH208" s="436"/>
      <c r="CI208" s="436"/>
      <c r="CJ208" s="436"/>
      <c r="CK208" s="436"/>
      <c r="CL208" s="436"/>
      <c r="CM208" s="436"/>
      <c r="CN208" s="436"/>
      <c r="CO208" s="436"/>
      <c r="CP208" s="436"/>
      <c r="CQ208" s="436"/>
      <c r="CR208" s="436"/>
      <c r="CS208" s="436"/>
      <c r="CT208" s="436"/>
      <c r="CU208" s="436"/>
      <c r="CV208" s="436"/>
      <c r="CW208" s="436"/>
      <c r="CX208" s="436"/>
      <c r="CY208" s="436"/>
      <c r="CZ208" s="436"/>
      <c r="DA208" s="436"/>
      <c r="DB208" s="436"/>
      <c r="DC208" s="436"/>
      <c r="DD208" s="436"/>
      <c r="DE208" s="436"/>
      <c r="DF208" s="436"/>
      <c r="DG208" s="436"/>
      <c r="DH208" s="436"/>
      <c r="DI208" s="436"/>
      <c r="DJ208" s="436"/>
      <c r="DK208" s="436"/>
      <c r="DL208" s="436"/>
      <c r="DM208" s="436"/>
      <c r="DN208" s="436"/>
      <c r="DO208" s="436"/>
      <c r="DP208" s="436"/>
      <c r="DQ208" s="436"/>
      <c r="DR208" s="436"/>
      <c r="DS208" s="436"/>
      <c r="DT208" s="436"/>
      <c r="DU208" s="436"/>
      <c r="DV208" s="436"/>
      <c r="DW208" s="436"/>
      <c r="DX208" s="436"/>
      <c r="DY208" s="436"/>
      <c r="DZ208" s="436"/>
      <c r="EA208" s="436"/>
      <c r="EB208" s="436"/>
      <c r="EC208" s="436"/>
      <c r="ED208" s="436"/>
      <c r="EE208" s="436"/>
      <c r="EF208" s="436"/>
      <c r="EG208" s="436"/>
      <c r="EH208" s="436"/>
      <c r="EI208" s="436"/>
      <c r="EJ208" s="436"/>
      <c r="EK208" s="436"/>
      <c r="EL208" s="436"/>
      <c r="EM208" s="436"/>
      <c r="EN208" s="436"/>
      <c r="EO208" s="436"/>
      <c r="EP208" s="436"/>
      <c r="EQ208" s="436"/>
      <c r="ER208" s="436"/>
      <c r="ES208" s="436"/>
      <c r="ET208" s="436"/>
      <c r="EU208" s="436"/>
      <c r="EV208" s="436"/>
      <c r="EW208" s="436"/>
      <c r="EX208" s="436"/>
      <c r="EY208" s="436"/>
      <c r="EZ208" s="436"/>
      <c r="FA208" s="436"/>
      <c r="FB208" s="436"/>
      <c r="FC208" s="436"/>
      <c r="FD208" s="436"/>
      <c r="FE208" s="436"/>
      <c r="FF208" s="436"/>
      <c r="FG208" s="436"/>
      <c r="FH208" s="436"/>
      <c r="FI208" s="436"/>
      <c r="FJ208" s="436"/>
      <c r="FK208" s="436"/>
      <c r="FL208" s="436"/>
      <c r="FM208" s="436"/>
      <c r="FN208" s="436"/>
      <c r="FO208" s="436"/>
      <c r="FP208" s="436"/>
      <c r="FQ208" s="436"/>
      <c r="FR208" s="436"/>
      <c r="FS208" s="436"/>
      <c r="FT208" s="436"/>
      <c r="FU208" s="436"/>
      <c r="FV208" s="436"/>
      <c r="FW208" s="436"/>
      <c r="FX208" s="436"/>
      <c r="FY208" s="436"/>
      <c r="FZ208" s="436"/>
      <c r="GA208" s="436"/>
      <c r="GB208" s="436"/>
      <c r="GC208" s="436"/>
      <c r="GD208" s="436"/>
      <c r="GE208" s="436"/>
      <c r="GF208" s="436"/>
      <c r="GG208" s="436"/>
      <c r="GH208" s="436"/>
      <c r="GI208" s="436"/>
      <c r="GJ208" s="436"/>
      <c r="GK208" s="436"/>
      <c r="GL208" s="436"/>
      <c r="GM208" s="436"/>
      <c r="GN208" s="436"/>
      <c r="GO208" s="436"/>
      <c r="GP208" s="436"/>
      <c r="GQ208" s="436"/>
      <c r="GR208" s="436"/>
      <c r="GS208" s="436"/>
      <c r="GT208" s="436"/>
      <c r="GU208" s="436"/>
      <c r="GV208" s="436"/>
      <c r="GW208" s="436"/>
      <c r="GX208" s="436"/>
      <c r="GY208" s="436"/>
      <c r="GZ208" s="436"/>
      <c r="HA208" s="436"/>
      <c r="HB208" s="436"/>
      <c r="HC208" s="436"/>
      <c r="HD208" s="436"/>
      <c r="HE208" s="436"/>
      <c r="HF208" s="436"/>
      <c r="HG208" s="436"/>
      <c r="HH208" s="436"/>
      <c r="HI208" s="436"/>
      <c r="HJ208" s="436"/>
      <c r="HK208" s="436"/>
      <c r="HL208" s="436"/>
      <c r="HM208" s="436"/>
      <c r="HN208" s="436"/>
      <c r="HO208" s="436"/>
      <c r="HP208" s="436"/>
      <c r="HQ208" s="436"/>
      <c r="HR208" s="436"/>
      <c r="HS208" s="436"/>
      <c r="HT208" s="436"/>
      <c r="HU208" s="436"/>
      <c r="HV208" s="436"/>
      <c r="HW208" s="436"/>
      <c r="HX208" s="436"/>
      <c r="HY208" s="436"/>
      <c r="HZ208" s="436"/>
      <c r="IA208" s="436"/>
      <c r="IB208" s="436"/>
      <c r="IC208" s="436"/>
      <c r="ID208" s="436"/>
      <c r="IE208" s="436"/>
      <c r="IF208" s="436"/>
      <c r="IG208" s="436"/>
      <c r="IH208" s="436"/>
      <c r="II208" s="436"/>
      <c r="IJ208" s="436"/>
      <c r="IK208" s="436"/>
      <c r="IL208" s="436"/>
      <c r="IM208" s="436"/>
      <c r="IN208" s="436"/>
      <c r="IO208" s="436"/>
      <c r="IP208" s="436"/>
      <c r="IQ208" s="265"/>
      <c r="IR208" s="265"/>
    </row>
    <row r="209" spans="1:252" s="461" customFormat="1" x14ac:dyDescent="0.35">
      <c r="A209" s="685"/>
      <c r="B209" s="503"/>
      <c r="C209" s="503"/>
      <c r="D209" s="439"/>
      <c r="E209" s="686"/>
      <c r="J209" s="1591"/>
      <c r="M209" s="436"/>
      <c r="N209" s="436"/>
      <c r="O209" s="436"/>
      <c r="P209" s="436"/>
      <c r="Q209" s="436"/>
      <c r="R209" s="436"/>
      <c r="S209" s="436"/>
      <c r="T209" s="436"/>
      <c r="U209" s="436"/>
      <c r="V209" s="436"/>
      <c r="W209" s="436"/>
      <c r="X209" s="436"/>
      <c r="Y209" s="436"/>
      <c r="Z209" s="436"/>
      <c r="AA209" s="436"/>
      <c r="AB209" s="436"/>
      <c r="AC209" s="436"/>
      <c r="AD209" s="436"/>
      <c r="AE209" s="436"/>
      <c r="AF209" s="436"/>
      <c r="AG209" s="436"/>
      <c r="AH209" s="436"/>
      <c r="AI209" s="436"/>
      <c r="AJ209" s="436"/>
      <c r="AK209" s="436"/>
      <c r="AL209" s="436"/>
      <c r="AM209" s="436"/>
      <c r="AN209" s="436"/>
      <c r="AO209" s="436"/>
      <c r="AP209" s="436"/>
      <c r="AQ209" s="436"/>
      <c r="AR209" s="436"/>
      <c r="AS209" s="436"/>
      <c r="AT209" s="436"/>
      <c r="AU209" s="436"/>
      <c r="AV209" s="436"/>
      <c r="AW209" s="436"/>
      <c r="AX209" s="436"/>
      <c r="AY209" s="436"/>
      <c r="AZ209" s="436"/>
      <c r="BA209" s="436"/>
      <c r="BB209" s="436"/>
      <c r="BC209" s="436"/>
      <c r="BD209" s="436"/>
      <c r="BE209" s="436"/>
      <c r="BF209" s="436"/>
      <c r="BG209" s="436"/>
      <c r="BH209" s="436"/>
      <c r="BI209" s="436"/>
      <c r="BJ209" s="436"/>
      <c r="BK209" s="436"/>
      <c r="BL209" s="436"/>
      <c r="BM209" s="436"/>
      <c r="BN209" s="436"/>
      <c r="BO209" s="436"/>
      <c r="BP209" s="436"/>
      <c r="BQ209" s="436"/>
      <c r="BR209" s="436"/>
      <c r="BS209" s="436"/>
      <c r="BT209" s="436"/>
      <c r="BU209" s="436"/>
      <c r="BV209" s="436"/>
      <c r="BW209" s="436"/>
      <c r="BX209" s="436"/>
      <c r="BY209" s="436"/>
      <c r="BZ209" s="436"/>
      <c r="CA209" s="436"/>
      <c r="CB209" s="436"/>
      <c r="CC209" s="436"/>
      <c r="CD209" s="436"/>
      <c r="CE209" s="436"/>
      <c r="CF209" s="436"/>
      <c r="CG209" s="436"/>
      <c r="CH209" s="436"/>
      <c r="CI209" s="436"/>
      <c r="CJ209" s="436"/>
      <c r="CK209" s="436"/>
      <c r="CL209" s="436"/>
      <c r="CM209" s="436"/>
      <c r="CN209" s="436"/>
      <c r="CO209" s="436"/>
      <c r="CP209" s="436"/>
      <c r="CQ209" s="436"/>
      <c r="CR209" s="436"/>
      <c r="CS209" s="436"/>
      <c r="CT209" s="436"/>
      <c r="CU209" s="436"/>
      <c r="CV209" s="436"/>
      <c r="CW209" s="436"/>
      <c r="CX209" s="436"/>
      <c r="CY209" s="436"/>
      <c r="CZ209" s="436"/>
      <c r="DA209" s="436"/>
      <c r="DB209" s="436"/>
      <c r="DC209" s="436"/>
      <c r="DD209" s="436"/>
      <c r="DE209" s="436"/>
      <c r="DF209" s="436"/>
      <c r="DG209" s="436"/>
      <c r="DH209" s="436"/>
      <c r="DI209" s="436"/>
      <c r="DJ209" s="436"/>
      <c r="DK209" s="436"/>
      <c r="DL209" s="436"/>
      <c r="DM209" s="436"/>
      <c r="DN209" s="436"/>
      <c r="DO209" s="436"/>
      <c r="DP209" s="436"/>
      <c r="DQ209" s="436"/>
      <c r="DR209" s="436"/>
      <c r="DS209" s="436"/>
      <c r="DT209" s="436"/>
      <c r="DU209" s="436"/>
      <c r="DV209" s="436"/>
      <c r="DW209" s="436"/>
      <c r="DX209" s="436"/>
      <c r="DY209" s="436"/>
      <c r="DZ209" s="436"/>
      <c r="EA209" s="436"/>
      <c r="EB209" s="436"/>
      <c r="EC209" s="436"/>
      <c r="ED209" s="436"/>
      <c r="EE209" s="436"/>
      <c r="EF209" s="436"/>
      <c r="EG209" s="436"/>
      <c r="EH209" s="436"/>
      <c r="EI209" s="436"/>
      <c r="EJ209" s="436"/>
      <c r="EK209" s="436"/>
      <c r="EL209" s="436"/>
      <c r="EM209" s="436"/>
      <c r="EN209" s="436"/>
      <c r="EO209" s="436"/>
      <c r="EP209" s="436"/>
      <c r="EQ209" s="436"/>
      <c r="ER209" s="436"/>
      <c r="ES209" s="436"/>
      <c r="ET209" s="436"/>
      <c r="EU209" s="436"/>
      <c r="EV209" s="436"/>
      <c r="EW209" s="436"/>
      <c r="EX209" s="436"/>
      <c r="EY209" s="436"/>
      <c r="EZ209" s="436"/>
      <c r="FA209" s="436"/>
      <c r="FB209" s="436"/>
      <c r="FC209" s="436"/>
      <c r="FD209" s="436"/>
      <c r="FE209" s="436"/>
      <c r="FF209" s="436"/>
      <c r="FG209" s="436"/>
      <c r="FH209" s="436"/>
      <c r="FI209" s="436"/>
      <c r="FJ209" s="436"/>
      <c r="FK209" s="436"/>
      <c r="FL209" s="436"/>
      <c r="FM209" s="436"/>
      <c r="FN209" s="436"/>
      <c r="FO209" s="436"/>
      <c r="FP209" s="436"/>
      <c r="FQ209" s="436"/>
      <c r="FR209" s="436"/>
      <c r="FS209" s="436"/>
      <c r="FT209" s="436"/>
      <c r="FU209" s="436"/>
      <c r="FV209" s="436"/>
      <c r="FW209" s="436"/>
      <c r="FX209" s="436"/>
      <c r="FY209" s="436"/>
      <c r="FZ209" s="436"/>
      <c r="GA209" s="436"/>
      <c r="GB209" s="436"/>
      <c r="GC209" s="436"/>
      <c r="GD209" s="436"/>
      <c r="GE209" s="436"/>
      <c r="GF209" s="436"/>
      <c r="GG209" s="436"/>
      <c r="GH209" s="436"/>
      <c r="GI209" s="436"/>
      <c r="GJ209" s="436"/>
      <c r="GK209" s="436"/>
      <c r="GL209" s="436"/>
      <c r="GM209" s="436"/>
      <c r="GN209" s="436"/>
      <c r="GO209" s="436"/>
      <c r="GP209" s="436"/>
      <c r="GQ209" s="436"/>
      <c r="GR209" s="436"/>
      <c r="GS209" s="436"/>
      <c r="GT209" s="436"/>
      <c r="GU209" s="436"/>
      <c r="GV209" s="436"/>
      <c r="GW209" s="436"/>
      <c r="GX209" s="436"/>
      <c r="GY209" s="436"/>
      <c r="GZ209" s="436"/>
      <c r="HA209" s="436"/>
      <c r="HB209" s="436"/>
      <c r="HC209" s="436"/>
      <c r="HD209" s="436"/>
      <c r="HE209" s="436"/>
      <c r="HF209" s="436"/>
      <c r="HG209" s="436"/>
      <c r="HH209" s="436"/>
      <c r="HI209" s="436"/>
      <c r="HJ209" s="436"/>
      <c r="HK209" s="436"/>
      <c r="HL209" s="436"/>
      <c r="HM209" s="436"/>
      <c r="HN209" s="436"/>
      <c r="HO209" s="436"/>
      <c r="HP209" s="436"/>
      <c r="HQ209" s="436"/>
      <c r="HR209" s="436"/>
      <c r="HS209" s="436"/>
      <c r="HT209" s="436"/>
      <c r="HU209" s="436"/>
      <c r="HV209" s="436"/>
      <c r="HW209" s="436"/>
      <c r="HX209" s="436"/>
      <c r="HY209" s="436"/>
      <c r="HZ209" s="436"/>
      <c r="IA209" s="436"/>
      <c r="IB209" s="436"/>
      <c r="IC209" s="436"/>
      <c r="ID209" s="436"/>
      <c r="IE209" s="436"/>
      <c r="IF209" s="436"/>
      <c r="IG209" s="436"/>
      <c r="IH209" s="436"/>
      <c r="II209" s="436"/>
      <c r="IJ209" s="436"/>
      <c r="IK209" s="436"/>
      <c r="IL209" s="436"/>
      <c r="IM209" s="436"/>
      <c r="IN209" s="436"/>
      <c r="IO209" s="436"/>
      <c r="IP209" s="436"/>
      <c r="IQ209" s="265"/>
      <c r="IR209" s="265"/>
    </row>
    <row r="210" spans="1:252" s="461" customFormat="1" x14ac:dyDescent="0.35">
      <c r="A210" s="685"/>
      <c r="B210" s="503"/>
      <c r="C210" s="503"/>
      <c r="D210" s="439"/>
      <c r="E210" s="686"/>
      <c r="J210" s="1591"/>
      <c r="M210" s="436"/>
      <c r="N210" s="436"/>
      <c r="O210" s="436"/>
      <c r="P210" s="436"/>
      <c r="Q210" s="436"/>
      <c r="R210" s="436"/>
      <c r="S210" s="436"/>
      <c r="T210" s="436"/>
      <c r="U210" s="436"/>
      <c r="V210" s="436"/>
      <c r="W210" s="436"/>
      <c r="X210" s="436"/>
      <c r="Y210" s="436"/>
      <c r="Z210" s="436"/>
      <c r="AA210" s="436"/>
      <c r="AB210" s="436"/>
      <c r="AC210" s="436"/>
      <c r="AD210" s="436"/>
      <c r="AE210" s="436"/>
      <c r="AF210" s="436"/>
      <c r="AG210" s="436"/>
      <c r="AH210" s="436"/>
      <c r="AI210" s="436"/>
      <c r="AJ210" s="436"/>
      <c r="AK210" s="436"/>
      <c r="AL210" s="436"/>
      <c r="AM210" s="436"/>
      <c r="AN210" s="436"/>
      <c r="AO210" s="436"/>
      <c r="AP210" s="436"/>
      <c r="AQ210" s="436"/>
      <c r="AR210" s="436"/>
      <c r="AS210" s="436"/>
      <c r="AT210" s="436"/>
      <c r="AU210" s="436"/>
      <c r="AV210" s="436"/>
      <c r="AW210" s="436"/>
      <c r="AX210" s="436"/>
      <c r="AY210" s="436"/>
      <c r="AZ210" s="436"/>
      <c r="BA210" s="436"/>
      <c r="BB210" s="436"/>
      <c r="BC210" s="436"/>
      <c r="BD210" s="436"/>
      <c r="BE210" s="436"/>
      <c r="BF210" s="436"/>
      <c r="BG210" s="436"/>
      <c r="BH210" s="436"/>
      <c r="BI210" s="436"/>
      <c r="BJ210" s="436"/>
      <c r="BK210" s="436"/>
      <c r="BL210" s="436"/>
      <c r="BM210" s="436"/>
      <c r="BN210" s="436"/>
      <c r="BO210" s="436"/>
      <c r="BP210" s="436"/>
      <c r="BQ210" s="436"/>
      <c r="BR210" s="436"/>
      <c r="BS210" s="436"/>
      <c r="BT210" s="436"/>
      <c r="BU210" s="436"/>
      <c r="BV210" s="436"/>
      <c r="BW210" s="436"/>
      <c r="BX210" s="436"/>
      <c r="BY210" s="436"/>
      <c r="BZ210" s="436"/>
      <c r="CA210" s="436"/>
      <c r="CB210" s="436"/>
      <c r="CC210" s="436"/>
      <c r="CD210" s="436"/>
      <c r="CE210" s="436"/>
      <c r="CF210" s="436"/>
      <c r="CG210" s="436"/>
      <c r="CH210" s="436"/>
      <c r="CI210" s="436"/>
      <c r="CJ210" s="436"/>
      <c r="CK210" s="436"/>
      <c r="CL210" s="436"/>
      <c r="CM210" s="436"/>
      <c r="CN210" s="436"/>
      <c r="CO210" s="436"/>
      <c r="CP210" s="436"/>
      <c r="CQ210" s="436"/>
      <c r="CR210" s="436"/>
      <c r="CS210" s="436"/>
      <c r="CT210" s="436"/>
      <c r="CU210" s="436"/>
      <c r="CV210" s="436"/>
      <c r="CW210" s="436"/>
      <c r="CX210" s="436"/>
      <c r="CY210" s="436"/>
      <c r="CZ210" s="436"/>
      <c r="DA210" s="436"/>
      <c r="DB210" s="436"/>
      <c r="DC210" s="436"/>
      <c r="DD210" s="436"/>
      <c r="DE210" s="436"/>
      <c r="DF210" s="436"/>
      <c r="DG210" s="436"/>
      <c r="DH210" s="436"/>
      <c r="DI210" s="436"/>
      <c r="DJ210" s="436"/>
      <c r="DK210" s="436"/>
      <c r="DL210" s="436"/>
      <c r="DM210" s="436"/>
      <c r="DN210" s="436"/>
      <c r="DO210" s="436"/>
      <c r="DP210" s="436"/>
      <c r="DQ210" s="436"/>
      <c r="DR210" s="436"/>
      <c r="DS210" s="436"/>
      <c r="DT210" s="436"/>
      <c r="DU210" s="436"/>
      <c r="DV210" s="436"/>
      <c r="DW210" s="436"/>
      <c r="DX210" s="436"/>
      <c r="DY210" s="436"/>
      <c r="DZ210" s="436"/>
      <c r="EA210" s="436"/>
      <c r="EB210" s="436"/>
      <c r="EC210" s="436"/>
      <c r="ED210" s="436"/>
      <c r="EE210" s="436"/>
      <c r="EF210" s="436"/>
      <c r="EG210" s="436"/>
      <c r="EH210" s="436"/>
      <c r="EI210" s="436"/>
      <c r="EJ210" s="436"/>
      <c r="EK210" s="436"/>
      <c r="EL210" s="436"/>
      <c r="EM210" s="436"/>
      <c r="EN210" s="436"/>
      <c r="EO210" s="436"/>
      <c r="EP210" s="436"/>
      <c r="EQ210" s="436"/>
      <c r="ER210" s="436"/>
      <c r="ES210" s="436"/>
      <c r="ET210" s="436"/>
      <c r="EU210" s="436"/>
      <c r="EV210" s="436"/>
      <c r="EW210" s="436"/>
      <c r="EX210" s="436"/>
      <c r="EY210" s="436"/>
      <c r="EZ210" s="436"/>
      <c r="FA210" s="436"/>
      <c r="FB210" s="436"/>
      <c r="FC210" s="436"/>
      <c r="FD210" s="436"/>
      <c r="FE210" s="436"/>
      <c r="FF210" s="436"/>
      <c r="FG210" s="436"/>
      <c r="FH210" s="436"/>
      <c r="FI210" s="436"/>
      <c r="FJ210" s="436"/>
      <c r="FK210" s="436"/>
      <c r="FL210" s="436"/>
      <c r="FM210" s="436"/>
      <c r="FN210" s="436"/>
      <c r="FO210" s="436"/>
      <c r="FP210" s="436"/>
      <c r="FQ210" s="436"/>
      <c r="FR210" s="436"/>
      <c r="FS210" s="436"/>
      <c r="FT210" s="436"/>
      <c r="FU210" s="436"/>
      <c r="FV210" s="436"/>
      <c r="FW210" s="436"/>
      <c r="FX210" s="436"/>
      <c r="FY210" s="436"/>
      <c r="FZ210" s="436"/>
      <c r="GA210" s="436"/>
      <c r="GB210" s="436"/>
      <c r="GC210" s="436"/>
      <c r="GD210" s="436"/>
      <c r="GE210" s="436"/>
      <c r="GF210" s="436"/>
      <c r="GG210" s="436"/>
      <c r="GH210" s="436"/>
      <c r="GI210" s="436"/>
      <c r="GJ210" s="436"/>
      <c r="GK210" s="436"/>
      <c r="GL210" s="436"/>
      <c r="GM210" s="436"/>
      <c r="GN210" s="436"/>
      <c r="GO210" s="436"/>
      <c r="GP210" s="436"/>
      <c r="GQ210" s="436"/>
      <c r="GR210" s="436"/>
      <c r="GS210" s="436"/>
      <c r="GT210" s="436"/>
      <c r="GU210" s="436"/>
      <c r="GV210" s="436"/>
      <c r="GW210" s="436"/>
      <c r="GX210" s="436"/>
      <c r="GY210" s="436"/>
      <c r="GZ210" s="436"/>
      <c r="HA210" s="436"/>
      <c r="HB210" s="436"/>
      <c r="HC210" s="436"/>
      <c r="HD210" s="436"/>
      <c r="HE210" s="436"/>
      <c r="HF210" s="436"/>
      <c r="HG210" s="436"/>
      <c r="HH210" s="436"/>
      <c r="HI210" s="436"/>
      <c r="HJ210" s="436"/>
      <c r="HK210" s="436"/>
      <c r="HL210" s="436"/>
      <c r="HM210" s="436"/>
      <c r="HN210" s="436"/>
      <c r="HO210" s="436"/>
      <c r="HP210" s="436"/>
      <c r="HQ210" s="436"/>
      <c r="HR210" s="436"/>
      <c r="HS210" s="436"/>
      <c r="HT210" s="436"/>
      <c r="HU210" s="436"/>
      <c r="HV210" s="436"/>
      <c r="HW210" s="436"/>
      <c r="HX210" s="436"/>
      <c r="HY210" s="436"/>
      <c r="HZ210" s="436"/>
      <c r="IA210" s="436"/>
      <c r="IB210" s="436"/>
      <c r="IC210" s="436"/>
      <c r="ID210" s="436"/>
      <c r="IE210" s="436"/>
      <c r="IF210" s="436"/>
      <c r="IG210" s="436"/>
      <c r="IH210" s="436"/>
      <c r="II210" s="436"/>
      <c r="IJ210" s="436"/>
      <c r="IK210" s="436"/>
      <c r="IL210" s="436"/>
      <c r="IM210" s="436"/>
      <c r="IN210" s="436"/>
      <c r="IO210" s="436"/>
      <c r="IP210" s="436"/>
      <c r="IQ210" s="265"/>
      <c r="IR210" s="265"/>
    </row>
    <row r="211" spans="1:252" s="461" customFormat="1" x14ac:dyDescent="0.35">
      <c r="A211" s="685"/>
      <c r="B211" s="503"/>
      <c r="C211" s="503"/>
      <c r="D211" s="439"/>
      <c r="E211" s="686"/>
      <c r="J211" s="1591"/>
      <c r="M211" s="436"/>
      <c r="N211" s="436"/>
      <c r="O211" s="436"/>
      <c r="P211" s="436"/>
      <c r="Q211" s="436"/>
      <c r="R211" s="436"/>
      <c r="S211" s="436"/>
      <c r="T211" s="436"/>
      <c r="U211" s="436"/>
      <c r="V211" s="436"/>
      <c r="W211" s="436"/>
      <c r="X211" s="436"/>
      <c r="Y211" s="436"/>
      <c r="Z211" s="436"/>
      <c r="AA211" s="436"/>
      <c r="AB211" s="436"/>
      <c r="AC211" s="436"/>
      <c r="AD211" s="436"/>
      <c r="AE211" s="436"/>
      <c r="AF211" s="436"/>
      <c r="AG211" s="436"/>
      <c r="AH211" s="436"/>
      <c r="AI211" s="436"/>
      <c r="AJ211" s="436"/>
      <c r="AK211" s="436"/>
      <c r="AL211" s="436"/>
      <c r="AM211" s="436"/>
      <c r="AN211" s="436"/>
      <c r="AO211" s="436"/>
      <c r="AP211" s="436"/>
      <c r="AQ211" s="436"/>
      <c r="AR211" s="436"/>
      <c r="AS211" s="436"/>
      <c r="AT211" s="436"/>
      <c r="AU211" s="436"/>
      <c r="AV211" s="436"/>
      <c r="AW211" s="436"/>
      <c r="AX211" s="436"/>
      <c r="AY211" s="436"/>
      <c r="AZ211" s="436"/>
      <c r="BA211" s="436"/>
      <c r="BB211" s="436"/>
      <c r="BC211" s="436"/>
      <c r="BD211" s="436"/>
      <c r="BE211" s="436"/>
      <c r="BF211" s="436"/>
      <c r="BG211" s="436"/>
      <c r="BH211" s="436"/>
      <c r="BI211" s="436"/>
      <c r="BJ211" s="436"/>
      <c r="BK211" s="436"/>
      <c r="BL211" s="436"/>
      <c r="BM211" s="436"/>
      <c r="BN211" s="436"/>
      <c r="BO211" s="436"/>
      <c r="BP211" s="436"/>
      <c r="BQ211" s="436"/>
      <c r="BR211" s="436"/>
      <c r="BS211" s="436"/>
      <c r="BT211" s="436"/>
      <c r="BU211" s="436"/>
      <c r="BV211" s="436"/>
      <c r="BW211" s="436"/>
      <c r="BX211" s="436"/>
      <c r="BY211" s="436"/>
      <c r="BZ211" s="436"/>
      <c r="CA211" s="436"/>
      <c r="CB211" s="436"/>
      <c r="CC211" s="436"/>
      <c r="CD211" s="436"/>
      <c r="CE211" s="436"/>
      <c r="CF211" s="436"/>
      <c r="CG211" s="436"/>
      <c r="CH211" s="436"/>
      <c r="CI211" s="436"/>
      <c r="CJ211" s="436"/>
      <c r="CK211" s="436"/>
      <c r="CL211" s="436"/>
      <c r="CM211" s="436"/>
      <c r="CN211" s="436"/>
      <c r="CO211" s="436"/>
      <c r="CP211" s="436"/>
      <c r="CQ211" s="436"/>
      <c r="CR211" s="436"/>
      <c r="CS211" s="436"/>
      <c r="CT211" s="436"/>
      <c r="CU211" s="436"/>
      <c r="CV211" s="436"/>
      <c r="CW211" s="436"/>
      <c r="CX211" s="436"/>
      <c r="CY211" s="436"/>
      <c r="CZ211" s="436"/>
      <c r="DA211" s="436"/>
      <c r="DB211" s="436"/>
      <c r="DC211" s="436"/>
      <c r="DD211" s="436"/>
      <c r="DE211" s="436"/>
      <c r="DF211" s="436"/>
      <c r="DG211" s="436"/>
      <c r="DH211" s="436"/>
      <c r="DI211" s="436"/>
      <c r="DJ211" s="436"/>
      <c r="DK211" s="436"/>
      <c r="DL211" s="436"/>
      <c r="DM211" s="436"/>
      <c r="DN211" s="436"/>
      <c r="DO211" s="436"/>
      <c r="DP211" s="436"/>
      <c r="DQ211" s="436"/>
      <c r="DR211" s="436"/>
      <c r="DS211" s="436"/>
      <c r="DT211" s="436"/>
      <c r="DU211" s="436"/>
      <c r="DV211" s="436"/>
      <c r="DW211" s="436"/>
      <c r="DX211" s="436"/>
      <c r="DY211" s="436"/>
      <c r="DZ211" s="436"/>
      <c r="EA211" s="436"/>
      <c r="EB211" s="436"/>
      <c r="EC211" s="436"/>
      <c r="ED211" s="436"/>
      <c r="EE211" s="436"/>
      <c r="EF211" s="436"/>
      <c r="EG211" s="436"/>
      <c r="EH211" s="436"/>
      <c r="EI211" s="436"/>
      <c r="EJ211" s="436"/>
      <c r="EK211" s="436"/>
      <c r="EL211" s="436"/>
      <c r="EM211" s="436"/>
      <c r="EN211" s="436"/>
      <c r="EO211" s="436"/>
      <c r="EP211" s="436"/>
      <c r="EQ211" s="436"/>
      <c r="ER211" s="436"/>
      <c r="ES211" s="436"/>
      <c r="ET211" s="436"/>
      <c r="EU211" s="436"/>
      <c r="EV211" s="436"/>
      <c r="EW211" s="436"/>
      <c r="EX211" s="436"/>
      <c r="EY211" s="436"/>
      <c r="EZ211" s="436"/>
      <c r="FA211" s="436"/>
      <c r="FB211" s="436"/>
      <c r="FC211" s="436"/>
      <c r="FD211" s="436"/>
      <c r="FE211" s="436"/>
      <c r="FF211" s="436"/>
      <c r="FG211" s="436"/>
      <c r="FH211" s="436"/>
      <c r="FI211" s="436"/>
      <c r="FJ211" s="436"/>
      <c r="FK211" s="436"/>
      <c r="FL211" s="436"/>
      <c r="FM211" s="436"/>
      <c r="FN211" s="436"/>
      <c r="FO211" s="436"/>
      <c r="FP211" s="436"/>
      <c r="FQ211" s="436"/>
      <c r="FR211" s="436"/>
      <c r="FS211" s="436"/>
      <c r="FT211" s="436"/>
      <c r="FU211" s="436"/>
      <c r="FV211" s="436"/>
      <c r="FW211" s="436"/>
      <c r="FX211" s="436"/>
      <c r="FY211" s="436"/>
      <c r="FZ211" s="436"/>
      <c r="GA211" s="436"/>
      <c r="GB211" s="436"/>
      <c r="GC211" s="436"/>
      <c r="GD211" s="436"/>
      <c r="GE211" s="436"/>
      <c r="GF211" s="436"/>
      <c r="GG211" s="436"/>
      <c r="GH211" s="436"/>
      <c r="GI211" s="436"/>
      <c r="GJ211" s="436"/>
      <c r="GK211" s="436"/>
      <c r="GL211" s="436"/>
      <c r="GM211" s="436"/>
      <c r="GN211" s="436"/>
      <c r="GO211" s="436"/>
      <c r="GP211" s="436"/>
      <c r="GQ211" s="436"/>
      <c r="GR211" s="436"/>
      <c r="GS211" s="436"/>
      <c r="GT211" s="436"/>
      <c r="GU211" s="436"/>
      <c r="GV211" s="436"/>
      <c r="GW211" s="436"/>
      <c r="GX211" s="436"/>
      <c r="GY211" s="436"/>
      <c r="GZ211" s="436"/>
      <c r="HA211" s="436"/>
      <c r="HB211" s="436"/>
      <c r="HC211" s="436"/>
      <c r="HD211" s="436"/>
      <c r="HE211" s="436"/>
      <c r="HF211" s="436"/>
      <c r="HG211" s="436"/>
      <c r="HH211" s="436"/>
      <c r="HI211" s="436"/>
      <c r="HJ211" s="436"/>
      <c r="HK211" s="436"/>
      <c r="HL211" s="436"/>
      <c r="HM211" s="436"/>
      <c r="HN211" s="436"/>
      <c r="HO211" s="436"/>
      <c r="HP211" s="436"/>
      <c r="HQ211" s="436"/>
      <c r="HR211" s="436"/>
      <c r="HS211" s="436"/>
      <c r="HT211" s="436"/>
      <c r="HU211" s="436"/>
      <c r="HV211" s="436"/>
      <c r="HW211" s="436"/>
      <c r="HX211" s="436"/>
      <c r="HY211" s="436"/>
      <c r="HZ211" s="436"/>
      <c r="IA211" s="436"/>
      <c r="IB211" s="436"/>
      <c r="IC211" s="436"/>
      <c r="ID211" s="436"/>
      <c r="IE211" s="436"/>
      <c r="IF211" s="436"/>
      <c r="IG211" s="436"/>
      <c r="IH211" s="436"/>
      <c r="II211" s="436"/>
      <c r="IJ211" s="436"/>
      <c r="IK211" s="436"/>
      <c r="IL211" s="436"/>
      <c r="IM211" s="436"/>
      <c r="IN211" s="436"/>
      <c r="IO211" s="436"/>
      <c r="IP211" s="436"/>
      <c r="IQ211" s="265"/>
      <c r="IR211" s="265"/>
    </row>
    <row r="212" spans="1:252" s="461" customFormat="1" x14ac:dyDescent="0.35">
      <c r="A212" s="685"/>
      <c r="B212" s="503"/>
      <c r="C212" s="503"/>
      <c r="D212" s="439"/>
      <c r="E212" s="686"/>
      <c r="J212" s="1591"/>
      <c r="M212" s="436"/>
      <c r="N212" s="436"/>
      <c r="O212" s="436"/>
      <c r="P212" s="436"/>
      <c r="Q212" s="436"/>
      <c r="R212" s="436"/>
      <c r="S212" s="436"/>
      <c r="T212" s="436"/>
      <c r="U212" s="436"/>
      <c r="V212" s="436"/>
      <c r="W212" s="436"/>
      <c r="X212" s="436"/>
      <c r="Y212" s="436"/>
      <c r="Z212" s="436"/>
      <c r="AA212" s="436"/>
      <c r="AB212" s="436"/>
      <c r="AC212" s="436"/>
      <c r="AD212" s="436"/>
      <c r="AE212" s="436"/>
      <c r="AF212" s="436"/>
      <c r="AG212" s="436"/>
      <c r="AH212" s="436"/>
      <c r="AI212" s="436"/>
      <c r="AJ212" s="436"/>
      <c r="AK212" s="436"/>
      <c r="AL212" s="436"/>
      <c r="AM212" s="436"/>
      <c r="AN212" s="436"/>
      <c r="AO212" s="436"/>
      <c r="AP212" s="436"/>
      <c r="AQ212" s="436"/>
      <c r="AR212" s="436"/>
      <c r="AS212" s="436"/>
      <c r="AT212" s="436"/>
      <c r="AU212" s="436"/>
      <c r="AV212" s="436"/>
      <c r="AW212" s="436"/>
      <c r="AX212" s="436"/>
      <c r="AY212" s="436"/>
      <c r="AZ212" s="436"/>
      <c r="BA212" s="436"/>
      <c r="BB212" s="436"/>
      <c r="BC212" s="436"/>
      <c r="BD212" s="436"/>
      <c r="BE212" s="436"/>
      <c r="BF212" s="436"/>
      <c r="BG212" s="436"/>
      <c r="BH212" s="436"/>
      <c r="BI212" s="436"/>
      <c r="BJ212" s="436"/>
      <c r="BK212" s="436"/>
      <c r="BL212" s="436"/>
      <c r="BM212" s="436"/>
      <c r="BN212" s="436"/>
      <c r="BO212" s="436"/>
      <c r="BP212" s="436"/>
      <c r="BQ212" s="436"/>
      <c r="BR212" s="436"/>
      <c r="BS212" s="436"/>
      <c r="BT212" s="436"/>
      <c r="BU212" s="436"/>
      <c r="BV212" s="436"/>
      <c r="BW212" s="436"/>
      <c r="BX212" s="436"/>
      <c r="BY212" s="436"/>
      <c r="BZ212" s="436"/>
      <c r="CA212" s="436"/>
      <c r="CB212" s="436"/>
      <c r="CC212" s="436"/>
      <c r="CD212" s="436"/>
      <c r="CE212" s="436"/>
      <c r="CF212" s="436"/>
      <c r="CG212" s="436"/>
      <c r="CH212" s="436"/>
      <c r="CI212" s="436"/>
      <c r="CJ212" s="436"/>
      <c r="CK212" s="436"/>
      <c r="CL212" s="436"/>
      <c r="CM212" s="436"/>
      <c r="CN212" s="436"/>
      <c r="CO212" s="436"/>
      <c r="CP212" s="436"/>
      <c r="CQ212" s="436"/>
      <c r="CR212" s="436"/>
      <c r="CS212" s="436"/>
      <c r="CT212" s="436"/>
      <c r="CU212" s="436"/>
      <c r="CV212" s="436"/>
      <c r="CW212" s="436"/>
      <c r="CX212" s="436"/>
      <c r="CY212" s="436"/>
      <c r="CZ212" s="436"/>
      <c r="DA212" s="436"/>
      <c r="DB212" s="436"/>
      <c r="DC212" s="436"/>
      <c r="DD212" s="436"/>
      <c r="DE212" s="436"/>
      <c r="DF212" s="436"/>
      <c r="DG212" s="436"/>
      <c r="DH212" s="436"/>
      <c r="DI212" s="436"/>
      <c r="DJ212" s="436"/>
      <c r="DK212" s="436"/>
      <c r="DL212" s="436"/>
      <c r="DM212" s="436"/>
      <c r="DN212" s="436"/>
      <c r="DO212" s="436"/>
      <c r="DP212" s="436"/>
      <c r="DQ212" s="436"/>
      <c r="DR212" s="436"/>
      <c r="DS212" s="436"/>
      <c r="DT212" s="436"/>
      <c r="DU212" s="436"/>
      <c r="DV212" s="436"/>
      <c r="DW212" s="436"/>
      <c r="DX212" s="436"/>
      <c r="DY212" s="436"/>
      <c r="DZ212" s="436"/>
      <c r="EA212" s="436"/>
      <c r="EB212" s="436"/>
      <c r="EC212" s="436"/>
      <c r="ED212" s="436"/>
      <c r="EE212" s="436"/>
      <c r="EF212" s="436"/>
      <c r="EG212" s="436"/>
      <c r="EH212" s="436"/>
      <c r="EI212" s="436"/>
      <c r="EJ212" s="436"/>
      <c r="EK212" s="436"/>
      <c r="EL212" s="436"/>
      <c r="EM212" s="436"/>
      <c r="EN212" s="436"/>
      <c r="EO212" s="436"/>
      <c r="EP212" s="436"/>
      <c r="EQ212" s="436"/>
      <c r="ER212" s="436"/>
      <c r="ES212" s="436"/>
      <c r="ET212" s="436"/>
      <c r="EU212" s="436"/>
      <c r="EV212" s="436"/>
      <c r="EW212" s="436"/>
      <c r="EX212" s="436"/>
      <c r="EY212" s="436"/>
      <c r="EZ212" s="436"/>
      <c r="FA212" s="436"/>
      <c r="FB212" s="436"/>
      <c r="FC212" s="436"/>
      <c r="FD212" s="436"/>
      <c r="FE212" s="436"/>
      <c r="FF212" s="436"/>
      <c r="FG212" s="436"/>
      <c r="FH212" s="436"/>
      <c r="FI212" s="436"/>
      <c r="FJ212" s="436"/>
      <c r="FK212" s="436"/>
      <c r="FL212" s="436"/>
      <c r="FM212" s="436"/>
      <c r="FN212" s="436"/>
      <c r="FO212" s="436"/>
      <c r="FP212" s="436"/>
      <c r="FQ212" s="436"/>
      <c r="FR212" s="436"/>
      <c r="FS212" s="436"/>
      <c r="FT212" s="436"/>
      <c r="FU212" s="436"/>
      <c r="FV212" s="436"/>
      <c r="FW212" s="436"/>
      <c r="FX212" s="436"/>
      <c r="FY212" s="436"/>
      <c r="FZ212" s="436"/>
      <c r="GA212" s="436"/>
      <c r="GB212" s="436"/>
      <c r="GC212" s="436"/>
      <c r="GD212" s="436"/>
      <c r="GE212" s="436"/>
      <c r="GF212" s="436"/>
      <c r="GG212" s="436"/>
      <c r="GH212" s="436"/>
      <c r="GI212" s="436"/>
      <c r="GJ212" s="436"/>
      <c r="GK212" s="436"/>
      <c r="GL212" s="436"/>
      <c r="GM212" s="436"/>
      <c r="GN212" s="436"/>
      <c r="GO212" s="436"/>
      <c r="GP212" s="436"/>
      <c r="GQ212" s="436"/>
      <c r="GR212" s="436"/>
      <c r="GS212" s="436"/>
      <c r="GT212" s="436"/>
      <c r="GU212" s="436"/>
      <c r="GV212" s="436"/>
      <c r="GW212" s="436"/>
      <c r="GX212" s="436"/>
      <c r="GY212" s="436"/>
      <c r="GZ212" s="436"/>
      <c r="HA212" s="436"/>
      <c r="HB212" s="436"/>
      <c r="HC212" s="436"/>
      <c r="HD212" s="436"/>
      <c r="HE212" s="436"/>
      <c r="HF212" s="436"/>
      <c r="HG212" s="436"/>
      <c r="HH212" s="436"/>
      <c r="HI212" s="436"/>
      <c r="HJ212" s="436"/>
      <c r="HK212" s="436"/>
      <c r="HL212" s="436"/>
      <c r="HM212" s="436"/>
      <c r="HN212" s="436"/>
      <c r="HO212" s="436"/>
      <c r="HP212" s="436"/>
      <c r="HQ212" s="436"/>
      <c r="HR212" s="436"/>
      <c r="HS212" s="436"/>
      <c r="HT212" s="436"/>
      <c r="HU212" s="436"/>
      <c r="HV212" s="436"/>
      <c r="HW212" s="436"/>
      <c r="HX212" s="436"/>
      <c r="HY212" s="436"/>
      <c r="HZ212" s="436"/>
      <c r="IA212" s="436"/>
      <c r="IB212" s="436"/>
      <c r="IC212" s="436"/>
      <c r="ID212" s="436"/>
      <c r="IE212" s="436"/>
      <c r="IF212" s="436"/>
      <c r="IG212" s="436"/>
      <c r="IH212" s="436"/>
      <c r="II212" s="436"/>
      <c r="IJ212" s="436"/>
      <c r="IK212" s="436"/>
      <c r="IL212" s="436"/>
      <c r="IM212" s="436"/>
      <c r="IN212" s="436"/>
      <c r="IO212" s="436"/>
      <c r="IP212" s="436"/>
      <c r="IQ212" s="265"/>
      <c r="IR212" s="265"/>
    </row>
    <row r="213" spans="1:252" s="461" customFormat="1" x14ac:dyDescent="0.35">
      <c r="A213" s="685"/>
      <c r="B213" s="503"/>
      <c r="C213" s="503"/>
      <c r="D213" s="439"/>
      <c r="E213" s="686"/>
      <c r="J213" s="1591"/>
      <c r="M213" s="436"/>
      <c r="N213" s="436"/>
      <c r="O213" s="436"/>
      <c r="P213" s="436"/>
      <c r="Q213" s="436"/>
      <c r="R213" s="436"/>
      <c r="S213" s="436"/>
      <c r="T213" s="436"/>
      <c r="U213" s="436"/>
      <c r="V213" s="436"/>
      <c r="W213" s="436"/>
      <c r="X213" s="436"/>
      <c r="Y213" s="436"/>
      <c r="Z213" s="436"/>
      <c r="AA213" s="436"/>
      <c r="AB213" s="436"/>
      <c r="AC213" s="436"/>
      <c r="AD213" s="436"/>
      <c r="AE213" s="436"/>
      <c r="AF213" s="436"/>
      <c r="AG213" s="436"/>
      <c r="AH213" s="436"/>
      <c r="AI213" s="436"/>
      <c r="AJ213" s="436"/>
      <c r="AK213" s="436"/>
      <c r="AL213" s="436"/>
      <c r="AM213" s="436"/>
      <c r="AN213" s="436"/>
      <c r="AO213" s="436"/>
      <c r="AP213" s="436"/>
      <c r="AQ213" s="436"/>
      <c r="AR213" s="436"/>
      <c r="AS213" s="436"/>
      <c r="AT213" s="436"/>
      <c r="AU213" s="436"/>
      <c r="AV213" s="436"/>
      <c r="AW213" s="436"/>
      <c r="AX213" s="436"/>
      <c r="AY213" s="436"/>
      <c r="AZ213" s="436"/>
      <c r="BA213" s="436"/>
      <c r="BB213" s="436"/>
      <c r="BC213" s="436"/>
      <c r="BD213" s="436"/>
      <c r="BE213" s="436"/>
      <c r="BF213" s="436"/>
      <c r="BG213" s="436"/>
      <c r="BH213" s="436"/>
      <c r="BI213" s="436"/>
      <c r="BJ213" s="436"/>
      <c r="BK213" s="436"/>
      <c r="BL213" s="436"/>
      <c r="BM213" s="436"/>
      <c r="BN213" s="436"/>
      <c r="BO213" s="436"/>
      <c r="BP213" s="436"/>
      <c r="BQ213" s="436"/>
      <c r="BR213" s="436"/>
      <c r="BS213" s="436"/>
      <c r="BT213" s="436"/>
      <c r="BU213" s="436"/>
      <c r="BV213" s="436"/>
      <c r="BW213" s="436"/>
      <c r="BX213" s="436"/>
      <c r="BY213" s="436"/>
      <c r="BZ213" s="436"/>
      <c r="CA213" s="436"/>
      <c r="CB213" s="436"/>
      <c r="CC213" s="436"/>
      <c r="CD213" s="436"/>
      <c r="CE213" s="436"/>
      <c r="CF213" s="436"/>
      <c r="CG213" s="436"/>
      <c r="CH213" s="436"/>
      <c r="CI213" s="436"/>
      <c r="CJ213" s="436"/>
      <c r="CK213" s="436"/>
      <c r="CL213" s="436"/>
      <c r="CM213" s="436"/>
      <c r="CN213" s="436"/>
      <c r="CO213" s="436"/>
      <c r="CP213" s="436"/>
      <c r="CQ213" s="436"/>
      <c r="CR213" s="436"/>
      <c r="CS213" s="436"/>
      <c r="CT213" s="436"/>
      <c r="CU213" s="436"/>
      <c r="CV213" s="436"/>
      <c r="CW213" s="436"/>
      <c r="CX213" s="436"/>
      <c r="CY213" s="436"/>
      <c r="CZ213" s="436"/>
      <c r="DA213" s="436"/>
      <c r="DB213" s="436"/>
      <c r="DC213" s="436"/>
      <c r="DD213" s="436"/>
      <c r="DE213" s="436"/>
      <c r="DF213" s="436"/>
      <c r="DG213" s="436"/>
      <c r="DH213" s="436"/>
      <c r="DI213" s="436"/>
      <c r="DJ213" s="436"/>
      <c r="DK213" s="436"/>
      <c r="DL213" s="436"/>
      <c r="DM213" s="436"/>
      <c r="DN213" s="436"/>
      <c r="DO213" s="436"/>
      <c r="DP213" s="436"/>
      <c r="DQ213" s="436"/>
      <c r="DR213" s="436"/>
      <c r="DS213" s="436"/>
      <c r="DT213" s="436"/>
      <c r="DU213" s="436"/>
      <c r="DV213" s="436"/>
      <c r="DW213" s="436"/>
      <c r="DX213" s="436"/>
      <c r="DY213" s="436"/>
      <c r="DZ213" s="436"/>
      <c r="EA213" s="436"/>
      <c r="EB213" s="436"/>
      <c r="EC213" s="436"/>
      <c r="ED213" s="436"/>
      <c r="EE213" s="436"/>
      <c r="EF213" s="436"/>
      <c r="EG213" s="436"/>
      <c r="EH213" s="436"/>
      <c r="EI213" s="436"/>
      <c r="EJ213" s="436"/>
      <c r="EK213" s="436"/>
      <c r="EL213" s="436"/>
      <c r="EM213" s="436"/>
      <c r="EN213" s="436"/>
      <c r="EO213" s="436"/>
      <c r="EP213" s="436"/>
      <c r="EQ213" s="436"/>
      <c r="ER213" s="436"/>
      <c r="ES213" s="436"/>
      <c r="ET213" s="436"/>
      <c r="EU213" s="436"/>
      <c r="EV213" s="436"/>
      <c r="EW213" s="436"/>
      <c r="EX213" s="436"/>
      <c r="EY213" s="436"/>
      <c r="EZ213" s="436"/>
      <c r="FA213" s="436"/>
      <c r="FB213" s="436"/>
      <c r="FC213" s="436"/>
      <c r="FD213" s="436"/>
      <c r="FE213" s="436"/>
      <c r="FF213" s="436"/>
      <c r="FG213" s="436"/>
      <c r="FH213" s="436"/>
      <c r="FI213" s="436"/>
      <c r="FJ213" s="436"/>
      <c r="FK213" s="436"/>
      <c r="FL213" s="436"/>
      <c r="FM213" s="436"/>
      <c r="FN213" s="436"/>
      <c r="FO213" s="436"/>
      <c r="FP213" s="436"/>
      <c r="FQ213" s="436"/>
      <c r="FR213" s="436"/>
      <c r="FS213" s="436"/>
      <c r="FT213" s="436"/>
      <c r="FU213" s="436"/>
      <c r="FV213" s="436"/>
      <c r="FW213" s="436"/>
      <c r="FX213" s="436"/>
      <c r="FY213" s="436"/>
      <c r="FZ213" s="436"/>
      <c r="GA213" s="436"/>
      <c r="GB213" s="436"/>
      <c r="GC213" s="436"/>
      <c r="GD213" s="436"/>
      <c r="GE213" s="436"/>
      <c r="GF213" s="436"/>
      <c r="GG213" s="436"/>
      <c r="GH213" s="436"/>
      <c r="GI213" s="436"/>
      <c r="GJ213" s="436"/>
      <c r="GK213" s="436"/>
      <c r="GL213" s="436"/>
      <c r="GM213" s="436"/>
      <c r="GN213" s="436"/>
      <c r="GO213" s="436"/>
      <c r="GP213" s="436"/>
      <c r="GQ213" s="436"/>
      <c r="GR213" s="436"/>
      <c r="GS213" s="436"/>
      <c r="GT213" s="436"/>
      <c r="GU213" s="436"/>
      <c r="GV213" s="436"/>
      <c r="GW213" s="436"/>
      <c r="GX213" s="436"/>
      <c r="GY213" s="436"/>
      <c r="GZ213" s="436"/>
      <c r="HA213" s="436"/>
      <c r="HB213" s="436"/>
      <c r="HC213" s="436"/>
      <c r="HD213" s="436"/>
      <c r="HE213" s="436"/>
      <c r="HF213" s="436"/>
      <c r="HG213" s="436"/>
      <c r="HH213" s="436"/>
      <c r="HI213" s="436"/>
      <c r="HJ213" s="436"/>
      <c r="HK213" s="436"/>
      <c r="HL213" s="436"/>
      <c r="HM213" s="436"/>
      <c r="HN213" s="436"/>
      <c r="HO213" s="436"/>
      <c r="HP213" s="436"/>
      <c r="HQ213" s="436"/>
      <c r="HR213" s="436"/>
      <c r="HS213" s="436"/>
      <c r="HT213" s="436"/>
      <c r="HU213" s="436"/>
      <c r="HV213" s="436"/>
      <c r="HW213" s="436"/>
      <c r="HX213" s="436"/>
      <c r="HY213" s="436"/>
      <c r="HZ213" s="436"/>
      <c r="IA213" s="436"/>
      <c r="IB213" s="436"/>
      <c r="IC213" s="436"/>
      <c r="ID213" s="436"/>
      <c r="IE213" s="436"/>
      <c r="IF213" s="436"/>
      <c r="IG213" s="436"/>
      <c r="IH213" s="436"/>
      <c r="II213" s="436"/>
      <c r="IJ213" s="436"/>
      <c r="IK213" s="436"/>
      <c r="IL213" s="436"/>
      <c r="IM213" s="436"/>
      <c r="IN213" s="436"/>
      <c r="IO213" s="436"/>
      <c r="IP213" s="436"/>
      <c r="IQ213" s="265"/>
      <c r="IR213" s="265"/>
    </row>
    <row r="214" spans="1:252" s="461" customFormat="1" x14ac:dyDescent="0.35">
      <c r="A214" s="685"/>
      <c r="B214" s="503"/>
      <c r="C214" s="503"/>
      <c r="D214" s="439"/>
      <c r="E214" s="686"/>
      <c r="J214" s="1591"/>
      <c r="M214" s="436"/>
      <c r="N214" s="436"/>
      <c r="O214" s="436"/>
      <c r="P214" s="436"/>
      <c r="Q214" s="436"/>
      <c r="R214" s="436"/>
      <c r="S214" s="436"/>
      <c r="T214" s="436"/>
      <c r="U214" s="436"/>
      <c r="V214" s="436"/>
      <c r="W214" s="436"/>
      <c r="X214" s="436"/>
      <c r="Y214" s="436"/>
      <c r="Z214" s="436"/>
      <c r="AA214" s="436"/>
      <c r="AB214" s="436"/>
      <c r="AC214" s="436"/>
      <c r="AD214" s="436"/>
      <c r="AE214" s="436"/>
      <c r="AF214" s="436"/>
      <c r="AG214" s="436"/>
      <c r="AH214" s="436"/>
      <c r="AI214" s="436"/>
      <c r="AJ214" s="436"/>
      <c r="AK214" s="436"/>
      <c r="AL214" s="436"/>
      <c r="AM214" s="436"/>
      <c r="AN214" s="436"/>
      <c r="AO214" s="436"/>
      <c r="AP214" s="436"/>
      <c r="AQ214" s="436"/>
      <c r="AR214" s="436"/>
      <c r="AS214" s="436"/>
      <c r="AT214" s="436"/>
      <c r="AU214" s="436"/>
      <c r="AV214" s="436"/>
      <c r="AW214" s="436"/>
      <c r="AX214" s="436"/>
      <c r="AY214" s="436"/>
      <c r="AZ214" s="436"/>
      <c r="BA214" s="436"/>
      <c r="BB214" s="436"/>
      <c r="BC214" s="436"/>
      <c r="BD214" s="436"/>
      <c r="BE214" s="436"/>
      <c r="BF214" s="436"/>
      <c r="BG214" s="436"/>
      <c r="BH214" s="436"/>
      <c r="BI214" s="436"/>
      <c r="BJ214" s="436"/>
      <c r="BK214" s="436"/>
      <c r="BL214" s="436"/>
      <c r="BM214" s="436"/>
      <c r="BN214" s="436"/>
      <c r="BO214" s="436"/>
      <c r="BP214" s="436"/>
      <c r="BQ214" s="436"/>
      <c r="BR214" s="436"/>
      <c r="BS214" s="436"/>
      <c r="BT214" s="436"/>
      <c r="BU214" s="436"/>
      <c r="BV214" s="436"/>
      <c r="BW214" s="436"/>
      <c r="BX214" s="436"/>
      <c r="BY214" s="436"/>
      <c r="BZ214" s="436"/>
      <c r="CA214" s="436"/>
      <c r="CB214" s="436"/>
      <c r="CC214" s="436"/>
      <c r="CD214" s="436"/>
      <c r="CE214" s="436"/>
      <c r="CF214" s="436"/>
      <c r="CG214" s="436"/>
      <c r="CH214" s="436"/>
      <c r="CI214" s="436"/>
      <c r="CJ214" s="436"/>
      <c r="CK214" s="436"/>
      <c r="CL214" s="436"/>
      <c r="CM214" s="436"/>
      <c r="CN214" s="436"/>
      <c r="CO214" s="436"/>
      <c r="CP214" s="436"/>
      <c r="CQ214" s="436"/>
      <c r="CR214" s="436"/>
      <c r="CS214" s="436"/>
      <c r="CT214" s="436"/>
      <c r="CU214" s="436"/>
      <c r="CV214" s="436"/>
      <c r="CW214" s="436"/>
      <c r="CX214" s="436"/>
      <c r="CY214" s="436"/>
      <c r="CZ214" s="436"/>
      <c r="DA214" s="436"/>
      <c r="DB214" s="436"/>
      <c r="DC214" s="436"/>
      <c r="DD214" s="436"/>
      <c r="DE214" s="436"/>
      <c r="DF214" s="436"/>
      <c r="DG214" s="436"/>
      <c r="DH214" s="436"/>
      <c r="DI214" s="436"/>
      <c r="DJ214" s="436"/>
      <c r="DK214" s="436"/>
      <c r="DL214" s="436"/>
      <c r="DM214" s="436"/>
      <c r="DN214" s="436"/>
      <c r="DO214" s="436"/>
      <c r="DP214" s="436"/>
      <c r="DQ214" s="436"/>
      <c r="DR214" s="436"/>
      <c r="DS214" s="436"/>
      <c r="DT214" s="436"/>
      <c r="DU214" s="436"/>
      <c r="DV214" s="436"/>
      <c r="DW214" s="436"/>
      <c r="DX214" s="436"/>
      <c r="DY214" s="436"/>
      <c r="DZ214" s="436"/>
      <c r="EA214" s="436"/>
      <c r="EB214" s="436"/>
      <c r="EC214" s="436"/>
      <c r="ED214" s="436"/>
      <c r="EE214" s="436"/>
      <c r="EF214" s="436"/>
      <c r="EG214" s="436"/>
      <c r="EH214" s="436"/>
      <c r="EI214" s="436"/>
      <c r="EJ214" s="436"/>
      <c r="EK214" s="436"/>
      <c r="EL214" s="436"/>
      <c r="EM214" s="436"/>
      <c r="EN214" s="436"/>
      <c r="EO214" s="436"/>
      <c r="EP214" s="436"/>
      <c r="EQ214" s="436"/>
      <c r="ER214" s="436"/>
      <c r="ES214" s="436"/>
      <c r="ET214" s="436"/>
      <c r="EU214" s="436"/>
      <c r="EV214" s="436"/>
      <c r="EW214" s="436"/>
      <c r="EX214" s="436"/>
      <c r="EY214" s="436"/>
      <c r="EZ214" s="436"/>
      <c r="FA214" s="436"/>
      <c r="FB214" s="436"/>
      <c r="FC214" s="436"/>
      <c r="FD214" s="436"/>
      <c r="FE214" s="436"/>
      <c r="FF214" s="436"/>
      <c r="FG214" s="436"/>
      <c r="FH214" s="436"/>
      <c r="FI214" s="436"/>
      <c r="FJ214" s="436"/>
      <c r="FK214" s="436"/>
      <c r="FL214" s="436"/>
      <c r="FM214" s="436"/>
      <c r="FN214" s="436"/>
      <c r="FO214" s="436"/>
      <c r="FP214" s="436"/>
      <c r="FQ214" s="436"/>
      <c r="FR214" s="436"/>
      <c r="FS214" s="436"/>
      <c r="FT214" s="436"/>
      <c r="FU214" s="436"/>
      <c r="FV214" s="436"/>
      <c r="FW214" s="436"/>
      <c r="FX214" s="436"/>
      <c r="FY214" s="436"/>
      <c r="FZ214" s="436"/>
      <c r="GA214" s="436"/>
      <c r="GB214" s="436"/>
      <c r="GC214" s="436"/>
      <c r="GD214" s="436"/>
      <c r="GE214" s="436"/>
      <c r="GF214" s="436"/>
      <c r="GG214" s="436"/>
      <c r="GH214" s="436"/>
      <c r="GI214" s="436"/>
      <c r="GJ214" s="436"/>
      <c r="GK214" s="436"/>
      <c r="GL214" s="436"/>
      <c r="GM214" s="436"/>
      <c r="GN214" s="436"/>
      <c r="GO214" s="436"/>
      <c r="GP214" s="436"/>
      <c r="GQ214" s="436"/>
      <c r="GR214" s="436"/>
      <c r="GS214" s="436"/>
      <c r="GT214" s="436"/>
      <c r="GU214" s="436"/>
      <c r="GV214" s="436"/>
      <c r="GW214" s="436"/>
      <c r="GX214" s="436"/>
      <c r="GY214" s="436"/>
      <c r="GZ214" s="436"/>
      <c r="HA214" s="436"/>
      <c r="HB214" s="436"/>
      <c r="HC214" s="436"/>
      <c r="HD214" s="436"/>
      <c r="HE214" s="436"/>
      <c r="HF214" s="436"/>
      <c r="HG214" s="436"/>
      <c r="HH214" s="436"/>
      <c r="HI214" s="436"/>
      <c r="HJ214" s="436"/>
      <c r="HK214" s="436"/>
      <c r="HL214" s="436"/>
      <c r="HM214" s="436"/>
      <c r="HN214" s="436"/>
      <c r="HO214" s="436"/>
      <c r="HP214" s="436"/>
      <c r="HQ214" s="436"/>
      <c r="HR214" s="436"/>
      <c r="HS214" s="436"/>
      <c r="HT214" s="436"/>
      <c r="HU214" s="436"/>
      <c r="HV214" s="436"/>
      <c r="HW214" s="436"/>
      <c r="HX214" s="436"/>
      <c r="HY214" s="436"/>
      <c r="HZ214" s="436"/>
      <c r="IA214" s="436"/>
      <c r="IB214" s="436"/>
      <c r="IC214" s="436"/>
      <c r="ID214" s="436"/>
      <c r="IE214" s="436"/>
      <c r="IF214" s="436"/>
      <c r="IG214" s="436"/>
      <c r="IH214" s="436"/>
      <c r="II214" s="436"/>
      <c r="IJ214" s="436"/>
      <c r="IK214" s="436"/>
      <c r="IL214" s="436"/>
      <c r="IM214" s="436"/>
      <c r="IN214" s="436"/>
      <c r="IO214" s="436"/>
      <c r="IP214" s="436"/>
      <c r="IQ214" s="265"/>
      <c r="IR214" s="265"/>
    </row>
    <row r="215" spans="1:252" s="461" customFormat="1" x14ac:dyDescent="0.35">
      <c r="A215" s="685"/>
      <c r="B215" s="503"/>
      <c r="C215" s="503"/>
      <c r="D215" s="439"/>
      <c r="E215" s="686"/>
      <c r="J215" s="1591"/>
      <c r="M215" s="436"/>
      <c r="N215" s="436"/>
      <c r="O215" s="436"/>
      <c r="P215" s="436"/>
      <c r="Q215" s="436"/>
      <c r="R215" s="436"/>
      <c r="S215" s="436"/>
      <c r="T215" s="436"/>
      <c r="U215" s="436"/>
      <c r="V215" s="436"/>
      <c r="W215" s="436"/>
      <c r="X215" s="436"/>
      <c r="Y215" s="436"/>
      <c r="Z215" s="436"/>
      <c r="AA215" s="436"/>
      <c r="AB215" s="436"/>
      <c r="AC215" s="436"/>
      <c r="AD215" s="436"/>
      <c r="AE215" s="436"/>
      <c r="AF215" s="436"/>
      <c r="AG215" s="436"/>
      <c r="AH215" s="436"/>
      <c r="AI215" s="436"/>
      <c r="AJ215" s="436"/>
      <c r="AK215" s="436"/>
      <c r="AL215" s="436"/>
      <c r="AM215" s="436"/>
      <c r="AN215" s="436"/>
      <c r="AO215" s="436"/>
      <c r="AP215" s="436"/>
      <c r="AQ215" s="436"/>
      <c r="AR215" s="436"/>
      <c r="AS215" s="436"/>
      <c r="AT215" s="436"/>
      <c r="AU215" s="436"/>
      <c r="AV215" s="436"/>
      <c r="AW215" s="436"/>
      <c r="AX215" s="436"/>
      <c r="AY215" s="436"/>
      <c r="AZ215" s="436"/>
      <c r="BA215" s="436"/>
      <c r="BB215" s="436"/>
      <c r="BC215" s="436"/>
      <c r="BD215" s="436"/>
      <c r="BE215" s="436"/>
      <c r="BF215" s="436"/>
      <c r="BG215" s="436"/>
      <c r="BH215" s="436"/>
      <c r="BI215" s="436"/>
      <c r="BJ215" s="436"/>
      <c r="BK215" s="436"/>
      <c r="BL215" s="436"/>
      <c r="BM215" s="436"/>
      <c r="BN215" s="436"/>
      <c r="BO215" s="436"/>
      <c r="BP215" s="436"/>
      <c r="BQ215" s="436"/>
      <c r="BR215" s="436"/>
      <c r="BS215" s="436"/>
      <c r="BT215" s="436"/>
      <c r="BU215" s="436"/>
      <c r="BV215" s="436"/>
      <c r="BW215" s="436"/>
      <c r="BX215" s="436"/>
      <c r="BY215" s="436"/>
      <c r="BZ215" s="436"/>
      <c r="CA215" s="436"/>
      <c r="CB215" s="436"/>
      <c r="CC215" s="436"/>
      <c r="CD215" s="436"/>
      <c r="CE215" s="436"/>
      <c r="CF215" s="436"/>
      <c r="CG215" s="436"/>
      <c r="CH215" s="436"/>
      <c r="CI215" s="436"/>
      <c r="CJ215" s="436"/>
      <c r="CK215" s="436"/>
      <c r="CL215" s="436"/>
      <c r="CM215" s="436"/>
      <c r="CN215" s="436"/>
      <c r="CO215" s="436"/>
      <c r="CP215" s="436"/>
      <c r="CQ215" s="436"/>
      <c r="CR215" s="436"/>
      <c r="CS215" s="436"/>
      <c r="CT215" s="436"/>
      <c r="CU215" s="436"/>
      <c r="CV215" s="436"/>
      <c r="CW215" s="436"/>
      <c r="CX215" s="436"/>
      <c r="CY215" s="436"/>
      <c r="CZ215" s="436"/>
      <c r="DA215" s="436"/>
      <c r="DB215" s="436"/>
      <c r="DC215" s="436"/>
      <c r="DD215" s="436"/>
      <c r="DE215" s="436"/>
      <c r="DF215" s="436"/>
      <c r="DG215" s="436"/>
      <c r="DH215" s="436"/>
      <c r="DI215" s="436"/>
      <c r="DJ215" s="436"/>
      <c r="DK215" s="436"/>
      <c r="DL215" s="436"/>
      <c r="DM215" s="436"/>
      <c r="DN215" s="436"/>
      <c r="DO215" s="436"/>
      <c r="DP215" s="436"/>
      <c r="DQ215" s="436"/>
      <c r="DR215" s="436"/>
      <c r="DS215" s="436"/>
      <c r="DT215" s="436"/>
      <c r="DU215" s="436"/>
      <c r="DV215" s="436"/>
      <c r="DW215" s="436"/>
      <c r="DX215" s="436"/>
      <c r="DY215" s="436"/>
      <c r="DZ215" s="436"/>
      <c r="EA215" s="436"/>
      <c r="EB215" s="436"/>
      <c r="EC215" s="436"/>
      <c r="ED215" s="436"/>
      <c r="EE215" s="436"/>
      <c r="EF215" s="436"/>
      <c r="EG215" s="436"/>
      <c r="EH215" s="436"/>
      <c r="EI215" s="436"/>
      <c r="EJ215" s="436"/>
      <c r="EK215" s="436"/>
      <c r="EL215" s="436"/>
      <c r="EM215" s="436"/>
      <c r="EN215" s="436"/>
      <c r="EO215" s="436"/>
      <c r="EP215" s="436"/>
      <c r="EQ215" s="436"/>
      <c r="ER215" s="436"/>
      <c r="ES215" s="436"/>
      <c r="ET215" s="436"/>
      <c r="EU215" s="436"/>
      <c r="EV215" s="436"/>
      <c r="EW215" s="436"/>
      <c r="EX215" s="436"/>
      <c r="EY215" s="436"/>
      <c r="EZ215" s="436"/>
      <c r="FA215" s="436"/>
      <c r="FB215" s="436"/>
      <c r="FC215" s="436"/>
      <c r="FD215" s="436"/>
      <c r="FE215" s="436"/>
      <c r="FF215" s="436"/>
      <c r="FG215" s="436"/>
      <c r="FH215" s="436"/>
      <c r="FI215" s="436"/>
      <c r="FJ215" s="436"/>
      <c r="FK215" s="436"/>
      <c r="FL215" s="436"/>
      <c r="FM215" s="436"/>
      <c r="FN215" s="436"/>
      <c r="FO215" s="436"/>
      <c r="FP215" s="436"/>
      <c r="FQ215" s="436"/>
      <c r="FR215" s="436"/>
      <c r="FS215" s="436"/>
      <c r="FT215" s="436"/>
      <c r="FU215" s="436"/>
      <c r="FV215" s="436"/>
      <c r="FW215" s="436"/>
      <c r="FX215" s="436"/>
      <c r="FY215" s="436"/>
      <c r="FZ215" s="436"/>
      <c r="GA215" s="436"/>
      <c r="GB215" s="436"/>
      <c r="GC215" s="436"/>
      <c r="GD215" s="436"/>
      <c r="GE215" s="436"/>
      <c r="GF215" s="436"/>
      <c r="GG215" s="436"/>
      <c r="GH215" s="436"/>
      <c r="GI215" s="436"/>
      <c r="GJ215" s="436"/>
      <c r="GK215" s="436"/>
      <c r="GL215" s="436"/>
      <c r="GM215" s="436"/>
      <c r="GN215" s="436"/>
      <c r="GO215" s="436"/>
      <c r="GP215" s="436"/>
      <c r="GQ215" s="436"/>
      <c r="GR215" s="436"/>
      <c r="GS215" s="436"/>
      <c r="GT215" s="436"/>
      <c r="GU215" s="436"/>
      <c r="GV215" s="436"/>
      <c r="GW215" s="436"/>
      <c r="GX215" s="436"/>
      <c r="GY215" s="436"/>
      <c r="GZ215" s="436"/>
      <c r="HA215" s="436"/>
      <c r="HB215" s="436"/>
      <c r="HC215" s="436"/>
      <c r="HD215" s="436"/>
      <c r="HE215" s="436"/>
      <c r="HF215" s="436"/>
      <c r="HG215" s="436"/>
      <c r="HH215" s="436"/>
      <c r="HI215" s="436"/>
      <c r="HJ215" s="436"/>
      <c r="HK215" s="436"/>
      <c r="HL215" s="436"/>
      <c r="HM215" s="436"/>
      <c r="HN215" s="436"/>
      <c r="HO215" s="436"/>
      <c r="HP215" s="436"/>
      <c r="HQ215" s="436"/>
      <c r="HR215" s="436"/>
      <c r="HS215" s="436"/>
      <c r="HT215" s="436"/>
      <c r="HU215" s="436"/>
      <c r="HV215" s="436"/>
      <c r="HW215" s="436"/>
      <c r="HX215" s="436"/>
      <c r="HY215" s="436"/>
      <c r="HZ215" s="436"/>
      <c r="IA215" s="436"/>
      <c r="IB215" s="436"/>
      <c r="IC215" s="436"/>
      <c r="ID215" s="436"/>
      <c r="IE215" s="436"/>
      <c r="IF215" s="436"/>
      <c r="IG215" s="436"/>
      <c r="IH215" s="436"/>
      <c r="II215" s="436"/>
      <c r="IJ215" s="436"/>
      <c r="IK215" s="436"/>
      <c r="IL215" s="436"/>
      <c r="IM215" s="436"/>
      <c r="IN215" s="436"/>
      <c r="IO215" s="436"/>
      <c r="IP215" s="436"/>
      <c r="IQ215" s="265"/>
      <c r="IR215" s="265"/>
    </row>
    <row r="216" spans="1:252" s="461" customFormat="1" x14ac:dyDescent="0.35">
      <c r="A216" s="685"/>
      <c r="B216" s="503"/>
      <c r="C216" s="503"/>
      <c r="D216" s="439"/>
      <c r="E216" s="686"/>
      <c r="J216" s="1591"/>
      <c r="M216" s="436"/>
      <c r="N216" s="436"/>
      <c r="O216" s="436"/>
      <c r="P216" s="436"/>
      <c r="Q216" s="436"/>
      <c r="R216" s="436"/>
      <c r="S216" s="436"/>
      <c r="T216" s="436"/>
      <c r="U216" s="436"/>
      <c r="V216" s="436"/>
      <c r="W216" s="436"/>
      <c r="X216" s="436"/>
      <c r="Y216" s="436"/>
      <c r="Z216" s="436"/>
      <c r="AA216" s="436"/>
      <c r="AB216" s="436"/>
      <c r="AC216" s="436"/>
      <c r="AD216" s="436"/>
      <c r="AE216" s="436"/>
      <c r="AF216" s="436"/>
      <c r="AG216" s="436"/>
      <c r="AH216" s="436"/>
      <c r="AI216" s="436"/>
      <c r="AJ216" s="436"/>
      <c r="AK216" s="436"/>
      <c r="AL216" s="436"/>
      <c r="AM216" s="436"/>
      <c r="AN216" s="436"/>
      <c r="AO216" s="436"/>
      <c r="AP216" s="436"/>
      <c r="AQ216" s="436"/>
      <c r="AR216" s="436"/>
      <c r="AS216" s="436"/>
      <c r="AT216" s="436"/>
      <c r="AU216" s="436"/>
      <c r="AV216" s="436"/>
      <c r="AW216" s="436"/>
      <c r="AX216" s="436"/>
      <c r="AY216" s="436"/>
      <c r="AZ216" s="436"/>
      <c r="BA216" s="436"/>
      <c r="BB216" s="436"/>
      <c r="BC216" s="436"/>
      <c r="BD216" s="436"/>
      <c r="BE216" s="436"/>
      <c r="BF216" s="436"/>
      <c r="BG216" s="436"/>
      <c r="BH216" s="436"/>
      <c r="BI216" s="436"/>
      <c r="BJ216" s="436"/>
      <c r="BK216" s="436"/>
      <c r="BL216" s="436"/>
      <c r="BM216" s="436"/>
      <c r="BN216" s="436"/>
      <c r="BO216" s="436"/>
      <c r="BP216" s="436"/>
      <c r="BQ216" s="436"/>
      <c r="BR216" s="436"/>
      <c r="BS216" s="436"/>
      <c r="BT216" s="436"/>
      <c r="BU216" s="436"/>
      <c r="BV216" s="436"/>
      <c r="BW216" s="436"/>
      <c r="BX216" s="436"/>
      <c r="BY216" s="436"/>
      <c r="BZ216" s="436"/>
      <c r="CA216" s="436"/>
      <c r="CB216" s="436"/>
      <c r="CC216" s="436"/>
      <c r="CD216" s="436"/>
      <c r="CE216" s="436"/>
      <c r="CF216" s="436"/>
      <c r="CG216" s="436"/>
      <c r="CH216" s="436"/>
      <c r="CI216" s="436"/>
      <c r="CJ216" s="436"/>
      <c r="CK216" s="436"/>
      <c r="CL216" s="436"/>
      <c r="CM216" s="436"/>
      <c r="CN216" s="436"/>
      <c r="CO216" s="436"/>
      <c r="CP216" s="436"/>
      <c r="CQ216" s="436"/>
      <c r="CR216" s="436"/>
      <c r="CS216" s="436"/>
      <c r="CT216" s="436"/>
      <c r="CU216" s="436"/>
      <c r="CV216" s="436"/>
      <c r="CW216" s="436"/>
      <c r="CX216" s="436"/>
      <c r="CY216" s="436"/>
      <c r="CZ216" s="436"/>
      <c r="DA216" s="436"/>
      <c r="DB216" s="436"/>
      <c r="DC216" s="436"/>
      <c r="DD216" s="436"/>
      <c r="DE216" s="436"/>
      <c r="DF216" s="436"/>
      <c r="DG216" s="436"/>
      <c r="DH216" s="436"/>
      <c r="DI216" s="436"/>
      <c r="DJ216" s="436"/>
      <c r="DK216" s="436"/>
      <c r="DL216" s="436"/>
      <c r="DM216" s="436"/>
      <c r="DN216" s="436"/>
      <c r="DO216" s="436"/>
      <c r="DP216" s="436"/>
      <c r="DQ216" s="436"/>
      <c r="DR216" s="436"/>
      <c r="DS216" s="436"/>
      <c r="DT216" s="436"/>
      <c r="DU216" s="436"/>
      <c r="DV216" s="436"/>
      <c r="DW216" s="436"/>
      <c r="DX216" s="436"/>
      <c r="DY216" s="436"/>
      <c r="DZ216" s="436"/>
      <c r="EA216" s="436"/>
      <c r="EB216" s="436"/>
      <c r="EC216" s="436"/>
      <c r="ED216" s="436"/>
      <c r="EE216" s="436"/>
      <c r="EF216" s="436"/>
      <c r="EG216" s="436"/>
      <c r="EH216" s="436"/>
      <c r="EI216" s="436"/>
      <c r="EJ216" s="436"/>
      <c r="EK216" s="436"/>
      <c r="EL216" s="436"/>
      <c r="EM216" s="436"/>
      <c r="EN216" s="436"/>
      <c r="EO216" s="436"/>
      <c r="EP216" s="436"/>
      <c r="EQ216" s="436"/>
      <c r="ER216" s="436"/>
      <c r="ES216" s="436"/>
      <c r="ET216" s="436"/>
      <c r="EU216" s="436"/>
      <c r="EV216" s="436"/>
      <c r="EW216" s="436"/>
      <c r="EX216" s="436"/>
      <c r="EY216" s="436"/>
      <c r="EZ216" s="436"/>
      <c r="FA216" s="436"/>
      <c r="FB216" s="436"/>
      <c r="FC216" s="436"/>
      <c r="FD216" s="436"/>
      <c r="FE216" s="436"/>
      <c r="FF216" s="436"/>
      <c r="FG216" s="436"/>
      <c r="FH216" s="436"/>
      <c r="FI216" s="436"/>
      <c r="FJ216" s="436"/>
      <c r="FK216" s="436"/>
      <c r="FL216" s="436"/>
      <c r="FM216" s="436"/>
      <c r="FN216" s="436"/>
      <c r="FO216" s="436"/>
      <c r="FP216" s="436"/>
      <c r="FQ216" s="436"/>
      <c r="FR216" s="436"/>
      <c r="FS216" s="436"/>
      <c r="FT216" s="436"/>
      <c r="FU216" s="436"/>
      <c r="FV216" s="436"/>
      <c r="FW216" s="436"/>
      <c r="FX216" s="436"/>
      <c r="FY216" s="436"/>
      <c r="FZ216" s="436"/>
      <c r="GA216" s="436"/>
      <c r="GB216" s="436"/>
      <c r="GC216" s="436"/>
      <c r="GD216" s="436"/>
      <c r="GE216" s="436"/>
      <c r="GF216" s="436"/>
      <c r="GG216" s="436"/>
      <c r="GH216" s="436"/>
      <c r="GI216" s="436"/>
      <c r="GJ216" s="436"/>
      <c r="GK216" s="436"/>
      <c r="GL216" s="436"/>
      <c r="GM216" s="436"/>
      <c r="GN216" s="436"/>
      <c r="GO216" s="436"/>
      <c r="GP216" s="436"/>
      <c r="GQ216" s="436"/>
      <c r="GR216" s="436"/>
      <c r="GS216" s="436"/>
      <c r="GT216" s="436"/>
      <c r="GU216" s="436"/>
      <c r="GV216" s="436"/>
      <c r="GW216" s="436"/>
      <c r="GX216" s="436"/>
      <c r="GY216" s="436"/>
      <c r="GZ216" s="436"/>
      <c r="HA216" s="436"/>
      <c r="HB216" s="436"/>
      <c r="HC216" s="436"/>
      <c r="HD216" s="436"/>
      <c r="HE216" s="436"/>
      <c r="HF216" s="436"/>
      <c r="HG216" s="436"/>
      <c r="HH216" s="436"/>
      <c r="HI216" s="436"/>
      <c r="HJ216" s="436"/>
      <c r="HK216" s="436"/>
      <c r="HL216" s="436"/>
      <c r="HM216" s="436"/>
      <c r="HN216" s="436"/>
      <c r="HO216" s="436"/>
      <c r="HP216" s="436"/>
      <c r="HQ216" s="436"/>
      <c r="HR216" s="436"/>
      <c r="HS216" s="436"/>
      <c r="HT216" s="436"/>
      <c r="HU216" s="436"/>
      <c r="HV216" s="436"/>
      <c r="HW216" s="436"/>
      <c r="HX216" s="436"/>
      <c r="HY216" s="436"/>
      <c r="HZ216" s="436"/>
      <c r="IA216" s="436"/>
      <c r="IB216" s="436"/>
      <c r="IC216" s="436"/>
      <c r="ID216" s="436"/>
      <c r="IE216" s="436"/>
      <c r="IF216" s="436"/>
      <c r="IG216" s="436"/>
      <c r="IH216" s="436"/>
      <c r="II216" s="436"/>
      <c r="IJ216" s="436"/>
      <c r="IK216" s="436"/>
      <c r="IL216" s="436"/>
      <c r="IM216" s="436"/>
      <c r="IN216" s="436"/>
      <c r="IO216" s="436"/>
      <c r="IP216" s="436"/>
      <c r="IQ216" s="265"/>
      <c r="IR216" s="265"/>
    </row>
    <row r="217" spans="1:252" s="461" customFormat="1" x14ac:dyDescent="0.35">
      <c r="A217" s="685"/>
      <c r="B217" s="503"/>
      <c r="C217" s="503"/>
      <c r="D217" s="439"/>
      <c r="E217" s="686"/>
      <c r="J217" s="1591"/>
      <c r="M217" s="436"/>
      <c r="N217" s="436"/>
      <c r="O217" s="436"/>
      <c r="P217" s="436"/>
      <c r="Q217" s="436"/>
      <c r="R217" s="436"/>
      <c r="S217" s="436"/>
      <c r="T217" s="436"/>
      <c r="U217" s="436"/>
      <c r="V217" s="436"/>
      <c r="W217" s="436"/>
      <c r="X217" s="436"/>
      <c r="Y217" s="436"/>
      <c r="Z217" s="436"/>
      <c r="AA217" s="436"/>
      <c r="AB217" s="436"/>
      <c r="AC217" s="436"/>
      <c r="AD217" s="436"/>
      <c r="AE217" s="436"/>
      <c r="AF217" s="436"/>
      <c r="AG217" s="436"/>
      <c r="AH217" s="436"/>
      <c r="AI217" s="436"/>
      <c r="AJ217" s="436"/>
      <c r="AK217" s="436"/>
      <c r="AL217" s="436"/>
      <c r="AM217" s="436"/>
      <c r="AN217" s="436"/>
      <c r="AO217" s="436"/>
      <c r="AP217" s="436"/>
      <c r="AQ217" s="436"/>
      <c r="AR217" s="436"/>
      <c r="AS217" s="436"/>
      <c r="AT217" s="436"/>
      <c r="AU217" s="436"/>
      <c r="AV217" s="436"/>
      <c r="AW217" s="436"/>
      <c r="AX217" s="436"/>
      <c r="AY217" s="436"/>
      <c r="AZ217" s="436"/>
      <c r="BA217" s="436"/>
      <c r="BB217" s="436"/>
      <c r="BC217" s="436"/>
      <c r="BD217" s="436"/>
      <c r="BE217" s="436"/>
      <c r="BF217" s="436"/>
      <c r="BG217" s="436"/>
      <c r="BH217" s="436"/>
      <c r="BI217" s="436"/>
      <c r="BJ217" s="436"/>
      <c r="BK217" s="436"/>
      <c r="BL217" s="436"/>
      <c r="BM217" s="436"/>
      <c r="BN217" s="436"/>
      <c r="BO217" s="436"/>
      <c r="BP217" s="436"/>
      <c r="BQ217" s="436"/>
      <c r="BR217" s="436"/>
      <c r="BS217" s="436"/>
      <c r="BT217" s="436"/>
      <c r="BU217" s="436"/>
      <c r="BV217" s="436"/>
      <c r="BW217" s="436"/>
      <c r="BX217" s="436"/>
      <c r="BY217" s="436"/>
      <c r="BZ217" s="436"/>
      <c r="CA217" s="436"/>
      <c r="CB217" s="436"/>
      <c r="CC217" s="436"/>
      <c r="CD217" s="436"/>
      <c r="CE217" s="436"/>
      <c r="CF217" s="436"/>
      <c r="CG217" s="436"/>
      <c r="CH217" s="436"/>
      <c r="CI217" s="436"/>
      <c r="CJ217" s="436"/>
      <c r="CK217" s="436"/>
      <c r="CL217" s="436"/>
      <c r="CM217" s="436"/>
      <c r="CN217" s="436"/>
      <c r="CO217" s="436"/>
      <c r="CP217" s="436"/>
      <c r="CQ217" s="436"/>
      <c r="CR217" s="436"/>
      <c r="CS217" s="436"/>
      <c r="CT217" s="436"/>
      <c r="CU217" s="436"/>
      <c r="CV217" s="436"/>
      <c r="CW217" s="436"/>
      <c r="CX217" s="436"/>
      <c r="CY217" s="436"/>
      <c r="CZ217" s="436"/>
      <c r="DA217" s="436"/>
      <c r="DB217" s="436"/>
      <c r="DC217" s="436"/>
      <c r="DD217" s="436"/>
      <c r="DE217" s="436"/>
      <c r="DF217" s="436"/>
      <c r="DG217" s="436"/>
      <c r="DH217" s="436"/>
      <c r="DI217" s="436"/>
      <c r="DJ217" s="436"/>
      <c r="DK217" s="436"/>
      <c r="DL217" s="436"/>
      <c r="DM217" s="436"/>
      <c r="DN217" s="436"/>
      <c r="DO217" s="436"/>
      <c r="DP217" s="436"/>
      <c r="DQ217" s="436"/>
      <c r="DR217" s="436"/>
      <c r="DS217" s="436"/>
      <c r="DT217" s="436"/>
      <c r="DU217" s="436"/>
      <c r="DV217" s="436"/>
      <c r="DW217" s="436"/>
      <c r="DX217" s="436"/>
      <c r="DY217" s="436"/>
      <c r="DZ217" s="436"/>
      <c r="EA217" s="436"/>
      <c r="EB217" s="436"/>
      <c r="EC217" s="436"/>
      <c r="ED217" s="436"/>
      <c r="EE217" s="436"/>
      <c r="EF217" s="436"/>
      <c r="EG217" s="436"/>
      <c r="EH217" s="436"/>
      <c r="EI217" s="436"/>
      <c r="EJ217" s="436"/>
      <c r="EK217" s="436"/>
      <c r="EL217" s="436"/>
      <c r="EM217" s="436"/>
      <c r="EN217" s="436"/>
      <c r="EO217" s="436"/>
      <c r="EP217" s="436"/>
      <c r="EQ217" s="436"/>
      <c r="ER217" s="436"/>
      <c r="ES217" s="436"/>
      <c r="ET217" s="436"/>
      <c r="EU217" s="436"/>
      <c r="EV217" s="436"/>
      <c r="EW217" s="436"/>
      <c r="EX217" s="436"/>
      <c r="EY217" s="436"/>
      <c r="EZ217" s="436"/>
      <c r="FA217" s="436"/>
      <c r="FB217" s="436"/>
      <c r="FC217" s="436"/>
      <c r="FD217" s="436"/>
      <c r="FE217" s="436"/>
      <c r="FF217" s="436"/>
      <c r="FG217" s="436"/>
      <c r="FH217" s="436"/>
      <c r="FI217" s="436"/>
      <c r="FJ217" s="436"/>
      <c r="FK217" s="436"/>
      <c r="FL217" s="436"/>
      <c r="FM217" s="436"/>
      <c r="FN217" s="436"/>
      <c r="FO217" s="436"/>
      <c r="FP217" s="436"/>
      <c r="FQ217" s="436"/>
      <c r="FR217" s="436"/>
      <c r="FS217" s="436"/>
      <c r="FT217" s="436"/>
      <c r="FU217" s="436"/>
      <c r="FV217" s="436"/>
      <c r="FW217" s="436"/>
      <c r="FX217" s="436"/>
      <c r="FY217" s="436"/>
      <c r="FZ217" s="436"/>
      <c r="GA217" s="436"/>
      <c r="GB217" s="436"/>
      <c r="GC217" s="436"/>
      <c r="GD217" s="436"/>
      <c r="GE217" s="436"/>
      <c r="GF217" s="436"/>
      <c r="GG217" s="436"/>
      <c r="GH217" s="436"/>
      <c r="GI217" s="436"/>
      <c r="GJ217" s="436"/>
      <c r="GK217" s="436"/>
      <c r="GL217" s="436"/>
      <c r="GM217" s="436"/>
      <c r="GN217" s="436"/>
      <c r="GO217" s="436"/>
      <c r="GP217" s="436"/>
      <c r="GQ217" s="436"/>
      <c r="GR217" s="436"/>
      <c r="GS217" s="436"/>
      <c r="GT217" s="436"/>
      <c r="GU217" s="436"/>
      <c r="GV217" s="436"/>
      <c r="GW217" s="436"/>
      <c r="GX217" s="436"/>
      <c r="GY217" s="436"/>
      <c r="GZ217" s="436"/>
      <c r="HA217" s="436"/>
      <c r="HB217" s="436"/>
      <c r="HC217" s="436"/>
      <c r="HD217" s="436"/>
      <c r="HE217" s="436"/>
      <c r="HF217" s="436"/>
      <c r="HG217" s="436"/>
      <c r="HH217" s="436"/>
      <c r="HI217" s="436"/>
      <c r="HJ217" s="436"/>
      <c r="HK217" s="436"/>
      <c r="HL217" s="436"/>
      <c r="HM217" s="436"/>
      <c r="HN217" s="436"/>
      <c r="HO217" s="436"/>
      <c r="HP217" s="436"/>
      <c r="HQ217" s="436"/>
      <c r="HR217" s="436"/>
      <c r="HS217" s="436"/>
      <c r="HT217" s="436"/>
      <c r="HU217" s="436"/>
      <c r="HV217" s="436"/>
      <c r="HW217" s="436"/>
      <c r="HX217" s="436"/>
      <c r="HY217" s="436"/>
      <c r="HZ217" s="436"/>
      <c r="IA217" s="436"/>
      <c r="IB217" s="436"/>
      <c r="IC217" s="436"/>
      <c r="ID217" s="436"/>
      <c r="IE217" s="436"/>
      <c r="IF217" s="436"/>
      <c r="IG217" s="436"/>
      <c r="IH217" s="436"/>
      <c r="II217" s="436"/>
      <c r="IJ217" s="436"/>
      <c r="IK217" s="436"/>
      <c r="IL217" s="436"/>
      <c r="IM217" s="436"/>
      <c r="IN217" s="436"/>
      <c r="IO217" s="436"/>
      <c r="IP217" s="436"/>
      <c r="IQ217" s="265"/>
      <c r="IR217" s="265"/>
    </row>
    <row r="218" spans="1:252" s="461" customFormat="1" x14ac:dyDescent="0.35">
      <c r="A218" s="685"/>
      <c r="B218" s="503"/>
      <c r="C218" s="503"/>
      <c r="D218" s="439"/>
      <c r="E218" s="686"/>
      <c r="J218" s="1591"/>
      <c r="M218" s="436"/>
      <c r="N218" s="436"/>
      <c r="O218" s="436"/>
      <c r="P218" s="436"/>
      <c r="Q218" s="436"/>
      <c r="R218" s="436"/>
      <c r="S218" s="436"/>
      <c r="T218" s="436"/>
      <c r="U218" s="436"/>
      <c r="V218" s="436"/>
      <c r="W218" s="436"/>
      <c r="X218" s="436"/>
      <c r="Y218" s="436"/>
      <c r="Z218" s="436"/>
      <c r="AA218" s="436"/>
      <c r="AB218" s="436"/>
      <c r="AC218" s="436"/>
      <c r="AD218" s="436"/>
      <c r="AE218" s="436"/>
      <c r="AF218" s="436"/>
      <c r="AG218" s="436"/>
      <c r="AH218" s="436"/>
      <c r="AI218" s="436"/>
      <c r="AJ218" s="436"/>
      <c r="AK218" s="436"/>
      <c r="AL218" s="436"/>
      <c r="AM218" s="436"/>
      <c r="AN218" s="436"/>
      <c r="AO218" s="436"/>
      <c r="AP218" s="436"/>
      <c r="AQ218" s="436"/>
      <c r="AR218" s="436"/>
      <c r="AS218" s="436"/>
      <c r="AT218" s="436"/>
      <c r="AU218" s="436"/>
      <c r="AV218" s="436"/>
      <c r="AW218" s="436"/>
      <c r="AX218" s="436"/>
      <c r="AY218" s="436"/>
      <c r="AZ218" s="436"/>
      <c r="BA218" s="436"/>
      <c r="BB218" s="436"/>
      <c r="BC218" s="436"/>
      <c r="BD218" s="436"/>
      <c r="BE218" s="436"/>
      <c r="BF218" s="436"/>
      <c r="BG218" s="436"/>
      <c r="BH218" s="436"/>
      <c r="BI218" s="436"/>
      <c r="BJ218" s="436"/>
      <c r="BK218" s="436"/>
      <c r="BL218" s="436"/>
      <c r="BM218" s="436"/>
      <c r="BN218" s="436"/>
      <c r="BO218" s="436"/>
      <c r="BP218" s="436"/>
      <c r="BQ218" s="436"/>
      <c r="BR218" s="436"/>
      <c r="BS218" s="436"/>
      <c r="BT218" s="436"/>
      <c r="BU218" s="436"/>
      <c r="BV218" s="436"/>
      <c r="BW218" s="436"/>
      <c r="BX218" s="436"/>
      <c r="BY218" s="436"/>
      <c r="BZ218" s="436"/>
      <c r="CA218" s="436"/>
      <c r="CB218" s="436"/>
      <c r="CC218" s="436"/>
      <c r="CD218" s="436"/>
      <c r="CE218" s="436"/>
      <c r="CF218" s="436"/>
      <c r="CG218" s="436"/>
      <c r="CH218" s="436"/>
      <c r="CI218" s="436"/>
      <c r="CJ218" s="436"/>
      <c r="CK218" s="436"/>
      <c r="CL218" s="436"/>
      <c r="CM218" s="436"/>
      <c r="CN218" s="436"/>
      <c r="CO218" s="436"/>
      <c r="CP218" s="436"/>
      <c r="CQ218" s="436"/>
      <c r="CR218" s="436"/>
      <c r="CS218" s="436"/>
      <c r="CT218" s="436"/>
      <c r="CU218" s="436"/>
      <c r="CV218" s="436"/>
      <c r="CW218" s="436"/>
      <c r="CX218" s="436"/>
      <c r="CY218" s="436"/>
      <c r="CZ218" s="436"/>
      <c r="DA218" s="436"/>
      <c r="DB218" s="436"/>
      <c r="DC218" s="436"/>
      <c r="DD218" s="436"/>
      <c r="DE218" s="436"/>
      <c r="DF218" s="436"/>
      <c r="DG218" s="436"/>
      <c r="DH218" s="436"/>
      <c r="DI218" s="436"/>
      <c r="DJ218" s="436"/>
      <c r="DK218" s="436"/>
      <c r="DL218" s="436"/>
      <c r="DM218" s="436"/>
      <c r="DN218" s="436"/>
      <c r="DO218" s="436"/>
      <c r="DP218" s="436"/>
      <c r="DQ218" s="436"/>
      <c r="DR218" s="436"/>
      <c r="DS218" s="436"/>
      <c r="DT218" s="436"/>
      <c r="DU218" s="436"/>
      <c r="DV218" s="436"/>
      <c r="DW218" s="436"/>
      <c r="DX218" s="436"/>
      <c r="DY218" s="436"/>
      <c r="DZ218" s="436"/>
      <c r="EA218" s="436"/>
      <c r="EB218" s="436"/>
      <c r="EC218" s="436"/>
      <c r="ED218" s="436"/>
      <c r="EE218" s="436"/>
      <c r="EF218" s="436"/>
      <c r="EG218" s="436"/>
      <c r="EH218" s="436"/>
      <c r="EI218" s="436"/>
      <c r="EJ218" s="436"/>
      <c r="EK218" s="436"/>
      <c r="EL218" s="436"/>
      <c r="EM218" s="436"/>
      <c r="EN218" s="436"/>
      <c r="EO218" s="436"/>
      <c r="EP218" s="436"/>
      <c r="EQ218" s="436"/>
      <c r="ER218" s="436"/>
      <c r="ES218" s="436"/>
      <c r="ET218" s="436"/>
      <c r="EU218" s="436"/>
      <c r="EV218" s="436"/>
      <c r="EW218" s="436"/>
      <c r="EX218" s="436"/>
      <c r="EY218" s="436"/>
      <c r="EZ218" s="436"/>
      <c r="FA218" s="436"/>
      <c r="FB218" s="436"/>
      <c r="FC218" s="436"/>
      <c r="FD218" s="436"/>
      <c r="FE218" s="436"/>
      <c r="FF218" s="436"/>
      <c r="FG218" s="436"/>
      <c r="FH218" s="436"/>
      <c r="FI218" s="436"/>
      <c r="FJ218" s="436"/>
      <c r="FK218" s="436"/>
      <c r="FL218" s="436"/>
      <c r="FM218" s="436"/>
      <c r="FN218" s="436"/>
      <c r="FO218" s="436"/>
      <c r="FP218" s="436"/>
      <c r="FQ218" s="436"/>
      <c r="FR218" s="436"/>
      <c r="FS218" s="436"/>
      <c r="FT218" s="436"/>
      <c r="FU218" s="436"/>
      <c r="FV218" s="436"/>
      <c r="FW218" s="436"/>
      <c r="FX218" s="436"/>
      <c r="FY218" s="436"/>
      <c r="FZ218" s="436"/>
      <c r="GA218" s="436"/>
      <c r="GB218" s="436"/>
      <c r="GC218" s="436"/>
      <c r="GD218" s="436"/>
      <c r="GE218" s="436"/>
      <c r="GF218" s="436"/>
      <c r="GG218" s="436"/>
      <c r="GH218" s="436"/>
      <c r="GI218" s="436"/>
      <c r="GJ218" s="436"/>
      <c r="GK218" s="436"/>
      <c r="GL218" s="436"/>
      <c r="GM218" s="436"/>
      <c r="GN218" s="436"/>
      <c r="GO218" s="436"/>
      <c r="GP218" s="436"/>
      <c r="GQ218" s="436"/>
      <c r="GR218" s="436"/>
      <c r="GS218" s="436"/>
      <c r="GT218" s="436"/>
      <c r="GU218" s="436"/>
      <c r="GV218" s="436"/>
      <c r="GW218" s="436"/>
      <c r="GX218" s="436"/>
      <c r="GY218" s="436"/>
      <c r="GZ218" s="436"/>
      <c r="HA218" s="436"/>
      <c r="HB218" s="436"/>
      <c r="HC218" s="436"/>
      <c r="HD218" s="436"/>
      <c r="HE218" s="436"/>
      <c r="HF218" s="436"/>
      <c r="HG218" s="436"/>
      <c r="HH218" s="436"/>
      <c r="HI218" s="436"/>
      <c r="HJ218" s="436"/>
      <c r="HK218" s="436"/>
      <c r="HL218" s="436"/>
      <c r="HM218" s="436"/>
      <c r="HN218" s="436"/>
      <c r="HO218" s="436"/>
      <c r="HP218" s="436"/>
      <c r="HQ218" s="436"/>
      <c r="HR218" s="436"/>
      <c r="HS218" s="436"/>
      <c r="HT218" s="436"/>
      <c r="HU218" s="436"/>
      <c r="HV218" s="436"/>
      <c r="HW218" s="436"/>
      <c r="HX218" s="436"/>
      <c r="HY218" s="436"/>
      <c r="HZ218" s="436"/>
      <c r="IA218" s="436"/>
      <c r="IB218" s="436"/>
      <c r="IC218" s="436"/>
      <c r="ID218" s="436"/>
      <c r="IE218" s="436"/>
      <c r="IF218" s="436"/>
      <c r="IG218" s="436"/>
      <c r="IH218" s="436"/>
      <c r="II218" s="436"/>
      <c r="IJ218" s="436"/>
      <c r="IK218" s="436"/>
      <c r="IL218" s="436"/>
      <c r="IM218" s="436"/>
      <c r="IN218" s="436"/>
      <c r="IO218" s="436"/>
      <c r="IP218" s="436"/>
      <c r="IQ218" s="265"/>
      <c r="IR218" s="265"/>
    </row>
    <row r="219" spans="1:252" s="461" customFormat="1" x14ac:dyDescent="0.35">
      <c r="A219" s="685"/>
      <c r="B219" s="503"/>
      <c r="C219" s="503"/>
      <c r="D219" s="439"/>
      <c r="E219" s="686"/>
      <c r="J219" s="1591"/>
      <c r="M219" s="436"/>
      <c r="N219" s="436"/>
      <c r="O219" s="436"/>
      <c r="P219" s="436"/>
      <c r="Q219" s="436"/>
      <c r="R219" s="436"/>
      <c r="S219" s="436"/>
      <c r="T219" s="436"/>
      <c r="U219" s="436"/>
      <c r="V219" s="436"/>
      <c r="W219" s="436"/>
      <c r="X219" s="436"/>
      <c r="Y219" s="436"/>
      <c r="Z219" s="436"/>
      <c r="AA219" s="436"/>
      <c r="AB219" s="436"/>
      <c r="AC219" s="436"/>
      <c r="AD219" s="436"/>
      <c r="AE219" s="436"/>
      <c r="AF219" s="436"/>
      <c r="AG219" s="436"/>
      <c r="AH219" s="436"/>
      <c r="AI219" s="436"/>
      <c r="AJ219" s="436"/>
      <c r="AK219" s="436"/>
      <c r="AL219" s="436"/>
      <c r="AM219" s="436"/>
      <c r="AN219" s="436"/>
      <c r="AO219" s="436"/>
      <c r="AP219" s="436"/>
      <c r="AQ219" s="436"/>
      <c r="AR219" s="436"/>
      <c r="AS219" s="436"/>
      <c r="AT219" s="436"/>
      <c r="AU219" s="436"/>
      <c r="AV219" s="436"/>
      <c r="AW219" s="436"/>
      <c r="AX219" s="436"/>
      <c r="AY219" s="436"/>
      <c r="AZ219" s="436"/>
      <c r="BA219" s="436"/>
      <c r="BB219" s="436"/>
      <c r="BC219" s="436"/>
      <c r="BD219" s="436"/>
      <c r="BE219" s="436"/>
      <c r="BF219" s="436"/>
      <c r="BG219" s="436"/>
      <c r="BH219" s="436"/>
      <c r="BI219" s="436"/>
      <c r="BJ219" s="436"/>
      <c r="BK219" s="436"/>
      <c r="BL219" s="436"/>
      <c r="BM219" s="436"/>
      <c r="BN219" s="436"/>
      <c r="BO219" s="436"/>
      <c r="BP219" s="436"/>
      <c r="BQ219" s="436"/>
      <c r="BR219" s="436"/>
      <c r="BS219" s="436"/>
      <c r="BT219" s="436"/>
      <c r="BU219" s="436"/>
      <c r="BV219" s="436"/>
      <c r="BW219" s="436"/>
      <c r="BX219" s="436"/>
      <c r="BY219" s="436"/>
      <c r="BZ219" s="436"/>
      <c r="CA219" s="436"/>
      <c r="CB219" s="436"/>
      <c r="CC219" s="436"/>
      <c r="CD219" s="436"/>
      <c r="CE219" s="436"/>
      <c r="CF219" s="436"/>
      <c r="CG219" s="436"/>
      <c r="CH219" s="436"/>
      <c r="CI219" s="436"/>
      <c r="CJ219" s="436"/>
      <c r="CK219" s="436"/>
      <c r="CL219" s="436"/>
      <c r="CM219" s="436"/>
      <c r="CN219" s="436"/>
      <c r="CO219" s="436"/>
      <c r="CP219" s="436"/>
      <c r="CQ219" s="436"/>
      <c r="CR219" s="436"/>
      <c r="CS219" s="436"/>
      <c r="CT219" s="436"/>
      <c r="CU219" s="436"/>
      <c r="CV219" s="436"/>
      <c r="CW219" s="436"/>
      <c r="CX219" s="436"/>
      <c r="CY219" s="436"/>
      <c r="CZ219" s="436"/>
      <c r="DA219" s="436"/>
      <c r="DB219" s="436"/>
      <c r="DC219" s="436"/>
      <c r="DD219" s="436"/>
      <c r="DE219" s="436"/>
      <c r="DF219" s="436"/>
      <c r="DG219" s="436"/>
      <c r="DH219" s="436"/>
      <c r="DI219" s="436"/>
      <c r="DJ219" s="436"/>
      <c r="DK219" s="436"/>
      <c r="DL219" s="436"/>
      <c r="DM219" s="436"/>
      <c r="DN219" s="436"/>
      <c r="DO219" s="436"/>
      <c r="DP219" s="436"/>
      <c r="DQ219" s="436"/>
      <c r="DR219" s="436"/>
      <c r="DS219" s="436"/>
      <c r="DT219" s="436"/>
      <c r="DU219" s="436"/>
      <c r="DV219" s="436"/>
      <c r="DW219" s="436"/>
      <c r="DX219" s="436"/>
      <c r="DY219" s="436"/>
      <c r="DZ219" s="436"/>
      <c r="EA219" s="436"/>
      <c r="EB219" s="436"/>
      <c r="EC219" s="436"/>
      <c r="ED219" s="436"/>
      <c r="EE219" s="436"/>
      <c r="EF219" s="436"/>
      <c r="EG219" s="436"/>
      <c r="EH219" s="436"/>
      <c r="EI219" s="436"/>
      <c r="EJ219" s="436"/>
      <c r="EK219" s="436"/>
      <c r="EL219" s="436"/>
      <c r="EM219" s="436"/>
      <c r="EN219" s="436"/>
      <c r="EO219" s="436"/>
      <c r="EP219" s="436"/>
      <c r="EQ219" s="436"/>
      <c r="ER219" s="436"/>
      <c r="ES219" s="436"/>
      <c r="ET219" s="436"/>
      <c r="EU219" s="436"/>
      <c r="EV219" s="436"/>
      <c r="EW219" s="436"/>
      <c r="EX219" s="436"/>
      <c r="EY219" s="436"/>
      <c r="EZ219" s="436"/>
      <c r="FA219" s="436"/>
      <c r="FB219" s="436"/>
      <c r="FC219" s="436"/>
      <c r="FD219" s="436"/>
      <c r="FE219" s="436"/>
      <c r="FF219" s="436"/>
      <c r="FG219" s="436"/>
      <c r="FH219" s="436"/>
      <c r="FI219" s="436"/>
      <c r="FJ219" s="436"/>
      <c r="FK219" s="436"/>
      <c r="FL219" s="436"/>
      <c r="FM219" s="436"/>
      <c r="FN219" s="436"/>
      <c r="FO219" s="436"/>
      <c r="FP219" s="436"/>
      <c r="FQ219" s="436"/>
      <c r="FR219" s="436"/>
      <c r="FS219" s="436"/>
      <c r="FT219" s="436"/>
      <c r="FU219" s="436"/>
      <c r="FV219" s="436"/>
      <c r="FW219" s="436"/>
      <c r="FX219" s="436"/>
      <c r="FY219" s="436"/>
      <c r="FZ219" s="436"/>
      <c r="GA219" s="436"/>
      <c r="GB219" s="436"/>
      <c r="GC219" s="436"/>
      <c r="GD219" s="436"/>
      <c r="GE219" s="436"/>
      <c r="GF219" s="436"/>
      <c r="GG219" s="436"/>
      <c r="GH219" s="436"/>
      <c r="GI219" s="436"/>
      <c r="GJ219" s="436"/>
      <c r="GK219" s="436"/>
      <c r="GL219" s="436"/>
      <c r="GM219" s="436"/>
      <c r="GN219" s="436"/>
      <c r="GO219" s="436"/>
      <c r="GP219" s="436"/>
      <c r="GQ219" s="436"/>
      <c r="GR219" s="436"/>
      <c r="GS219" s="436"/>
      <c r="GT219" s="436"/>
      <c r="GU219" s="436"/>
      <c r="GV219" s="436"/>
      <c r="GW219" s="436"/>
      <c r="GX219" s="436"/>
      <c r="GY219" s="436"/>
      <c r="GZ219" s="436"/>
      <c r="HA219" s="436"/>
      <c r="HB219" s="436"/>
      <c r="HC219" s="436"/>
      <c r="HD219" s="436"/>
      <c r="HE219" s="436"/>
      <c r="HF219" s="436"/>
      <c r="HG219" s="436"/>
      <c r="HH219" s="436"/>
      <c r="HI219" s="436"/>
      <c r="HJ219" s="436"/>
      <c r="HK219" s="436"/>
      <c r="HL219" s="436"/>
      <c r="HM219" s="436"/>
      <c r="HN219" s="436"/>
      <c r="HO219" s="436"/>
      <c r="HP219" s="436"/>
      <c r="HQ219" s="436"/>
      <c r="HR219" s="436"/>
      <c r="HS219" s="436"/>
      <c r="HT219" s="436"/>
      <c r="HU219" s="436"/>
      <c r="HV219" s="436"/>
      <c r="HW219" s="436"/>
      <c r="HX219" s="436"/>
      <c r="HY219" s="436"/>
      <c r="HZ219" s="436"/>
      <c r="IA219" s="436"/>
      <c r="IB219" s="436"/>
      <c r="IC219" s="436"/>
      <c r="ID219" s="436"/>
      <c r="IE219" s="436"/>
      <c r="IF219" s="436"/>
      <c r="IG219" s="436"/>
      <c r="IH219" s="436"/>
      <c r="II219" s="436"/>
      <c r="IJ219" s="436"/>
      <c r="IK219" s="436"/>
      <c r="IL219" s="436"/>
      <c r="IM219" s="436"/>
      <c r="IN219" s="436"/>
      <c r="IO219" s="436"/>
      <c r="IP219" s="436"/>
      <c r="IQ219" s="265"/>
      <c r="IR219" s="265"/>
    </row>
    <row r="220" spans="1:252" s="461" customFormat="1" x14ac:dyDescent="0.35">
      <c r="A220" s="685"/>
      <c r="B220" s="503"/>
      <c r="C220" s="503"/>
      <c r="D220" s="439"/>
      <c r="E220" s="686"/>
      <c r="J220" s="1591"/>
      <c r="M220" s="436"/>
      <c r="N220" s="436"/>
      <c r="O220" s="436"/>
      <c r="P220" s="436"/>
      <c r="Q220" s="436"/>
      <c r="R220" s="436"/>
      <c r="S220" s="436"/>
      <c r="T220" s="436"/>
      <c r="U220" s="436"/>
      <c r="V220" s="436"/>
      <c r="W220" s="436"/>
      <c r="X220" s="436"/>
      <c r="Y220" s="436"/>
      <c r="Z220" s="436"/>
      <c r="AA220" s="436"/>
      <c r="AB220" s="436"/>
      <c r="AC220" s="436"/>
      <c r="AD220" s="436"/>
      <c r="AE220" s="436"/>
      <c r="AF220" s="436"/>
      <c r="AG220" s="436"/>
      <c r="AH220" s="436"/>
      <c r="AI220" s="436"/>
      <c r="AJ220" s="436"/>
      <c r="AK220" s="436"/>
      <c r="AL220" s="436"/>
      <c r="AM220" s="436"/>
      <c r="AN220" s="436"/>
      <c r="AO220" s="436"/>
      <c r="AP220" s="436"/>
      <c r="AQ220" s="436"/>
      <c r="AR220" s="436"/>
      <c r="AS220" s="436"/>
      <c r="AT220" s="436"/>
      <c r="AU220" s="436"/>
      <c r="AV220" s="436"/>
      <c r="AW220" s="436"/>
      <c r="AX220" s="436"/>
      <c r="AY220" s="436"/>
      <c r="AZ220" s="436"/>
      <c r="BA220" s="436"/>
      <c r="BB220" s="436"/>
      <c r="BC220" s="436"/>
      <c r="BD220" s="436"/>
      <c r="BE220" s="436"/>
      <c r="BF220" s="436"/>
      <c r="BG220" s="436"/>
      <c r="BH220" s="436"/>
      <c r="BI220" s="436"/>
      <c r="BJ220" s="436"/>
      <c r="BK220" s="436"/>
      <c r="BL220" s="436"/>
      <c r="BM220" s="436"/>
      <c r="BN220" s="436"/>
      <c r="BO220" s="436"/>
      <c r="BP220" s="436"/>
      <c r="BQ220" s="436"/>
      <c r="BR220" s="436"/>
      <c r="BS220" s="436"/>
      <c r="BT220" s="436"/>
      <c r="BU220" s="436"/>
      <c r="BV220" s="436"/>
      <c r="BW220" s="436"/>
      <c r="BX220" s="436"/>
      <c r="BY220" s="436"/>
      <c r="BZ220" s="436"/>
      <c r="CA220" s="436"/>
      <c r="CB220" s="436"/>
      <c r="CC220" s="436"/>
      <c r="CD220" s="436"/>
      <c r="CE220" s="436"/>
      <c r="CF220" s="436"/>
      <c r="CG220" s="436"/>
      <c r="CH220" s="436"/>
      <c r="CI220" s="436"/>
      <c r="CJ220" s="436"/>
      <c r="CK220" s="436"/>
      <c r="CL220" s="436"/>
      <c r="CM220" s="436"/>
      <c r="CN220" s="436"/>
      <c r="CO220" s="436"/>
      <c r="CP220" s="436"/>
      <c r="CQ220" s="436"/>
      <c r="CR220" s="436"/>
      <c r="CS220" s="436"/>
      <c r="CT220" s="436"/>
      <c r="CU220" s="436"/>
      <c r="CV220" s="436"/>
      <c r="CW220" s="436"/>
      <c r="CX220" s="436"/>
      <c r="CY220" s="436"/>
      <c r="CZ220" s="436"/>
      <c r="DA220" s="436"/>
      <c r="DB220" s="436"/>
      <c r="DC220" s="436"/>
      <c r="DD220" s="436"/>
      <c r="DE220" s="436"/>
      <c r="DF220" s="436"/>
      <c r="DG220" s="436"/>
      <c r="DH220" s="436"/>
      <c r="DI220" s="436"/>
      <c r="DJ220" s="436"/>
      <c r="DK220" s="436"/>
      <c r="DL220" s="436"/>
      <c r="DM220" s="436"/>
      <c r="DN220" s="436"/>
      <c r="DO220" s="436"/>
      <c r="DP220" s="436"/>
      <c r="DQ220" s="436"/>
      <c r="DR220" s="436"/>
      <c r="DS220" s="436"/>
      <c r="DT220" s="436"/>
      <c r="DU220" s="436"/>
      <c r="DV220" s="436"/>
      <c r="DW220" s="436"/>
      <c r="DX220" s="436"/>
      <c r="DY220" s="436"/>
      <c r="DZ220" s="436"/>
      <c r="EA220" s="436"/>
      <c r="EB220" s="436"/>
      <c r="EC220" s="436"/>
      <c r="ED220" s="436"/>
      <c r="EE220" s="436"/>
      <c r="EF220" s="436"/>
      <c r="EG220" s="436"/>
      <c r="EH220" s="436"/>
      <c r="EI220" s="436"/>
      <c r="EJ220" s="436"/>
      <c r="EK220" s="436"/>
      <c r="EL220" s="436"/>
      <c r="EM220" s="436"/>
      <c r="EN220" s="436"/>
      <c r="EO220" s="436"/>
      <c r="EP220" s="436"/>
      <c r="EQ220" s="436"/>
      <c r="ER220" s="436"/>
      <c r="ES220" s="436"/>
      <c r="ET220" s="436"/>
      <c r="EU220" s="436"/>
      <c r="EV220" s="436"/>
      <c r="EW220" s="436"/>
      <c r="EX220" s="436"/>
      <c r="EY220" s="436"/>
      <c r="EZ220" s="436"/>
      <c r="FA220" s="436"/>
      <c r="FB220" s="436"/>
      <c r="FC220" s="436"/>
      <c r="FD220" s="436"/>
      <c r="FE220" s="436"/>
      <c r="FF220" s="436"/>
      <c r="FG220" s="436"/>
      <c r="FH220" s="436"/>
      <c r="FI220" s="436"/>
      <c r="FJ220" s="436"/>
      <c r="FK220" s="436"/>
      <c r="FL220" s="436"/>
      <c r="FM220" s="436"/>
      <c r="FN220" s="436"/>
      <c r="FO220" s="436"/>
      <c r="FP220" s="436"/>
      <c r="FQ220" s="436"/>
      <c r="FR220" s="436"/>
      <c r="FS220" s="436"/>
      <c r="FT220" s="436"/>
      <c r="FU220" s="436"/>
      <c r="FV220" s="436"/>
      <c r="FW220" s="436"/>
      <c r="FX220" s="436"/>
      <c r="FY220" s="436"/>
      <c r="FZ220" s="436"/>
      <c r="GA220" s="436"/>
      <c r="GB220" s="436"/>
      <c r="GC220" s="436"/>
      <c r="GD220" s="436"/>
      <c r="GE220" s="436"/>
      <c r="GF220" s="436"/>
      <c r="GG220" s="436"/>
      <c r="GH220" s="436"/>
      <c r="GI220" s="436"/>
      <c r="GJ220" s="436"/>
      <c r="GK220" s="436"/>
      <c r="GL220" s="436"/>
      <c r="GM220" s="436"/>
      <c r="GN220" s="436"/>
      <c r="GO220" s="436"/>
      <c r="GP220" s="436"/>
      <c r="GQ220" s="436"/>
      <c r="GR220" s="436"/>
      <c r="GS220" s="436"/>
      <c r="GT220" s="436"/>
      <c r="GU220" s="436"/>
      <c r="GV220" s="436"/>
      <c r="GW220" s="436"/>
      <c r="GX220" s="436"/>
      <c r="GY220" s="436"/>
      <c r="GZ220" s="436"/>
      <c r="HA220" s="436"/>
      <c r="HB220" s="436"/>
      <c r="HC220" s="436"/>
      <c r="HD220" s="436"/>
      <c r="HE220" s="436"/>
      <c r="HF220" s="436"/>
      <c r="HG220" s="436"/>
      <c r="HH220" s="436"/>
      <c r="HI220" s="436"/>
      <c r="HJ220" s="436"/>
      <c r="HK220" s="436"/>
      <c r="HL220" s="436"/>
      <c r="HM220" s="436"/>
      <c r="HN220" s="436"/>
      <c r="HO220" s="436"/>
      <c r="HP220" s="436"/>
      <c r="HQ220" s="436"/>
      <c r="HR220" s="436"/>
      <c r="HS220" s="436"/>
      <c r="HT220" s="436"/>
      <c r="HU220" s="436"/>
      <c r="HV220" s="436"/>
      <c r="HW220" s="436"/>
      <c r="HX220" s="436"/>
      <c r="HY220" s="436"/>
      <c r="HZ220" s="436"/>
      <c r="IA220" s="436"/>
      <c r="IB220" s="436"/>
      <c r="IC220" s="436"/>
      <c r="ID220" s="436"/>
      <c r="IE220" s="436"/>
      <c r="IF220" s="436"/>
      <c r="IG220" s="436"/>
      <c r="IH220" s="436"/>
      <c r="II220" s="436"/>
      <c r="IJ220" s="436"/>
      <c r="IK220" s="436"/>
      <c r="IL220" s="436"/>
      <c r="IM220" s="436"/>
      <c r="IN220" s="436"/>
      <c r="IO220" s="436"/>
      <c r="IP220" s="436"/>
      <c r="IQ220" s="265"/>
      <c r="IR220" s="265"/>
    </row>
    <row r="221" spans="1:252" s="461" customFormat="1" x14ac:dyDescent="0.35">
      <c r="A221" s="685"/>
      <c r="B221" s="503"/>
      <c r="C221" s="503"/>
      <c r="D221" s="439"/>
      <c r="E221" s="686"/>
      <c r="J221" s="1591"/>
      <c r="M221" s="436"/>
      <c r="N221" s="436"/>
      <c r="O221" s="436"/>
      <c r="P221" s="436"/>
      <c r="Q221" s="436"/>
      <c r="R221" s="436"/>
      <c r="S221" s="436"/>
      <c r="T221" s="436"/>
      <c r="U221" s="436"/>
      <c r="V221" s="436"/>
      <c r="W221" s="436"/>
      <c r="X221" s="436"/>
      <c r="Y221" s="436"/>
      <c r="Z221" s="436"/>
      <c r="AA221" s="436"/>
      <c r="AB221" s="436"/>
      <c r="AC221" s="436"/>
      <c r="AD221" s="436"/>
      <c r="AE221" s="436"/>
      <c r="AF221" s="436"/>
      <c r="AG221" s="436"/>
      <c r="AH221" s="436"/>
      <c r="AI221" s="436"/>
      <c r="AJ221" s="436"/>
      <c r="AK221" s="436"/>
      <c r="AL221" s="436"/>
      <c r="AM221" s="436"/>
      <c r="AN221" s="436"/>
      <c r="AO221" s="436"/>
      <c r="AP221" s="436"/>
      <c r="AQ221" s="436"/>
      <c r="AR221" s="436"/>
      <c r="AS221" s="436"/>
      <c r="AT221" s="436"/>
      <c r="AU221" s="436"/>
      <c r="AV221" s="436"/>
      <c r="AW221" s="436"/>
      <c r="AX221" s="436"/>
      <c r="AY221" s="436"/>
      <c r="AZ221" s="436"/>
      <c r="BA221" s="436"/>
      <c r="BB221" s="436"/>
      <c r="BC221" s="436"/>
      <c r="BD221" s="436"/>
      <c r="BE221" s="436"/>
      <c r="BF221" s="436"/>
      <c r="BG221" s="436"/>
      <c r="BH221" s="436"/>
      <c r="BI221" s="436"/>
      <c r="BJ221" s="436"/>
      <c r="BK221" s="436"/>
      <c r="BL221" s="436"/>
      <c r="BM221" s="436"/>
      <c r="BN221" s="436"/>
      <c r="BO221" s="436"/>
      <c r="BP221" s="436"/>
      <c r="BQ221" s="436"/>
      <c r="BR221" s="436"/>
      <c r="BS221" s="436"/>
      <c r="BT221" s="436"/>
      <c r="BU221" s="436"/>
      <c r="BV221" s="436"/>
      <c r="BW221" s="436"/>
      <c r="BX221" s="436"/>
      <c r="BY221" s="436"/>
      <c r="BZ221" s="436"/>
      <c r="CA221" s="436"/>
      <c r="CB221" s="436"/>
      <c r="CC221" s="436"/>
      <c r="CD221" s="436"/>
      <c r="CE221" s="436"/>
      <c r="CF221" s="436"/>
      <c r="CG221" s="436"/>
      <c r="CH221" s="436"/>
      <c r="CI221" s="436"/>
      <c r="CJ221" s="436"/>
      <c r="CK221" s="436"/>
      <c r="CL221" s="436"/>
      <c r="CM221" s="436"/>
      <c r="CN221" s="436"/>
      <c r="CO221" s="436"/>
      <c r="CP221" s="436"/>
      <c r="CQ221" s="436"/>
      <c r="CR221" s="436"/>
      <c r="CS221" s="436"/>
      <c r="CT221" s="436"/>
      <c r="CU221" s="436"/>
      <c r="CV221" s="436"/>
      <c r="CW221" s="436"/>
      <c r="CX221" s="436"/>
      <c r="CY221" s="436"/>
      <c r="CZ221" s="436"/>
      <c r="DA221" s="436"/>
      <c r="DB221" s="436"/>
      <c r="DC221" s="436"/>
      <c r="DD221" s="436"/>
      <c r="DE221" s="436"/>
      <c r="DF221" s="436"/>
      <c r="DG221" s="436"/>
      <c r="DH221" s="436"/>
      <c r="DI221" s="436"/>
      <c r="DJ221" s="436"/>
      <c r="DK221" s="436"/>
      <c r="DL221" s="436"/>
      <c r="DM221" s="436"/>
      <c r="DN221" s="436"/>
      <c r="DO221" s="436"/>
      <c r="DP221" s="436"/>
      <c r="DQ221" s="436"/>
      <c r="DR221" s="436"/>
      <c r="DS221" s="436"/>
      <c r="DT221" s="436"/>
      <c r="DU221" s="436"/>
      <c r="DV221" s="436"/>
      <c r="DW221" s="436"/>
      <c r="DX221" s="436"/>
      <c r="DY221" s="436"/>
      <c r="DZ221" s="436"/>
      <c r="EA221" s="436"/>
      <c r="EB221" s="436"/>
      <c r="EC221" s="436"/>
      <c r="ED221" s="436"/>
      <c r="EE221" s="436"/>
      <c r="EF221" s="436"/>
      <c r="EG221" s="436"/>
      <c r="EH221" s="436"/>
      <c r="EI221" s="436"/>
      <c r="EJ221" s="436"/>
      <c r="EK221" s="436"/>
      <c r="EL221" s="436"/>
      <c r="EM221" s="436"/>
      <c r="EN221" s="436"/>
      <c r="EO221" s="436"/>
      <c r="EP221" s="436"/>
      <c r="EQ221" s="436"/>
      <c r="ER221" s="436"/>
      <c r="ES221" s="436"/>
      <c r="ET221" s="436"/>
      <c r="EU221" s="436"/>
      <c r="EV221" s="436"/>
      <c r="EW221" s="436"/>
      <c r="EX221" s="436"/>
      <c r="EY221" s="436"/>
      <c r="EZ221" s="436"/>
      <c r="FA221" s="436"/>
      <c r="FB221" s="436"/>
      <c r="FC221" s="436"/>
      <c r="FD221" s="436"/>
      <c r="FE221" s="436"/>
      <c r="FF221" s="436"/>
      <c r="FG221" s="436"/>
      <c r="FH221" s="436"/>
      <c r="FI221" s="436"/>
      <c r="FJ221" s="436"/>
      <c r="FK221" s="436"/>
      <c r="FL221" s="436"/>
      <c r="FM221" s="436"/>
      <c r="FN221" s="436"/>
      <c r="FO221" s="436"/>
      <c r="FP221" s="436"/>
      <c r="FQ221" s="436"/>
      <c r="FR221" s="436"/>
      <c r="FS221" s="436"/>
      <c r="FT221" s="436"/>
      <c r="FU221" s="436"/>
      <c r="FV221" s="436"/>
      <c r="FW221" s="436"/>
      <c r="FX221" s="436"/>
      <c r="FY221" s="436"/>
      <c r="FZ221" s="436"/>
      <c r="GA221" s="436"/>
      <c r="GB221" s="436"/>
      <c r="GC221" s="436"/>
      <c r="GD221" s="436"/>
      <c r="GE221" s="436"/>
      <c r="GF221" s="436"/>
      <c r="GG221" s="436"/>
      <c r="GH221" s="436"/>
      <c r="GI221" s="436"/>
      <c r="GJ221" s="436"/>
      <c r="GK221" s="436"/>
      <c r="GL221" s="436"/>
      <c r="GM221" s="436"/>
      <c r="GN221" s="436"/>
      <c r="GO221" s="436"/>
      <c r="GP221" s="436"/>
      <c r="GQ221" s="436"/>
      <c r="GR221" s="436"/>
      <c r="GS221" s="436"/>
      <c r="GT221" s="436"/>
      <c r="GU221" s="436"/>
      <c r="GV221" s="436"/>
      <c r="GW221" s="436"/>
      <c r="GX221" s="436"/>
      <c r="GY221" s="436"/>
      <c r="GZ221" s="436"/>
      <c r="HA221" s="436"/>
      <c r="HB221" s="436"/>
      <c r="HC221" s="436"/>
      <c r="HD221" s="436"/>
      <c r="HE221" s="436"/>
      <c r="HF221" s="436"/>
      <c r="HG221" s="436"/>
      <c r="HH221" s="436"/>
      <c r="HI221" s="436"/>
      <c r="HJ221" s="436"/>
      <c r="HK221" s="436"/>
      <c r="HL221" s="436"/>
      <c r="HM221" s="436"/>
      <c r="HN221" s="436"/>
      <c r="HO221" s="436"/>
      <c r="HP221" s="436"/>
      <c r="HQ221" s="436"/>
      <c r="HR221" s="436"/>
      <c r="HS221" s="436"/>
      <c r="HT221" s="436"/>
      <c r="HU221" s="436"/>
      <c r="HV221" s="436"/>
      <c r="HW221" s="436"/>
      <c r="HX221" s="436"/>
      <c r="HY221" s="436"/>
      <c r="HZ221" s="436"/>
      <c r="IA221" s="436"/>
      <c r="IB221" s="436"/>
      <c r="IC221" s="436"/>
      <c r="ID221" s="436"/>
      <c r="IE221" s="436"/>
      <c r="IF221" s="436"/>
      <c r="IG221" s="436"/>
      <c r="IH221" s="436"/>
      <c r="II221" s="436"/>
      <c r="IJ221" s="436"/>
      <c r="IK221" s="436"/>
      <c r="IL221" s="436"/>
      <c r="IM221" s="436"/>
      <c r="IN221" s="436"/>
      <c r="IO221" s="436"/>
      <c r="IP221" s="436"/>
      <c r="IQ221" s="265"/>
      <c r="IR221" s="265"/>
    </row>
    <row r="222" spans="1:252" s="461" customFormat="1" x14ac:dyDescent="0.35">
      <c r="A222" s="685"/>
      <c r="B222" s="503"/>
      <c r="C222" s="503"/>
      <c r="D222" s="439"/>
      <c r="E222" s="686"/>
      <c r="J222" s="1591"/>
      <c r="M222" s="436"/>
      <c r="N222" s="436"/>
      <c r="O222" s="436"/>
      <c r="P222" s="436"/>
      <c r="Q222" s="436"/>
      <c r="R222" s="436"/>
      <c r="S222" s="436"/>
      <c r="T222" s="436"/>
      <c r="U222" s="436"/>
      <c r="V222" s="436"/>
      <c r="W222" s="436"/>
      <c r="X222" s="436"/>
      <c r="Y222" s="436"/>
      <c r="Z222" s="436"/>
      <c r="AA222" s="436"/>
      <c r="AB222" s="436"/>
      <c r="AC222" s="436"/>
      <c r="AD222" s="436"/>
      <c r="AE222" s="436"/>
      <c r="AF222" s="436"/>
      <c r="AG222" s="436"/>
      <c r="AH222" s="436"/>
      <c r="AI222" s="436"/>
      <c r="AJ222" s="436"/>
      <c r="AK222" s="436"/>
      <c r="AL222" s="436"/>
      <c r="AM222" s="436"/>
      <c r="AN222" s="436"/>
      <c r="AO222" s="436"/>
      <c r="AP222" s="436"/>
      <c r="AQ222" s="436"/>
      <c r="AR222" s="436"/>
      <c r="AS222" s="436"/>
      <c r="AT222" s="436"/>
      <c r="AU222" s="436"/>
      <c r="AV222" s="436"/>
      <c r="AW222" s="436"/>
      <c r="AX222" s="436"/>
      <c r="AY222" s="436"/>
      <c r="AZ222" s="436"/>
      <c r="BA222" s="436"/>
      <c r="BB222" s="436"/>
      <c r="BC222" s="436"/>
      <c r="BD222" s="436"/>
      <c r="BE222" s="436"/>
      <c r="BF222" s="436"/>
      <c r="BG222" s="436"/>
      <c r="BH222" s="436"/>
      <c r="BI222" s="436"/>
      <c r="BJ222" s="436"/>
      <c r="BK222" s="436"/>
      <c r="BL222" s="436"/>
      <c r="BM222" s="436"/>
      <c r="BN222" s="436"/>
      <c r="BO222" s="436"/>
      <c r="BP222" s="436"/>
      <c r="BQ222" s="436"/>
      <c r="BR222" s="436"/>
      <c r="BS222" s="436"/>
      <c r="BT222" s="436"/>
      <c r="BU222" s="436"/>
      <c r="BV222" s="436"/>
      <c r="BW222" s="436"/>
      <c r="BX222" s="436"/>
      <c r="BY222" s="436"/>
      <c r="BZ222" s="436"/>
      <c r="CA222" s="436"/>
      <c r="CB222" s="436"/>
      <c r="CC222" s="436"/>
      <c r="CD222" s="436"/>
      <c r="CE222" s="436"/>
      <c r="CF222" s="436"/>
      <c r="CG222" s="436"/>
      <c r="CH222" s="436"/>
      <c r="CI222" s="436"/>
      <c r="CJ222" s="436"/>
      <c r="CK222" s="436"/>
      <c r="CL222" s="436"/>
      <c r="CM222" s="436"/>
      <c r="CN222" s="436"/>
      <c r="CO222" s="436"/>
      <c r="CP222" s="436"/>
      <c r="CQ222" s="436"/>
      <c r="CR222" s="436"/>
      <c r="CS222" s="436"/>
      <c r="CT222" s="436"/>
      <c r="CU222" s="436"/>
      <c r="CV222" s="436"/>
      <c r="CW222" s="436"/>
      <c r="CX222" s="436"/>
      <c r="CY222" s="436"/>
      <c r="CZ222" s="436"/>
      <c r="DA222" s="436"/>
      <c r="DB222" s="436"/>
      <c r="DC222" s="436"/>
      <c r="DD222" s="436"/>
      <c r="DE222" s="436"/>
      <c r="DF222" s="436"/>
      <c r="DG222" s="436"/>
      <c r="DH222" s="436"/>
      <c r="DI222" s="436"/>
      <c r="DJ222" s="436"/>
      <c r="DK222" s="436"/>
      <c r="DL222" s="436"/>
      <c r="DM222" s="436"/>
      <c r="DN222" s="436"/>
      <c r="DO222" s="436"/>
      <c r="DP222" s="436"/>
      <c r="DQ222" s="436"/>
      <c r="DR222" s="436"/>
      <c r="DS222" s="436"/>
      <c r="DT222" s="436"/>
      <c r="DU222" s="436"/>
      <c r="DV222" s="436"/>
      <c r="DW222" s="436"/>
      <c r="DX222" s="436"/>
      <c r="DY222" s="436"/>
      <c r="DZ222" s="436"/>
      <c r="EA222" s="436"/>
      <c r="EB222" s="436"/>
      <c r="EC222" s="436"/>
      <c r="ED222" s="436"/>
      <c r="EE222" s="436"/>
      <c r="EF222" s="436"/>
      <c r="EG222" s="436"/>
      <c r="EH222" s="436"/>
      <c r="EI222" s="436"/>
      <c r="EJ222" s="436"/>
      <c r="EK222" s="436"/>
      <c r="EL222" s="436"/>
      <c r="EM222" s="436"/>
      <c r="EN222" s="436"/>
      <c r="EO222" s="436"/>
      <c r="EP222" s="436"/>
      <c r="EQ222" s="436"/>
      <c r="ER222" s="436"/>
      <c r="ES222" s="436"/>
      <c r="ET222" s="436"/>
      <c r="EU222" s="436"/>
      <c r="EV222" s="436"/>
      <c r="EW222" s="436"/>
      <c r="EX222" s="436"/>
      <c r="EY222" s="436"/>
      <c r="EZ222" s="436"/>
      <c r="FA222" s="436"/>
      <c r="FB222" s="436"/>
      <c r="FC222" s="436"/>
      <c r="FD222" s="436"/>
      <c r="FE222" s="436"/>
      <c r="FF222" s="436"/>
      <c r="FG222" s="436"/>
      <c r="FH222" s="436"/>
      <c r="FI222" s="436"/>
      <c r="FJ222" s="436"/>
      <c r="FK222" s="436"/>
      <c r="FL222" s="436"/>
      <c r="FM222" s="436"/>
      <c r="FN222" s="436"/>
      <c r="FO222" s="436"/>
      <c r="FP222" s="436"/>
      <c r="FQ222" s="436"/>
      <c r="FR222" s="436"/>
      <c r="FS222" s="436"/>
      <c r="FT222" s="436"/>
      <c r="FU222" s="436"/>
      <c r="FV222" s="436"/>
      <c r="FW222" s="436"/>
      <c r="FX222" s="436"/>
      <c r="FY222" s="436"/>
      <c r="FZ222" s="436"/>
      <c r="GA222" s="436"/>
      <c r="GB222" s="436"/>
      <c r="GC222" s="436"/>
      <c r="GD222" s="436"/>
      <c r="GE222" s="436"/>
      <c r="GF222" s="436"/>
      <c r="GG222" s="436"/>
      <c r="GH222" s="436"/>
      <c r="GI222" s="436"/>
      <c r="GJ222" s="436"/>
      <c r="GK222" s="436"/>
      <c r="GL222" s="436"/>
      <c r="GM222" s="436"/>
      <c r="GN222" s="436"/>
      <c r="GO222" s="436"/>
      <c r="GP222" s="436"/>
      <c r="GQ222" s="436"/>
      <c r="GR222" s="436"/>
      <c r="GS222" s="436"/>
      <c r="GT222" s="436"/>
      <c r="GU222" s="436"/>
      <c r="GV222" s="436"/>
      <c r="GW222" s="436"/>
      <c r="GX222" s="436"/>
      <c r="GY222" s="436"/>
      <c r="GZ222" s="436"/>
      <c r="HA222" s="436"/>
      <c r="HB222" s="436"/>
      <c r="HC222" s="436"/>
      <c r="HD222" s="436"/>
      <c r="HE222" s="436"/>
      <c r="HF222" s="436"/>
      <c r="HG222" s="436"/>
      <c r="HH222" s="436"/>
      <c r="HI222" s="436"/>
      <c r="HJ222" s="436"/>
      <c r="HK222" s="436"/>
      <c r="HL222" s="436"/>
      <c r="HM222" s="436"/>
      <c r="HN222" s="436"/>
      <c r="HO222" s="436"/>
      <c r="HP222" s="436"/>
      <c r="HQ222" s="436"/>
      <c r="HR222" s="436"/>
      <c r="HS222" s="436"/>
      <c r="HT222" s="436"/>
      <c r="HU222" s="436"/>
      <c r="HV222" s="436"/>
      <c r="HW222" s="436"/>
      <c r="HX222" s="436"/>
      <c r="HY222" s="436"/>
      <c r="HZ222" s="436"/>
      <c r="IA222" s="436"/>
      <c r="IB222" s="436"/>
      <c r="IC222" s="436"/>
      <c r="ID222" s="436"/>
      <c r="IE222" s="436"/>
      <c r="IF222" s="436"/>
      <c r="IG222" s="436"/>
      <c r="IH222" s="436"/>
      <c r="II222" s="436"/>
      <c r="IJ222" s="436"/>
      <c r="IK222" s="436"/>
      <c r="IL222" s="436"/>
      <c r="IM222" s="436"/>
      <c r="IN222" s="436"/>
      <c r="IO222" s="436"/>
      <c r="IP222" s="436"/>
      <c r="IQ222" s="265"/>
      <c r="IR222" s="265"/>
    </row>
    <row r="223" spans="1:252" s="461" customFormat="1" x14ac:dyDescent="0.35">
      <c r="A223" s="685"/>
      <c r="B223" s="503"/>
      <c r="C223" s="503"/>
      <c r="D223" s="439"/>
      <c r="E223" s="686"/>
      <c r="J223" s="1591"/>
      <c r="M223" s="436"/>
      <c r="N223" s="436"/>
      <c r="O223" s="436"/>
      <c r="P223" s="436"/>
      <c r="Q223" s="436"/>
      <c r="R223" s="436"/>
      <c r="S223" s="436"/>
      <c r="T223" s="436"/>
      <c r="U223" s="436"/>
      <c r="V223" s="436"/>
      <c r="W223" s="436"/>
      <c r="X223" s="436"/>
      <c r="Y223" s="436"/>
      <c r="Z223" s="436"/>
      <c r="AA223" s="436"/>
      <c r="AB223" s="436"/>
      <c r="AC223" s="436"/>
      <c r="AD223" s="436"/>
      <c r="AE223" s="436"/>
      <c r="AF223" s="436"/>
      <c r="AG223" s="436"/>
      <c r="AH223" s="436"/>
      <c r="AI223" s="436"/>
      <c r="AJ223" s="436"/>
      <c r="AK223" s="436"/>
      <c r="AL223" s="436"/>
      <c r="AM223" s="436"/>
      <c r="AN223" s="436"/>
      <c r="AO223" s="436"/>
      <c r="AP223" s="436"/>
      <c r="AQ223" s="436"/>
      <c r="AR223" s="436"/>
      <c r="AS223" s="436"/>
      <c r="AT223" s="436"/>
      <c r="AU223" s="436"/>
      <c r="AV223" s="436"/>
      <c r="AW223" s="436"/>
      <c r="AX223" s="436"/>
      <c r="AY223" s="436"/>
      <c r="AZ223" s="436"/>
      <c r="BA223" s="436"/>
      <c r="BB223" s="436"/>
      <c r="BC223" s="436"/>
      <c r="BD223" s="436"/>
      <c r="BE223" s="436"/>
      <c r="BF223" s="436"/>
      <c r="BG223" s="436"/>
      <c r="BH223" s="436"/>
      <c r="BI223" s="436"/>
      <c r="BJ223" s="436"/>
      <c r="BK223" s="436"/>
      <c r="BL223" s="436"/>
      <c r="BM223" s="436"/>
      <c r="BN223" s="436"/>
      <c r="BO223" s="436"/>
      <c r="BP223" s="436"/>
      <c r="BQ223" s="436"/>
      <c r="BR223" s="436"/>
      <c r="BS223" s="436"/>
      <c r="BT223" s="436"/>
      <c r="BU223" s="436"/>
      <c r="BV223" s="436"/>
      <c r="BW223" s="436"/>
      <c r="BX223" s="436"/>
      <c r="BY223" s="436"/>
      <c r="BZ223" s="436"/>
      <c r="CA223" s="436"/>
      <c r="CB223" s="436"/>
      <c r="CC223" s="436"/>
      <c r="CD223" s="436"/>
      <c r="CE223" s="436"/>
      <c r="CF223" s="436"/>
      <c r="CG223" s="436"/>
      <c r="CH223" s="436"/>
      <c r="CI223" s="436"/>
      <c r="CJ223" s="436"/>
      <c r="CK223" s="436"/>
      <c r="CL223" s="436"/>
      <c r="CM223" s="436"/>
      <c r="CN223" s="436"/>
      <c r="CO223" s="436"/>
      <c r="CP223" s="436"/>
      <c r="CQ223" s="436"/>
      <c r="CR223" s="436"/>
      <c r="CS223" s="436"/>
      <c r="CT223" s="436"/>
      <c r="CU223" s="436"/>
      <c r="CV223" s="436"/>
      <c r="CW223" s="436"/>
      <c r="CX223" s="436"/>
      <c r="CY223" s="436"/>
      <c r="CZ223" s="436"/>
      <c r="DA223" s="436"/>
      <c r="DB223" s="436"/>
      <c r="DC223" s="436"/>
      <c r="DD223" s="436"/>
      <c r="DE223" s="436"/>
      <c r="DF223" s="436"/>
      <c r="DG223" s="436"/>
      <c r="DH223" s="436"/>
      <c r="DI223" s="436"/>
      <c r="DJ223" s="436"/>
      <c r="DK223" s="436"/>
      <c r="DL223" s="436"/>
      <c r="DM223" s="436"/>
      <c r="DN223" s="436"/>
      <c r="DO223" s="436"/>
      <c r="DP223" s="436"/>
      <c r="DQ223" s="436"/>
      <c r="DR223" s="436"/>
      <c r="DS223" s="436"/>
      <c r="DT223" s="436"/>
      <c r="DU223" s="436"/>
      <c r="DV223" s="436"/>
      <c r="DW223" s="436"/>
      <c r="DX223" s="436"/>
      <c r="DY223" s="436"/>
      <c r="DZ223" s="436"/>
      <c r="EA223" s="436"/>
      <c r="EB223" s="436"/>
      <c r="EC223" s="436"/>
      <c r="ED223" s="436"/>
      <c r="EE223" s="436"/>
      <c r="EF223" s="436"/>
      <c r="EG223" s="436"/>
      <c r="EH223" s="436"/>
      <c r="EI223" s="436"/>
      <c r="EJ223" s="436"/>
      <c r="EK223" s="436"/>
      <c r="EL223" s="436"/>
      <c r="EM223" s="436"/>
      <c r="EN223" s="436"/>
      <c r="EO223" s="436"/>
      <c r="EP223" s="436"/>
      <c r="EQ223" s="436"/>
      <c r="ER223" s="436"/>
      <c r="ES223" s="436"/>
      <c r="ET223" s="436"/>
      <c r="EU223" s="436"/>
      <c r="EV223" s="436"/>
      <c r="EW223" s="436"/>
      <c r="EX223" s="436"/>
      <c r="EY223" s="436"/>
      <c r="EZ223" s="436"/>
      <c r="FA223" s="436"/>
      <c r="FB223" s="436"/>
      <c r="FC223" s="436"/>
      <c r="FD223" s="436"/>
      <c r="FE223" s="436"/>
      <c r="FF223" s="436"/>
      <c r="FG223" s="436"/>
      <c r="FH223" s="436"/>
      <c r="FI223" s="436"/>
      <c r="FJ223" s="436"/>
      <c r="FK223" s="436"/>
      <c r="FL223" s="436"/>
      <c r="FM223" s="436"/>
      <c r="FN223" s="436"/>
      <c r="FO223" s="436"/>
      <c r="FP223" s="436"/>
      <c r="FQ223" s="436"/>
      <c r="FR223" s="436"/>
      <c r="FS223" s="436"/>
      <c r="FT223" s="436"/>
      <c r="FU223" s="436"/>
      <c r="FV223" s="436"/>
      <c r="FW223" s="436"/>
      <c r="FX223" s="436"/>
      <c r="FY223" s="436"/>
      <c r="FZ223" s="436"/>
      <c r="GA223" s="436"/>
      <c r="GB223" s="436"/>
      <c r="GC223" s="436"/>
      <c r="GD223" s="436"/>
      <c r="GE223" s="436"/>
      <c r="GF223" s="436"/>
      <c r="GG223" s="436"/>
      <c r="GH223" s="436"/>
      <c r="GI223" s="436"/>
      <c r="GJ223" s="436"/>
      <c r="GK223" s="436"/>
      <c r="GL223" s="436"/>
      <c r="GM223" s="436"/>
      <c r="GN223" s="436"/>
      <c r="GO223" s="436"/>
      <c r="GP223" s="436"/>
      <c r="GQ223" s="436"/>
      <c r="GR223" s="436"/>
      <c r="GS223" s="436"/>
      <c r="GT223" s="436"/>
      <c r="GU223" s="436"/>
      <c r="GV223" s="436"/>
      <c r="GW223" s="436"/>
      <c r="GX223" s="436"/>
      <c r="GY223" s="436"/>
      <c r="GZ223" s="436"/>
      <c r="HA223" s="436"/>
      <c r="HB223" s="436"/>
      <c r="HC223" s="436"/>
      <c r="HD223" s="436"/>
      <c r="HE223" s="436"/>
      <c r="HF223" s="436"/>
      <c r="HG223" s="436"/>
      <c r="HH223" s="436"/>
      <c r="HI223" s="436"/>
      <c r="HJ223" s="436"/>
      <c r="HK223" s="436"/>
      <c r="HL223" s="436"/>
      <c r="HM223" s="436"/>
      <c r="HN223" s="436"/>
      <c r="HO223" s="436"/>
      <c r="HP223" s="436"/>
      <c r="HQ223" s="436"/>
      <c r="HR223" s="436"/>
      <c r="HS223" s="436"/>
      <c r="HT223" s="436"/>
      <c r="HU223" s="436"/>
      <c r="HV223" s="436"/>
      <c r="HW223" s="436"/>
      <c r="HX223" s="436"/>
      <c r="HY223" s="436"/>
      <c r="HZ223" s="436"/>
      <c r="IA223" s="436"/>
      <c r="IB223" s="436"/>
      <c r="IC223" s="436"/>
      <c r="ID223" s="436"/>
      <c r="IE223" s="436"/>
      <c r="IF223" s="436"/>
      <c r="IG223" s="436"/>
      <c r="IH223" s="436"/>
      <c r="II223" s="436"/>
      <c r="IJ223" s="436"/>
      <c r="IK223" s="436"/>
      <c r="IL223" s="436"/>
      <c r="IM223" s="436"/>
      <c r="IN223" s="436"/>
      <c r="IO223" s="436"/>
      <c r="IP223" s="436"/>
      <c r="IQ223" s="265"/>
      <c r="IR223" s="265"/>
    </row>
    <row r="224" spans="1:252" s="461" customFormat="1" x14ac:dyDescent="0.35">
      <c r="A224" s="685"/>
      <c r="B224" s="503"/>
      <c r="C224" s="503"/>
      <c r="D224" s="439"/>
      <c r="E224" s="686"/>
      <c r="J224" s="1591"/>
      <c r="M224" s="436"/>
      <c r="N224" s="436"/>
      <c r="O224" s="436"/>
      <c r="P224" s="436"/>
      <c r="Q224" s="436"/>
      <c r="R224" s="436"/>
      <c r="S224" s="436"/>
      <c r="T224" s="436"/>
      <c r="U224" s="436"/>
      <c r="V224" s="436"/>
      <c r="W224" s="436"/>
      <c r="X224" s="436"/>
      <c r="Y224" s="436"/>
      <c r="Z224" s="436"/>
      <c r="AA224" s="436"/>
      <c r="AB224" s="436"/>
      <c r="AC224" s="436"/>
      <c r="AD224" s="436"/>
      <c r="AE224" s="436"/>
      <c r="AF224" s="436"/>
      <c r="AG224" s="436"/>
      <c r="AH224" s="436"/>
      <c r="AI224" s="436"/>
      <c r="AJ224" s="436"/>
      <c r="AK224" s="436"/>
      <c r="AL224" s="436"/>
      <c r="AM224" s="436"/>
      <c r="AN224" s="436"/>
      <c r="AO224" s="436"/>
      <c r="AP224" s="436"/>
      <c r="AQ224" s="436"/>
      <c r="AR224" s="436"/>
      <c r="AS224" s="436"/>
      <c r="AT224" s="436"/>
      <c r="AU224" s="436"/>
      <c r="AV224" s="436"/>
      <c r="AW224" s="436"/>
      <c r="AX224" s="436"/>
      <c r="AY224" s="436"/>
      <c r="AZ224" s="436"/>
      <c r="BA224" s="436"/>
      <c r="BB224" s="436"/>
      <c r="BC224" s="436"/>
      <c r="BD224" s="436"/>
      <c r="BE224" s="436"/>
      <c r="BF224" s="436"/>
      <c r="BG224" s="436"/>
      <c r="BH224" s="436"/>
      <c r="BI224" s="436"/>
      <c r="BJ224" s="436"/>
      <c r="BK224" s="436"/>
      <c r="BL224" s="436"/>
      <c r="BM224" s="436"/>
      <c r="BN224" s="436"/>
      <c r="BO224" s="436"/>
      <c r="BP224" s="436"/>
      <c r="BQ224" s="436"/>
      <c r="BR224" s="436"/>
      <c r="BS224" s="436"/>
      <c r="BT224" s="436"/>
      <c r="BU224" s="436"/>
      <c r="BV224" s="436"/>
      <c r="BW224" s="436"/>
      <c r="BX224" s="436"/>
      <c r="BY224" s="436"/>
      <c r="BZ224" s="436"/>
      <c r="CA224" s="436"/>
      <c r="CB224" s="436"/>
      <c r="CC224" s="436"/>
      <c r="CD224" s="436"/>
      <c r="CE224" s="436"/>
      <c r="CF224" s="436"/>
      <c r="CG224" s="436"/>
      <c r="CH224" s="436"/>
      <c r="CI224" s="436"/>
      <c r="CJ224" s="436"/>
      <c r="CK224" s="436"/>
      <c r="CL224" s="436"/>
      <c r="CM224" s="436"/>
      <c r="CN224" s="436"/>
      <c r="CO224" s="436"/>
      <c r="CP224" s="436"/>
      <c r="CQ224" s="436"/>
      <c r="CR224" s="436"/>
      <c r="CS224" s="436"/>
      <c r="CT224" s="436"/>
      <c r="CU224" s="436"/>
      <c r="CV224" s="436"/>
      <c r="CW224" s="436"/>
      <c r="CX224" s="436"/>
      <c r="CY224" s="436"/>
      <c r="CZ224" s="436"/>
      <c r="DA224" s="436"/>
      <c r="DB224" s="436"/>
      <c r="DC224" s="436"/>
      <c r="DD224" s="436"/>
      <c r="DE224" s="436"/>
      <c r="DF224" s="436"/>
      <c r="DG224" s="436"/>
      <c r="DH224" s="436"/>
      <c r="DI224" s="436"/>
      <c r="DJ224" s="436"/>
      <c r="DK224" s="436"/>
      <c r="DL224" s="436"/>
      <c r="DM224" s="436"/>
      <c r="DN224" s="436"/>
      <c r="DO224" s="436"/>
      <c r="DP224" s="436"/>
      <c r="DQ224" s="436"/>
      <c r="DR224" s="436"/>
      <c r="DS224" s="436"/>
      <c r="DT224" s="436"/>
      <c r="DU224" s="436"/>
      <c r="DV224" s="436"/>
      <c r="DW224" s="436"/>
      <c r="DX224" s="436"/>
      <c r="DY224" s="436"/>
      <c r="DZ224" s="436"/>
      <c r="EA224" s="436"/>
      <c r="EB224" s="436"/>
      <c r="EC224" s="436"/>
      <c r="ED224" s="436"/>
      <c r="EE224" s="436"/>
      <c r="EF224" s="436"/>
      <c r="EG224" s="436"/>
      <c r="EH224" s="436"/>
      <c r="EI224" s="436"/>
      <c r="EJ224" s="436"/>
      <c r="EK224" s="436"/>
      <c r="EL224" s="436"/>
      <c r="EM224" s="436"/>
      <c r="EN224" s="436"/>
      <c r="EO224" s="436"/>
      <c r="EP224" s="436"/>
      <c r="EQ224" s="436"/>
      <c r="ER224" s="436"/>
      <c r="ES224" s="436"/>
      <c r="ET224" s="436"/>
      <c r="EU224" s="436"/>
      <c r="EV224" s="436"/>
      <c r="EW224" s="436"/>
      <c r="EX224" s="436"/>
      <c r="EY224" s="436"/>
      <c r="EZ224" s="436"/>
      <c r="FA224" s="436"/>
      <c r="FB224" s="436"/>
      <c r="FC224" s="436"/>
      <c r="FD224" s="436"/>
      <c r="FE224" s="436"/>
      <c r="FF224" s="436"/>
      <c r="FG224" s="436"/>
      <c r="FH224" s="436"/>
      <c r="FI224" s="436"/>
      <c r="FJ224" s="436"/>
      <c r="FK224" s="436"/>
      <c r="FL224" s="436"/>
      <c r="FM224" s="436"/>
      <c r="FN224" s="436"/>
      <c r="FO224" s="436"/>
      <c r="FP224" s="436"/>
      <c r="FQ224" s="436"/>
      <c r="FR224" s="436"/>
      <c r="FS224" s="436"/>
      <c r="FT224" s="436"/>
      <c r="FU224" s="436"/>
      <c r="FV224" s="436"/>
      <c r="FW224" s="436"/>
      <c r="FX224" s="436"/>
      <c r="FY224" s="436"/>
      <c r="FZ224" s="436"/>
      <c r="GA224" s="436"/>
      <c r="GB224" s="436"/>
      <c r="GC224" s="436"/>
      <c r="GD224" s="436"/>
      <c r="GE224" s="436"/>
      <c r="GF224" s="436"/>
      <c r="GG224" s="436"/>
      <c r="GH224" s="436"/>
      <c r="GI224" s="436"/>
      <c r="GJ224" s="436"/>
      <c r="GK224" s="436"/>
      <c r="GL224" s="436"/>
      <c r="GM224" s="436"/>
      <c r="GN224" s="436"/>
      <c r="GO224" s="436"/>
      <c r="GP224" s="436"/>
      <c r="GQ224" s="436"/>
      <c r="GR224" s="436"/>
      <c r="GS224" s="436"/>
      <c r="GT224" s="436"/>
      <c r="GU224" s="436"/>
      <c r="GV224" s="436"/>
      <c r="GW224" s="436"/>
      <c r="GX224" s="436"/>
      <c r="GY224" s="436"/>
      <c r="GZ224" s="436"/>
      <c r="HA224" s="436"/>
      <c r="HB224" s="436"/>
      <c r="HC224" s="436"/>
      <c r="HD224" s="436"/>
      <c r="HE224" s="436"/>
      <c r="HF224" s="436"/>
      <c r="HG224" s="436"/>
      <c r="HH224" s="436"/>
      <c r="HI224" s="436"/>
      <c r="HJ224" s="436"/>
      <c r="HK224" s="436"/>
      <c r="HL224" s="436"/>
      <c r="HM224" s="436"/>
      <c r="HN224" s="436"/>
      <c r="HO224" s="436"/>
      <c r="HP224" s="436"/>
      <c r="HQ224" s="436"/>
      <c r="HR224" s="436"/>
      <c r="HS224" s="436"/>
      <c r="HT224" s="436"/>
      <c r="HU224" s="436"/>
      <c r="HV224" s="436"/>
      <c r="HW224" s="436"/>
      <c r="HX224" s="436"/>
      <c r="HY224" s="436"/>
      <c r="HZ224" s="436"/>
      <c r="IA224" s="436"/>
      <c r="IB224" s="436"/>
      <c r="IC224" s="436"/>
      <c r="ID224" s="436"/>
      <c r="IE224" s="436"/>
      <c r="IF224" s="436"/>
      <c r="IG224" s="436"/>
      <c r="IH224" s="436"/>
      <c r="II224" s="436"/>
      <c r="IJ224" s="436"/>
      <c r="IK224" s="436"/>
      <c r="IL224" s="436"/>
      <c r="IM224" s="436"/>
      <c r="IN224" s="436"/>
      <c r="IO224" s="436"/>
      <c r="IP224" s="436"/>
      <c r="IQ224" s="265"/>
      <c r="IR224" s="265"/>
    </row>
    <row r="225" spans="1:252" s="461" customFormat="1" x14ac:dyDescent="0.35">
      <c r="A225" s="685"/>
      <c r="B225" s="503"/>
      <c r="C225" s="503"/>
      <c r="D225" s="439"/>
      <c r="E225" s="686"/>
      <c r="J225" s="1591"/>
      <c r="M225" s="436"/>
      <c r="N225" s="436"/>
      <c r="O225" s="436"/>
      <c r="P225" s="436"/>
      <c r="Q225" s="436"/>
      <c r="R225" s="436"/>
      <c r="S225" s="436"/>
      <c r="T225" s="436"/>
      <c r="U225" s="436"/>
      <c r="V225" s="436"/>
      <c r="W225" s="436"/>
      <c r="X225" s="436"/>
      <c r="Y225" s="436"/>
      <c r="Z225" s="436"/>
      <c r="AA225" s="436"/>
      <c r="AB225" s="436"/>
      <c r="AC225" s="436"/>
      <c r="AD225" s="436"/>
      <c r="AE225" s="436"/>
      <c r="AF225" s="436"/>
      <c r="AG225" s="436"/>
      <c r="AH225" s="436"/>
      <c r="AI225" s="436"/>
      <c r="AJ225" s="436"/>
      <c r="AK225" s="436"/>
      <c r="AL225" s="436"/>
      <c r="AM225" s="436"/>
      <c r="AN225" s="436"/>
      <c r="AO225" s="436"/>
      <c r="AP225" s="436"/>
      <c r="AQ225" s="436"/>
      <c r="AR225" s="436"/>
      <c r="AS225" s="436"/>
      <c r="AT225" s="436"/>
      <c r="AU225" s="436"/>
      <c r="AV225" s="436"/>
      <c r="AW225" s="436"/>
      <c r="AX225" s="436"/>
      <c r="AY225" s="436"/>
      <c r="AZ225" s="436"/>
      <c r="BA225" s="436"/>
      <c r="BB225" s="436"/>
      <c r="BC225" s="436"/>
      <c r="BD225" s="436"/>
      <c r="BE225" s="436"/>
      <c r="BF225" s="436"/>
      <c r="BG225" s="436"/>
      <c r="BH225" s="436"/>
      <c r="BI225" s="436"/>
      <c r="BJ225" s="436"/>
      <c r="BK225" s="436"/>
      <c r="BL225" s="436"/>
      <c r="BM225" s="436"/>
      <c r="BN225" s="436"/>
      <c r="BO225" s="436"/>
      <c r="BP225" s="436"/>
      <c r="BQ225" s="436"/>
      <c r="BR225" s="436"/>
      <c r="BS225" s="436"/>
      <c r="BT225" s="436"/>
      <c r="BU225" s="436"/>
      <c r="BV225" s="436"/>
      <c r="BW225" s="436"/>
      <c r="BX225" s="436"/>
      <c r="BY225" s="436"/>
      <c r="BZ225" s="436"/>
      <c r="CA225" s="436"/>
      <c r="CB225" s="436"/>
      <c r="CC225" s="436"/>
      <c r="CD225" s="436"/>
      <c r="CE225" s="436"/>
      <c r="CF225" s="436"/>
      <c r="CG225" s="436"/>
      <c r="CH225" s="436"/>
      <c r="CI225" s="436"/>
      <c r="CJ225" s="436"/>
      <c r="CK225" s="436"/>
      <c r="CL225" s="436"/>
      <c r="CM225" s="436"/>
      <c r="CN225" s="436"/>
      <c r="CO225" s="436"/>
      <c r="CP225" s="436"/>
      <c r="CQ225" s="436"/>
      <c r="CR225" s="436"/>
      <c r="CS225" s="436"/>
      <c r="CT225" s="436"/>
      <c r="CU225" s="436"/>
      <c r="CV225" s="436"/>
      <c r="CW225" s="436"/>
      <c r="CX225" s="436"/>
      <c r="CY225" s="436"/>
      <c r="CZ225" s="436"/>
      <c r="DA225" s="436"/>
      <c r="DB225" s="436"/>
      <c r="DC225" s="436"/>
      <c r="DD225" s="436"/>
      <c r="DE225" s="436"/>
      <c r="DF225" s="436"/>
      <c r="DG225" s="436"/>
      <c r="DH225" s="436"/>
      <c r="DI225" s="436"/>
      <c r="DJ225" s="436"/>
      <c r="DK225" s="436"/>
      <c r="DL225" s="436"/>
      <c r="DM225" s="436"/>
      <c r="DN225" s="436"/>
      <c r="DO225" s="436"/>
      <c r="DP225" s="436"/>
      <c r="DQ225" s="436"/>
      <c r="DR225" s="436"/>
      <c r="DS225" s="436"/>
      <c r="DT225" s="436"/>
      <c r="DU225" s="436"/>
      <c r="DV225" s="436"/>
      <c r="DW225" s="436"/>
      <c r="DX225" s="436"/>
      <c r="DY225" s="436"/>
      <c r="DZ225" s="436"/>
      <c r="EA225" s="436"/>
      <c r="EB225" s="436"/>
      <c r="EC225" s="436"/>
      <c r="ED225" s="436"/>
      <c r="EE225" s="436"/>
      <c r="EF225" s="436"/>
      <c r="EG225" s="436"/>
      <c r="EH225" s="436"/>
      <c r="EI225" s="436"/>
      <c r="EJ225" s="436"/>
      <c r="EK225" s="436"/>
      <c r="EL225" s="436"/>
      <c r="EM225" s="436"/>
      <c r="EN225" s="436"/>
      <c r="EO225" s="436"/>
      <c r="EP225" s="436"/>
      <c r="EQ225" s="436"/>
      <c r="ER225" s="436"/>
      <c r="ES225" s="436"/>
      <c r="ET225" s="436"/>
      <c r="EU225" s="436"/>
      <c r="EV225" s="436"/>
      <c r="EW225" s="436"/>
      <c r="EX225" s="436"/>
      <c r="EY225" s="436"/>
      <c r="EZ225" s="436"/>
      <c r="FA225" s="436"/>
      <c r="FB225" s="436"/>
      <c r="FC225" s="436"/>
      <c r="FD225" s="436"/>
      <c r="FE225" s="436"/>
      <c r="FF225" s="436"/>
      <c r="FG225" s="436"/>
      <c r="FH225" s="436"/>
      <c r="FI225" s="436"/>
      <c r="FJ225" s="436"/>
      <c r="FK225" s="436"/>
      <c r="FL225" s="436"/>
      <c r="FM225" s="436"/>
      <c r="FN225" s="436"/>
      <c r="FO225" s="436"/>
      <c r="FP225" s="436"/>
      <c r="FQ225" s="436"/>
      <c r="FR225" s="436"/>
      <c r="FS225" s="436"/>
      <c r="FT225" s="436"/>
      <c r="FU225" s="436"/>
      <c r="FV225" s="436"/>
      <c r="FW225" s="436"/>
      <c r="FX225" s="436"/>
      <c r="FY225" s="436"/>
      <c r="FZ225" s="436"/>
      <c r="GA225" s="436"/>
      <c r="GB225" s="436"/>
      <c r="GC225" s="436"/>
      <c r="GD225" s="436"/>
      <c r="GE225" s="436"/>
      <c r="GF225" s="436"/>
      <c r="GG225" s="436"/>
      <c r="GH225" s="436"/>
      <c r="GI225" s="436"/>
      <c r="GJ225" s="436"/>
      <c r="GK225" s="436"/>
      <c r="GL225" s="436"/>
      <c r="GM225" s="436"/>
      <c r="GN225" s="436"/>
      <c r="GO225" s="436"/>
      <c r="GP225" s="436"/>
      <c r="GQ225" s="436"/>
      <c r="GR225" s="436"/>
      <c r="GS225" s="436"/>
      <c r="GT225" s="436"/>
      <c r="GU225" s="436"/>
      <c r="GV225" s="436"/>
      <c r="GW225" s="436"/>
      <c r="GX225" s="436"/>
      <c r="GY225" s="436"/>
      <c r="GZ225" s="436"/>
      <c r="HA225" s="436"/>
      <c r="HB225" s="436"/>
      <c r="HC225" s="436"/>
      <c r="HD225" s="436"/>
      <c r="HE225" s="436"/>
      <c r="HF225" s="436"/>
      <c r="HG225" s="436"/>
      <c r="HH225" s="436"/>
      <c r="HI225" s="436"/>
      <c r="HJ225" s="436"/>
      <c r="HK225" s="436"/>
      <c r="HL225" s="436"/>
      <c r="HM225" s="436"/>
      <c r="HN225" s="436"/>
      <c r="HO225" s="436"/>
      <c r="HP225" s="436"/>
      <c r="HQ225" s="436"/>
      <c r="HR225" s="436"/>
      <c r="HS225" s="436"/>
      <c r="HT225" s="436"/>
      <c r="HU225" s="436"/>
      <c r="HV225" s="436"/>
      <c r="HW225" s="436"/>
      <c r="HX225" s="436"/>
      <c r="HY225" s="436"/>
      <c r="HZ225" s="436"/>
      <c r="IA225" s="436"/>
      <c r="IB225" s="436"/>
      <c r="IC225" s="436"/>
      <c r="ID225" s="436"/>
      <c r="IE225" s="436"/>
      <c r="IF225" s="436"/>
      <c r="IG225" s="436"/>
      <c r="IH225" s="436"/>
      <c r="II225" s="436"/>
      <c r="IJ225" s="436"/>
      <c r="IK225" s="436"/>
      <c r="IL225" s="436"/>
      <c r="IM225" s="436"/>
      <c r="IN225" s="436"/>
      <c r="IO225" s="436"/>
      <c r="IP225" s="436"/>
      <c r="IQ225" s="265"/>
      <c r="IR225" s="265"/>
    </row>
    <row r="226" spans="1:252" s="461" customFormat="1" x14ac:dyDescent="0.35">
      <c r="A226" s="685"/>
      <c r="B226" s="503"/>
      <c r="C226" s="503"/>
      <c r="D226" s="439"/>
      <c r="E226" s="686"/>
      <c r="J226" s="1591"/>
      <c r="M226" s="436"/>
      <c r="N226" s="436"/>
      <c r="O226" s="436"/>
      <c r="P226" s="436"/>
      <c r="Q226" s="436"/>
      <c r="R226" s="436"/>
      <c r="S226" s="436"/>
      <c r="T226" s="436"/>
      <c r="U226" s="436"/>
      <c r="V226" s="436"/>
      <c r="W226" s="436"/>
      <c r="X226" s="436"/>
      <c r="Y226" s="436"/>
      <c r="Z226" s="436"/>
      <c r="AA226" s="436"/>
      <c r="AB226" s="436"/>
      <c r="AC226" s="436"/>
      <c r="AD226" s="436"/>
      <c r="AE226" s="436"/>
      <c r="AF226" s="436"/>
      <c r="AG226" s="436"/>
      <c r="AH226" s="436"/>
      <c r="AI226" s="436"/>
      <c r="AJ226" s="436"/>
      <c r="AK226" s="436"/>
      <c r="AL226" s="436"/>
      <c r="AM226" s="436"/>
      <c r="AN226" s="436"/>
      <c r="AO226" s="436"/>
      <c r="AP226" s="436"/>
      <c r="AQ226" s="436"/>
      <c r="AR226" s="436"/>
      <c r="AS226" s="436"/>
      <c r="AT226" s="436"/>
      <c r="AU226" s="436"/>
      <c r="AV226" s="436"/>
      <c r="AW226" s="436"/>
      <c r="AX226" s="436"/>
      <c r="AY226" s="436"/>
      <c r="AZ226" s="436"/>
      <c r="BA226" s="436"/>
      <c r="BB226" s="436"/>
      <c r="BC226" s="436"/>
      <c r="BD226" s="436"/>
      <c r="BE226" s="436"/>
      <c r="BF226" s="436"/>
      <c r="BG226" s="436"/>
      <c r="BH226" s="436"/>
      <c r="BI226" s="436"/>
      <c r="BJ226" s="436"/>
      <c r="BK226" s="436"/>
      <c r="BL226" s="436"/>
      <c r="BM226" s="436"/>
      <c r="BN226" s="436"/>
      <c r="BO226" s="436"/>
      <c r="BP226" s="436"/>
      <c r="BQ226" s="436"/>
      <c r="BR226" s="436"/>
      <c r="BS226" s="436"/>
      <c r="BT226" s="436"/>
      <c r="BU226" s="436"/>
      <c r="BV226" s="436"/>
      <c r="BW226" s="436"/>
      <c r="BX226" s="436"/>
      <c r="BY226" s="436"/>
      <c r="BZ226" s="436"/>
      <c r="CA226" s="436"/>
      <c r="CB226" s="436"/>
      <c r="CC226" s="436"/>
      <c r="CD226" s="436"/>
      <c r="CE226" s="436"/>
      <c r="CF226" s="436"/>
      <c r="CG226" s="436"/>
      <c r="CH226" s="436"/>
      <c r="CI226" s="436"/>
      <c r="CJ226" s="436"/>
      <c r="CK226" s="436"/>
      <c r="CL226" s="436"/>
      <c r="CM226" s="436"/>
      <c r="CN226" s="436"/>
      <c r="CO226" s="436"/>
      <c r="CP226" s="436"/>
      <c r="CQ226" s="436"/>
      <c r="CR226" s="436"/>
      <c r="CS226" s="436"/>
      <c r="CT226" s="436"/>
      <c r="CU226" s="436"/>
      <c r="CV226" s="436"/>
      <c r="CW226" s="436"/>
      <c r="CX226" s="436"/>
      <c r="CY226" s="436"/>
      <c r="CZ226" s="436"/>
      <c r="DA226" s="436"/>
      <c r="DB226" s="436"/>
      <c r="DC226" s="436"/>
      <c r="DD226" s="436"/>
      <c r="DE226" s="436"/>
      <c r="DF226" s="436"/>
      <c r="DG226" s="436"/>
      <c r="DH226" s="436"/>
      <c r="DI226" s="436"/>
      <c r="DJ226" s="436"/>
      <c r="DK226" s="436"/>
      <c r="DL226" s="436"/>
      <c r="DM226" s="436"/>
      <c r="DN226" s="436"/>
      <c r="DO226" s="436"/>
      <c r="DP226" s="436"/>
      <c r="DQ226" s="436"/>
      <c r="DR226" s="436"/>
      <c r="DS226" s="436"/>
      <c r="DT226" s="436"/>
      <c r="DU226" s="436"/>
      <c r="DV226" s="436"/>
      <c r="DW226" s="436"/>
      <c r="DX226" s="436"/>
      <c r="DY226" s="436"/>
      <c r="DZ226" s="436"/>
      <c r="EA226" s="436"/>
      <c r="EB226" s="436"/>
      <c r="EC226" s="436"/>
      <c r="ED226" s="436"/>
      <c r="EE226" s="436"/>
      <c r="EF226" s="436"/>
      <c r="EG226" s="436"/>
      <c r="EH226" s="436"/>
      <c r="EI226" s="436"/>
      <c r="EJ226" s="436"/>
      <c r="EK226" s="436"/>
      <c r="EL226" s="436"/>
      <c r="EM226" s="436"/>
      <c r="EN226" s="436"/>
      <c r="EO226" s="436"/>
      <c r="EP226" s="436"/>
      <c r="EQ226" s="436"/>
      <c r="ER226" s="436"/>
      <c r="ES226" s="436"/>
      <c r="ET226" s="436"/>
      <c r="EU226" s="436"/>
      <c r="EV226" s="436"/>
      <c r="EW226" s="436"/>
      <c r="EX226" s="436"/>
      <c r="EY226" s="436"/>
      <c r="EZ226" s="436"/>
      <c r="FA226" s="436"/>
      <c r="FB226" s="436"/>
      <c r="FC226" s="436"/>
      <c r="FD226" s="436"/>
      <c r="FE226" s="436"/>
      <c r="FF226" s="436"/>
      <c r="FG226" s="436"/>
      <c r="FH226" s="436"/>
      <c r="FI226" s="436"/>
      <c r="FJ226" s="436"/>
      <c r="FK226" s="436"/>
      <c r="FL226" s="436"/>
      <c r="FM226" s="436"/>
      <c r="FN226" s="436"/>
      <c r="FO226" s="436"/>
      <c r="FP226" s="436"/>
      <c r="FQ226" s="436"/>
      <c r="FR226" s="436"/>
      <c r="FS226" s="436"/>
      <c r="FT226" s="436"/>
      <c r="FU226" s="436"/>
      <c r="FV226" s="436"/>
      <c r="FW226" s="436"/>
      <c r="FX226" s="436"/>
      <c r="FY226" s="436"/>
      <c r="FZ226" s="436"/>
      <c r="GA226" s="436"/>
      <c r="GB226" s="436"/>
      <c r="GC226" s="436"/>
      <c r="GD226" s="436"/>
      <c r="GE226" s="436"/>
      <c r="GF226" s="436"/>
      <c r="GG226" s="436"/>
      <c r="GH226" s="436"/>
      <c r="GI226" s="436"/>
      <c r="GJ226" s="436"/>
      <c r="GK226" s="436"/>
      <c r="GL226" s="436"/>
      <c r="GM226" s="436"/>
      <c r="GN226" s="436"/>
      <c r="GO226" s="436"/>
      <c r="GP226" s="436"/>
      <c r="GQ226" s="436"/>
      <c r="GR226" s="436"/>
      <c r="GS226" s="436"/>
      <c r="GT226" s="436"/>
      <c r="GU226" s="436"/>
      <c r="GV226" s="436"/>
      <c r="GW226" s="436"/>
      <c r="GX226" s="436"/>
      <c r="GY226" s="436"/>
      <c r="GZ226" s="436"/>
      <c r="HA226" s="436"/>
      <c r="HB226" s="436"/>
      <c r="HC226" s="436"/>
      <c r="HD226" s="436"/>
      <c r="HE226" s="436"/>
      <c r="HF226" s="436"/>
      <c r="HG226" s="436"/>
      <c r="HH226" s="436"/>
      <c r="HI226" s="436"/>
      <c r="HJ226" s="436"/>
      <c r="HK226" s="436"/>
      <c r="HL226" s="436"/>
      <c r="HM226" s="436"/>
      <c r="HN226" s="436"/>
      <c r="HO226" s="436"/>
      <c r="HP226" s="436"/>
      <c r="HQ226" s="436"/>
      <c r="HR226" s="436"/>
      <c r="HS226" s="436"/>
      <c r="HT226" s="436"/>
      <c r="HU226" s="436"/>
      <c r="HV226" s="436"/>
      <c r="HW226" s="436"/>
      <c r="HX226" s="436"/>
      <c r="HY226" s="436"/>
      <c r="HZ226" s="436"/>
      <c r="IA226" s="436"/>
      <c r="IB226" s="436"/>
      <c r="IC226" s="436"/>
      <c r="ID226" s="436"/>
      <c r="IE226" s="436"/>
      <c r="IF226" s="436"/>
      <c r="IG226" s="436"/>
      <c r="IH226" s="436"/>
      <c r="II226" s="436"/>
      <c r="IJ226" s="436"/>
      <c r="IK226" s="436"/>
      <c r="IL226" s="436"/>
      <c r="IM226" s="436"/>
      <c r="IN226" s="436"/>
      <c r="IO226" s="436"/>
      <c r="IP226" s="436"/>
      <c r="IQ226" s="265"/>
      <c r="IR226" s="265"/>
    </row>
    <row r="227" spans="1:252" s="461" customFormat="1" x14ac:dyDescent="0.35">
      <c r="A227" s="685"/>
      <c r="B227" s="503"/>
      <c r="C227" s="503"/>
      <c r="D227" s="439"/>
      <c r="E227" s="686"/>
      <c r="J227" s="1591"/>
      <c r="M227" s="436"/>
      <c r="N227" s="436"/>
      <c r="O227" s="436"/>
      <c r="P227" s="436"/>
      <c r="Q227" s="436"/>
      <c r="R227" s="436"/>
      <c r="S227" s="436"/>
      <c r="T227" s="436"/>
      <c r="U227" s="436"/>
      <c r="V227" s="436"/>
      <c r="W227" s="436"/>
      <c r="X227" s="436"/>
      <c r="Y227" s="436"/>
      <c r="Z227" s="436"/>
      <c r="AA227" s="436"/>
      <c r="AB227" s="436"/>
      <c r="AC227" s="436"/>
      <c r="AD227" s="436"/>
      <c r="AE227" s="436"/>
      <c r="AF227" s="436"/>
      <c r="AG227" s="436"/>
      <c r="AH227" s="436"/>
      <c r="AI227" s="436"/>
      <c r="AJ227" s="436"/>
      <c r="AK227" s="436"/>
      <c r="AL227" s="436"/>
      <c r="AM227" s="436"/>
      <c r="AN227" s="436"/>
      <c r="AO227" s="436"/>
      <c r="AP227" s="436"/>
      <c r="AQ227" s="436"/>
      <c r="AR227" s="436"/>
      <c r="AS227" s="436"/>
      <c r="AT227" s="436"/>
      <c r="AU227" s="436"/>
      <c r="AV227" s="436"/>
      <c r="AW227" s="436"/>
      <c r="AX227" s="436"/>
      <c r="AY227" s="436"/>
      <c r="AZ227" s="436"/>
      <c r="BA227" s="436"/>
      <c r="BB227" s="436"/>
      <c r="BC227" s="436"/>
      <c r="BD227" s="436"/>
      <c r="BE227" s="436"/>
      <c r="BF227" s="436"/>
      <c r="BG227" s="436"/>
      <c r="BH227" s="436"/>
      <c r="BI227" s="436"/>
      <c r="BJ227" s="436"/>
      <c r="BK227" s="436"/>
      <c r="BL227" s="436"/>
      <c r="BM227" s="436"/>
      <c r="BN227" s="436"/>
      <c r="BO227" s="436"/>
      <c r="BP227" s="436"/>
      <c r="BQ227" s="436"/>
      <c r="BR227" s="436"/>
      <c r="BS227" s="436"/>
      <c r="BT227" s="436"/>
      <c r="BU227" s="436"/>
      <c r="BV227" s="436"/>
      <c r="BW227" s="436"/>
      <c r="BX227" s="436"/>
      <c r="BY227" s="436"/>
      <c r="BZ227" s="436"/>
      <c r="CA227" s="436"/>
      <c r="CB227" s="436"/>
      <c r="CC227" s="436"/>
      <c r="CD227" s="436"/>
      <c r="CE227" s="436"/>
      <c r="CF227" s="436"/>
      <c r="CG227" s="436"/>
      <c r="CH227" s="436"/>
      <c r="CI227" s="436"/>
      <c r="CJ227" s="436"/>
      <c r="CK227" s="436"/>
      <c r="CL227" s="436"/>
      <c r="CM227" s="436"/>
      <c r="CN227" s="436"/>
      <c r="CO227" s="436"/>
      <c r="CP227" s="436"/>
      <c r="CQ227" s="436"/>
      <c r="CR227" s="436"/>
      <c r="CS227" s="436"/>
      <c r="CT227" s="436"/>
      <c r="CU227" s="436"/>
      <c r="CV227" s="436"/>
      <c r="CW227" s="436"/>
      <c r="CX227" s="436"/>
      <c r="CY227" s="436"/>
      <c r="CZ227" s="436"/>
      <c r="DA227" s="436"/>
      <c r="DB227" s="436"/>
      <c r="DC227" s="436"/>
      <c r="DD227" s="436"/>
      <c r="DE227" s="436"/>
      <c r="DF227" s="436"/>
      <c r="DG227" s="436"/>
      <c r="DH227" s="436"/>
      <c r="DI227" s="436"/>
      <c r="DJ227" s="436"/>
      <c r="DK227" s="436"/>
      <c r="DL227" s="436"/>
      <c r="DM227" s="436"/>
      <c r="DN227" s="436"/>
      <c r="DO227" s="436"/>
      <c r="DP227" s="436"/>
      <c r="DQ227" s="436"/>
      <c r="DR227" s="436"/>
      <c r="DS227" s="436"/>
      <c r="DT227" s="436"/>
      <c r="DU227" s="436"/>
      <c r="DV227" s="436"/>
      <c r="DW227" s="436"/>
      <c r="DX227" s="436"/>
      <c r="DY227" s="436"/>
      <c r="DZ227" s="436"/>
      <c r="EA227" s="436"/>
      <c r="EB227" s="436"/>
      <c r="EC227" s="436"/>
      <c r="ED227" s="436"/>
      <c r="EE227" s="436"/>
      <c r="EF227" s="436"/>
      <c r="EG227" s="436"/>
      <c r="EH227" s="436"/>
      <c r="EI227" s="436"/>
      <c r="EJ227" s="436"/>
      <c r="EK227" s="436"/>
      <c r="EL227" s="436"/>
      <c r="EM227" s="436"/>
      <c r="EN227" s="436"/>
      <c r="EO227" s="436"/>
      <c r="EP227" s="436"/>
      <c r="EQ227" s="436"/>
      <c r="ER227" s="436"/>
      <c r="ES227" s="436"/>
      <c r="ET227" s="436"/>
      <c r="EU227" s="436"/>
      <c r="EV227" s="436"/>
      <c r="EW227" s="436"/>
      <c r="EX227" s="436"/>
      <c r="EY227" s="436"/>
      <c r="EZ227" s="436"/>
      <c r="FA227" s="436"/>
      <c r="FB227" s="436"/>
      <c r="FC227" s="436"/>
      <c r="FD227" s="436"/>
      <c r="FE227" s="436"/>
      <c r="FF227" s="436"/>
      <c r="FG227" s="436"/>
      <c r="FH227" s="436"/>
      <c r="FI227" s="436"/>
      <c r="FJ227" s="436"/>
      <c r="FK227" s="436"/>
      <c r="FL227" s="436"/>
      <c r="FM227" s="436"/>
      <c r="FN227" s="436"/>
      <c r="FO227" s="436"/>
      <c r="FP227" s="436"/>
      <c r="FQ227" s="436"/>
      <c r="FR227" s="436"/>
      <c r="FS227" s="436"/>
      <c r="FT227" s="436"/>
      <c r="FU227" s="436"/>
      <c r="FV227" s="436"/>
      <c r="FW227" s="436"/>
      <c r="FX227" s="436"/>
      <c r="FY227" s="436"/>
      <c r="FZ227" s="436"/>
      <c r="GA227" s="436"/>
      <c r="GB227" s="436"/>
      <c r="GC227" s="436"/>
      <c r="GD227" s="436"/>
      <c r="GE227" s="436"/>
      <c r="GF227" s="436"/>
      <c r="GG227" s="436"/>
      <c r="GH227" s="436"/>
      <c r="GI227" s="436"/>
      <c r="GJ227" s="436"/>
      <c r="GK227" s="436"/>
      <c r="GL227" s="436"/>
      <c r="GM227" s="436"/>
      <c r="GN227" s="436"/>
      <c r="GO227" s="436"/>
      <c r="GP227" s="436"/>
      <c r="GQ227" s="436"/>
      <c r="GR227" s="436"/>
      <c r="GS227" s="436"/>
      <c r="GT227" s="436"/>
      <c r="GU227" s="436"/>
      <c r="GV227" s="436"/>
      <c r="GW227" s="436"/>
      <c r="GX227" s="436"/>
      <c r="GY227" s="436"/>
      <c r="GZ227" s="436"/>
      <c r="HA227" s="436"/>
      <c r="HB227" s="436"/>
      <c r="HC227" s="436"/>
      <c r="HD227" s="436"/>
      <c r="HE227" s="436"/>
      <c r="HF227" s="436"/>
      <c r="HG227" s="436"/>
      <c r="HH227" s="436"/>
      <c r="HI227" s="436"/>
      <c r="HJ227" s="436"/>
      <c r="HK227" s="436"/>
      <c r="HL227" s="436"/>
      <c r="HM227" s="436"/>
      <c r="HN227" s="436"/>
      <c r="HO227" s="436"/>
      <c r="HP227" s="436"/>
      <c r="HQ227" s="436"/>
      <c r="HR227" s="436"/>
      <c r="HS227" s="436"/>
      <c r="HT227" s="436"/>
      <c r="HU227" s="436"/>
      <c r="HV227" s="436"/>
      <c r="HW227" s="436"/>
      <c r="HX227" s="436"/>
      <c r="HY227" s="436"/>
      <c r="HZ227" s="436"/>
      <c r="IA227" s="436"/>
      <c r="IB227" s="436"/>
      <c r="IC227" s="436"/>
      <c r="ID227" s="436"/>
      <c r="IE227" s="436"/>
      <c r="IF227" s="436"/>
      <c r="IG227" s="436"/>
      <c r="IH227" s="436"/>
      <c r="II227" s="436"/>
      <c r="IJ227" s="436"/>
      <c r="IK227" s="436"/>
      <c r="IL227" s="436"/>
      <c r="IM227" s="436"/>
      <c r="IN227" s="436"/>
      <c r="IO227" s="436"/>
      <c r="IP227" s="436"/>
      <c r="IQ227" s="265"/>
      <c r="IR227" s="265"/>
    </row>
    <row r="228" spans="1:252" s="461" customFormat="1" x14ac:dyDescent="0.35">
      <c r="A228" s="685"/>
      <c r="B228" s="503"/>
      <c r="C228" s="503"/>
      <c r="D228" s="439"/>
      <c r="E228" s="686"/>
      <c r="J228" s="1591"/>
      <c r="M228" s="436"/>
      <c r="N228" s="436"/>
      <c r="O228" s="436"/>
      <c r="P228" s="436"/>
      <c r="Q228" s="436"/>
      <c r="R228" s="436"/>
      <c r="S228" s="436"/>
      <c r="T228" s="436"/>
      <c r="U228" s="436"/>
      <c r="V228" s="436"/>
      <c r="W228" s="436"/>
      <c r="X228" s="436"/>
      <c r="Y228" s="436"/>
      <c r="Z228" s="436"/>
      <c r="AA228" s="436"/>
      <c r="AB228" s="436"/>
      <c r="AC228" s="436"/>
      <c r="AD228" s="436"/>
      <c r="AE228" s="436"/>
      <c r="AF228" s="436"/>
      <c r="AG228" s="436"/>
      <c r="AH228" s="436"/>
      <c r="AI228" s="436"/>
      <c r="AJ228" s="436"/>
      <c r="AK228" s="436"/>
      <c r="AL228" s="436"/>
      <c r="AM228" s="436"/>
      <c r="AN228" s="436"/>
      <c r="AO228" s="436"/>
      <c r="AP228" s="436"/>
      <c r="AQ228" s="436"/>
      <c r="AR228" s="436"/>
      <c r="AS228" s="436"/>
      <c r="AT228" s="436"/>
      <c r="AU228" s="436"/>
      <c r="AV228" s="436"/>
      <c r="AW228" s="436"/>
      <c r="AX228" s="436"/>
      <c r="AY228" s="436"/>
      <c r="AZ228" s="436"/>
      <c r="BA228" s="436"/>
      <c r="BB228" s="436"/>
      <c r="BC228" s="436"/>
      <c r="BD228" s="436"/>
      <c r="BE228" s="436"/>
      <c r="BF228" s="436"/>
      <c r="BG228" s="436"/>
      <c r="BH228" s="436"/>
      <c r="BI228" s="436"/>
      <c r="BJ228" s="436"/>
      <c r="BK228" s="436"/>
      <c r="BL228" s="436"/>
      <c r="BM228" s="436"/>
      <c r="BN228" s="436"/>
      <c r="BO228" s="436"/>
      <c r="BP228" s="436"/>
      <c r="BQ228" s="436"/>
      <c r="BR228" s="436"/>
      <c r="BS228" s="436"/>
      <c r="BT228" s="436"/>
      <c r="BU228" s="436"/>
      <c r="BV228" s="436"/>
      <c r="BW228" s="436"/>
      <c r="BX228" s="436"/>
      <c r="BY228" s="436"/>
      <c r="BZ228" s="436"/>
      <c r="CA228" s="436"/>
      <c r="CB228" s="436"/>
      <c r="CC228" s="436"/>
      <c r="CD228" s="436"/>
      <c r="CE228" s="436"/>
      <c r="CF228" s="436"/>
      <c r="CG228" s="436"/>
      <c r="CH228" s="436"/>
      <c r="CI228" s="436"/>
      <c r="CJ228" s="436"/>
      <c r="CK228" s="436"/>
      <c r="CL228" s="436"/>
      <c r="CM228" s="436"/>
      <c r="CN228" s="436"/>
      <c r="CO228" s="436"/>
      <c r="CP228" s="436"/>
      <c r="CQ228" s="436"/>
      <c r="CR228" s="436"/>
      <c r="CS228" s="436"/>
      <c r="CT228" s="436"/>
      <c r="CU228" s="436"/>
      <c r="CV228" s="436"/>
      <c r="CW228" s="436"/>
      <c r="CX228" s="436"/>
      <c r="CY228" s="436"/>
      <c r="CZ228" s="436"/>
      <c r="DA228" s="436"/>
      <c r="DB228" s="436"/>
      <c r="DC228" s="436"/>
      <c r="DD228" s="436"/>
      <c r="DE228" s="436"/>
      <c r="DF228" s="436"/>
      <c r="DG228" s="436"/>
      <c r="DH228" s="436"/>
      <c r="DI228" s="436"/>
      <c r="DJ228" s="436"/>
      <c r="DK228" s="436"/>
      <c r="DL228" s="436"/>
      <c r="DM228" s="436"/>
      <c r="DN228" s="436"/>
      <c r="DO228" s="436"/>
      <c r="DP228" s="436"/>
      <c r="DQ228" s="436"/>
      <c r="DR228" s="436"/>
      <c r="DS228" s="436"/>
      <c r="DT228" s="436"/>
      <c r="DU228" s="436"/>
      <c r="DV228" s="436"/>
      <c r="DW228" s="436"/>
      <c r="DX228" s="436"/>
      <c r="DY228" s="436"/>
      <c r="DZ228" s="436"/>
      <c r="EA228" s="436"/>
      <c r="EB228" s="436"/>
      <c r="EC228" s="436"/>
      <c r="ED228" s="436"/>
      <c r="EE228" s="436"/>
      <c r="EF228" s="436"/>
      <c r="EG228" s="436"/>
      <c r="EH228" s="436"/>
      <c r="EI228" s="436"/>
      <c r="EJ228" s="436"/>
      <c r="EK228" s="436"/>
      <c r="EL228" s="436"/>
      <c r="EM228" s="436"/>
      <c r="EN228" s="436"/>
      <c r="EO228" s="436"/>
      <c r="EP228" s="436"/>
      <c r="EQ228" s="436"/>
      <c r="ER228" s="436"/>
      <c r="ES228" s="436"/>
      <c r="ET228" s="436"/>
      <c r="EU228" s="436"/>
      <c r="EV228" s="436"/>
      <c r="EW228" s="436"/>
      <c r="EX228" s="436"/>
      <c r="EY228" s="436"/>
      <c r="EZ228" s="436"/>
      <c r="FA228" s="436"/>
      <c r="FB228" s="436"/>
      <c r="FC228" s="436"/>
      <c r="FD228" s="436"/>
      <c r="FE228" s="436"/>
      <c r="FF228" s="436"/>
      <c r="FG228" s="436"/>
      <c r="FH228" s="436"/>
      <c r="FI228" s="436"/>
      <c r="FJ228" s="436"/>
      <c r="FK228" s="436"/>
      <c r="FL228" s="436"/>
      <c r="FM228" s="436"/>
      <c r="FN228" s="436"/>
      <c r="FO228" s="436"/>
      <c r="FP228" s="436"/>
      <c r="FQ228" s="436"/>
      <c r="FR228" s="436"/>
      <c r="FS228" s="436"/>
      <c r="FT228" s="436"/>
      <c r="FU228" s="436"/>
      <c r="FV228" s="436"/>
      <c r="FW228" s="436"/>
      <c r="FX228" s="436"/>
      <c r="FY228" s="436"/>
      <c r="FZ228" s="436"/>
      <c r="GA228" s="436"/>
      <c r="GB228" s="436"/>
      <c r="GC228" s="436"/>
      <c r="GD228" s="436"/>
      <c r="GE228" s="436"/>
      <c r="GF228" s="436"/>
      <c r="GG228" s="436"/>
      <c r="GH228" s="436"/>
      <c r="GI228" s="436"/>
      <c r="GJ228" s="436"/>
      <c r="GK228" s="436"/>
      <c r="GL228" s="436"/>
      <c r="GM228" s="436"/>
      <c r="GN228" s="436"/>
      <c r="GO228" s="436"/>
      <c r="GP228" s="436"/>
      <c r="GQ228" s="436"/>
      <c r="GR228" s="436"/>
      <c r="GS228" s="436"/>
      <c r="GT228" s="436"/>
      <c r="GU228" s="436"/>
      <c r="GV228" s="436"/>
      <c r="GW228" s="436"/>
      <c r="GX228" s="436"/>
      <c r="GY228" s="436"/>
      <c r="GZ228" s="436"/>
      <c r="HA228" s="436"/>
      <c r="HB228" s="436"/>
      <c r="HC228" s="436"/>
      <c r="HD228" s="436"/>
      <c r="HE228" s="436"/>
      <c r="HF228" s="436"/>
      <c r="HG228" s="436"/>
      <c r="HH228" s="436"/>
      <c r="HI228" s="436"/>
      <c r="HJ228" s="436"/>
      <c r="HK228" s="436"/>
      <c r="HL228" s="436"/>
      <c r="HM228" s="436"/>
      <c r="HN228" s="436"/>
      <c r="HO228" s="436"/>
      <c r="HP228" s="436"/>
      <c r="HQ228" s="436"/>
      <c r="HR228" s="436"/>
      <c r="HS228" s="436"/>
      <c r="HT228" s="436"/>
      <c r="HU228" s="436"/>
      <c r="HV228" s="436"/>
      <c r="HW228" s="436"/>
      <c r="HX228" s="436"/>
      <c r="HY228" s="436"/>
      <c r="HZ228" s="436"/>
      <c r="IA228" s="436"/>
      <c r="IB228" s="436"/>
      <c r="IC228" s="436"/>
      <c r="ID228" s="436"/>
      <c r="IE228" s="436"/>
      <c r="IF228" s="436"/>
      <c r="IG228" s="436"/>
      <c r="IH228" s="436"/>
      <c r="II228" s="436"/>
      <c r="IJ228" s="436"/>
      <c r="IK228" s="436"/>
      <c r="IL228" s="436"/>
      <c r="IM228" s="436"/>
      <c r="IN228" s="436"/>
      <c r="IO228" s="436"/>
      <c r="IP228" s="436"/>
      <c r="IQ228" s="265"/>
      <c r="IR228" s="265"/>
    </row>
    <row r="229" spans="1:252" s="461" customFormat="1" x14ac:dyDescent="0.35">
      <c r="A229" s="685"/>
      <c r="B229" s="503"/>
      <c r="C229" s="503"/>
      <c r="D229" s="439"/>
      <c r="E229" s="686"/>
      <c r="J229" s="1591"/>
      <c r="M229" s="436"/>
      <c r="N229" s="436"/>
      <c r="O229" s="436"/>
      <c r="P229" s="436"/>
      <c r="Q229" s="436"/>
      <c r="R229" s="436"/>
      <c r="S229" s="436"/>
      <c r="T229" s="436"/>
      <c r="U229" s="436"/>
      <c r="V229" s="436"/>
      <c r="W229" s="436"/>
      <c r="X229" s="436"/>
      <c r="Y229" s="436"/>
      <c r="Z229" s="436"/>
      <c r="AA229" s="436"/>
      <c r="AB229" s="436"/>
      <c r="AC229" s="436"/>
      <c r="AD229" s="436"/>
      <c r="AE229" s="436"/>
      <c r="AF229" s="436"/>
      <c r="AG229" s="436"/>
      <c r="AH229" s="436"/>
      <c r="AI229" s="436"/>
      <c r="AJ229" s="436"/>
      <c r="AK229" s="436"/>
      <c r="AL229" s="436"/>
      <c r="AM229" s="436"/>
      <c r="AN229" s="436"/>
      <c r="AO229" s="436"/>
      <c r="AP229" s="436"/>
      <c r="AQ229" s="436"/>
      <c r="AR229" s="436"/>
      <c r="AS229" s="436"/>
      <c r="AT229" s="436"/>
      <c r="AU229" s="436"/>
      <c r="AV229" s="436"/>
      <c r="AW229" s="436"/>
      <c r="AX229" s="436"/>
      <c r="AY229" s="436"/>
      <c r="AZ229" s="436"/>
      <c r="BA229" s="436"/>
      <c r="BB229" s="436"/>
      <c r="BC229" s="436"/>
      <c r="BD229" s="436"/>
      <c r="BE229" s="436"/>
      <c r="BF229" s="436"/>
      <c r="BG229" s="436"/>
      <c r="BH229" s="436"/>
      <c r="BI229" s="436"/>
      <c r="BJ229" s="436"/>
      <c r="BK229" s="436"/>
      <c r="BL229" s="436"/>
      <c r="BM229" s="436"/>
      <c r="BN229" s="436"/>
      <c r="BO229" s="436"/>
      <c r="BP229" s="436"/>
      <c r="BQ229" s="436"/>
      <c r="BR229" s="436"/>
      <c r="BS229" s="436"/>
      <c r="BT229" s="436"/>
      <c r="BU229" s="436"/>
      <c r="BV229" s="436"/>
      <c r="BW229" s="436"/>
      <c r="BX229" s="436"/>
      <c r="BY229" s="436"/>
      <c r="BZ229" s="436"/>
      <c r="CA229" s="436"/>
      <c r="CB229" s="436"/>
      <c r="CC229" s="436"/>
      <c r="CD229" s="436"/>
      <c r="CE229" s="436"/>
      <c r="CF229" s="436"/>
      <c r="CG229" s="436"/>
      <c r="CH229" s="436"/>
      <c r="CI229" s="436"/>
      <c r="CJ229" s="436"/>
      <c r="CK229" s="436"/>
      <c r="CL229" s="436"/>
      <c r="CM229" s="436"/>
      <c r="CN229" s="436"/>
      <c r="CO229" s="436"/>
      <c r="CP229" s="436"/>
      <c r="CQ229" s="436"/>
      <c r="CR229" s="436"/>
      <c r="CS229" s="436"/>
      <c r="CT229" s="436"/>
      <c r="CU229" s="436"/>
      <c r="CV229" s="436"/>
      <c r="CW229" s="436"/>
      <c r="CX229" s="436"/>
      <c r="CY229" s="436"/>
      <c r="CZ229" s="436"/>
      <c r="DA229" s="436"/>
      <c r="DB229" s="436"/>
      <c r="DC229" s="436"/>
      <c r="DD229" s="436"/>
      <c r="DE229" s="436"/>
      <c r="DF229" s="436"/>
      <c r="DG229" s="436"/>
      <c r="DH229" s="436"/>
      <c r="DI229" s="436"/>
      <c r="DJ229" s="436"/>
      <c r="DK229" s="436"/>
      <c r="DL229" s="436"/>
      <c r="DM229" s="436"/>
      <c r="DN229" s="436"/>
      <c r="DO229" s="436"/>
      <c r="DP229" s="436"/>
      <c r="DQ229" s="436"/>
      <c r="DR229" s="436"/>
      <c r="DS229" s="436"/>
      <c r="DT229" s="436"/>
      <c r="DU229" s="436"/>
      <c r="DV229" s="436"/>
      <c r="DW229" s="436"/>
      <c r="DX229" s="436"/>
      <c r="DY229" s="436"/>
      <c r="DZ229" s="436"/>
      <c r="EA229" s="436"/>
      <c r="EB229" s="436"/>
      <c r="EC229" s="436"/>
      <c r="ED229" s="436"/>
      <c r="EE229" s="436"/>
      <c r="EF229" s="436"/>
      <c r="EG229" s="436"/>
      <c r="EH229" s="436"/>
      <c r="EI229" s="436"/>
      <c r="EJ229" s="436"/>
      <c r="EK229" s="436"/>
      <c r="EL229" s="436"/>
      <c r="EM229" s="436"/>
      <c r="EN229" s="436"/>
      <c r="EO229" s="436"/>
      <c r="EP229" s="436"/>
      <c r="EQ229" s="436"/>
      <c r="ER229" s="436"/>
      <c r="ES229" s="436"/>
      <c r="ET229" s="436"/>
      <c r="EU229" s="436"/>
      <c r="EV229" s="436"/>
      <c r="EW229" s="436"/>
      <c r="EX229" s="436"/>
      <c r="EY229" s="436"/>
      <c r="EZ229" s="436"/>
      <c r="FA229" s="436"/>
      <c r="FB229" s="436"/>
      <c r="FC229" s="436"/>
      <c r="FD229" s="436"/>
      <c r="FE229" s="436"/>
      <c r="FF229" s="436"/>
      <c r="FG229" s="436"/>
      <c r="FH229" s="436"/>
      <c r="FI229" s="436"/>
      <c r="FJ229" s="436"/>
      <c r="FK229" s="436"/>
      <c r="FL229" s="436"/>
      <c r="FM229" s="436"/>
      <c r="FN229" s="436"/>
      <c r="FO229" s="436"/>
      <c r="FP229" s="436"/>
      <c r="FQ229" s="436"/>
      <c r="FR229" s="436"/>
      <c r="FS229" s="436"/>
      <c r="FT229" s="436"/>
      <c r="FU229" s="436"/>
      <c r="FV229" s="436"/>
      <c r="FW229" s="436"/>
      <c r="FX229" s="436"/>
      <c r="FY229" s="436"/>
      <c r="FZ229" s="436"/>
      <c r="GA229" s="436"/>
      <c r="GB229" s="436"/>
      <c r="GC229" s="436"/>
      <c r="GD229" s="436"/>
      <c r="GE229" s="436"/>
      <c r="GF229" s="436"/>
      <c r="GG229" s="436"/>
      <c r="GH229" s="436"/>
      <c r="GI229" s="436"/>
      <c r="GJ229" s="436"/>
      <c r="GK229" s="436"/>
      <c r="GL229" s="436"/>
      <c r="GM229" s="436"/>
      <c r="GN229" s="436"/>
      <c r="GO229" s="436"/>
      <c r="GP229" s="436"/>
      <c r="GQ229" s="436"/>
      <c r="GR229" s="436"/>
      <c r="GS229" s="436"/>
      <c r="GT229" s="436"/>
      <c r="GU229" s="436"/>
      <c r="GV229" s="436"/>
      <c r="GW229" s="436"/>
      <c r="GX229" s="436"/>
      <c r="GY229" s="436"/>
      <c r="GZ229" s="436"/>
      <c r="HA229" s="436"/>
      <c r="HB229" s="436"/>
      <c r="HC229" s="436"/>
      <c r="HD229" s="436"/>
      <c r="HE229" s="436"/>
      <c r="HF229" s="436"/>
      <c r="HG229" s="436"/>
      <c r="HH229" s="436"/>
      <c r="HI229" s="436"/>
      <c r="HJ229" s="436"/>
      <c r="HK229" s="436"/>
      <c r="HL229" s="436"/>
      <c r="HM229" s="436"/>
      <c r="HN229" s="436"/>
      <c r="HO229" s="436"/>
      <c r="HP229" s="436"/>
      <c r="HQ229" s="436"/>
      <c r="HR229" s="436"/>
      <c r="HS229" s="436"/>
      <c r="HT229" s="436"/>
      <c r="HU229" s="436"/>
      <c r="HV229" s="436"/>
      <c r="HW229" s="436"/>
      <c r="HX229" s="436"/>
      <c r="HY229" s="436"/>
      <c r="HZ229" s="436"/>
      <c r="IA229" s="436"/>
      <c r="IB229" s="436"/>
      <c r="IC229" s="436"/>
      <c r="ID229" s="436"/>
      <c r="IE229" s="436"/>
      <c r="IF229" s="436"/>
      <c r="IG229" s="436"/>
      <c r="IH229" s="436"/>
      <c r="II229" s="436"/>
      <c r="IJ229" s="436"/>
      <c r="IK229" s="436"/>
      <c r="IL229" s="436"/>
      <c r="IM229" s="436"/>
      <c r="IN229" s="436"/>
      <c r="IO229" s="436"/>
      <c r="IP229" s="436"/>
      <c r="IQ229" s="265"/>
      <c r="IR229" s="265"/>
    </row>
    <row r="230" spans="1:252" s="461" customFormat="1" x14ac:dyDescent="0.35">
      <c r="A230" s="685"/>
      <c r="B230" s="503"/>
      <c r="C230" s="503"/>
      <c r="D230" s="439"/>
      <c r="E230" s="686"/>
      <c r="J230" s="1591"/>
      <c r="M230" s="436"/>
      <c r="N230" s="436"/>
      <c r="O230" s="436"/>
      <c r="P230" s="436"/>
      <c r="Q230" s="436"/>
      <c r="R230" s="436"/>
      <c r="S230" s="436"/>
      <c r="T230" s="436"/>
      <c r="U230" s="436"/>
      <c r="V230" s="436"/>
      <c r="W230" s="436"/>
      <c r="X230" s="436"/>
      <c r="Y230" s="436"/>
      <c r="Z230" s="436"/>
      <c r="AA230" s="436"/>
      <c r="AB230" s="436"/>
      <c r="AC230" s="436"/>
      <c r="AD230" s="436"/>
      <c r="AE230" s="436"/>
      <c r="AF230" s="436"/>
      <c r="AG230" s="436"/>
      <c r="AH230" s="436"/>
      <c r="AI230" s="436"/>
      <c r="AJ230" s="436"/>
      <c r="AK230" s="436"/>
      <c r="AL230" s="436"/>
      <c r="AM230" s="436"/>
      <c r="AN230" s="436"/>
      <c r="AO230" s="436"/>
      <c r="AP230" s="436"/>
      <c r="AQ230" s="436"/>
      <c r="AR230" s="436"/>
      <c r="AS230" s="436"/>
      <c r="AT230" s="436"/>
      <c r="AU230" s="436"/>
      <c r="AV230" s="436"/>
      <c r="AW230" s="436"/>
      <c r="AX230" s="436"/>
      <c r="AY230" s="436"/>
      <c r="AZ230" s="436"/>
      <c r="BA230" s="436"/>
      <c r="BB230" s="436"/>
      <c r="BC230" s="436"/>
      <c r="BD230" s="436"/>
      <c r="BE230" s="436"/>
      <c r="BF230" s="436"/>
      <c r="BG230" s="436"/>
      <c r="BH230" s="436"/>
      <c r="BI230" s="436"/>
      <c r="BJ230" s="436"/>
      <c r="BK230" s="436"/>
      <c r="BL230" s="436"/>
      <c r="BM230" s="436"/>
      <c r="BN230" s="436"/>
      <c r="BO230" s="436"/>
      <c r="BP230" s="436"/>
      <c r="BQ230" s="436"/>
      <c r="BR230" s="436"/>
      <c r="BS230" s="436"/>
      <c r="BT230" s="436"/>
      <c r="BU230" s="436"/>
      <c r="BV230" s="436"/>
      <c r="BW230" s="436"/>
      <c r="BX230" s="436"/>
      <c r="BY230" s="436"/>
      <c r="BZ230" s="436"/>
      <c r="CA230" s="436"/>
      <c r="CB230" s="436"/>
      <c r="CC230" s="436"/>
      <c r="CD230" s="436"/>
      <c r="CE230" s="436"/>
      <c r="CF230" s="436"/>
      <c r="CG230" s="436"/>
      <c r="CH230" s="436"/>
      <c r="CI230" s="436"/>
      <c r="CJ230" s="436"/>
      <c r="CK230" s="436"/>
      <c r="CL230" s="436"/>
      <c r="CM230" s="436"/>
      <c r="CN230" s="436"/>
      <c r="CO230" s="436"/>
      <c r="CP230" s="436"/>
      <c r="CQ230" s="436"/>
      <c r="CR230" s="436"/>
      <c r="CS230" s="436"/>
      <c r="CT230" s="436"/>
      <c r="CU230" s="436"/>
      <c r="CV230" s="436"/>
      <c r="CW230" s="436"/>
      <c r="CX230" s="436"/>
      <c r="CY230" s="436"/>
      <c r="CZ230" s="436"/>
      <c r="DA230" s="436"/>
      <c r="DB230" s="436"/>
      <c r="DC230" s="436"/>
      <c r="DD230" s="436"/>
      <c r="DE230" s="436"/>
      <c r="DF230" s="436"/>
      <c r="DG230" s="436"/>
      <c r="DH230" s="436"/>
      <c r="DI230" s="436"/>
      <c r="DJ230" s="436"/>
      <c r="DK230" s="436"/>
      <c r="DL230" s="436"/>
      <c r="DM230" s="436"/>
      <c r="DN230" s="436"/>
      <c r="DO230" s="436"/>
      <c r="DP230" s="436"/>
      <c r="DQ230" s="436"/>
      <c r="DR230" s="436"/>
      <c r="DS230" s="436"/>
      <c r="DT230" s="436"/>
      <c r="DU230" s="436"/>
      <c r="DV230" s="436"/>
      <c r="DW230" s="436"/>
      <c r="DX230" s="436"/>
      <c r="DY230" s="436"/>
      <c r="DZ230" s="436"/>
      <c r="EA230" s="436"/>
      <c r="EB230" s="436"/>
      <c r="EC230" s="436"/>
      <c r="ED230" s="436"/>
      <c r="EE230" s="436"/>
      <c r="EF230" s="436"/>
      <c r="EG230" s="436"/>
      <c r="EH230" s="436"/>
      <c r="EI230" s="436"/>
      <c r="EJ230" s="436"/>
      <c r="EK230" s="436"/>
      <c r="EL230" s="436"/>
      <c r="EM230" s="436"/>
      <c r="EN230" s="436"/>
      <c r="EO230" s="436"/>
      <c r="EP230" s="436"/>
      <c r="EQ230" s="436"/>
      <c r="ER230" s="436"/>
      <c r="ES230" s="436"/>
      <c r="ET230" s="436"/>
      <c r="EU230" s="436"/>
      <c r="EV230" s="436"/>
      <c r="EW230" s="436"/>
      <c r="EX230" s="436"/>
      <c r="EY230" s="436"/>
      <c r="EZ230" s="436"/>
      <c r="FA230" s="436"/>
      <c r="FB230" s="436"/>
      <c r="FC230" s="436"/>
      <c r="FD230" s="436"/>
      <c r="FE230" s="436"/>
      <c r="FF230" s="436"/>
      <c r="FG230" s="436"/>
      <c r="FH230" s="436"/>
      <c r="FI230" s="436"/>
      <c r="FJ230" s="436"/>
      <c r="FK230" s="436"/>
      <c r="FL230" s="436"/>
      <c r="FM230" s="436"/>
      <c r="FN230" s="436"/>
      <c r="FO230" s="436"/>
      <c r="FP230" s="436"/>
      <c r="FQ230" s="436"/>
      <c r="FR230" s="436"/>
      <c r="FS230" s="436"/>
      <c r="FT230" s="436"/>
      <c r="FU230" s="436"/>
      <c r="FV230" s="436"/>
      <c r="FW230" s="436"/>
      <c r="FX230" s="436"/>
      <c r="FY230" s="436"/>
      <c r="FZ230" s="436"/>
      <c r="GA230" s="436"/>
      <c r="GB230" s="436"/>
      <c r="GC230" s="436"/>
      <c r="GD230" s="436"/>
      <c r="GE230" s="436"/>
      <c r="GF230" s="436"/>
      <c r="GG230" s="436"/>
      <c r="GH230" s="436"/>
      <c r="GI230" s="436"/>
      <c r="GJ230" s="436"/>
      <c r="GK230" s="436"/>
      <c r="GL230" s="436"/>
      <c r="GM230" s="436"/>
      <c r="GN230" s="436"/>
      <c r="GO230" s="436"/>
      <c r="GP230" s="436"/>
      <c r="GQ230" s="436"/>
      <c r="GR230" s="436"/>
      <c r="GS230" s="436"/>
      <c r="GT230" s="436"/>
      <c r="GU230" s="436"/>
      <c r="GV230" s="436"/>
      <c r="GW230" s="436"/>
      <c r="GX230" s="436"/>
      <c r="GY230" s="436"/>
      <c r="GZ230" s="436"/>
      <c r="HA230" s="436"/>
      <c r="HB230" s="436"/>
      <c r="HC230" s="436"/>
      <c r="HD230" s="436"/>
      <c r="HE230" s="436"/>
      <c r="HF230" s="436"/>
      <c r="HG230" s="436"/>
      <c r="HH230" s="436"/>
      <c r="HI230" s="436"/>
      <c r="HJ230" s="436"/>
      <c r="HK230" s="436"/>
      <c r="HL230" s="436"/>
      <c r="HM230" s="436"/>
      <c r="HN230" s="436"/>
      <c r="HO230" s="436"/>
      <c r="HP230" s="436"/>
      <c r="HQ230" s="436"/>
      <c r="HR230" s="436"/>
      <c r="HS230" s="436"/>
      <c r="HT230" s="436"/>
      <c r="HU230" s="436"/>
      <c r="HV230" s="436"/>
      <c r="HW230" s="436"/>
      <c r="HX230" s="436"/>
      <c r="HY230" s="436"/>
      <c r="HZ230" s="436"/>
      <c r="IA230" s="436"/>
      <c r="IB230" s="436"/>
      <c r="IC230" s="436"/>
      <c r="ID230" s="436"/>
      <c r="IE230" s="436"/>
      <c r="IF230" s="436"/>
      <c r="IG230" s="436"/>
      <c r="IH230" s="436"/>
      <c r="II230" s="436"/>
      <c r="IJ230" s="436"/>
      <c r="IK230" s="436"/>
      <c r="IL230" s="436"/>
      <c r="IM230" s="436"/>
      <c r="IN230" s="436"/>
      <c r="IO230" s="436"/>
      <c r="IP230" s="436"/>
      <c r="IQ230" s="265"/>
      <c r="IR230" s="265"/>
    </row>
    <row r="231" spans="1:252" s="461" customFormat="1" x14ac:dyDescent="0.35">
      <c r="A231" s="685"/>
      <c r="B231" s="503"/>
      <c r="C231" s="503"/>
      <c r="D231" s="439"/>
      <c r="E231" s="686"/>
      <c r="J231" s="1591"/>
      <c r="M231" s="436"/>
      <c r="N231" s="436"/>
      <c r="O231" s="436"/>
      <c r="P231" s="436"/>
      <c r="Q231" s="436"/>
      <c r="R231" s="436"/>
      <c r="S231" s="436"/>
      <c r="T231" s="436"/>
      <c r="U231" s="436"/>
      <c r="V231" s="436"/>
      <c r="W231" s="436"/>
      <c r="X231" s="436"/>
      <c r="Y231" s="436"/>
      <c r="Z231" s="436"/>
      <c r="AA231" s="436"/>
      <c r="AB231" s="436"/>
      <c r="AC231" s="436"/>
      <c r="AD231" s="436"/>
      <c r="AE231" s="436"/>
      <c r="AF231" s="436"/>
      <c r="AG231" s="436"/>
      <c r="AH231" s="436"/>
      <c r="AI231" s="436"/>
      <c r="AJ231" s="436"/>
      <c r="AK231" s="436"/>
      <c r="AL231" s="436"/>
      <c r="AM231" s="436"/>
      <c r="AN231" s="436"/>
      <c r="AO231" s="436"/>
      <c r="AP231" s="436"/>
      <c r="AQ231" s="436"/>
      <c r="AR231" s="436"/>
      <c r="AS231" s="436"/>
      <c r="AT231" s="436"/>
      <c r="AU231" s="436"/>
      <c r="AV231" s="436"/>
      <c r="AW231" s="436"/>
      <c r="AX231" s="436"/>
      <c r="AY231" s="436"/>
      <c r="AZ231" s="436"/>
      <c r="BA231" s="436"/>
      <c r="BB231" s="436"/>
      <c r="BC231" s="436"/>
      <c r="BD231" s="436"/>
      <c r="BE231" s="436"/>
      <c r="BF231" s="436"/>
      <c r="BG231" s="436"/>
      <c r="BH231" s="436"/>
      <c r="BI231" s="436"/>
      <c r="BJ231" s="436"/>
      <c r="BK231" s="436"/>
      <c r="BL231" s="436"/>
      <c r="BM231" s="436"/>
      <c r="BN231" s="436"/>
      <c r="BO231" s="436"/>
      <c r="BP231" s="436"/>
      <c r="BQ231" s="436"/>
      <c r="BR231" s="436"/>
      <c r="BS231" s="436"/>
      <c r="BT231" s="436"/>
      <c r="BU231" s="436"/>
      <c r="BV231" s="436"/>
      <c r="BW231" s="436"/>
      <c r="BX231" s="436"/>
      <c r="BY231" s="436"/>
      <c r="BZ231" s="436"/>
      <c r="CA231" s="436"/>
      <c r="CB231" s="436"/>
      <c r="CC231" s="436"/>
      <c r="CD231" s="436"/>
      <c r="CE231" s="436"/>
      <c r="CF231" s="436"/>
      <c r="CG231" s="436"/>
      <c r="CH231" s="436"/>
      <c r="CI231" s="436"/>
      <c r="CJ231" s="436"/>
      <c r="CK231" s="436"/>
      <c r="CL231" s="436"/>
      <c r="CM231" s="436"/>
      <c r="CN231" s="436"/>
      <c r="CO231" s="436"/>
      <c r="CP231" s="436"/>
      <c r="CQ231" s="436"/>
      <c r="CR231" s="436"/>
      <c r="CS231" s="436"/>
      <c r="CT231" s="436"/>
      <c r="CU231" s="436"/>
      <c r="CV231" s="436"/>
      <c r="CW231" s="436"/>
      <c r="CX231" s="436"/>
      <c r="CY231" s="436"/>
      <c r="CZ231" s="436"/>
      <c r="DA231" s="436"/>
      <c r="DB231" s="436"/>
      <c r="DC231" s="436"/>
      <c r="DD231" s="436"/>
      <c r="DE231" s="436"/>
      <c r="DF231" s="436"/>
      <c r="DG231" s="436"/>
      <c r="DH231" s="436"/>
      <c r="DI231" s="436"/>
      <c r="DJ231" s="436"/>
      <c r="DK231" s="436"/>
      <c r="DL231" s="436"/>
      <c r="DM231" s="436"/>
      <c r="DN231" s="436"/>
      <c r="DO231" s="436"/>
      <c r="DP231" s="436"/>
      <c r="DQ231" s="436"/>
      <c r="DR231" s="436"/>
      <c r="DS231" s="436"/>
      <c r="DT231" s="436"/>
      <c r="DU231" s="436"/>
      <c r="DV231" s="436"/>
      <c r="DW231" s="436"/>
      <c r="DX231" s="436"/>
      <c r="DY231" s="436"/>
      <c r="DZ231" s="436"/>
      <c r="EA231" s="436"/>
      <c r="EB231" s="436"/>
      <c r="EC231" s="436"/>
      <c r="ED231" s="436"/>
      <c r="EE231" s="436"/>
      <c r="EF231" s="436"/>
      <c r="EG231" s="436"/>
      <c r="EH231" s="436"/>
      <c r="EI231" s="436"/>
      <c r="EJ231" s="436"/>
      <c r="EK231" s="436"/>
      <c r="EL231" s="436"/>
      <c r="EM231" s="436"/>
      <c r="EN231" s="436"/>
      <c r="EO231" s="436"/>
      <c r="EP231" s="436"/>
      <c r="EQ231" s="436"/>
      <c r="ER231" s="436"/>
      <c r="ES231" s="436"/>
      <c r="ET231" s="436"/>
      <c r="EU231" s="436"/>
      <c r="EV231" s="436"/>
      <c r="EW231" s="436"/>
      <c r="EX231" s="436"/>
      <c r="EY231" s="436"/>
      <c r="EZ231" s="436"/>
      <c r="FA231" s="436"/>
      <c r="FB231" s="436"/>
      <c r="FC231" s="436"/>
      <c r="FD231" s="436"/>
      <c r="FE231" s="436"/>
      <c r="FF231" s="436"/>
      <c r="FG231" s="436"/>
      <c r="FH231" s="436"/>
      <c r="FI231" s="436"/>
      <c r="FJ231" s="436"/>
      <c r="FK231" s="436"/>
      <c r="FL231" s="436"/>
      <c r="FM231" s="436"/>
      <c r="FN231" s="436"/>
      <c r="FO231" s="436"/>
      <c r="FP231" s="436"/>
      <c r="FQ231" s="436"/>
      <c r="FR231" s="436"/>
      <c r="FS231" s="436"/>
      <c r="FT231" s="436"/>
      <c r="FU231" s="436"/>
      <c r="FV231" s="436"/>
      <c r="FW231" s="436"/>
      <c r="FX231" s="436"/>
      <c r="FY231" s="436"/>
      <c r="FZ231" s="436"/>
      <c r="GA231" s="436"/>
      <c r="GB231" s="436"/>
      <c r="GC231" s="436"/>
      <c r="GD231" s="436"/>
      <c r="GE231" s="436"/>
      <c r="GF231" s="436"/>
      <c r="GG231" s="436"/>
      <c r="GH231" s="436"/>
      <c r="GI231" s="436"/>
      <c r="GJ231" s="436"/>
      <c r="GK231" s="436"/>
      <c r="GL231" s="436"/>
      <c r="GM231" s="436"/>
      <c r="GN231" s="436"/>
      <c r="GO231" s="436"/>
      <c r="GP231" s="436"/>
      <c r="GQ231" s="436"/>
      <c r="GR231" s="436"/>
      <c r="GS231" s="436"/>
      <c r="GT231" s="436"/>
      <c r="GU231" s="436"/>
      <c r="GV231" s="436"/>
      <c r="GW231" s="436"/>
      <c r="GX231" s="436"/>
      <c r="GY231" s="436"/>
      <c r="GZ231" s="436"/>
      <c r="HA231" s="436"/>
      <c r="HB231" s="436"/>
      <c r="HC231" s="436"/>
      <c r="HD231" s="436"/>
      <c r="HE231" s="436"/>
      <c r="HF231" s="436"/>
      <c r="HG231" s="436"/>
      <c r="HH231" s="436"/>
      <c r="HI231" s="436"/>
      <c r="HJ231" s="436"/>
      <c r="HK231" s="436"/>
      <c r="HL231" s="436"/>
      <c r="HM231" s="436"/>
      <c r="HN231" s="436"/>
      <c r="HO231" s="436"/>
      <c r="HP231" s="436"/>
      <c r="HQ231" s="436"/>
      <c r="HR231" s="436"/>
      <c r="HS231" s="436"/>
      <c r="HT231" s="436"/>
      <c r="HU231" s="436"/>
      <c r="HV231" s="436"/>
      <c r="HW231" s="436"/>
      <c r="HX231" s="436"/>
      <c r="HY231" s="436"/>
      <c r="HZ231" s="436"/>
      <c r="IA231" s="436"/>
      <c r="IB231" s="436"/>
      <c r="IC231" s="436"/>
      <c r="ID231" s="436"/>
      <c r="IE231" s="436"/>
      <c r="IF231" s="436"/>
      <c r="IG231" s="436"/>
      <c r="IH231" s="436"/>
      <c r="II231" s="436"/>
      <c r="IJ231" s="436"/>
      <c r="IK231" s="436"/>
      <c r="IL231" s="436"/>
      <c r="IM231" s="436"/>
      <c r="IN231" s="436"/>
      <c r="IO231" s="436"/>
      <c r="IP231" s="436"/>
      <c r="IQ231" s="265"/>
      <c r="IR231" s="265"/>
    </row>
    <row r="232" spans="1:252" s="461" customFormat="1" x14ac:dyDescent="0.35">
      <c r="A232" s="685"/>
      <c r="B232" s="503"/>
      <c r="C232" s="503"/>
      <c r="D232" s="439"/>
      <c r="E232" s="686"/>
      <c r="J232" s="1591"/>
      <c r="M232" s="436"/>
      <c r="N232" s="436"/>
      <c r="O232" s="436"/>
      <c r="P232" s="436"/>
      <c r="Q232" s="436"/>
      <c r="R232" s="436"/>
      <c r="S232" s="436"/>
      <c r="T232" s="436"/>
      <c r="U232" s="436"/>
      <c r="V232" s="436"/>
      <c r="W232" s="436"/>
      <c r="X232" s="436"/>
      <c r="Y232" s="436"/>
      <c r="Z232" s="436"/>
      <c r="AA232" s="436"/>
      <c r="AB232" s="436"/>
      <c r="AC232" s="436"/>
      <c r="AD232" s="436"/>
      <c r="AE232" s="436"/>
      <c r="AF232" s="436"/>
      <c r="AG232" s="436"/>
      <c r="AH232" s="436"/>
      <c r="AI232" s="436"/>
      <c r="AJ232" s="436"/>
      <c r="AK232" s="436"/>
      <c r="AL232" s="436"/>
      <c r="AM232" s="436"/>
      <c r="AN232" s="436"/>
      <c r="AO232" s="436"/>
      <c r="AP232" s="436"/>
      <c r="AQ232" s="436"/>
      <c r="AR232" s="436"/>
      <c r="AS232" s="436"/>
      <c r="AT232" s="436"/>
      <c r="AU232" s="436"/>
      <c r="AV232" s="436"/>
      <c r="AW232" s="436"/>
      <c r="AX232" s="436"/>
      <c r="AY232" s="436"/>
      <c r="AZ232" s="436"/>
      <c r="BA232" s="436"/>
      <c r="BB232" s="436"/>
      <c r="BC232" s="436"/>
      <c r="BD232" s="436"/>
      <c r="BE232" s="436"/>
      <c r="BF232" s="436"/>
      <c r="BG232" s="436"/>
      <c r="BH232" s="436"/>
      <c r="BI232" s="436"/>
      <c r="BJ232" s="436"/>
      <c r="BK232" s="436"/>
      <c r="BL232" s="436"/>
      <c r="BM232" s="436"/>
      <c r="BN232" s="436"/>
      <c r="BO232" s="436"/>
      <c r="BP232" s="436"/>
      <c r="BQ232" s="436"/>
      <c r="BR232" s="436"/>
      <c r="BS232" s="436"/>
      <c r="BT232" s="436"/>
      <c r="BU232" s="436"/>
      <c r="BV232" s="436"/>
      <c r="BW232" s="436"/>
      <c r="BX232" s="436"/>
      <c r="BY232" s="436"/>
      <c r="BZ232" s="436"/>
      <c r="CA232" s="436"/>
      <c r="CB232" s="436"/>
      <c r="CC232" s="436"/>
      <c r="CD232" s="436"/>
      <c r="CE232" s="436"/>
      <c r="CF232" s="436"/>
      <c r="CG232" s="436"/>
      <c r="CH232" s="436"/>
      <c r="CI232" s="436"/>
      <c r="CJ232" s="436"/>
      <c r="CK232" s="436"/>
      <c r="CL232" s="436"/>
      <c r="CM232" s="436"/>
      <c r="CN232" s="436"/>
      <c r="CO232" s="436"/>
      <c r="CP232" s="436"/>
      <c r="CQ232" s="436"/>
      <c r="CR232" s="436"/>
      <c r="CS232" s="436"/>
      <c r="CT232" s="436"/>
      <c r="CU232" s="436"/>
      <c r="CV232" s="436"/>
      <c r="CW232" s="436"/>
      <c r="CX232" s="436"/>
      <c r="CY232" s="436"/>
      <c r="CZ232" s="436"/>
      <c r="DA232" s="436"/>
      <c r="DB232" s="436"/>
      <c r="DC232" s="436"/>
      <c r="DD232" s="436"/>
      <c r="DE232" s="436"/>
      <c r="DF232" s="436"/>
      <c r="DG232" s="436"/>
      <c r="DH232" s="436"/>
      <c r="DI232" s="436"/>
      <c r="DJ232" s="436"/>
      <c r="DK232" s="436"/>
      <c r="DL232" s="436"/>
      <c r="DM232" s="436"/>
      <c r="DN232" s="436"/>
      <c r="DO232" s="436"/>
      <c r="DP232" s="436"/>
      <c r="DQ232" s="436"/>
      <c r="DR232" s="436"/>
      <c r="DS232" s="436"/>
      <c r="DT232" s="436"/>
      <c r="DU232" s="436"/>
      <c r="DV232" s="436"/>
      <c r="DW232" s="436"/>
      <c r="DX232" s="436"/>
      <c r="DY232" s="436"/>
      <c r="DZ232" s="436"/>
      <c r="EA232" s="436"/>
      <c r="EB232" s="436"/>
      <c r="EC232" s="436"/>
      <c r="ED232" s="436"/>
      <c r="EE232" s="436"/>
      <c r="EF232" s="436"/>
      <c r="EG232" s="436"/>
      <c r="EH232" s="436"/>
      <c r="EI232" s="436"/>
      <c r="EJ232" s="436"/>
      <c r="EK232" s="436"/>
      <c r="EL232" s="436"/>
      <c r="EM232" s="436"/>
      <c r="EN232" s="436"/>
      <c r="EO232" s="436"/>
      <c r="EP232" s="436"/>
      <c r="EQ232" s="436"/>
      <c r="ER232" s="436"/>
      <c r="ES232" s="436"/>
      <c r="ET232" s="436"/>
      <c r="EU232" s="436"/>
      <c r="EV232" s="436"/>
      <c r="EW232" s="436"/>
      <c r="EX232" s="436"/>
      <c r="EY232" s="436"/>
      <c r="EZ232" s="436"/>
      <c r="FA232" s="436"/>
      <c r="FB232" s="436"/>
      <c r="FC232" s="436"/>
      <c r="FD232" s="436"/>
      <c r="FE232" s="436"/>
      <c r="FF232" s="436"/>
      <c r="FG232" s="436"/>
      <c r="FH232" s="436"/>
      <c r="FI232" s="436"/>
      <c r="FJ232" s="436"/>
      <c r="FK232" s="436"/>
      <c r="FL232" s="436"/>
      <c r="FM232" s="436"/>
      <c r="FN232" s="436"/>
      <c r="FO232" s="436"/>
      <c r="FP232" s="436"/>
      <c r="FQ232" s="436"/>
      <c r="FR232" s="436"/>
      <c r="FS232" s="436"/>
      <c r="FT232" s="436"/>
      <c r="FU232" s="436"/>
      <c r="FV232" s="436"/>
      <c r="FW232" s="436"/>
      <c r="FX232" s="436"/>
      <c r="FY232" s="436"/>
      <c r="FZ232" s="436"/>
      <c r="GA232" s="436"/>
      <c r="GB232" s="436"/>
      <c r="GC232" s="436"/>
      <c r="GD232" s="436"/>
      <c r="GE232" s="436"/>
      <c r="GF232" s="436"/>
      <c r="GG232" s="436"/>
      <c r="GH232" s="436"/>
      <c r="GI232" s="436"/>
      <c r="GJ232" s="436"/>
      <c r="GK232" s="436"/>
      <c r="GL232" s="436"/>
      <c r="GM232" s="436"/>
      <c r="GN232" s="436"/>
      <c r="GO232" s="436"/>
      <c r="GP232" s="436"/>
      <c r="GQ232" s="436"/>
      <c r="GR232" s="436"/>
      <c r="GS232" s="436"/>
      <c r="GT232" s="436"/>
      <c r="GU232" s="436"/>
      <c r="GV232" s="436"/>
      <c r="GW232" s="436"/>
      <c r="GX232" s="436"/>
      <c r="GY232" s="436"/>
      <c r="GZ232" s="436"/>
      <c r="HA232" s="436"/>
      <c r="HB232" s="436"/>
      <c r="HC232" s="436"/>
      <c r="HD232" s="436"/>
      <c r="HE232" s="436"/>
      <c r="HF232" s="436"/>
      <c r="HG232" s="436"/>
      <c r="HH232" s="436"/>
      <c r="HI232" s="436"/>
      <c r="HJ232" s="436"/>
      <c r="HK232" s="436"/>
      <c r="HL232" s="436"/>
      <c r="HM232" s="436"/>
      <c r="HN232" s="436"/>
      <c r="HO232" s="436"/>
      <c r="HP232" s="436"/>
      <c r="HQ232" s="436"/>
      <c r="HR232" s="436"/>
      <c r="HS232" s="436"/>
      <c r="HT232" s="436"/>
      <c r="HU232" s="436"/>
      <c r="HV232" s="436"/>
      <c r="HW232" s="436"/>
      <c r="HX232" s="436"/>
      <c r="HY232" s="436"/>
      <c r="HZ232" s="436"/>
      <c r="IA232" s="436"/>
      <c r="IB232" s="436"/>
      <c r="IC232" s="436"/>
      <c r="ID232" s="436"/>
      <c r="IE232" s="436"/>
      <c r="IF232" s="436"/>
      <c r="IG232" s="436"/>
      <c r="IH232" s="436"/>
      <c r="II232" s="436"/>
      <c r="IJ232" s="436"/>
      <c r="IK232" s="436"/>
      <c r="IL232" s="436"/>
      <c r="IM232" s="436"/>
      <c r="IN232" s="436"/>
      <c r="IO232" s="436"/>
      <c r="IP232" s="436"/>
      <c r="IQ232" s="265"/>
      <c r="IR232" s="265"/>
    </row>
    <row r="233" spans="1:252" s="461" customFormat="1" x14ac:dyDescent="0.35">
      <c r="A233" s="685"/>
      <c r="B233" s="503"/>
      <c r="C233" s="503"/>
      <c r="D233" s="439"/>
      <c r="E233" s="686"/>
      <c r="J233" s="1591"/>
      <c r="M233" s="436"/>
      <c r="N233" s="436"/>
      <c r="O233" s="436"/>
      <c r="P233" s="436"/>
      <c r="Q233" s="436"/>
      <c r="R233" s="436"/>
      <c r="S233" s="436"/>
      <c r="T233" s="436"/>
      <c r="U233" s="436"/>
      <c r="V233" s="436"/>
      <c r="W233" s="436"/>
      <c r="X233" s="436"/>
      <c r="Y233" s="436"/>
      <c r="Z233" s="436"/>
      <c r="AA233" s="436"/>
      <c r="AB233" s="436"/>
      <c r="AC233" s="436"/>
      <c r="AD233" s="436"/>
      <c r="AE233" s="436"/>
      <c r="AF233" s="436"/>
      <c r="AG233" s="436"/>
      <c r="AH233" s="436"/>
      <c r="AI233" s="436"/>
      <c r="AJ233" s="436"/>
      <c r="AK233" s="436"/>
      <c r="AL233" s="436"/>
      <c r="AM233" s="436"/>
      <c r="AN233" s="436"/>
      <c r="AO233" s="436"/>
      <c r="AP233" s="436"/>
      <c r="AQ233" s="436"/>
      <c r="AR233" s="436"/>
      <c r="AS233" s="436"/>
      <c r="AT233" s="436"/>
      <c r="AU233" s="436"/>
      <c r="AV233" s="436"/>
      <c r="AW233" s="436"/>
      <c r="AX233" s="436"/>
      <c r="AY233" s="436"/>
      <c r="AZ233" s="436"/>
      <c r="BA233" s="436"/>
      <c r="BB233" s="436"/>
      <c r="BC233" s="436"/>
      <c r="BD233" s="436"/>
      <c r="BE233" s="436"/>
      <c r="BF233" s="436"/>
      <c r="BG233" s="436"/>
      <c r="BH233" s="436"/>
      <c r="BI233" s="436"/>
      <c r="BJ233" s="436"/>
      <c r="BK233" s="436"/>
      <c r="BL233" s="436"/>
      <c r="BM233" s="436"/>
      <c r="BN233" s="436"/>
      <c r="BO233" s="436"/>
      <c r="BP233" s="436"/>
      <c r="BQ233" s="436"/>
      <c r="BR233" s="436"/>
      <c r="BS233" s="436"/>
      <c r="BT233" s="436"/>
      <c r="BU233" s="436"/>
      <c r="BV233" s="436"/>
      <c r="BW233" s="436"/>
      <c r="BX233" s="436"/>
      <c r="BY233" s="436"/>
      <c r="BZ233" s="436"/>
      <c r="CA233" s="436"/>
      <c r="CB233" s="436"/>
      <c r="CC233" s="436"/>
      <c r="CD233" s="436"/>
      <c r="CE233" s="436"/>
      <c r="CF233" s="436"/>
      <c r="CG233" s="436"/>
      <c r="CH233" s="436"/>
      <c r="CI233" s="436"/>
      <c r="CJ233" s="436"/>
      <c r="CK233" s="436"/>
      <c r="CL233" s="436"/>
      <c r="CM233" s="436"/>
      <c r="CN233" s="436"/>
      <c r="CO233" s="436"/>
      <c r="CP233" s="436"/>
      <c r="CQ233" s="436"/>
      <c r="CR233" s="436"/>
      <c r="CS233" s="436"/>
      <c r="CT233" s="436"/>
      <c r="CU233" s="436"/>
      <c r="CV233" s="436"/>
      <c r="CW233" s="436"/>
      <c r="CX233" s="436"/>
      <c r="CY233" s="436"/>
      <c r="CZ233" s="436"/>
      <c r="DA233" s="436"/>
      <c r="DB233" s="436"/>
      <c r="DC233" s="436"/>
      <c r="DD233" s="436"/>
      <c r="DE233" s="436"/>
      <c r="DF233" s="436"/>
      <c r="DG233" s="436"/>
      <c r="DH233" s="436"/>
      <c r="DI233" s="436"/>
      <c r="DJ233" s="436"/>
      <c r="DK233" s="436"/>
      <c r="DL233" s="436"/>
      <c r="DM233" s="436"/>
      <c r="DN233" s="436"/>
      <c r="DO233" s="436"/>
      <c r="DP233" s="436"/>
      <c r="DQ233" s="436"/>
      <c r="DR233" s="436"/>
      <c r="DS233" s="436"/>
      <c r="DT233" s="436"/>
      <c r="DU233" s="436"/>
      <c r="DV233" s="436"/>
      <c r="DW233" s="436"/>
      <c r="DX233" s="436"/>
      <c r="DY233" s="436"/>
      <c r="DZ233" s="436"/>
      <c r="EA233" s="436"/>
      <c r="EB233" s="436"/>
      <c r="EC233" s="436"/>
      <c r="ED233" s="436"/>
      <c r="EE233" s="436"/>
      <c r="EF233" s="436"/>
      <c r="EG233" s="436"/>
      <c r="EH233" s="436"/>
      <c r="EI233" s="436"/>
      <c r="EJ233" s="436"/>
      <c r="EK233" s="436"/>
      <c r="EL233" s="436"/>
      <c r="EM233" s="436"/>
      <c r="EN233" s="436"/>
      <c r="EO233" s="436"/>
      <c r="EP233" s="436"/>
      <c r="EQ233" s="436"/>
      <c r="ER233" s="436"/>
      <c r="ES233" s="436"/>
      <c r="ET233" s="436"/>
      <c r="EU233" s="436"/>
      <c r="EV233" s="436"/>
      <c r="EW233" s="436"/>
      <c r="EX233" s="436"/>
      <c r="EY233" s="436"/>
      <c r="EZ233" s="436"/>
      <c r="FA233" s="436"/>
      <c r="FB233" s="436"/>
      <c r="FC233" s="436"/>
      <c r="FD233" s="436"/>
      <c r="FE233" s="436"/>
      <c r="FF233" s="436"/>
      <c r="FG233" s="436"/>
      <c r="FH233" s="436"/>
      <c r="FI233" s="436"/>
      <c r="FJ233" s="436"/>
      <c r="FK233" s="436"/>
      <c r="FL233" s="436"/>
      <c r="FM233" s="436"/>
      <c r="FN233" s="436"/>
      <c r="FO233" s="436"/>
      <c r="FP233" s="436"/>
      <c r="FQ233" s="436"/>
      <c r="FR233" s="436"/>
      <c r="FS233" s="436"/>
      <c r="FT233" s="436"/>
      <c r="FU233" s="436"/>
      <c r="FV233" s="436"/>
      <c r="FW233" s="436"/>
      <c r="FX233" s="436"/>
      <c r="FY233" s="436"/>
      <c r="FZ233" s="436"/>
      <c r="GA233" s="436"/>
      <c r="GB233" s="436"/>
      <c r="GC233" s="436"/>
      <c r="GD233" s="436"/>
      <c r="GE233" s="436"/>
      <c r="GF233" s="436"/>
      <c r="GG233" s="436"/>
      <c r="GH233" s="436"/>
      <c r="GI233" s="436"/>
      <c r="GJ233" s="436"/>
      <c r="GK233" s="436"/>
      <c r="GL233" s="436"/>
      <c r="GM233" s="436"/>
      <c r="GN233" s="436"/>
      <c r="GO233" s="436"/>
      <c r="GP233" s="436"/>
      <c r="GQ233" s="436"/>
      <c r="GR233" s="436"/>
      <c r="GS233" s="436"/>
      <c r="GT233" s="436"/>
      <c r="GU233" s="436"/>
      <c r="GV233" s="436"/>
      <c r="GW233" s="436"/>
      <c r="GX233" s="436"/>
      <c r="GY233" s="436"/>
      <c r="GZ233" s="436"/>
      <c r="HA233" s="436"/>
      <c r="HB233" s="436"/>
      <c r="HC233" s="436"/>
      <c r="HD233" s="436"/>
      <c r="HE233" s="436"/>
      <c r="HF233" s="436"/>
      <c r="HG233" s="436"/>
      <c r="HH233" s="436"/>
      <c r="HI233" s="436"/>
      <c r="HJ233" s="436"/>
      <c r="HK233" s="436"/>
      <c r="HL233" s="436"/>
      <c r="HM233" s="436"/>
      <c r="HN233" s="436"/>
      <c r="HO233" s="436"/>
      <c r="HP233" s="436"/>
      <c r="HQ233" s="436"/>
      <c r="HR233" s="436"/>
      <c r="HS233" s="436"/>
      <c r="HT233" s="436"/>
      <c r="HU233" s="436"/>
      <c r="HV233" s="436"/>
      <c r="HW233" s="436"/>
      <c r="HX233" s="436"/>
      <c r="HY233" s="436"/>
      <c r="HZ233" s="436"/>
      <c r="IA233" s="436"/>
      <c r="IB233" s="436"/>
      <c r="IC233" s="436"/>
      <c r="ID233" s="436"/>
      <c r="IE233" s="436"/>
      <c r="IF233" s="436"/>
      <c r="IG233" s="436"/>
      <c r="IH233" s="436"/>
      <c r="II233" s="436"/>
      <c r="IJ233" s="436"/>
      <c r="IK233" s="436"/>
      <c r="IL233" s="436"/>
      <c r="IM233" s="436"/>
      <c r="IN233" s="436"/>
      <c r="IO233" s="436"/>
      <c r="IP233" s="436"/>
      <c r="IQ233" s="265"/>
      <c r="IR233" s="265"/>
    </row>
    <row r="234" spans="1:252" s="461" customFormat="1" x14ac:dyDescent="0.35">
      <c r="A234" s="685"/>
      <c r="B234" s="503"/>
      <c r="C234" s="503"/>
      <c r="D234" s="439"/>
      <c r="E234" s="686"/>
      <c r="J234" s="1591"/>
      <c r="M234" s="436"/>
      <c r="N234" s="436"/>
      <c r="O234" s="436"/>
      <c r="P234" s="436"/>
      <c r="Q234" s="436"/>
      <c r="R234" s="436"/>
      <c r="S234" s="436"/>
      <c r="T234" s="436"/>
      <c r="U234" s="436"/>
      <c r="V234" s="436"/>
      <c r="W234" s="436"/>
      <c r="X234" s="436"/>
      <c r="Y234" s="436"/>
      <c r="Z234" s="436"/>
      <c r="AA234" s="436"/>
      <c r="AB234" s="436"/>
      <c r="AC234" s="436"/>
      <c r="AD234" s="436"/>
      <c r="AE234" s="436"/>
      <c r="AF234" s="436"/>
      <c r="AG234" s="436"/>
      <c r="AH234" s="436"/>
      <c r="AI234" s="436"/>
      <c r="AJ234" s="436"/>
      <c r="AK234" s="436"/>
      <c r="AL234" s="436"/>
      <c r="AM234" s="436"/>
      <c r="AN234" s="436"/>
      <c r="AO234" s="436"/>
      <c r="AP234" s="436"/>
      <c r="AQ234" s="436"/>
      <c r="AR234" s="436"/>
      <c r="AS234" s="436"/>
      <c r="AT234" s="436"/>
      <c r="AU234" s="436"/>
      <c r="AV234" s="436"/>
      <c r="AW234" s="436"/>
      <c r="AX234" s="436"/>
      <c r="AY234" s="436"/>
      <c r="AZ234" s="436"/>
      <c r="BA234" s="436"/>
      <c r="BB234" s="436"/>
      <c r="BC234" s="436"/>
      <c r="BD234" s="436"/>
      <c r="BE234" s="436"/>
      <c r="BF234" s="436"/>
      <c r="BG234" s="436"/>
      <c r="BH234" s="436"/>
      <c r="BI234" s="436"/>
      <c r="BJ234" s="436"/>
      <c r="BK234" s="436"/>
      <c r="BL234" s="436"/>
      <c r="BM234" s="436"/>
      <c r="BN234" s="436"/>
      <c r="BO234" s="436"/>
      <c r="BP234" s="436"/>
      <c r="BQ234" s="436"/>
      <c r="BR234" s="436"/>
      <c r="BS234" s="436"/>
      <c r="BT234" s="436"/>
      <c r="BU234" s="436"/>
      <c r="BV234" s="436"/>
      <c r="BW234" s="436"/>
      <c r="BX234" s="436"/>
      <c r="BY234" s="436"/>
      <c r="BZ234" s="436"/>
      <c r="CA234" s="436"/>
      <c r="CB234" s="436"/>
      <c r="CC234" s="436"/>
      <c r="CD234" s="436"/>
      <c r="CE234" s="436"/>
      <c r="CF234" s="436"/>
      <c r="CG234" s="436"/>
      <c r="CH234" s="436"/>
      <c r="CI234" s="436"/>
      <c r="CJ234" s="436"/>
      <c r="CK234" s="436"/>
      <c r="CL234" s="436"/>
      <c r="CM234" s="436"/>
      <c r="CN234" s="436"/>
      <c r="CO234" s="436"/>
      <c r="CP234" s="436"/>
      <c r="CQ234" s="436"/>
      <c r="CR234" s="436"/>
      <c r="CS234" s="436"/>
      <c r="CT234" s="436"/>
      <c r="CU234" s="436"/>
      <c r="CV234" s="436"/>
      <c r="CW234" s="436"/>
      <c r="CX234" s="436"/>
      <c r="CY234" s="436"/>
      <c r="CZ234" s="436"/>
      <c r="DA234" s="436"/>
      <c r="DB234" s="436"/>
      <c r="DC234" s="436"/>
      <c r="DD234" s="436"/>
      <c r="DE234" s="436"/>
      <c r="DF234" s="436"/>
      <c r="DG234" s="436"/>
      <c r="DH234" s="436"/>
      <c r="DI234" s="436"/>
      <c r="DJ234" s="436"/>
      <c r="DK234" s="436"/>
      <c r="DL234" s="436"/>
      <c r="DM234" s="436"/>
      <c r="DN234" s="436"/>
      <c r="DO234" s="436"/>
      <c r="DP234" s="436"/>
      <c r="DQ234" s="436"/>
      <c r="DR234" s="436"/>
      <c r="DS234" s="436"/>
      <c r="DT234" s="436"/>
      <c r="DU234" s="436"/>
      <c r="DV234" s="436"/>
      <c r="DW234" s="436"/>
      <c r="DX234" s="436"/>
      <c r="DY234" s="436"/>
      <c r="DZ234" s="436"/>
      <c r="EA234" s="436"/>
      <c r="EB234" s="436"/>
      <c r="EC234" s="436"/>
      <c r="ED234" s="436"/>
      <c r="EE234" s="436"/>
      <c r="EF234" s="436"/>
      <c r="EG234" s="436"/>
      <c r="EH234" s="436"/>
      <c r="EI234" s="436"/>
      <c r="EJ234" s="436"/>
      <c r="EK234" s="436"/>
      <c r="EL234" s="436"/>
      <c r="EM234" s="436"/>
      <c r="EN234" s="436"/>
      <c r="EO234" s="436"/>
      <c r="EP234" s="436"/>
      <c r="EQ234" s="436"/>
      <c r="ER234" s="436"/>
      <c r="ES234" s="436"/>
      <c r="ET234" s="436"/>
      <c r="EU234" s="436"/>
      <c r="EV234" s="436"/>
      <c r="EW234" s="436"/>
      <c r="EX234" s="436"/>
      <c r="EY234" s="436"/>
      <c r="EZ234" s="436"/>
      <c r="FA234" s="436"/>
      <c r="FB234" s="436"/>
      <c r="FC234" s="436"/>
      <c r="FD234" s="436"/>
      <c r="FE234" s="436"/>
      <c r="FF234" s="436"/>
      <c r="FG234" s="436"/>
      <c r="FH234" s="436"/>
      <c r="FI234" s="436"/>
      <c r="FJ234" s="436"/>
      <c r="FK234" s="436"/>
      <c r="FL234" s="436"/>
      <c r="FM234" s="436"/>
      <c r="FN234" s="436"/>
      <c r="FO234" s="436"/>
      <c r="FP234" s="436"/>
      <c r="FQ234" s="436"/>
      <c r="FR234" s="436"/>
      <c r="FS234" s="436"/>
      <c r="FT234" s="436"/>
      <c r="FU234" s="436"/>
      <c r="FV234" s="436"/>
      <c r="FW234" s="436"/>
      <c r="FX234" s="436"/>
      <c r="FY234" s="436"/>
      <c r="FZ234" s="436"/>
      <c r="GA234" s="436"/>
      <c r="GB234" s="436"/>
      <c r="GC234" s="436"/>
      <c r="GD234" s="436"/>
      <c r="GE234" s="436"/>
      <c r="GF234" s="436"/>
      <c r="GG234" s="436"/>
      <c r="GH234" s="436"/>
      <c r="GI234" s="436"/>
      <c r="GJ234" s="436"/>
      <c r="GK234" s="436"/>
      <c r="GL234" s="436"/>
      <c r="GM234" s="436"/>
      <c r="GN234" s="436"/>
      <c r="GO234" s="436"/>
      <c r="GP234" s="436"/>
      <c r="GQ234" s="436"/>
      <c r="GR234" s="436"/>
      <c r="GS234" s="436"/>
      <c r="GT234" s="436"/>
      <c r="GU234" s="436"/>
      <c r="GV234" s="436"/>
      <c r="GW234" s="436"/>
      <c r="GX234" s="436"/>
      <c r="GY234" s="436"/>
      <c r="GZ234" s="436"/>
      <c r="HA234" s="436"/>
      <c r="HB234" s="436"/>
      <c r="HC234" s="436"/>
      <c r="HD234" s="436"/>
      <c r="HE234" s="436"/>
      <c r="HF234" s="436"/>
      <c r="HG234" s="436"/>
      <c r="HH234" s="436"/>
      <c r="HI234" s="436"/>
      <c r="HJ234" s="436"/>
      <c r="HK234" s="436"/>
      <c r="HL234" s="436"/>
      <c r="HM234" s="436"/>
      <c r="HN234" s="436"/>
      <c r="HO234" s="436"/>
      <c r="HP234" s="436"/>
      <c r="HQ234" s="436"/>
      <c r="HR234" s="436"/>
      <c r="HS234" s="436"/>
      <c r="HT234" s="436"/>
      <c r="HU234" s="436"/>
      <c r="HV234" s="436"/>
      <c r="HW234" s="436"/>
      <c r="HX234" s="436"/>
      <c r="HY234" s="436"/>
      <c r="HZ234" s="436"/>
      <c r="IA234" s="436"/>
      <c r="IB234" s="436"/>
      <c r="IC234" s="436"/>
      <c r="ID234" s="436"/>
      <c r="IE234" s="436"/>
      <c r="IF234" s="436"/>
      <c r="IG234" s="436"/>
      <c r="IH234" s="436"/>
      <c r="II234" s="436"/>
      <c r="IJ234" s="436"/>
      <c r="IK234" s="436"/>
      <c r="IL234" s="436"/>
      <c r="IM234" s="436"/>
      <c r="IN234" s="436"/>
      <c r="IO234" s="436"/>
      <c r="IP234" s="436"/>
      <c r="IQ234" s="265"/>
      <c r="IR234" s="265"/>
    </row>
    <row r="235" spans="1:252" s="461" customFormat="1" x14ac:dyDescent="0.35">
      <c r="A235" s="685"/>
      <c r="B235" s="503"/>
      <c r="C235" s="503"/>
      <c r="D235" s="439"/>
      <c r="E235" s="686"/>
      <c r="J235" s="1591"/>
      <c r="M235" s="436"/>
      <c r="N235" s="436"/>
      <c r="O235" s="436"/>
      <c r="P235" s="436"/>
      <c r="Q235" s="436"/>
      <c r="R235" s="436"/>
      <c r="S235" s="436"/>
      <c r="T235" s="436"/>
      <c r="U235" s="436"/>
      <c r="V235" s="436"/>
      <c r="W235" s="436"/>
      <c r="X235" s="436"/>
      <c r="Y235" s="436"/>
      <c r="Z235" s="436"/>
      <c r="AA235" s="436"/>
      <c r="AB235" s="436"/>
      <c r="AC235" s="436"/>
      <c r="AD235" s="436"/>
      <c r="AE235" s="436"/>
      <c r="AF235" s="436"/>
      <c r="AG235" s="436"/>
      <c r="AH235" s="436"/>
      <c r="AI235" s="436"/>
      <c r="AJ235" s="436"/>
      <c r="AK235" s="436"/>
      <c r="AL235" s="436"/>
      <c r="AM235" s="436"/>
      <c r="AN235" s="436"/>
      <c r="AO235" s="436"/>
      <c r="AP235" s="436"/>
      <c r="AQ235" s="436"/>
      <c r="AR235" s="436"/>
      <c r="AS235" s="436"/>
      <c r="AT235" s="436"/>
      <c r="AU235" s="436"/>
      <c r="AV235" s="436"/>
      <c r="AW235" s="436"/>
      <c r="AX235" s="436"/>
      <c r="AY235" s="436"/>
      <c r="AZ235" s="436"/>
      <c r="BA235" s="436"/>
      <c r="BB235" s="436"/>
      <c r="BC235" s="436"/>
      <c r="BD235" s="436"/>
      <c r="BE235" s="436"/>
      <c r="BF235" s="436"/>
      <c r="BG235" s="436"/>
      <c r="BH235" s="436"/>
      <c r="BI235" s="436"/>
      <c r="BJ235" s="436"/>
      <c r="BK235" s="436"/>
      <c r="BL235" s="436"/>
      <c r="BM235" s="436"/>
      <c r="BN235" s="436"/>
      <c r="BO235" s="436"/>
      <c r="BP235" s="436"/>
      <c r="BQ235" s="436"/>
      <c r="BR235" s="436"/>
      <c r="BS235" s="436"/>
      <c r="BT235" s="436"/>
      <c r="BU235" s="436"/>
      <c r="BV235" s="436"/>
      <c r="BW235" s="436"/>
      <c r="BX235" s="436"/>
      <c r="BY235" s="436"/>
      <c r="BZ235" s="436"/>
      <c r="CA235" s="436"/>
      <c r="CB235" s="436"/>
      <c r="CC235" s="436"/>
      <c r="CD235" s="436"/>
      <c r="CE235" s="436"/>
      <c r="CF235" s="436"/>
      <c r="CG235" s="436"/>
      <c r="CH235" s="436"/>
      <c r="CI235" s="436"/>
      <c r="CJ235" s="436"/>
      <c r="CK235" s="436"/>
      <c r="CL235" s="436"/>
      <c r="CM235" s="436"/>
      <c r="CN235" s="436"/>
      <c r="CO235" s="436"/>
      <c r="CP235" s="436"/>
      <c r="CQ235" s="436"/>
      <c r="CR235" s="436"/>
      <c r="CS235" s="436"/>
      <c r="CT235" s="436"/>
      <c r="CU235" s="436"/>
      <c r="CV235" s="436"/>
      <c r="CW235" s="436"/>
      <c r="CX235" s="436"/>
      <c r="CY235" s="436"/>
      <c r="CZ235" s="436"/>
      <c r="DA235" s="436"/>
      <c r="DB235" s="436"/>
      <c r="DC235" s="436"/>
      <c r="DD235" s="436"/>
      <c r="DE235" s="436"/>
      <c r="DF235" s="436"/>
      <c r="DG235" s="436"/>
      <c r="DH235" s="436"/>
      <c r="DI235" s="436"/>
      <c r="DJ235" s="436"/>
      <c r="DK235" s="436"/>
      <c r="DL235" s="436"/>
      <c r="DM235" s="436"/>
      <c r="DN235" s="436"/>
      <c r="DO235" s="436"/>
      <c r="DP235" s="436"/>
      <c r="DQ235" s="436"/>
      <c r="DR235" s="436"/>
      <c r="DS235" s="436"/>
      <c r="DT235" s="436"/>
      <c r="DU235" s="436"/>
      <c r="DV235" s="436"/>
      <c r="DW235" s="436"/>
      <c r="DX235" s="436"/>
      <c r="DY235" s="436"/>
      <c r="DZ235" s="436"/>
      <c r="EA235" s="436"/>
      <c r="EB235" s="436"/>
      <c r="EC235" s="436"/>
      <c r="ED235" s="436"/>
      <c r="EE235" s="436"/>
      <c r="EF235" s="436"/>
      <c r="EG235" s="436"/>
      <c r="EH235" s="436"/>
      <c r="EI235" s="436"/>
      <c r="EJ235" s="436"/>
      <c r="EK235" s="436"/>
      <c r="EL235" s="436"/>
      <c r="EM235" s="436"/>
      <c r="EN235" s="436"/>
      <c r="EO235" s="436"/>
      <c r="EP235" s="436"/>
      <c r="EQ235" s="436"/>
      <c r="ER235" s="436"/>
      <c r="ES235" s="436"/>
      <c r="ET235" s="436"/>
      <c r="EU235" s="436"/>
      <c r="EV235" s="436"/>
      <c r="EW235" s="436"/>
      <c r="EX235" s="436"/>
      <c r="EY235" s="436"/>
      <c r="EZ235" s="436"/>
      <c r="FA235" s="436"/>
      <c r="FB235" s="436"/>
      <c r="FC235" s="436"/>
      <c r="FD235" s="436"/>
      <c r="FE235" s="436"/>
      <c r="FF235" s="436"/>
      <c r="FG235" s="436"/>
      <c r="FH235" s="436"/>
      <c r="FI235" s="436"/>
      <c r="FJ235" s="436"/>
      <c r="FK235" s="436"/>
      <c r="FL235" s="436"/>
      <c r="FM235" s="436"/>
      <c r="FN235" s="436"/>
      <c r="FO235" s="436"/>
      <c r="FP235" s="436"/>
      <c r="FQ235" s="436"/>
      <c r="FR235" s="436"/>
      <c r="FS235" s="436"/>
      <c r="FT235" s="436"/>
      <c r="FU235" s="436"/>
      <c r="FV235" s="436"/>
      <c r="FW235" s="436"/>
      <c r="FX235" s="436"/>
      <c r="FY235" s="436"/>
      <c r="FZ235" s="436"/>
      <c r="GA235" s="436"/>
      <c r="GB235" s="436"/>
      <c r="GC235" s="436"/>
      <c r="GD235" s="436"/>
      <c r="GE235" s="436"/>
      <c r="GF235" s="436"/>
      <c r="GG235" s="436"/>
      <c r="GH235" s="436"/>
      <c r="GI235" s="436"/>
      <c r="GJ235" s="436"/>
      <c r="GK235" s="436"/>
      <c r="GL235" s="436"/>
      <c r="GM235" s="436"/>
      <c r="GN235" s="436"/>
      <c r="GO235" s="436"/>
      <c r="GP235" s="436"/>
      <c r="GQ235" s="436"/>
      <c r="GR235" s="436"/>
      <c r="GS235" s="436"/>
      <c r="GT235" s="436"/>
      <c r="GU235" s="436"/>
      <c r="GV235" s="436"/>
      <c r="GW235" s="436"/>
      <c r="GX235" s="436"/>
      <c r="GY235" s="436"/>
      <c r="GZ235" s="436"/>
      <c r="HA235" s="436"/>
      <c r="HB235" s="436"/>
      <c r="HC235" s="436"/>
      <c r="HD235" s="436"/>
      <c r="HE235" s="436"/>
      <c r="HF235" s="436"/>
      <c r="HG235" s="436"/>
      <c r="HH235" s="436"/>
      <c r="HI235" s="436"/>
      <c r="HJ235" s="436"/>
      <c r="HK235" s="436"/>
      <c r="HL235" s="436"/>
      <c r="HM235" s="436"/>
      <c r="HN235" s="436"/>
      <c r="HO235" s="436"/>
      <c r="HP235" s="436"/>
      <c r="HQ235" s="436"/>
      <c r="HR235" s="436"/>
      <c r="HS235" s="436"/>
      <c r="HT235" s="436"/>
      <c r="HU235" s="436"/>
      <c r="HV235" s="436"/>
      <c r="HW235" s="436"/>
      <c r="HX235" s="436"/>
      <c r="HY235" s="436"/>
      <c r="HZ235" s="436"/>
      <c r="IA235" s="436"/>
      <c r="IB235" s="436"/>
      <c r="IC235" s="436"/>
      <c r="ID235" s="436"/>
      <c r="IE235" s="436"/>
      <c r="IF235" s="436"/>
      <c r="IG235" s="436"/>
      <c r="IH235" s="436"/>
      <c r="II235" s="436"/>
      <c r="IJ235" s="436"/>
      <c r="IK235" s="436"/>
      <c r="IL235" s="436"/>
      <c r="IM235" s="436"/>
      <c r="IN235" s="436"/>
      <c r="IO235" s="436"/>
      <c r="IP235" s="436"/>
      <c r="IQ235" s="265"/>
      <c r="IR235" s="265"/>
    </row>
    <row r="236" spans="1:252" s="461" customFormat="1" x14ac:dyDescent="0.35">
      <c r="A236" s="685"/>
      <c r="B236" s="503"/>
      <c r="C236" s="503"/>
      <c r="D236" s="439"/>
      <c r="E236" s="686"/>
      <c r="J236" s="1591"/>
      <c r="M236" s="436"/>
      <c r="N236" s="436"/>
      <c r="O236" s="436"/>
      <c r="P236" s="436"/>
      <c r="Q236" s="436"/>
      <c r="R236" s="436"/>
      <c r="S236" s="436"/>
      <c r="T236" s="436"/>
      <c r="U236" s="436"/>
      <c r="V236" s="436"/>
      <c r="W236" s="436"/>
      <c r="X236" s="436"/>
      <c r="Y236" s="436"/>
      <c r="Z236" s="436"/>
      <c r="AA236" s="436"/>
      <c r="AB236" s="436"/>
      <c r="AC236" s="436"/>
      <c r="AD236" s="436"/>
      <c r="AE236" s="436"/>
      <c r="AF236" s="436"/>
      <c r="AG236" s="436"/>
      <c r="AH236" s="436"/>
      <c r="AI236" s="436"/>
      <c r="AJ236" s="436"/>
      <c r="AK236" s="436"/>
      <c r="AL236" s="436"/>
      <c r="AM236" s="436"/>
      <c r="AN236" s="436"/>
      <c r="AO236" s="436"/>
      <c r="AP236" s="436"/>
      <c r="AQ236" s="436"/>
      <c r="AR236" s="436"/>
      <c r="AS236" s="436"/>
      <c r="AT236" s="436"/>
      <c r="AU236" s="436"/>
      <c r="AV236" s="436"/>
      <c r="AW236" s="436"/>
      <c r="AX236" s="436"/>
      <c r="AY236" s="436"/>
      <c r="AZ236" s="436"/>
      <c r="BA236" s="436"/>
      <c r="BB236" s="436"/>
      <c r="BC236" s="436"/>
      <c r="BD236" s="436"/>
      <c r="BE236" s="436"/>
      <c r="BF236" s="436"/>
      <c r="BG236" s="436"/>
      <c r="BH236" s="436"/>
      <c r="BI236" s="436"/>
      <c r="BJ236" s="436"/>
      <c r="BK236" s="436"/>
      <c r="BL236" s="436"/>
      <c r="BM236" s="436"/>
      <c r="BN236" s="436"/>
      <c r="BO236" s="436"/>
      <c r="BP236" s="436"/>
      <c r="BQ236" s="436"/>
      <c r="BR236" s="436"/>
      <c r="BS236" s="436"/>
      <c r="BT236" s="436"/>
      <c r="BU236" s="436"/>
      <c r="BV236" s="436"/>
      <c r="BW236" s="436"/>
      <c r="BX236" s="436"/>
      <c r="BY236" s="436"/>
      <c r="BZ236" s="436"/>
      <c r="CA236" s="436"/>
      <c r="CB236" s="436"/>
      <c r="CC236" s="436"/>
      <c r="CD236" s="436"/>
      <c r="CE236" s="436"/>
      <c r="CF236" s="436"/>
      <c r="CG236" s="436"/>
      <c r="CH236" s="436"/>
      <c r="CI236" s="436"/>
      <c r="CJ236" s="436"/>
      <c r="CK236" s="436"/>
      <c r="CL236" s="436"/>
      <c r="CM236" s="436"/>
      <c r="CN236" s="436"/>
      <c r="CO236" s="436"/>
      <c r="CP236" s="436"/>
      <c r="CQ236" s="436"/>
      <c r="CR236" s="436"/>
      <c r="CS236" s="436"/>
      <c r="CT236" s="436"/>
      <c r="CU236" s="436"/>
      <c r="CV236" s="436"/>
      <c r="CW236" s="436"/>
      <c r="CX236" s="436"/>
      <c r="CY236" s="436"/>
      <c r="CZ236" s="436"/>
      <c r="DA236" s="436"/>
      <c r="DB236" s="436"/>
      <c r="DC236" s="436"/>
      <c r="DD236" s="436"/>
      <c r="DE236" s="436"/>
      <c r="DF236" s="436"/>
      <c r="DG236" s="436"/>
      <c r="DH236" s="436"/>
      <c r="DI236" s="436"/>
      <c r="DJ236" s="436"/>
      <c r="DK236" s="436"/>
      <c r="DL236" s="436"/>
      <c r="DM236" s="436"/>
      <c r="DN236" s="436"/>
      <c r="DO236" s="436"/>
      <c r="DP236" s="436"/>
      <c r="DQ236" s="436"/>
      <c r="DR236" s="436"/>
      <c r="DS236" s="436"/>
      <c r="DT236" s="436"/>
      <c r="DU236" s="436"/>
      <c r="DV236" s="436"/>
      <c r="DW236" s="436"/>
      <c r="DX236" s="436"/>
      <c r="DY236" s="436"/>
      <c r="DZ236" s="436"/>
      <c r="EA236" s="436"/>
      <c r="EB236" s="436"/>
      <c r="EC236" s="436"/>
      <c r="ED236" s="436"/>
      <c r="EE236" s="436"/>
      <c r="EF236" s="436"/>
      <c r="EG236" s="436"/>
      <c r="EH236" s="436"/>
      <c r="EI236" s="436"/>
      <c r="EJ236" s="436"/>
      <c r="EK236" s="436"/>
      <c r="EL236" s="436"/>
      <c r="EM236" s="436"/>
      <c r="EN236" s="436"/>
      <c r="EO236" s="436"/>
      <c r="EP236" s="436"/>
      <c r="EQ236" s="436"/>
      <c r="ER236" s="436"/>
      <c r="ES236" s="436"/>
      <c r="ET236" s="436"/>
      <c r="EU236" s="436"/>
      <c r="EV236" s="436"/>
      <c r="EW236" s="436"/>
      <c r="EX236" s="436"/>
      <c r="EY236" s="436"/>
      <c r="EZ236" s="436"/>
      <c r="FA236" s="436"/>
      <c r="FB236" s="436"/>
      <c r="FC236" s="436"/>
      <c r="FD236" s="436"/>
      <c r="FE236" s="436"/>
      <c r="FF236" s="436"/>
      <c r="FG236" s="436"/>
      <c r="FH236" s="436"/>
      <c r="FI236" s="436"/>
      <c r="FJ236" s="436"/>
      <c r="FK236" s="436"/>
      <c r="FL236" s="436"/>
      <c r="FM236" s="436"/>
      <c r="FN236" s="436"/>
      <c r="FO236" s="436"/>
      <c r="FP236" s="436"/>
      <c r="FQ236" s="436"/>
      <c r="FR236" s="436"/>
      <c r="FS236" s="436"/>
      <c r="FT236" s="436"/>
      <c r="FU236" s="436"/>
      <c r="FV236" s="436"/>
      <c r="FW236" s="436"/>
      <c r="FX236" s="436"/>
      <c r="FY236" s="436"/>
      <c r="FZ236" s="436"/>
      <c r="GA236" s="436"/>
      <c r="GB236" s="436"/>
      <c r="GC236" s="436"/>
      <c r="GD236" s="436"/>
      <c r="GE236" s="436"/>
      <c r="GF236" s="436"/>
      <c r="GG236" s="436"/>
      <c r="GH236" s="436"/>
      <c r="GI236" s="436"/>
      <c r="GJ236" s="436"/>
      <c r="GK236" s="436"/>
      <c r="GL236" s="436"/>
      <c r="GM236" s="436"/>
      <c r="GN236" s="436"/>
      <c r="GO236" s="436"/>
      <c r="GP236" s="436"/>
      <c r="GQ236" s="436"/>
      <c r="GR236" s="436"/>
      <c r="GS236" s="436"/>
      <c r="GT236" s="436"/>
      <c r="GU236" s="436"/>
      <c r="GV236" s="436"/>
      <c r="GW236" s="436"/>
      <c r="GX236" s="436"/>
      <c r="GY236" s="436"/>
      <c r="GZ236" s="436"/>
      <c r="HA236" s="436"/>
      <c r="HB236" s="436"/>
      <c r="HC236" s="436"/>
      <c r="HD236" s="436"/>
      <c r="HE236" s="436"/>
      <c r="HF236" s="436"/>
      <c r="HG236" s="436"/>
      <c r="HH236" s="436"/>
      <c r="HI236" s="436"/>
      <c r="HJ236" s="436"/>
      <c r="HK236" s="436"/>
      <c r="HL236" s="436"/>
      <c r="HM236" s="436"/>
      <c r="HN236" s="436"/>
      <c r="HO236" s="436"/>
      <c r="HP236" s="436"/>
      <c r="HQ236" s="436"/>
      <c r="HR236" s="436"/>
      <c r="HS236" s="436"/>
      <c r="HT236" s="436"/>
      <c r="HU236" s="436"/>
      <c r="HV236" s="436"/>
      <c r="HW236" s="436"/>
      <c r="HX236" s="436"/>
      <c r="HY236" s="436"/>
      <c r="HZ236" s="436"/>
      <c r="IA236" s="436"/>
      <c r="IB236" s="436"/>
      <c r="IC236" s="436"/>
      <c r="ID236" s="436"/>
      <c r="IE236" s="436"/>
      <c r="IF236" s="436"/>
      <c r="IG236" s="436"/>
      <c r="IH236" s="436"/>
      <c r="II236" s="436"/>
      <c r="IJ236" s="436"/>
      <c r="IK236" s="436"/>
      <c r="IL236" s="436"/>
      <c r="IM236" s="436"/>
      <c r="IN236" s="436"/>
      <c r="IO236" s="436"/>
      <c r="IP236" s="436"/>
      <c r="IQ236" s="265"/>
      <c r="IR236" s="265"/>
    </row>
    <row r="237" spans="1:252" s="461" customFormat="1" x14ac:dyDescent="0.35">
      <c r="A237" s="685"/>
      <c r="B237" s="503"/>
      <c r="C237" s="503"/>
      <c r="D237" s="439"/>
      <c r="E237" s="686"/>
      <c r="J237" s="1591"/>
      <c r="M237" s="436"/>
      <c r="N237" s="436"/>
      <c r="O237" s="436"/>
      <c r="P237" s="436"/>
      <c r="Q237" s="436"/>
      <c r="R237" s="436"/>
      <c r="S237" s="436"/>
      <c r="T237" s="436"/>
      <c r="U237" s="436"/>
      <c r="V237" s="436"/>
      <c r="W237" s="436"/>
      <c r="X237" s="436"/>
      <c r="Y237" s="436"/>
      <c r="Z237" s="436"/>
      <c r="AA237" s="436"/>
      <c r="AB237" s="436"/>
      <c r="AC237" s="436"/>
      <c r="AD237" s="436"/>
      <c r="AE237" s="436"/>
      <c r="AF237" s="436"/>
      <c r="AG237" s="436"/>
      <c r="AH237" s="436"/>
      <c r="AI237" s="436"/>
      <c r="AJ237" s="436"/>
      <c r="AK237" s="436"/>
      <c r="AL237" s="436"/>
      <c r="AM237" s="436"/>
      <c r="AN237" s="436"/>
      <c r="AO237" s="436"/>
      <c r="AP237" s="436"/>
      <c r="AQ237" s="436"/>
      <c r="AR237" s="436"/>
      <c r="AS237" s="436"/>
      <c r="AT237" s="436"/>
      <c r="AU237" s="436"/>
      <c r="AV237" s="436"/>
      <c r="AW237" s="436"/>
      <c r="AX237" s="436"/>
      <c r="AY237" s="436"/>
      <c r="AZ237" s="436"/>
      <c r="BA237" s="436"/>
      <c r="BB237" s="436"/>
      <c r="BC237" s="436"/>
      <c r="BD237" s="436"/>
      <c r="BE237" s="436"/>
      <c r="BF237" s="436"/>
      <c r="BG237" s="436"/>
      <c r="BH237" s="436"/>
      <c r="BI237" s="436"/>
      <c r="BJ237" s="436"/>
      <c r="BK237" s="436"/>
      <c r="BL237" s="436"/>
      <c r="BM237" s="436"/>
      <c r="BN237" s="436"/>
      <c r="BO237" s="436"/>
      <c r="BP237" s="436"/>
      <c r="BQ237" s="436"/>
      <c r="BR237" s="436"/>
      <c r="BS237" s="436"/>
      <c r="BT237" s="436"/>
      <c r="BU237" s="436"/>
      <c r="BV237" s="436"/>
      <c r="BW237" s="436"/>
      <c r="BX237" s="436"/>
      <c r="BY237" s="436"/>
      <c r="BZ237" s="436"/>
      <c r="CA237" s="436"/>
      <c r="CB237" s="436"/>
      <c r="CC237" s="436"/>
      <c r="CD237" s="436"/>
      <c r="CE237" s="436"/>
      <c r="CF237" s="436"/>
      <c r="CG237" s="436"/>
      <c r="CH237" s="436"/>
      <c r="CI237" s="436"/>
      <c r="CJ237" s="436"/>
      <c r="CK237" s="436"/>
      <c r="CL237" s="436"/>
      <c r="CM237" s="436"/>
      <c r="CN237" s="436"/>
      <c r="CO237" s="436"/>
      <c r="CP237" s="436"/>
      <c r="CQ237" s="436"/>
      <c r="CR237" s="436"/>
      <c r="CS237" s="436"/>
      <c r="CT237" s="436"/>
      <c r="CU237" s="436"/>
      <c r="CV237" s="436"/>
      <c r="CW237" s="436"/>
      <c r="CX237" s="436"/>
      <c r="CY237" s="436"/>
      <c r="CZ237" s="436"/>
      <c r="DA237" s="436"/>
      <c r="DB237" s="436"/>
      <c r="DC237" s="436"/>
      <c r="DD237" s="436"/>
      <c r="DE237" s="436"/>
      <c r="DF237" s="436"/>
      <c r="DG237" s="436"/>
      <c r="DH237" s="436"/>
      <c r="DI237" s="436"/>
      <c r="DJ237" s="436"/>
      <c r="DK237" s="436"/>
      <c r="DL237" s="436"/>
      <c r="DM237" s="436"/>
      <c r="DN237" s="436"/>
      <c r="DO237" s="436"/>
      <c r="DP237" s="436"/>
      <c r="DQ237" s="436"/>
      <c r="DR237" s="436"/>
      <c r="DS237" s="436"/>
      <c r="DT237" s="436"/>
      <c r="DU237" s="436"/>
      <c r="DV237" s="436"/>
      <c r="DW237" s="436"/>
      <c r="DX237" s="436"/>
      <c r="DY237" s="436"/>
      <c r="DZ237" s="436"/>
      <c r="EA237" s="436"/>
      <c r="EB237" s="436"/>
      <c r="EC237" s="436"/>
      <c r="ED237" s="436"/>
      <c r="EE237" s="436"/>
      <c r="EF237" s="436"/>
      <c r="EG237" s="436"/>
      <c r="EH237" s="436"/>
      <c r="EI237" s="436"/>
      <c r="EJ237" s="436"/>
      <c r="EK237" s="436"/>
      <c r="EL237" s="436"/>
      <c r="EM237" s="436"/>
      <c r="EN237" s="436"/>
      <c r="EO237" s="436"/>
      <c r="EP237" s="436"/>
      <c r="EQ237" s="436"/>
      <c r="ER237" s="436"/>
      <c r="ES237" s="436"/>
      <c r="ET237" s="436"/>
      <c r="EU237" s="436"/>
      <c r="EV237" s="436"/>
      <c r="EW237" s="436"/>
      <c r="EX237" s="436"/>
      <c r="EY237" s="436"/>
      <c r="EZ237" s="436"/>
      <c r="FA237" s="436"/>
      <c r="FB237" s="436"/>
      <c r="FC237" s="436"/>
      <c r="FD237" s="436"/>
      <c r="FE237" s="436"/>
      <c r="FF237" s="436"/>
      <c r="FG237" s="436"/>
      <c r="FH237" s="436"/>
      <c r="FI237" s="436"/>
      <c r="FJ237" s="436"/>
      <c r="FK237" s="436"/>
      <c r="FL237" s="436"/>
      <c r="FM237" s="436"/>
      <c r="FN237" s="436"/>
      <c r="FO237" s="436"/>
      <c r="FP237" s="436"/>
      <c r="FQ237" s="436"/>
      <c r="FR237" s="436"/>
      <c r="FS237" s="436"/>
      <c r="FT237" s="436"/>
      <c r="FU237" s="436"/>
      <c r="FV237" s="436"/>
      <c r="FW237" s="436"/>
      <c r="FX237" s="436"/>
      <c r="FY237" s="436"/>
      <c r="FZ237" s="436"/>
      <c r="GA237" s="436"/>
      <c r="GB237" s="436"/>
      <c r="GC237" s="436"/>
      <c r="GD237" s="436"/>
      <c r="GE237" s="436"/>
      <c r="GF237" s="436"/>
      <c r="GG237" s="436"/>
      <c r="GH237" s="436"/>
      <c r="GI237" s="436"/>
      <c r="GJ237" s="436"/>
      <c r="GK237" s="436"/>
      <c r="GL237" s="436"/>
      <c r="GM237" s="436"/>
      <c r="GN237" s="436"/>
      <c r="GO237" s="436"/>
      <c r="GP237" s="436"/>
      <c r="GQ237" s="436"/>
      <c r="GR237" s="436"/>
      <c r="GS237" s="436"/>
      <c r="GT237" s="436"/>
      <c r="GU237" s="436"/>
      <c r="GV237" s="436"/>
      <c r="GW237" s="436"/>
      <c r="GX237" s="436"/>
      <c r="GY237" s="436"/>
      <c r="GZ237" s="436"/>
      <c r="HA237" s="436"/>
      <c r="HB237" s="436"/>
      <c r="HC237" s="436"/>
      <c r="HD237" s="436"/>
      <c r="HE237" s="436"/>
      <c r="HF237" s="436"/>
      <c r="HG237" s="436"/>
      <c r="HH237" s="436"/>
      <c r="HI237" s="436"/>
      <c r="HJ237" s="436"/>
      <c r="HK237" s="436"/>
      <c r="HL237" s="436"/>
      <c r="HM237" s="436"/>
      <c r="HN237" s="436"/>
      <c r="HO237" s="436"/>
      <c r="HP237" s="436"/>
      <c r="HQ237" s="436"/>
      <c r="HR237" s="436"/>
      <c r="HS237" s="436"/>
      <c r="HT237" s="436"/>
      <c r="HU237" s="436"/>
      <c r="HV237" s="436"/>
      <c r="HW237" s="436"/>
      <c r="HX237" s="436"/>
      <c r="HY237" s="436"/>
      <c r="HZ237" s="436"/>
      <c r="IA237" s="436"/>
      <c r="IB237" s="436"/>
      <c r="IC237" s="436"/>
      <c r="ID237" s="436"/>
      <c r="IE237" s="436"/>
      <c r="IF237" s="436"/>
      <c r="IG237" s="436"/>
      <c r="IH237" s="436"/>
      <c r="II237" s="436"/>
      <c r="IJ237" s="436"/>
      <c r="IK237" s="436"/>
      <c r="IL237" s="436"/>
      <c r="IM237" s="436"/>
      <c r="IN237" s="436"/>
      <c r="IO237" s="436"/>
      <c r="IP237" s="436"/>
      <c r="IQ237" s="265"/>
      <c r="IR237" s="265"/>
    </row>
    <row r="238" spans="1:252" s="461" customFormat="1" x14ac:dyDescent="0.35">
      <c r="A238" s="685"/>
      <c r="B238" s="503"/>
      <c r="C238" s="503"/>
      <c r="D238" s="439"/>
      <c r="E238" s="686"/>
      <c r="J238" s="1591"/>
      <c r="M238" s="436"/>
      <c r="N238" s="436"/>
      <c r="O238" s="436"/>
      <c r="P238" s="436"/>
      <c r="Q238" s="436"/>
      <c r="R238" s="436"/>
      <c r="S238" s="436"/>
      <c r="T238" s="436"/>
      <c r="U238" s="436"/>
      <c r="V238" s="436"/>
      <c r="W238" s="436"/>
      <c r="X238" s="436"/>
      <c r="Y238" s="436"/>
      <c r="Z238" s="436"/>
      <c r="AA238" s="436"/>
      <c r="AB238" s="436"/>
      <c r="AC238" s="436"/>
      <c r="AD238" s="436"/>
      <c r="AE238" s="436"/>
      <c r="AF238" s="436"/>
      <c r="AG238" s="436"/>
      <c r="AH238" s="436"/>
      <c r="AI238" s="436"/>
      <c r="AJ238" s="436"/>
      <c r="AK238" s="436"/>
      <c r="AL238" s="436"/>
      <c r="AM238" s="436"/>
      <c r="AN238" s="436"/>
      <c r="AO238" s="436"/>
      <c r="AP238" s="436"/>
      <c r="AQ238" s="436"/>
      <c r="AR238" s="436"/>
      <c r="AS238" s="436"/>
      <c r="AT238" s="436"/>
      <c r="AU238" s="436"/>
      <c r="AV238" s="436"/>
      <c r="AW238" s="436"/>
      <c r="AX238" s="436"/>
      <c r="AY238" s="436"/>
      <c r="AZ238" s="436"/>
      <c r="BA238" s="436"/>
      <c r="BB238" s="436"/>
      <c r="BC238" s="436"/>
      <c r="BD238" s="436"/>
      <c r="BE238" s="436"/>
      <c r="BF238" s="436"/>
      <c r="BG238" s="436"/>
      <c r="BH238" s="436"/>
      <c r="BI238" s="436"/>
      <c r="BJ238" s="436"/>
      <c r="BK238" s="436"/>
      <c r="BL238" s="436"/>
      <c r="BM238" s="436"/>
      <c r="BN238" s="436"/>
      <c r="BO238" s="436"/>
      <c r="BP238" s="436"/>
      <c r="BQ238" s="436"/>
      <c r="BR238" s="436"/>
      <c r="BS238" s="436"/>
      <c r="BT238" s="436"/>
      <c r="BU238" s="436"/>
      <c r="BV238" s="436"/>
      <c r="BW238" s="436"/>
      <c r="BX238" s="436"/>
      <c r="BY238" s="436"/>
      <c r="BZ238" s="436"/>
      <c r="CA238" s="436"/>
      <c r="CB238" s="436"/>
      <c r="CC238" s="436"/>
      <c r="CD238" s="436"/>
      <c r="CE238" s="436"/>
      <c r="CF238" s="436"/>
      <c r="CG238" s="436"/>
      <c r="CH238" s="436"/>
      <c r="CI238" s="436"/>
      <c r="CJ238" s="436"/>
      <c r="CK238" s="436"/>
      <c r="CL238" s="436"/>
      <c r="CM238" s="436"/>
      <c r="CN238" s="436"/>
      <c r="CO238" s="436"/>
      <c r="CP238" s="436"/>
      <c r="CQ238" s="436"/>
      <c r="CR238" s="436"/>
      <c r="CS238" s="436"/>
      <c r="CT238" s="436"/>
      <c r="CU238" s="436"/>
      <c r="CV238" s="436"/>
      <c r="CW238" s="436"/>
      <c r="CX238" s="436"/>
      <c r="CY238" s="436"/>
      <c r="CZ238" s="436"/>
      <c r="DA238" s="436"/>
      <c r="DB238" s="436"/>
      <c r="DC238" s="436"/>
      <c r="DD238" s="436"/>
      <c r="DE238" s="436"/>
      <c r="DF238" s="436"/>
      <c r="DG238" s="436"/>
      <c r="DH238" s="436"/>
      <c r="DI238" s="436"/>
      <c r="DJ238" s="436"/>
      <c r="DK238" s="436"/>
      <c r="DL238" s="436"/>
      <c r="DM238" s="436"/>
      <c r="DN238" s="436"/>
      <c r="DO238" s="436"/>
      <c r="DP238" s="436"/>
      <c r="DQ238" s="436"/>
      <c r="DR238" s="436"/>
      <c r="DS238" s="436"/>
      <c r="DT238" s="436"/>
      <c r="DU238" s="436"/>
      <c r="DV238" s="436"/>
      <c r="DW238" s="436"/>
      <c r="DX238" s="436"/>
      <c r="DY238" s="436"/>
      <c r="DZ238" s="436"/>
      <c r="EA238" s="436"/>
      <c r="EB238" s="436"/>
      <c r="EC238" s="436"/>
      <c r="ED238" s="436"/>
      <c r="EE238" s="436"/>
      <c r="EF238" s="436"/>
      <c r="EG238" s="436"/>
      <c r="EH238" s="436"/>
      <c r="EI238" s="436"/>
      <c r="EJ238" s="436"/>
      <c r="EK238" s="436"/>
      <c r="EL238" s="436"/>
      <c r="EM238" s="436"/>
      <c r="EN238" s="436"/>
      <c r="EO238" s="436"/>
      <c r="EP238" s="436"/>
      <c r="EQ238" s="436"/>
      <c r="ER238" s="436"/>
      <c r="ES238" s="436"/>
      <c r="ET238" s="436"/>
      <c r="EU238" s="436"/>
      <c r="EV238" s="436"/>
      <c r="EW238" s="436"/>
      <c r="EX238" s="436"/>
      <c r="EY238" s="436"/>
      <c r="EZ238" s="436"/>
      <c r="FA238" s="436"/>
      <c r="FB238" s="436"/>
      <c r="FC238" s="436"/>
      <c r="FD238" s="436"/>
      <c r="FE238" s="436"/>
      <c r="FF238" s="436"/>
      <c r="FG238" s="436"/>
      <c r="FH238" s="436"/>
      <c r="FI238" s="436"/>
      <c r="FJ238" s="436"/>
      <c r="FK238" s="436"/>
      <c r="FL238" s="436"/>
      <c r="FM238" s="436"/>
      <c r="FN238" s="436"/>
      <c r="FO238" s="436"/>
      <c r="FP238" s="436"/>
      <c r="FQ238" s="436"/>
      <c r="FR238" s="436"/>
      <c r="FS238" s="436"/>
      <c r="FT238" s="436"/>
      <c r="FU238" s="436"/>
      <c r="FV238" s="436"/>
      <c r="FW238" s="436"/>
      <c r="FX238" s="436"/>
      <c r="FY238" s="436"/>
      <c r="FZ238" s="436"/>
      <c r="GA238" s="436"/>
      <c r="GB238" s="436"/>
      <c r="GC238" s="436"/>
      <c r="GD238" s="436"/>
      <c r="GE238" s="436"/>
      <c r="GF238" s="436"/>
      <c r="GG238" s="436"/>
      <c r="GH238" s="436"/>
      <c r="GI238" s="436"/>
      <c r="GJ238" s="436"/>
      <c r="GK238" s="436"/>
      <c r="GL238" s="436"/>
      <c r="GM238" s="436"/>
      <c r="GN238" s="436"/>
      <c r="GO238" s="436"/>
      <c r="GP238" s="436"/>
      <c r="GQ238" s="436"/>
      <c r="GR238" s="436"/>
      <c r="GS238" s="436"/>
      <c r="GT238" s="436"/>
      <c r="GU238" s="436"/>
      <c r="GV238" s="436"/>
      <c r="GW238" s="436"/>
      <c r="GX238" s="436"/>
      <c r="GY238" s="436"/>
      <c r="GZ238" s="436"/>
      <c r="HA238" s="436"/>
      <c r="HB238" s="436"/>
      <c r="HC238" s="436"/>
      <c r="HD238" s="436"/>
      <c r="HE238" s="436"/>
      <c r="HF238" s="436"/>
      <c r="HG238" s="436"/>
      <c r="HH238" s="436"/>
      <c r="HI238" s="436"/>
      <c r="HJ238" s="436"/>
      <c r="HK238" s="436"/>
      <c r="HL238" s="436"/>
      <c r="HM238" s="436"/>
      <c r="HN238" s="436"/>
      <c r="HO238" s="436"/>
      <c r="HP238" s="436"/>
      <c r="HQ238" s="436"/>
      <c r="HR238" s="436"/>
      <c r="HS238" s="436"/>
      <c r="HT238" s="436"/>
      <c r="HU238" s="436"/>
      <c r="HV238" s="436"/>
      <c r="HW238" s="436"/>
      <c r="HX238" s="436"/>
      <c r="HY238" s="436"/>
      <c r="HZ238" s="436"/>
      <c r="IA238" s="436"/>
      <c r="IB238" s="436"/>
      <c r="IC238" s="436"/>
      <c r="ID238" s="436"/>
      <c r="IE238" s="436"/>
      <c r="IF238" s="436"/>
      <c r="IG238" s="436"/>
      <c r="IH238" s="436"/>
      <c r="II238" s="436"/>
      <c r="IJ238" s="436"/>
      <c r="IK238" s="436"/>
      <c r="IL238" s="436"/>
      <c r="IM238" s="436"/>
      <c r="IN238" s="436"/>
      <c r="IO238" s="436"/>
      <c r="IP238" s="436"/>
      <c r="IQ238" s="265"/>
      <c r="IR238" s="265"/>
    </row>
    <row r="239" spans="1:252" s="461" customFormat="1" x14ac:dyDescent="0.35">
      <c r="A239" s="685"/>
      <c r="B239" s="503"/>
      <c r="C239" s="503"/>
      <c r="D239" s="439"/>
      <c r="E239" s="686"/>
      <c r="J239" s="1591"/>
      <c r="M239" s="436"/>
      <c r="N239" s="436"/>
      <c r="O239" s="436"/>
      <c r="P239" s="436"/>
      <c r="Q239" s="436"/>
      <c r="R239" s="436"/>
      <c r="S239" s="436"/>
      <c r="T239" s="436"/>
      <c r="U239" s="436"/>
      <c r="V239" s="436"/>
      <c r="W239" s="436"/>
      <c r="X239" s="436"/>
      <c r="Y239" s="436"/>
      <c r="Z239" s="436"/>
      <c r="AA239" s="436"/>
      <c r="AB239" s="436"/>
      <c r="AC239" s="436"/>
      <c r="AD239" s="436"/>
      <c r="AE239" s="436"/>
      <c r="AF239" s="436"/>
      <c r="AG239" s="436"/>
      <c r="AH239" s="436"/>
      <c r="AI239" s="436"/>
      <c r="AJ239" s="436"/>
      <c r="AK239" s="436"/>
      <c r="AL239" s="436"/>
      <c r="AM239" s="436"/>
      <c r="AN239" s="436"/>
      <c r="AO239" s="436"/>
      <c r="AP239" s="436"/>
      <c r="AQ239" s="436"/>
      <c r="AR239" s="436"/>
      <c r="AS239" s="436"/>
      <c r="AT239" s="436"/>
      <c r="AU239" s="436"/>
      <c r="AV239" s="436"/>
      <c r="AW239" s="436"/>
      <c r="AX239" s="436"/>
      <c r="AY239" s="436"/>
      <c r="AZ239" s="436"/>
      <c r="BA239" s="436"/>
      <c r="BB239" s="436"/>
      <c r="BC239" s="436"/>
      <c r="BD239" s="436"/>
      <c r="BE239" s="436"/>
      <c r="BF239" s="436"/>
      <c r="BG239" s="436"/>
      <c r="BH239" s="436"/>
      <c r="BI239" s="436"/>
      <c r="BJ239" s="436"/>
      <c r="BK239" s="436"/>
      <c r="BL239" s="436"/>
      <c r="BM239" s="436"/>
      <c r="BN239" s="436"/>
      <c r="BO239" s="436"/>
      <c r="BP239" s="436"/>
      <c r="BQ239" s="436"/>
      <c r="BR239" s="436"/>
      <c r="BS239" s="436"/>
      <c r="BT239" s="436"/>
      <c r="BU239" s="436"/>
      <c r="BV239" s="436"/>
      <c r="BW239" s="436"/>
      <c r="BX239" s="436"/>
      <c r="BY239" s="436"/>
      <c r="BZ239" s="436"/>
      <c r="CA239" s="436"/>
      <c r="CB239" s="436"/>
      <c r="CC239" s="436"/>
      <c r="CD239" s="436"/>
      <c r="CE239" s="436"/>
      <c r="CF239" s="436"/>
      <c r="CG239" s="436"/>
      <c r="CH239" s="436"/>
      <c r="CI239" s="436"/>
      <c r="CJ239" s="436"/>
      <c r="CK239" s="436"/>
      <c r="CL239" s="436"/>
      <c r="CM239" s="436"/>
      <c r="CN239" s="436"/>
      <c r="CO239" s="436"/>
      <c r="CP239" s="436"/>
      <c r="CQ239" s="436"/>
      <c r="CR239" s="436"/>
      <c r="CS239" s="436"/>
      <c r="CT239" s="436"/>
      <c r="CU239" s="436"/>
      <c r="CV239" s="436"/>
      <c r="CW239" s="436"/>
      <c r="CX239" s="436"/>
      <c r="CY239" s="436"/>
      <c r="CZ239" s="436"/>
      <c r="DA239" s="436"/>
      <c r="DB239" s="436"/>
      <c r="DC239" s="436"/>
      <c r="DD239" s="436"/>
      <c r="DE239" s="436"/>
      <c r="DF239" s="436"/>
      <c r="DG239" s="436"/>
      <c r="DH239" s="436"/>
      <c r="DI239" s="436"/>
      <c r="DJ239" s="436"/>
      <c r="DK239" s="436"/>
      <c r="DL239" s="436"/>
      <c r="DM239" s="436"/>
      <c r="DN239" s="436"/>
      <c r="DO239" s="436"/>
      <c r="DP239" s="436"/>
      <c r="DQ239" s="436"/>
      <c r="DR239" s="436"/>
      <c r="DS239" s="436"/>
      <c r="DT239" s="436"/>
      <c r="DU239" s="436"/>
      <c r="DV239" s="436"/>
      <c r="DW239" s="436"/>
      <c r="DX239" s="436"/>
      <c r="DY239" s="436"/>
      <c r="DZ239" s="436"/>
      <c r="EA239" s="436"/>
      <c r="EB239" s="436"/>
      <c r="EC239" s="436"/>
      <c r="ED239" s="436"/>
      <c r="EE239" s="436"/>
      <c r="EF239" s="436"/>
      <c r="EG239" s="436"/>
      <c r="EH239" s="436"/>
      <c r="EI239" s="436"/>
      <c r="EJ239" s="436"/>
      <c r="EK239" s="436"/>
      <c r="EL239" s="436"/>
      <c r="EM239" s="436"/>
      <c r="EN239" s="436"/>
      <c r="EO239" s="436"/>
      <c r="EP239" s="436"/>
      <c r="EQ239" s="436"/>
      <c r="ER239" s="436"/>
      <c r="ES239" s="436"/>
      <c r="ET239" s="436"/>
      <c r="EU239" s="436"/>
      <c r="EV239" s="436"/>
      <c r="EW239" s="436"/>
      <c r="EX239" s="436"/>
      <c r="EY239" s="436"/>
      <c r="EZ239" s="436"/>
      <c r="FA239" s="436"/>
      <c r="FB239" s="436"/>
      <c r="FC239" s="436"/>
      <c r="FD239" s="436"/>
      <c r="FE239" s="436"/>
      <c r="FF239" s="436"/>
      <c r="FG239" s="436"/>
      <c r="FH239" s="436"/>
      <c r="FI239" s="436"/>
      <c r="FJ239" s="436"/>
      <c r="FK239" s="436"/>
      <c r="FL239" s="436"/>
      <c r="FM239" s="436"/>
      <c r="FN239" s="436"/>
      <c r="FO239" s="436"/>
      <c r="FP239" s="436"/>
      <c r="FQ239" s="436"/>
      <c r="FR239" s="436"/>
      <c r="FS239" s="436"/>
      <c r="FT239" s="436"/>
      <c r="FU239" s="436"/>
      <c r="FV239" s="436"/>
      <c r="FW239" s="436"/>
      <c r="FX239" s="436"/>
      <c r="FY239" s="436"/>
      <c r="FZ239" s="436"/>
      <c r="GA239" s="436"/>
      <c r="GB239" s="436"/>
      <c r="GC239" s="436"/>
      <c r="GD239" s="436"/>
      <c r="GE239" s="436"/>
      <c r="GF239" s="436"/>
      <c r="GG239" s="436"/>
      <c r="GH239" s="436"/>
      <c r="GI239" s="436"/>
      <c r="GJ239" s="436"/>
      <c r="GK239" s="436"/>
      <c r="GL239" s="436"/>
      <c r="GM239" s="436"/>
      <c r="GN239" s="436"/>
      <c r="GO239" s="436"/>
      <c r="GP239" s="436"/>
      <c r="GQ239" s="436"/>
      <c r="GR239" s="436"/>
      <c r="GS239" s="436"/>
      <c r="GT239" s="436"/>
      <c r="GU239" s="436"/>
      <c r="GV239" s="436"/>
      <c r="GW239" s="436"/>
      <c r="GX239" s="436"/>
      <c r="GY239" s="436"/>
      <c r="GZ239" s="436"/>
      <c r="HA239" s="436"/>
      <c r="HB239" s="436"/>
      <c r="HC239" s="436"/>
      <c r="HD239" s="436"/>
      <c r="HE239" s="436"/>
      <c r="HF239" s="436"/>
      <c r="HG239" s="436"/>
      <c r="HH239" s="436"/>
      <c r="HI239" s="436"/>
      <c r="HJ239" s="436"/>
      <c r="HK239" s="436"/>
      <c r="HL239" s="436"/>
      <c r="HM239" s="436"/>
      <c r="HN239" s="436"/>
      <c r="HO239" s="436"/>
      <c r="HP239" s="436"/>
      <c r="HQ239" s="436"/>
      <c r="HR239" s="436"/>
      <c r="HS239" s="436"/>
      <c r="HT239" s="436"/>
      <c r="HU239" s="436"/>
      <c r="HV239" s="436"/>
      <c r="HW239" s="436"/>
      <c r="HX239" s="436"/>
      <c r="HY239" s="436"/>
      <c r="HZ239" s="436"/>
      <c r="IA239" s="436"/>
      <c r="IB239" s="436"/>
      <c r="IC239" s="436"/>
      <c r="ID239" s="436"/>
      <c r="IE239" s="436"/>
      <c r="IF239" s="436"/>
      <c r="IG239" s="436"/>
      <c r="IH239" s="436"/>
      <c r="II239" s="436"/>
      <c r="IJ239" s="436"/>
      <c r="IK239" s="436"/>
      <c r="IL239" s="436"/>
      <c r="IM239" s="436"/>
      <c r="IN239" s="436"/>
      <c r="IO239" s="436"/>
      <c r="IP239" s="436"/>
      <c r="IQ239" s="265"/>
      <c r="IR239" s="265"/>
    </row>
    <row r="240" spans="1:252" s="461" customFormat="1" x14ac:dyDescent="0.35">
      <c r="A240" s="685"/>
      <c r="B240" s="503"/>
      <c r="C240" s="503"/>
      <c r="D240" s="439"/>
      <c r="E240" s="686"/>
      <c r="J240" s="1591"/>
      <c r="M240" s="436"/>
      <c r="N240" s="436"/>
      <c r="O240" s="436"/>
      <c r="P240" s="436"/>
      <c r="Q240" s="436"/>
      <c r="R240" s="436"/>
      <c r="S240" s="436"/>
      <c r="T240" s="436"/>
      <c r="U240" s="436"/>
      <c r="V240" s="436"/>
      <c r="W240" s="436"/>
      <c r="X240" s="436"/>
      <c r="Y240" s="436"/>
      <c r="Z240" s="436"/>
      <c r="AA240" s="436"/>
      <c r="AB240" s="436"/>
      <c r="AC240" s="436"/>
      <c r="AD240" s="436"/>
      <c r="AE240" s="436"/>
      <c r="AF240" s="436"/>
      <c r="AG240" s="436"/>
      <c r="AH240" s="436"/>
      <c r="AI240" s="436"/>
      <c r="AJ240" s="436"/>
      <c r="AK240" s="436"/>
      <c r="AL240" s="436"/>
      <c r="AM240" s="436"/>
      <c r="AN240" s="436"/>
      <c r="AO240" s="436"/>
      <c r="AP240" s="436"/>
      <c r="AQ240" s="436"/>
      <c r="AR240" s="436"/>
      <c r="AS240" s="436"/>
      <c r="AT240" s="436"/>
      <c r="AU240" s="436"/>
      <c r="AV240" s="436"/>
      <c r="AW240" s="436"/>
      <c r="AX240" s="436"/>
      <c r="AY240" s="436"/>
      <c r="AZ240" s="436"/>
      <c r="BA240" s="436"/>
      <c r="BB240" s="436"/>
      <c r="BC240" s="436"/>
      <c r="BD240" s="436"/>
      <c r="BE240" s="436"/>
      <c r="BF240" s="436"/>
      <c r="BG240" s="436"/>
      <c r="BH240" s="436"/>
      <c r="BI240" s="436"/>
      <c r="BJ240" s="436"/>
      <c r="BK240" s="436"/>
      <c r="BL240" s="436"/>
      <c r="BM240" s="436"/>
      <c r="BN240" s="436"/>
      <c r="BO240" s="436"/>
      <c r="BP240" s="436"/>
      <c r="BQ240" s="436"/>
      <c r="BR240" s="436"/>
      <c r="BS240" s="436"/>
      <c r="BT240" s="436"/>
      <c r="BU240" s="436"/>
      <c r="BV240" s="436"/>
      <c r="BW240" s="436"/>
      <c r="BX240" s="436"/>
      <c r="BY240" s="436"/>
      <c r="BZ240" s="436"/>
      <c r="CA240" s="436"/>
      <c r="CB240" s="436"/>
      <c r="CC240" s="436"/>
      <c r="CD240" s="436"/>
      <c r="CE240" s="436"/>
      <c r="CF240" s="436"/>
      <c r="CG240" s="436"/>
      <c r="CH240" s="436"/>
      <c r="CI240" s="436"/>
      <c r="CJ240" s="436"/>
      <c r="CK240" s="436"/>
      <c r="CL240" s="436"/>
      <c r="CM240" s="436"/>
      <c r="CN240" s="436"/>
      <c r="CO240" s="436"/>
      <c r="CP240" s="436"/>
      <c r="CQ240" s="436"/>
      <c r="CR240" s="436"/>
      <c r="CS240" s="436"/>
      <c r="CT240" s="436"/>
      <c r="CU240" s="436"/>
      <c r="CV240" s="436"/>
      <c r="CW240" s="436"/>
      <c r="CX240" s="436"/>
      <c r="CY240" s="436"/>
      <c r="CZ240" s="436"/>
      <c r="DA240" s="436"/>
      <c r="DB240" s="436"/>
      <c r="DC240" s="436"/>
      <c r="DD240" s="436"/>
      <c r="DE240" s="436"/>
      <c r="DF240" s="436"/>
      <c r="DG240" s="436"/>
      <c r="DH240" s="436"/>
      <c r="DI240" s="436"/>
      <c r="DJ240" s="436"/>
      <c r="DK240" s="436"/>
      <c r="DL240" s="436"/>
      <c r="DM240" s="436"/>
      <c r="DN240" s="436"/>
      <c r="DO240" s="436"/>
      <c r="DP240" s="436"/>
      <c r="DQ240" s="436"/>
      <c r="DR240" s="436"/>
      <c r="DS240" s="436"/>
      <c r="DT240" s="436"/>
      <c r="DU240" s="436"/>
      <c r="DV240" s="436"/>
      <c r="DW240" s="436"/>
      <c r="DX240" s="436"/>
      <c r="DY240" s="436"/>
      <c r="DZ240" s="436"/>
      <c r="EA240" s="436"/>
      <c r="EB240" s="436"/>
      <c r="EC240" s="436"/>
      <c r="ED240" s="436"/>
      <c r="EE240" s="436"/>
      <c r="EF240" s="436"/>
      <c r="EG240" s="436"/>
      <c r="EH240" s="436"/>
      <c r="EI240" s="436"/>
      <c r="EJ240" s="436"/>
      <c r="EK240" s="436"/>
      <c r="EL240" s="436"/>
      <c r="EM240" s="436"/>
      <c r="EN240" s="436"/>
      <c r="EO240" s="436"/>
      <c r="EP240" s="436"/>
      <c r="EQ240" s="436"/>
      <c r="ER240" s="436"/>
      <c r="ES240" s="436"/>
      <c r="ET240" s="436"/>
      <c r="EU240" s="436"/>
      <c r="EV240" s="436"/>
      <c r="EW240" s="436"/>
      <c r="EX240" s="436"/>
      <c r="EY240" s="436"/>
      <c r="EZ240" s="436"/>
      <c r="FA240" s="436"/>
      <c r="FB240" s="436"/>
      <c r="FC240" s="436"/>
      <c r="FD240" s="436"/>
      <c r="FE240" s="436"/>
      <c r="FF240" s="436"/>
      <c r="FG240" s="436"/>
      <c r="FH240" s="436"/>
      <c r="FI240" s="436"/>
      <c r="FJ240" s="436"/>
      <c r="FK240" s="436"/>
      <c r="FL240" s="436"/>
      <c r="FM240" s="436"/>
      <c r="FN240" s="436"/>
      <c r="FO240" s="436"/>
      <c r="FP240" s="436"/>
      <c r="FQ240" s="436"/>
      <c r="FR240" s="436"/>
      <c r="FS240" s="436"/>
      <c r="FT240" s="436"/>
      <c r="FU240" s="436"/>
      <c r="FV240" s="436"/>
      <c r="FW240" s="436"/>
      <c r="FX240" s="436"/>
      <c r="FY240" s="436"/>
      <c r="FZ240" s="436"/>
      <c r="GA240" s="436"/>
      <c r="GB240" s="436"/>
      <c r="GC240" s="436"/>
      <c r="GD240" s="436"/>
      <c r="GE240" s="436"/>
      <c r="GF240" s="436"/>
      <c r="GG240" s="436"/>
      <c r="GH240" s="436"/>
      <c r="GI240" s="436"/>
      <c r="GJ240" s="436"/>
      <c r="GK240" s="436"/>
      <c r="GL240" s="436"/>
      <c r="GM240" s="436"/>
      <c r="GN240" s="436"/>
      <c r="GO240" s="436"/>
      <c r="GP240" s="436"/>
      <c r="GQ240" s="436"/>
      <c r="GR240" s="436"/>
      <c r="GS240" s="436"/>
      <c r="GT240" s="436"/>
      <c r="GU240" s="436"/>
      <c r="GV240" s="436"/>
      <c r="GW240" s="436"/>
      <c r="GX240" s="436"/>
      <c r="GY240" s="436"/>
      <c r="GZ240" s="436"/>
      <c r="HA240" s="436"/>
      <c r="HB240" s="436"/>
      <c r="HC240" s="436"/>
      <c r="HD240" s="436"/>
      <c r="HE240" s="436"/>
      <c r="HF240" s="436"/>
      <c r="HG240" s="436"/>
      <c r="HH240" s="436"/>
      <c r="HI240" s="436"/>
      <c r="HJ240" s="436"/>
      <c r="HK240" s="436"/>
      <c r="HL240" s="436"/>
      <c r="HM240" s="436"/>
      <c r="HN240" s="436"/>
      <c r="HO240" s="436"/>
      <c r="HP240" s="436"/>
      <c r="HQ240" s="436"/>
      <c r="HR240" s="436"/>
      <c r="HS240" s="436"/>
      <c r="HT240" s="436"/>
      <c r="HU240" s="436"/>
      <c r="HV240" s="436"/>
      <c r="HW240" s="436"/>
      <c r="HX240" s="436"/>
      <c r="HY240" s="436"/>
      <c r="HZ240" s="436"/>
      <c r="IA240" s="436"/>
      <c r="IB240" s="436"/>
      <c r="IC240" s="436"/>
      <c r="ID240" s="436"/>
      <c r="IE240" s="436"/>
      <c r="IF240" s="436"/>
      <c r="IG240" s="436"/>
      <c r="IH240" s="436"/>
      <c r="II240" s="436"/>
      <c r="IJ240" s="436"/>
      <c r="IK240" s="436"/>
      <c r="IL240" s="436"/>
      <c r="IM240" s="436"/>
      <c r="IN240" s="436"/>
      <c r="IO240" s="436"/>
      <c r="IP240" s="436"/>
      <c r="IQ240" s="265"/>
      <c r="IR240" s="265"/>
    </row>
    <row r="241" spans="1:252" s="461" customFormat="1" x14ac:dyDescent="0.35">
      <c r="A241" s="685"/>
      <c r="B241" s="503"/>
      <c r="C241" s="503"/>
      <c r="D241" s="439"/>
      <c r="E241" s="686"/>
      <c r="J241" s="1591"/>
      <c r="M241" s="436"/>
      <c r="N241" s="436"/>
      <c r="O241" s="436"/>
      <c r="P241" s="436"/>
      <c r="Q241" s="436"/>
      <c r="R241" s="436"/>
      <c r="S241" s="436"/>
      <c r="T241" s="436"/>
      <c r="U241" s="436"/>
      <c r="V241" s="436"/>
      <c r="W241" s="436"/>
      <c r="X241" s="436"/>
      <c r="Y241" s="436"/>
      <c r="Z241" s="436"/>
      <c r="AA241" s="436"/>
      <c r="AB241" s="436"/>
      <c r="AC241" s="436"/>
      <c r="AD241" s="436"/>
      <c r="AE241" s="436"/>
      <c r="AF241" s="436"/>
      <c r="AG241" s="436"/>
      <c r="AH241" s="436"/>
      <c r="AI241" s="436"/>
      <c r="AJ241" s="436"/>
      <c r="AK241" s="436"/>
      <c r="AL241" s="436"/>
      <c r="AM241" s="436"/>
      <c r="AN241" s="436"/>
      <c r="AO241" s="436"/>
      <c r="AP241" s="436"/>
      <c r="AQ241" s="436"/>
      <c r="AR241" s="436"/>
      <c r="AS241" s="436"/>
      <c r="AT241" s="436"/>
      <c r="AU241" s="436"/>
      <c r="AV241" s="436"/>
      <c r="AW241" s="436"/>
      <c r="AX241" s="436"/>
      <c r="AY241" s="436"/>
      <c r="AZ241" s="436"/>
      <c r="BA241" s="436"/>
      <c r="BB241" s="436"/>
      <c r="BC241" s="436"/>
      <c r="BD241" s="436"/>
      <c r="BE241" s="436"/>
      <c r="BF241" s="436"/>
      <c r="BG241" s="436"/>
      <c r="BH241" s="436"/>
      <c r="BI241" s="436"/>
      <c r="BJ241" s="436"/>
      <c r="BK241" s="436"/>
      <c r="BL241" s="436"/>
      <c r="BM241" s="436"/>
      <c r="BN241" s="436"/>
      <c r="BO241" s="436"/>
      <c r="BP241" s="436"/>
      <c r="BQ241" s="436"/>
      <c r="BR241" s="436"/>
      <c r="BS241" s="436"/>
      <c r="BT241" s="436"/>
      <c r="BU241" s="436"/>
      <c r="BV241" s="436"/>
      <c r="BW241" s="436"/>
      <c r="BX241" s="436"/>
      <c r="BY241" s="436"/>
      <c r="BZ241" s="436"/>
      <c r="CA241" s="436"/>
      <c r="CB241" s="436"/>
      <c r="CC241" s="436"/>
      <c r="CD241" s="436"/>
      <c r="CE241" s="436"/>
      <c r="CF241" s="436"/>
      <c r="CG241" s="436"/>
      <c r="CH241" s="436"/>
      <c r="CI241" s="436"/>
      <c r="CJ241" s="436"/>
      <c r="CK241" s="436"/>
      <c r="CL241" s="436"/>
      <c r="CM241" s="436"/>
      <c r="CN241" s="436"/>
      <c r="CO241" s="436"/>
      <c r="CP241" s="436"/>
      <c r="CQ241" s="436"/>
      <c r="CR241" s="436"/>
      <c r="CS241" s="436"/>
      <c r="CT241" s="436"/>
      <c r="CU241" s="436"/>
      <c r="CV241" s="436"/>
      <c r="CW241" s="436"/>
      <c r="CX241" s="436"/>
      <c r="CY241" s="436"/>
      <c r="CZ241" s="436"/>
      <c r="DA241" s="436"/>
      <c r="DB241" s="436"/>
      <c r="DC241" s="436"/>
      <c r="DD241" s="436"/>
      <c r="DE241" s="436"/>
      <c r="DF241" s="436"/>
      <c r="DG241" s="436"/>
      <c r="DH241" s="436"/>
      <c r="DI241" s="436"/>
      <c r="DJ241" s="436"/>
      <c r="DK241" s="436"/>
      <c r="DL241" s="436"/>
      <c r="DM241" s="436"/>
      <c r="DN241" s="436"/>
      <c r="DO241" s="436"/>
      <c r="DP241" s="436"/>
      <c r="DQ241" s="436"/>
      <c r="DR241" s="436"/>
      <c r="DS241" s="436"/>
      <c r="DT241" s="436"/>
      <c r="DU241" s="436"/>
      <c r="DV241" s="436"/>
      <c r="DW241" s="436"/>
      <c r="DX241" s="436"/>
      <c r="DY241" s="436"/>
      <c r="DZ241" s="436"/>
      <c r="EA241" s="436"/>
      <c r="EB241" s="436"/>
      <c r="EC241" s="436"/>
      <c r="ED241" s="436"/>
      <c r="EE241" s="436"/>
      <c r="EF241" s="436"/>
      <c r="EG241" s="436"/>
      <c r="EH241" s="436"/>
      <c r="EI241" s="436"/>
      <c r="EJ241" s="436"/>
      <c r="EK241" s="436"/>
      <c r="EL241" s="436"/>
      <c r="EM241" s="436"/>
      <c r="EN241" s="436"/>
      <c r="EO241" s="436"/>
      <c r="EP241" s="436"/>
      <c r="EQ241" s="436"/>
      <c r="ER241" s="436"/>
      <c r="ES241" s="436"/>
      <c r="ET241" s="436"/>
      <c r="EU241" s="436"/>
      <c r="EV241" s="436"/>
      <c r="EW241" s="436"/>
      <c r="EX241" s="436"/>
      <c r="EY241" s="436"/>
      <c r="EZ241" s="436"/>
      <c r="FA241" s="436"/>
      <c r="FB241" s="436"/>
      <c r="FC241" s="436"/>
      <c r="FD241" s="436"/>
      <c r="FE241" s="436"/>
      <c r="FF241" s="436"/>
      <c r="FG241" s="436"/>
      <c r="FH241" s="436"/>
      <c r="FI241" s="436"/>
      <c r="FJ241" s="436"/>
      <c r="FK241" s="436"/>
      <c r="FL241" s="436"/>
      <c r="FM241" s="436"/>
      <c r="FN241" s="436"/>
      <c r="FO241" s="436"/>
      <c r="FP241" s="436"/>
      <c r="FQ241" s="436"/>
      <c r="FR241" s="436"/>
      <c r="FS241" s="436"/>
      <c r="FT241" s="436"/>
      <c r="FU241" s="436"/>
      <c r="FV241" s="436"/>
      <c r="FW241" s="436"/>
      <c r="FX241" s="436"/>
      <c r="FY241" s="436"/>
      <c r="FZ241" s="436"/>
      <c r="GA241" s="436"/>
      <c r="GB241" s="436"/>
      <c r="GC241" s="436"/>
      <c r="GD241" s="436"/>
      <c r="GE241" s="436"/>
      <c r="GF241" s="436"/>
      <c r="GG241" s="436"/>
      <c r="GH241" s="436"/>
      <c r="GI241" s="436"/>
      <c r="GJ241" s="436"/>
      <c r="GK241" s="436"/>
      <c r="GL241" s="436"/>
      <c r="GM241" s="436"/>
      <c r="GN241" s="436"/>
      <c r="GO241" s="436"/>
      <c r="GP241" s="436"/>
      <c r="GQ241" s="436"/>
      <c r="GR241" s="436"/>
      <c r="GS241" s="436"/>
      <c r="GT241" s="436"/>
      <c r="GU241" s="436"/>
      <c r="GV241" s="436"/>
      <c r="GW241" s="436"/>
      <c r="GX241" s="436"/>
      <c r="GY241" s="436"/>
      <c r="GZ241" s="436"/>
      <c r="HA241" s="436"/>
      <c r="HB241" s="436"/>
      <c r="HC241" s="436"/>
      <c r="HD241" s="436"/>
      <c r="HE241" s="436"/>
      <c r="HF241" s="436"/>
      <c r="HG241" s="436"/>
      <c r="HH241" s="436"/>
      <c r="HI241" s="436"/>
      <c r="HJ241" s="436"/>
      <c r="HK241" s="436"/>
      <c r="HL241" s="436"/>
      <c r="HM241" s="436"/>
      <c r="HN241" s="436"/>
      <c r="HO241" s="436"/>
      <c r="HP241" s="436"/>
      <c r="HQ241" s="436"/>
      <c r="HR241" s="436"/>
      <c r="HS241" s="436"/>
      <c r="HT241" s="436"/>
      <c r="HU241" s="436"/>
      <c r="HV241" s="436"/>
      <c r="HW241" s="436"/>
      <c r="HX241" s="436"/>
      <c r="HY241" s="436"/>
      <c r="HZ241" s="436"/>
      <c r="IA241" s="436"/>
      <c r="IB241" s="436"/>
      <c r="IC241" s="436"/>
      <c r="ID241" s="436"/>
      <c r="IE241" s="436"/>
      <c r="IF241" s="436"/>
      <c r="IG241" s="436"/>
      <c r="IH241" s="436"/>
      <c r="II241" s="436"/>
      <c r="IJ241" s="436"/>
      <c r="IK241" s="436"/>
      <c r="IL241" s="436"/>
      <c r="IM241" s="436"/>
      <c r="IN241" s="436"/>
      <c r="IO241" s="436"/>
      <c r="IP241" s="436"/>
      <c r="IQ241" s="265"/>
      <c r="IR241" s="265"/>
    </row>
    <row r="242" spans="1:252" s="461" customFormat="1" x14ac:dyDescent="0.35">
      <c r="A242" s="685"/>
      <c r="B242" s="503"/>
      <c r="C242" s="503"/>
      <c r="D242" s="439"/>
      <c r="E242" s="686"/>
      <c r="J242" s="1591"/>
      <c r="M242" s="436"/>
      <c r="N242" s="436"/>
      <c r="O242" s="436"/>
      <c r="P242" s="436"/>
      <c r="Q242" s="436"/>
      <c r="R242" s="436"/>
      <c r="S242" s="436"/>
      <c r="T242" s="436"/>
      <c r="U242" s="436"/>
      <c r="V242" s="436"/>
      <c r="W242" s="436"/>
      <c r="X242" s="436"/>
      <c r="Y242" s="436"/>
      <c r="Z242" s="436"/>
      <c r="AA242" s="436"/>
      <c r="AB242" s="436"/>
      <c r="AC242" s="436"/>
      <c r="AD242" s="436"/>
      <c r="AE242" s="436"/>
      <c r="AF242" s="436"/>
      <c r="AG242" s="436"/>
      <c r="AH242" s="436"/>
      <c r="AI242" s="436"/>
      <c r="AJ242" s="436"/>
      <c r="AK242" s="436"/>
      <c r="AL242" s="436"/>
      <c r="AM242" s="436"/>
      <c r="AN242" s="436"/>
      <c r="AO242" s="436"/>
      <c r="AP242" s="436"/>
      <c r="AQ242" s="436"/>
      <c r="AR242" s="436"/>
      <c r="AS242" s="436"/>
      <c r="AT242" s="436"/>
      <c r="AU242" s="436"/>
      <c r="AV242" s="436"/>
      <c r="AW242" s="436"/>
      <c r="AX242" s="436"/>
      <c r="AY242" s="436"/>
      <c r="AZ242" s="436"/>
      <c r="BA242" s="436"/>
      <c r="BB242" s="436"/>
      <c r="BC242" s="436"/>
      <c r="BD242" s="436"/>
      <c r="BE242" s="436"/>
      <c r="BF242" s="436"/>
      <c r="BG242" s="436"/>
      <c r="BH242" s="436"/>
      <c r="BI242" s="436"/>
      <c r="BJ242" s="436"/>
      <c r="BK242" s="436"/>
      <c r="BL242" s="436"/>
      <c r="BM242" s="436"/>
      <c r="BN242" s="436"/>
      <c r="BO242" s="436"/>
      <c r="BP242" s="436"/>
      <c r="BQ242" s="436"/>
      <c r="BR242" s="436"/>
      <c r="BS242" s="436"/>
      <c r="BT242" s="436"/>
      <c r="BU242" s="436"/>
      <c r="BV242" s="436"/>
      <c r="BW242" s="436"/>
      <c r="BX242" s="436"/>
      <c r="BY242" s="436"/>
      <c r="BZ242" s="436"/>
      <c r="CA242" s="436"/>
      <c r="CB242" s="436"/>
      <c r="CC242" s="436"/>
      <c r="CD242" s="436"/>
      <c r="CE242" s="436"/>
      <c r="CF242" s="436"/>
      <c r="CG242" s="436"/>
      <c r="CH242" s="436"/>
      <c r="CI242" s="436"/>
      <c r="CJ242" s="436"/>
      <c r="CK242" s="436"/>
      <c r="CL242" s="436"/>
      <c r="CM242" s="436"/>
      <c r="CN242" s="436"/>
      <c r="CO242" s="436"/>
      <c r="CP242" s="436"/>
      <c r="CQ242" s="436"/>
      <c r="CR242" s="436"/>
      <c r="CS242" s="436"/>
      <c r="CT242" s="436"/>
      <c r="CU242" s="436"/>
      <c r="CV242" s="436"/>
      <c r="CW242" s="436"/>
      <c r="CX242" s="436"/>
      <c r="CY242" s="436"/>
      <c r="CZ242" s="436"/>
      <c r="DA242" s="436"/>
      <c r="DB242" s="436"/>
      <c r="DC242" s="436"/>
      <c r="DD242" s="436"/>
      <c r="DE242" s="436"/>
      <c r="DF242" s="436"/>
      <c r="DG242" s="436"/>
      <c r="DH242" s="436"/>
      <c r="DI242" s="436"/>
      <c r="DJ242" s="436"/>
      <c r="DK242" s="436"/>
      <c r="DL242" s="436"/>
      <c r="DM242" s="436"/>
      <c r="DN242" s="436"/>
      <c r="DO242" s="436"/>
      <c r="DP242" s="436"/>
      <c r="DQ242" s="436"/>
      <c r="DR242" s="436"/>
      <c r="DS242" s="436"/>
      <c r="DT242" s="436"/>
      <c r="DU242" s="436"/>
      <c r="DV242" s="436"/>
      <c r="DW242" s="436"/>
      <c r="DX242" s="436"/>
      <c r="DY242" s="436"/>
      <c r="DZ242" s="436"/>
      <c r="EA242" s="436"/>
      <c r="EB242" s="436"/>
      <c r="EC242" s="436"/>
      <c r="ED242" s="436"/>
      <c r="EE242" s="436"/>
      <c r="EF242" s="436"/>
      <c r="EG242" s="436"/>
      <c r="EH242" s="436"/>
      <c r="EI242" s="436"/>
      <c r="EJ242" s="436"/>
      <c r="EK242" s="436"/>
      <c r="EL242" s="436"/>
      <c r="EM242" s="436"/>
      <c r="EN242" s="436"/>
      <c r="EO242" s="436"/>
      <c r="EP242" s="436"/>
      <c r="EQ242" s="436"/>
      <c r="ER242" s="436"/>
      <c r="ES242" s="436"/>
      <c r="ET242" s="436"/>
      <c r="EU242" s="436"/>
      <c r="EV242" s="436"/>
      <c r="EW242" s="436"/>
      <c r="EX242" s="436"/>
      <c r="EY242" s="436"/>
      <c r="EZ242" s="436"/>
      <c r="FA242" s="436"/>
      <c r="FB242" s="436"/>
      <c r="FC242" s="436"/>
      <c r="FD242" s="436"/>
      <c r="FE242" s="436"/>
      <c r="FF242" s="436"/>
      <c r="FG242" s="436"/>
      <c r="FH242" s="436"/>
      <c r="FI242" s="436"/>
      <c r="FJ242" s="436"/>
      <c r="FK242" s="436"/>
      <c r="FL242" s="436"/>
      <c r="FM242" s="436"/>
      <c r="FN242" s="436"/>
      <c r="FO242" s="436"/>
      <c r="FP242" s="436"/>
      <c r="FQ242" s="436"/>
      <c r="FR242" s="436"/>
      <c r="FS242" s="436"/>
      <c r="FT242" s="436"/>
      <c r="FU242" s="436"/>
      <c r="FV242" s="436"/>
      <c r="FW242" s="436"/>
      <c r="FX242" s="436"/>
      <c r="FY242" s="436"/>
      <c r="FZ242" s="436"/>
      <c r="GA242" s="436"/>
      <c r="GB242" s="436"/>
      <c r="GC242" s="436"/>
      <c r="GD242" s="436"/>
      <c r="GE242" s="436"/>
      <c r="GF242" s="436"/>
      <c r="GG242" s="436"/>
      <c r="GH242" s="436"/>
      <c r="GI242" s="436"/>
      <c r="GJ242" s="436"/>
      <c r="GK242" s="436"/>
      <c r="GL242" s="436"/>
      <c r="GM242" s="436"/>
      <c r="GN242" s="436"/>
      <c r="GO242" s="436"/>
      <c r="GP242" s="436"/>
      <c r="GQ242" s="436"/>
      <c r="GR242" s="436"/>
      <c r="GS242" s="436"/>
      <c r="GT242" s="436"/>
      <c r="GU242" s="436"/>
      <c r="GV242" s="436"/>
      <c r="GW242" s="436"/>
      <c r="GX242" s="436"/>
      <c r="GY242" s="436"/>
      <c r="GZ242" s="436"/>
      <c r="HA242" s="436"/>
      <c r="HB242" s="436"/>
      <c r="HC242" s="436"/>
      <c r="HD242" s="436"/>
      <c r="HE242" s="436"/>
      <c r="HF242" s="436"/>
      <c r="HG242" s="436"/>
      <c r="HH242" s="436"/>
      <c r="HI242" s="436"/>
      <c r="HJ242" s="436"/>
      <c r="HK242" s="436"/>
      <c r="HL242" s="436"/>
      <c r="HM242" s="436"/>
      <c r="HN242" s="436"/>
      <c r="HO242" s="436"/>
      <c r="HP242" s="436"/>
      <c r="HQ242" s="436"/>
      <c r="HR242" s="436"/>
      <c r="HS242" s="436"/>
      <c r="HT242" s="436"/>
      <c r="HU242" s="436"/>
      <c r="HV242" s="436"/>
      <c r="HW242" s="436"/>
      <c r="HX242" s="436"/>
      <c r="HY242" s="436"/>
      <c r="HZ242" s="436"/>
      <c r="IA242" s="436"/>
      <c r="IB242" s="436"/>
      <c r="IC242" s="436"/>
      <c r="ID242" s="436"/>
      <c r="IE242" s="436"/>
      <c r="IF242" s="436"/>
      <c r="IG242" s="436"/>
      <c r="IH242" s="436"/>
      <c r="II242" s="436"/>
      <c r="IJ242" s="436"/>
      <c r="IK242" s="436"/>
      <c r="IL242" s="436"/>
      <c r="IM242" s="436"/>
      <c r="IN242" s="436"/>
      <c r="IO242" s="436"/>
      <c r="IP242" s="436"/>
      <c r="IQ242" s="265"/>
      <c r="IR242" s="265"/>
    </row>
    <row r="243" spans="1:252" s="461" customFormat="1" x14ac:dyDescent="0.35">
      <c r="A243" s="685"/>
      <c r="B243" s="503"/>
      <c r="C243" s="503"/>
      <c r="D243" s="439"/>
      <c r="E243" s="686"/>
      <c r="J243" s="1591"/>
      <c r="M243" s="436"/>
      <c r="N243" s="436"/>
      <c r="O243" s="436"/>
      <c r="P243" s="436"/>
      <c r="Q243" s="436"/>
      <c r="R243" s="436"/>
      <c r="S243" s="436"/>
      <c r="T243" s="436"/>
      <c r="U243" s="436"/>
      <c r="V243" s="436"/>
      <c r="W243" s="436"/>
      <c r="X243" s="436"/>
      <c r="Y243" s="436"/>
      <c r="Z243" s="436"/>
      <c r="AA243" s="436"/>
      <c r="AB243" s="436"/>
      <c r="AC243" s="436"/>
      <c r="AD243" s="436"/>
      <c r="AE243" s="436"/>
      <c r="AF243" s="436"/>
      <c r="AG243" s="436"/>
      <c r="AH243" s="436"/>
      <c r="AI243" s="436"/>
      <c r="AJ243" s="436"/>
      <c r="AK243" s="436"/>
      <c r="AL243" s="436"/>
      <c r="AM243" s="436"/>
      <c r="AN243" s="436"/>
      <c r="AO243" s="436"/>
      <c r="AP243" s="436"/>
      <c r="AQ243" s="436"/>
      <c r="AR243" s="436"/>
      <c r="AS243" s="436"/>
      <c r="AT243" s="436"/>
      <c r="AU243" s="436"/>
      <c r="AV243" s="436"/>
      <c r="AW243" s="436"/>
      <c r="AX243" s="436"/>
      <c r="AY243" s="436"/>
      <c r="AZ243" s="436"/>
      <c r="BA243" s="436"/>
      <c r="BB243" s="436"/>
      <c r="BC243" s="436"/>
      <c r="BD243" s="436"/>
      <c r="BE243" s="436"/>
      <c r="BF243" s="436"/>
      <c r="BG243" s="436"/>
      <c r="BH243" s="436"/>
      <c r="BI243" s="436"/>
      <c r="BJ243" s="436"/>
      <c r="BK243" s="436"/>
      <c r="BL243" s="436"/>
      <c r="BM243" s="436"/>
      <c r="BN243" s="436"/>
      <c r="BO243" s="436"/>
      <c r="BP243" s="436"/>
      <c r="BQ243" s="436"/>
      <c r="BR243" s="436"/>
      <c r="BS243" s="436"/>
      <c r="BT243" s="436"/>
      <c r="BU243" s="436"/>
      <c r="BV243" s="436"/>
      <c r="BW243" s="436"/>
      <c r="BX243" s="436"/>
      <c r="BY243" s="436"/>
      <c r="BZ243" s="436"/>
      <c r="CA243" s="436"/>
      <c r="CB243" s="436"/>
      <c r="CC243" s="436"/>
      <c r="CD243" s="436"/>
      <c r="CE243" s="436"/>
      <c r="CF243" s="436"/>
      <c r="CG243" s="436"/>
      <c r="CH243" s="436"/>
      <c r="CI243" s="436"/>
      <c r="CJ243" s="436"/>
      <c r="CK243" s="436"/>
      <c r="CL243" s="436"/>
      <c r="CM243" s="436"/>
      <c r="CN243" s="436"/>
      <c r="CO243" s="436"/>
      <c r="CP243" s="436"/>
      <c r="CQ243" s="436"/>
      <c r="CR243" s="436"/>
      <c r="CS243" s="436"/>
      <c r="CT243" s="436"/>
      <c r="CU243" s="436"/>
      <c r="CV243" s="436"/>
      <c r="CW243" s="436"/>
      <c r="CX243" s="436"/>
      <c r="CY243" s="436"/>
      <c r="CZ243" s="436"/>
      <c r="DA243" s="436"/>
      <c r="DB243" s="436"/>
      <c r="DC243" s="436"/>
      <c r="DD243" s="436"/>
      <c r="DE243" s="436"/>
      <c r="DF243" s="436"/>
      <c r="DG243" s="436"/>
      <c r="DH243" s="436"/>
      <c r="DI243" s="436"/>
      <c r="DJ243" s="436"/>
      <c r="DK243" s="436"/>
      <c r="DL243" s="436"/>
      <c r="DM243" s="436"/>
      <c r="DN243" s="436"/>
      <c r="DO243" s="436"/>
      <c r="DP243" s="436"/>
      <c r="DQ243" s="436"/>
      <c r="DR243" s="436"/>
      <c r="DS243" s="436"/>
      <c r="DT243" s="436"/>
      <c r="DU243" s="436"/>
      <c r="DV243" s="436"/>
      <c r="DW243" s="436"/>
      <c r="DX243" s="436"/>
      <c r="DY243" s="436"/>
      <c r="DZ243" s="436"/>
      <c r="EA243" s="436"/>
      <c r="EB243" s="436"/>
      <c r="EC243" s="436"/>
      <c r="ED243" s="436"/>
      <c r="EE243" s="436"/>
      <c r="EF243" s="436"/>
      <c r="EG243" s="436"/>
      <c r="EH243" s="436"/>
      <c r="EI243" s="436"/>
      <c r="EJ243" s="436"/>
      <c r="EK243" s="436"/>
      <c r="EL243" s="436"/>
      <c r="EM243" s="436"/>
      <c r="EN243" s="436"/>
      <c r="EO243" s="436"/>
      <c r="EP243" s="436"/>
      <c r="EQ243" s="436"/>
      <c r="ER243" s="436"/>
      <c r="ES243" s="436"/>
      <c r="ET243" s="436"/>
      <c r="EU243" s="436"/>
      <c r="EV243" s="436"/>
      <c r="EW243" s="436"/>
      <c r="EX243" s="436"/>
      <c r="EY243" s="436"/>
      <c r="EZ243" s="436"/>
      <c r="FA243" s="436"/>
      <c r="FB243" s="436"/>
      <c r="FC243" s="436"/>
      <c r="FD243" s="436"/>
      <c r="FE243" s="436"/>
      <c r="FF243" s="436"/>
      <c r="FG243" s="436"/>
      <c r="FH243" s="436"/>
      <c r="FI243" s="436"/>
      <c r="FJ243" s="436"/>
      <c r="FK243" s="436"/>
      <c r="FL243" s="436"/>
      <c r="FM243" s="436"/>
      <c r="FN243" s="436"/>
      <c r="FO243" s="436"/>
      <c r="FP243" s="436"/>
      <c r="FQ243" s="436"/>
      <c r="FR243" s="436"/>
      <c r="FS243" s="436"/>
      <c r="FT243" s="436"/>
      <c r="FU243" s="436"/>
      <c r="FV243" s="436"/>
      <c r="FW243" s="436"/>
      <c r="FX243" s="436"/>
      <c r="FY243" s="436"/>
      <c r="FZ243" s="436"/>
      <c r="GA243" s="436"/>
      <c r="GB243" s="436"/>
      <c r="GC243" s="436"/>
      <c r="GD243" s="436"/>
      <c r="GE243" s="436"/>
      <c r="GF243" s="436"/>
      <c r="GG243" s="436"/>
      <c r="GH243" s="436"/>
      <c r="GI243" s="436"/>
      <c r="GJ243" s="436"/>
      <c r="GK243" s="436"/>
      <c r="GL243" s="436"/>
      <c r="GM243" s="436"/>
      <c r="GN243" s="436"/>
      <c r="GO243" s="436"/>
      <c r="GP243" s="436"/>
      <c r="GQ243" s="436"/>
      <c r="GR243" s="436"/>
      <c r="GS243" s="436"/>
      <c r="GT243" s="436"/>
      <c r="GU243" s="436"/>
      <c r="GV243" s="436"/>
      <c r="GW243" s="436"/>
      <c r="GX243" s="436"/>
      <c r="GY243" s="436"/>
      <c r="GZ243" s="436"/>
      <c r="HA243" s="436"/>
      <c r="HB243" s="436"/>
      <c r="HC243" s="436"/>
      <c r="HD243" s="436"/>
      <c r="HE243" s="436"/>
      <c r="HF243" s="436"/>
      <c r="HG243" s="436"/>
      <c r="HH243" s="436"/>
      <c r="HI243" s="436"/>
      <c r="HJ243" s="436"/>
      <c r="HK243" s="436"/>
      <c r="HL243" s="436"/>
      <c r="HM243" s="436"/>
      <c r="HN243" s="436"/>
      <c r="HO243" s="436"/>
      <c r="HP243" s="436"/>
      <c r="HQ243" s="436"/>
      <c r="HR243" s="436"/>
      <c r="HS243" s="436"/>
      <c r="HT243" s="436"/>
      <c r="HU243" s="436"/>
      <c r="HV243" s="436"/>
      <c r="HW243" s="436"/>
      <c r="HX243" s="436"/>
      <c r="HY243" s="436"/>
      <c r="HZ243" s="436"/>
      <c r="IA243" s="436"/>
      <c r="IB243" s="436"/>
      <c r="IC243" s="436"/>
      <c r="ID243" s="436"/>
      <c r="IE243" s="436"/>
      <c r="IF243" s="436"/>
      <c r="IG243" s="436"/>
      <c r="IH243" s="436"/>
      <c r="II243" s="436"/>
      <c r="IJ243" s="436"/>
      <c r="IK243" s="436"/>
      <c r="IL243" s="436"/>
      <c r="IM243" s="436"/>
      <c r="IN243" s="436"/>
      <c r="IO243" s="436"/>
      <c r="IP243" s="436"/>
      <c r="IQ243" s="265"/>
      <c r="IR243" s="265"/>
    </row>
    <row r="244" spans="1:252" s="461" customFormat="1" x14ac:dyDescent="0.35">
      <c r="A244" s="685"/>
      <c r="B244" s="503"/>
      <c r="C244" s="503"/>
      <c r="D244" s="439"/>
      <c r="E244" s="686"/>
      <c r="J244" s="1591"/>
      <c r="M244" s="436"/>
      <c r="N244" s="436"/>
      <c r="O244" s="436"/>
      <c r="P244" s="436"/>
      <c r="Q244" s="436"/>
      <c r="R244" s="436"/>
      <c r="S244" s="436"/>
      <c r="T244" s="436"/>
      <c r="U244" s="436"/>
      <c r="V244" s="436"/>
      <c r="W244" s="436"/>
      <c r="X244" s="436"/>
      <c r="Y244" s="436"/>
      <c r="Z244" s="436"/>
      <c r="AA244" s="436"/>
      <c r="AB244" s="436"/>
      <c r="AC244" s="436"/>
      <c r="AD244" s="436"/>
      <c r="AE244" s="436"/>
      <c r="AF244" s="436"/>
      <c r="AG244" s="436"/>
      <c r="AH244" s="436"/>
      <c r="AI244" s="436"/>
      <c r="AJ244" s="436"/>
      <c r="AK244" s="436"/>
      <c r="AL244" s="436"/>
      <c r="AM244" s="436"/>
      <c r="AN244" s="436"/>
      <c r="AO244" s="436"/>
      <c r="AP244" s="436"/>
      <c r="AQ244" s="436"/>
      <c r="AR244" s="436"/>
      <c r="AS244" s="436"/>
      <c r="AT244" s="436"/>
      <c r="AU244" s="436"/>
      <c r="AV244" s="436"/>
      <c r="AW244" s="436"/>
      <c r="AX244" s="436"/>
      <c r="AY244" s="436"/>
      <c r="AZ244" s="436"/>
      <c r="BA244" s="436"/>
      <c r="BB244" s="436"/>
      <c r="BC244" s="436"/>
      <c r="BD244" s="436"/>
      <c r="BE244" s="436"/>
      <c r="BF244" s="436"/>
      <c r="BG244" s="436"/>
      <c r="BH244" s="436"/>
      <c r="BI244" s="436"/>
      <c r="BJ244" s="436"/>
      <c r="BK244" s="436"/>
      <c r="BL244" s="436"/>
      <c r="BM244" s="436"/>
      <c r="BN244" s="436"/>
      <c r="BO244" s="436"/>
      <c r="BP244" s="436"/>
      <c r="BQ244" s="436"/>
      <c r="BR244" s="436"/>
      <c r="BS244" s="436"/>
      <c r="BT244" s="436"/>
      <c r="BU244" s="436"/>
      <c r="BV244" s="436"/>
      <c r="BW244" s="436"/>
      <c r="BX244" s="436"/>
      <c r="BY244" s="436"/>
      <c r="BZ244" s="436"/>
      <c r="CA244" s="436"/>
      <c r="CB244" s="436"/>
      <c r="CC244" s="436"/>
      <c r="CD244" s="436"/>
      <c r="CE244" s="436"/>
      <c r="CF244" s="436"/>
      <c r="CG244" s="436"/>
      <c r="CH244" s="436"/>
      <c r="CI244" s="436"/>
      <c r="CJ244" s="436"/>
      <c r="CK244" s="436"/>
      <c r="CL244" s="436"/>
      <c r="CM244" s="436"/>
      <c r="CN244" s="436"/>
      <c r="CO244" s="436"/>
      <c r="CP244" s="436"/>
      <c r="CQ244" s="436"/>
      <c r="CR244" s="436"/>
      <c r="CS244" s="436"/>
      <c r="CT244" s="436"/>
      <c r="CU244" s="436"/>
      <c r="CV244" s="436"/>
      <c r="CW244" s="436"/>
      <c r="CX244" s="436"/>
      <c r="CY244" s="436"/>
      <c r="CZ244" s="436"/>
      <c r="DA244" s="436"/>
      <c r="DB244" s="436"/>
      <c r="DC244" s="436"/>
      <c r="DD244" s="436"/>
      <c r="DE244" s="436"/>
      <c r="DF244" s="436"/>
      <c r="DG244" s="436"/>
      <c r="DH244" s="436"/>
      <c r="DI244" s="436"/>
      <c r="DJ244" s="436"/>
      <c r="DK244" s="436"/>
      <c r="DL244" s="436"/>
      <c r="DM244" s="436"/>
      <c r="DN244" s="436"/>
      <c r="DO244" s="436"/>
      <c r="DP244" s="436"/>
      <c r="DQ244" s="436"/>
      <c r="DR244" s="436"/>
      <c r="DS244" s="436"/>
      <c r="DT244" s="436"/>
      <c r="DU244" s="436"/>
      <c r="DV244" s="436"/>
      <c r="DW244" s="436"/>
      <c r="DX244" s="436"/>
      <c r="DY244" s="436"/>
      <c r="DZ244" s="436"/>
      <c r="EA244" s="436"/>
      <c r="EB244" s="436"/>
      <c r="EC244" s="436"/>
      <c r="ED244" s="436"/>
      <c r="EE244" s="436"/>
      <c r="EF244" s="436"/>
      <c r="EG244" s="436"/>
      <c r="EH244" s="436"/>
      <c r="EI244" s="436"/>
      <c r="EJ244" s="436"/>
      <c r="EK244" s="436"/>
      <c r="EL244" s="436"/>
      <c r="EM244" s="436"/>
      <c r="EN244" s="436"/>
      <c r="EO244" s="436"/>
      <c r="EP244" s="436"/>
      <c r="EQ244" s="436"/>
      <c r="ER244" s="436"/>
      <c r="ES244" s="436"/>
      <c r="ET244" s="436"/>
      <c r="EU244" s="436"/>
      <c r="EV244" s="436"/>
      <c r="EW244" s="436"/>
      <c r="EX244" s="436"/>
      <c r="EY244" s="436"/>
      <c r="EZ244" s="436"/>
      <c r="FA244" s="436"/>
      <c r="FB244" s="436"/>
      <c r="FC244" s="436"/>
      <c r="FD244" s="436"/>
      <c r="FE244" s="436"/>
      <c r="FF244" s="436"/>
      <c r="FG244" s="436"/>
      <c r="FH244" s="436"/>
      <c r="FI244" s="436"/>
      <c r="FJ244" s="436"/>
      <c r="FK244" s="436"/>
      <c r="FL244" s="436"/>
      <c r="FM244" s="436"/>
      <c r="FN244" s="436"/>
      <c r="FO244" s="436"/>
      <c r="FP244" s="436"/>
      <c r="FQ244" s="436"/>
      <c r="FR244" s="436"/>
      <c r="FS244" s="436"/>
      <c r="FT244" s="436"/>
      <c r="FU244" s="436"/>
      <c r="FV244" s="436"/>
      <c r="FW244" s="436"/>
      <c r="FX244" s="436"/>
      <c r="FY244" s="436"/>
      <c r="FZ244" s="436"/>
      <c r="GA244" s="436"/>
      <c r="GB244" s="436"/>
      <c r="GC244" s="436"/>
      <c r="GD244" s="436"/>
      <c r="GE244" s="436"/>
      <c r="GF244" s="436"/>
      <c r="GG244" s="436"/>
      <c r="GH244" s="436"/>
      <c r="GI244" s="436"/>
      <c r="GJ244" s="436"/>
      <c r="GK244" s="436"/>
      <c r="GL244" s="436"/>
      <c r="GM244" s="436"/>
      <c r="GN244" s="436"/>
      <c r="GO244" s="436"/>
      <c r="GP244" s="436"/>
      <c r="GQ244" s="436"/>
      <c r="GR244" s="436"/>
      <c r="GS244" s="436"/>
      <c r="GT244" s="436"/>
      <c r="GU244" s="436"/>
      <c r="GV244" s="436"/>
      <c r="GW244" s="436"/>
      <c r="GX244" s="436"/>
      <c r="GY244" s="436"/>
      <c r="GZ244" s="436"/>
      <c r="HA244" s="436"/>
      <c r="HB244" s="436"/>
      <c r="HC244" s="436"/>
      <c r="HD244" s="436"/>
      <c r="HE244" s="436"/>
      <c r="HF244" s="436"/>
      <c r="HG244" s="436"/>
      <c r="HH244" s="436"/>
      <c r="HI244" s="436"/>
      <c r="HJ244" s="436"/>
      <c r="HK244" s="436"/>
      <c r="HL244" s="436"/>
      <c r="HM244" s="436"/>
      <c r="HN244" s="436"/>
      <c r="HO244" s="436"/>
      <c r="HP244" s="436"/>
      <c r="HQ244" s="436"/>
      <c r="HR244" s="436"/>
      <c r="HS244" s="436"/>
      <c r="HT244" s="436"/>
      <c r="HU244" s="436"/>
      <c r="HV244" s="436"/>
      <c r="HW244" s="436"/>
      <c r="HX244" s="436"/>
      <c r="HY244" s="436"/>
      <c r="HZ244" s="436"/>
      <c r="IA244" s="436"/>
      <c r="IB244" s="436"/>
      <c r="IC244" s="436"/>
      <c r="ID244" s="436"/>
      <c r="IE244" s="436"/>
      <c r="IF244" s="436"/>
      <c r="IG244" s="436"/>
      <c r="IH244" s="436"/>
      <c r="II244" s="436"/>
      <c r="IJ244" s="436"/>
      <c r="IK244" s="436"/>
      <c r="IL244" s="436"/>
      <c r="IM244" s="436"/>
      <c r="IN244" s="436"/>
      <c r="IO244" s="436"/>
      <c r="IP244" s="436"/>
      <c r="IQ244" s="265"/>
      <c r="IR244" s="265"/>
    </row>
    <row r="245" spans="1:252" s="461" customFormat="1" x14ac:dyDescent="0.35">
      <c r="A245" s="685"/>
      <c r="B245" s="503"/>
      <c r="C245" s="503"/>
      <c r="D245" s="439"/>
      <c r="E245" s="686"/>
      <c r="J245" s="1591"/>
      <c r="M245" s="436"/>
      <c r="N245" s="436"/>
      <c r="O245" s="436"/>
      <c r="P245" s="436"/>
      <c r="Q245" s="436"/>
      <c r="R245" s="436"/>
      <c r="S245" s="436"/>
      <c r="T245" s="436"/>
      <c r="U245" s="436"/>
      <c r="V245" s="436"/>
      <c r="W245" s="436"/>
      <c r="X245" s="436"/>
      <c r="Y245" s="436"/>
      <c r="Z245" s="436"/>
      <c r="AA245" s="436"/>
      <c r="AB245" s="436"/>
      <c r="AC245" s="436"/>
      <c r="AD245" s="436"/>
      <c r="AE245" s="436"/>
      <c r="AF245" s="436"/>
      <c r="AG245" s="436"/>
      <c r="AH245" s="436"/>
      <c r="AI245" s="436"/>
      <c r="AJ245" s="436"/>
      <c r="AK245" s="436"/>
      <c r="AL245" s="436"/>
      <c r="AM245" s="436"/>
      <c r="AN245" s="436"/>
      <c r="AO245" s="436"/>
      <c r="AP245" s="436"/>
      <c r="AQ245" s="436"/>
      <c r="AR245" s="436"/>
      <c r="AS245" s="436"/>
      <c r="AT245" s="436"/>
      <c r="AU245" s="436"/>
      <c r="AV245" s="436"/>
      <c r="AW245" s="436"/>
      <c r="AX245" s="436"/>
      <c r="AY245" s="436"/>
      <c r="AZ245" s="436"/>
      <c r="BA245" s="436"/>
      <c r="BB245" s="436"/>
      <c r="BC245" s="436"/>
      <c r="BD245" s="436"/>
      <c r="BE245" s="436"/>
      <c r="BF245" s="436"/>
      <c r="BG245" s="436"/>
      <c r="BH245" s="436"/>
      <c r="BI245" s="436"/>
      <c r="BJ245" s="436"/>
      <c r="BK245" s="436"/>
      <c r="BL245" s="436"/>
      <c r="BM245" s="436"/>
      <c r="BN245" s="436"/>
      <c r="BO245" s="436"/>
      <c r="BP245" s="436"/>
      <c r="BQ245" s="436"/>
      <c r="BR245" s="436"/>
      <c r="BS245" s="436"/>
      <c r="BT245" s="436"/>
      <c r="BU245" s="436"/>
      <c r="BV245" s="436"/>
      <c r="BW245" s="436"/>
      <c r="BX245" s="436"/>
      <c r="BY245" s="436"/>
      <c r="BZ245" s="436"/>
      <c r="CA245" s="436"/>
      <c r="CB245" s="436"/>
      <c r="CC245" s="436"/>
      <c r="CD245" s="436"/>
      <c r="CE245" s="436"/>
      <c r="CF245" s="436"/>
      <c r="CG245" s="436"/>
      <c r="CH245" s="436"/>
      <c r="CI245" s="436"/>
      <c r="CJ245" s="436"/>
      <c r="CK245" s="436"/>
      <c r="CL245" s="436"/>
      <c r="CM245" s="436"/>
      <c r="CN245" s="436"/>
      <c r="CO245" s="436"/>
      <c r="CP245" s="436"/>
      <c r="CQ245" s="436"/>
      <c r="CR245" s="436"/>
      <c r="CS245" s="436"/>
      <c r="CT245" s="436"/>
      <c r="CU245" s="436"/>
      <c r="CV245" s="436"/>
      <c r="CW245" s="436"/>
      <c r="CX245" s="436"/>
      <c r="CY245" s="436"/>
      <c r="CZ245" s="436"/>
      <c r="DA245" s="436"/>
      <c r="DB245" s="436"/>
      <c r="DC245" s="436"/>
      <c r="DD245" s="436"/>
      <c r="DE245" s="436"/>
      <c r="DF245" s="436"/>
      <c r="DG245" s="436"/>
      <c r="DH245" s="436"/>
      <c r="DI245" s="436"/>
      <c r="DJ245" s="436"/>
      <c r="DK245" s="436"/>
      <c r="DL245" s="436"/>
      <c r="DM245" s="436"/>
      <c r="DN245" s="436"/>
      <c r="DO245" s="436"/>
      <c r="DP245" s="436"/>
      <c r="DQ245" s="436"/>
      <c r="DR245" s="436"/>
      <c r="DS245" s="436"/>
      <c r="DT245" s="436"/>
      <c r="DU245" s="436"/>
      <c r="DV245" s="436"/>
      <c r="DW245" s="436"/>
      <c r="DX245" s="436"/>
      <c r="DY245" s="436"/>
      <c r="DZ245" s="436"/>
      <c r="EA245" s="436"/>
      <c r="EB245" s="436"/>
      <c r="EC245" s="436"/>
      <c r="ED245" s="436"/>
      <c r="EE245" s="436"/>
      <c r="EF245" s="436"/>
      <c r="EG245" s="436"/>
      <c r="EH245" s="436"/>
      <c r="EI245" s="436"/>
      <c r="EJ245" s="436"/>
      <c r="EK245" s="436"/>
      <c r="EL245" s="436"/>
      <c r="EM245" s="436"/>
      <c r="EN245" s="436"/>
      <c r="EO245" s="436"/>
      <c r="EP245" s="436"/>
      <c r="EQ245" s="436"/>
      <c r="ER245" s="436"/>
      <c r="ES245" s="436"/>
      <c r="ET245" s="436"/>
      <c r="EU245" s="436"/>
      <c r="EV245" s="436"/>
      <c r="EW245" s="436"/>
      <c r="EX245" s="436"/>
      <c r="EY245" s="436"/>
      <c r="EZ245" s="436"/>
      <c r="FA245" s="436"/>
      <c r="FB245" s="436"/>
      <c r="FC245" s="436"/>
      <c r="FD245" s="436"/>
      <c r="FE245" s="436"/>
      <c r="FF245" s="436"/>
      <c r="FG245" s="436"/>
      <c r="FH245" s="436"/>
      <c r="FI245" s="436"/>
      <c r="FJ245" s="436"/>
      <c r="FK245" s="436"/>
      <c r="FL245" s="436"/>
      <c r="FM245" s="436"/>
      <c r="FN245" s="436"/>
      <c r="FO245" s="436"/>
      <c r="FP245" s="436"/>
      <c r="FQ245" s="436"/>
      <c r="FR245" s="436"/>
      <c r="FS245" s="436"/>
      <c r="FT245" s="436"/>
      <c r="FU245" s="436"/>
      <c r="FV245" s="436"/>
      <c r="FW245" s="436"/>
      <c r="FX245" s="436"/>
      <c r="FY245" s="436"/>
      <c r="FZ245" s="436"/>
      <c r="GA245" s="436"/>
      <c r="GB245" s="436"/>
      <c r="GC245" s="436"/>
      <c r="GD245" s="436"/>
      <c r="GE245" s="436"/>
      <c r="GF245" s="436"/>
      <c r="GG245" s="436"/>
      <c r="GH245" s="436"/>
      <c r="GI245" s="436"/>
      <c r="GJ245" s="436"/>
      <c r="GK245" s="436"/>
      <c r="GL245" s="436"/>
      <c r="GM245" s="436"/>
      <c r="GN245" s="436"/>
      <c r="GO245" s="436"/>
      <c r="GP245" s="436"/>
      <c r="GQ245" s="436"/>
      <c r="GR245" s="436"/>
      <c r="GS245" s="436"/>
      <c r="GT245" s="436"/>
      <c r="GU245" s="436"/>
      <c r="GV245" s="436"/>
      <c r="GW245" s="436"/>
      <c r="GX245" s="436"/>
      <c r="GY245" s="436"/>
      <c r="GZ245" s="436"/>
      <c r="HA245" s="436"/>
      <c r="HB245" s="436"/>
      <c r="HC245" s="436"/>
      <c r="HD245" s="436"/>
      <c r="HE245" s="436"/>
      <c r="HF245" s="436"/>
      <c r="HG245" s="436"/>
      <c r="HH245" s="436"/>
      <c r="HI245" s="436"/>
      <c r="HJ245" s="436"/>
      <c r="HK245" s="436"/>
      <c r="HL245" s="436"/>
      <c r="HM245" s="436"/>
      <c r="HN245" s="436"/>
      <c r="HO245" s="436"/>
      <c r="HP245" s="436"/>
      <c r="HQ245" s="436"/>
      <c r="HR245" s="436"/>
      <c r="HS245" s="436"/>
      <c r="HT245" s="436"/>
      <c r="HU245" s="436"/>
      <c r="HV245" s="436"/>
      <c r="HW245" s="436"/>
      <c r="HX245" s="436"/>
      <c r="HY245" s="436"/>
      <c r="HZ245" s="436"/>
      <c r="IA245" s="436"/>
      <c r="IB245" s="436"/>
      <c r="IC245" s="436"/>
      <c r="ID245" s="436"/>
      <c r="IE245" s="436"/>
      <c r="IF245" s="436"/>
      <c r="IG245" s="436"/>
      <c r="IH245" s="436"/>
      <c r="II245" s="436"/>
      <c r="IJ245" s="436"/>
      <c r="IK245" s="436"/>
      <c r="IL245" s="436"/>
      <c r="IM245" s="436"/>
      <c r="IN245" s="436"/>
      <c r="IO245" s="436"/>
      <c r="IP245" s="436"/>
      <c r="IQ245" s="265"/>
      <c r="IR245" s="265"/>
    </row>
    <row r="246" spans="1:252" s="461" customFormat="1" x14ac:dyDescent="0.35">
      <c r="A246" s="685"/>
      <c r="B246" s="503"/>
      <c r="C246" s="503"/>
      <c r="D246" s="439"/>
      <c r="E246" s="686"/>
      <c r="J246" s="1591"/>
      <c r="M246" s="436"/>
      <c r="N246" s="436"/>
      <c r="O246" s="436"/>
      <c r="P246" s="436"/>
      <c r="Q246" s="436"/>
      <c r="R246" s="436"/>
      <c r="S246" s="436"/>
      <c r="T246" s="436"/>
      <c r="U246" s="436"/>
      <c r="V246" s="436"/>
      <c r="W246" s="436"/>
      <c r="X246" s="436"/>
      <c r="Y246" s="436"/>
      <c r="Z246" s="436"/>
      <c r="AA246" s="436"/>
      <c r="AB246" s="436"/>
      <c r="AC246" s="436"/>
      <c r="AD246" s="436"/>
      <c r="AE246" s="436"/>
      <c r="AF246" s="436"/>
      <c r="AG246" s="436"/>
      <c r="AH246" s="436"/>
      <c r="AI246" s="436"/>
      <c r="AJ246" s="436"/>
      <c r="AK246" s="436"/>
      <c r="AL246" s="436"/>
      <c r="AM246" s="436"/>
      <c r="AN246" s="436"/>
      <c r="AO246" s="436"/>
      <c r="AP246" s="436"/>
      <c r="AQ246" s="436"/>
      <c r="AR246" s="436"/>
      <c r="AS246" s="436"/>
      <c r="AT246" s="436"/>
      <c r="AU246" s="436"/>
      <c r="AV246" s="436"/>
      <c r="AW246" s="436"/>
      <c r="AX246" s="436"/>
      <c r="AY246" s="436"/>
      <c r="AZ246" s="436"/>
      <c r="BA246" s="436"/>
      <c r="BB246" s="436"/>
      <c r="BC246" s="436"/>
      <c r="BD246" s="436"/>
      <c r="BE246" s="436"/>
      <c r="BF246" s="436"/>
      <c r="BG246" s="436"/>
      <c r="BH246" s="436"/>
      <c r="BI246" s="436"/>
      <c r="BJ246" s="436"/>
      <c r="BK246" s="436"/>
      <c r="BL246" s="436"/>
      <c r="BM246" s="436"/>
      <c r="BN246" s="436"/>
      <c r="BO246" s="436"/>
      <c r="BP246" s="436"/>
      <c r="BQ246" s="436"/>
      <c r="BR246" s="436"/>
      <c r="BS246" s="436"/>
      <c r="BT246" s="436"/>
      <c r="BU246" s="436"/>
      <c r="BV246" s="436"/>
      <c r="BW246" s="436"/>
      <c r="BX246" s="436"/>
      <c r="BY246" s="436"/>
      <c r="BZ246" s="436"/>
      <c r="CA246" s="436"/>
      <c r="CB246" s="436"/>
      <c r="CC246" s="436"/>
      <c r="CD246" s="436"/>
      <c r="CE246" s="436"/>
      <c r="CF246" s="436"/>
      <c r="CG246" s="436"/>
      <c r="CH246" s="436"/>
      <c r="CI246" s="436"/>
      <c r="CJ246" s="436"/>
      <c r="CK246" s="436"/>
      <c r="CL246" s="436"/>
      <c r="CM246" s="436"/>
      <c r="CN246" s="436"/>
      <c r="CO246" s="436"/>
      <c r="CP246" s="436"/>
      <c r="CQ246" s="436"/>
      <c r="CR246" s="436"/>
      <c r="CS246" s="436"/>
      <c r="CT246" s="436"/>
      <c r="CU246" s="436"/>
      <c r="CV246" s="436"/>
      <c r="CW246" s="436"/>
      <c r="CX246" s="436"/>
      <c r="CY246" s="436"/>
      <c r="CZ246" s="436"/>
      <c r="DA246" s="436"/>
      <c r="DB246" s="436"/>
      <c r="DC246" s="436"/>
      <c r="DD246" s="436"/>
      <c r="DE246" s="436"/>
      <c r="DF246" s="436"/>
      <c r="DG246" s="436"/>
      <c r="DH246" s="436"/>
      <c r="DI246" s="436"/>
      <c r="DJ246" s="436"/>
      <c r="DK246" s="436"/>
      <c r="DL246" s="436"/>
      <c r="DM246" s="436"/>
      <c r="DN246" s="436"/>
      <c r="DO246" s="436"/>
      <c r="DP246" s="436"/>
      <c r="DQ246" s="436"/>
      <c r="DR246" s="436"/>
      <c r="DS246" s="436"/>
      <c r="DT246" s="436"/>
      <c r="DU246" s="436"/>
      <c r="DV246" s="436"/>
      <c r="DW246" s="436"/>
      <c r="DX246" s="436"/>
      <c r="DY246" s="436"/>
      <c r="DZ246" s="436"/>
      <c r="EA246" s="436"/>
      <c r="EB246" s="436"/>
      <c r="EC246" s="436"/>
      <c r="ED246" s="436"/>
      <c r="EE246" s="436"/>
      <c r="EF246" s="436"/>
      <c r="EG246" s="436"/>
      <c r="EH246" s="436"/>
      <c r="EI246" s="436"/>
      <c r="EJ246" s="436"/>
      <c r="EK246" s="436"/>
      <c r="EL246" s="436"/>
      <c r="EM246" s="436"/>
      <c r="EN246" s="436"/>
      <c r="EO246" s="436"/>
      <c r="EP246" s="436"/>
      <c r="EQ246" s="436"/>
      <c r="ER246" s="436"/>
      <c r="ES246" s="436"/>
      <c r="ET246" s="436"/>
      <c r="EU246" s="436"/>
      <c r="EV246" s="436"/>
      <c r="EW246" s="436"/>
      <c r="EX246" s="436"/>
      <c r="EY246" s="436"/>
      <c r="EZ246" s="436"/>
      <c r="FA246" s="436"/>
      <c r="FB246" s="436"/>
      <c r="FC246" s="436"/>
      <c r="FD246" s="436"/>
      <c r="FE246" s="436"/>
      <c r="FF246" s="436"/>
      <c r="FG246" s="436"/>
      <c r="FH246" s="436"/>
      <c r="FI246" s="436"/>
      <c r="FJ246" s="436"/>
      <c r="FK246" s="436"/>
      <c r="FL246" s="436"/>
      <c r="FM246" s="436"/>
      <c r="FN246" s="436"/>
      <c r="FO246" s="436"/>
      <c r="FP246" s="436"/>
      <c r="FQ246" s="436"/>
      <c r="FR246" s="436"/>
      <c r="FS246" s="436"/>
      <c r="FT246" s="436"/>
      <c r="FU246" s="436"/>
      <c r="FV246" s="436"/>
      <c r="FW246" s="436"/>
      <c r="FX246" s="436"/>
      <c r="FY246" s="436"/>
      <c r="FZ246" s="436"/>
      <c r="GA246" s="436"/>
      <c r="GB246" s="436"/>
      <c r="GC246" s="436"/>
      <c r="GD246" s="436"/>
      <c r="GE246" s="436"/>
      <c r="GF246" s="436"/>
      <c r="GG246" s="436"/>
      <c r="GH246" s="436"/>
      <c r="GI246" s="436"/>
      <c r="GJ246" s="436"/>
      <c r="GK246" s="436"/>
      <c r="GL246" s="436"/>
      <c r="GM246" s="436"/>
      <c r="GN246" s="436"/>
      <c r="GO246" s="436"/>
      <c r="GP246" s="436"/>
      <c r="GQ246" s="436"/>
      <c r="GR246" s="436"/>
      <c r="GS246" s="436"/>
      <c r="GT246" s="436"/>
      <c r="GU246" s="436"/>
      <c r="GV246" s="436"/>
      <c r="GW246" s="436"/>
      <c r="GX246" s="436"/>
      <c r="GY246" s="436"/>
      <c r="GZ246" s="436"/>
      <c r="HA246" s="436"/>
      <c r="HB246" s="436"/>
      <c r="HC246" s="436"/>
      <c r="HD246" s="436"/>
      <c r="HE246" s="436"/>
      <c r="HF246" s="436"/>
      <c r="HG246" s="436"/>
      <c r="HH246" s="436"/>
      <c r="HI246" s="436"/>
      <c r="HJ246" s="436"/>
      <c r="HK246" s="436"/>
      <c r="HL246" s="436"/>
      <c r="HM246" s="436"/>
      <c r="HN246" s="436"/>
      <c r="HO246" s="436"/>
      <c r="HP246" s="436"/>
      <c r="HQ246" s="436"/>
      <c r="HR246" s="436"/>
      <c r="HS246" s="436"/>
      <c r="HT246" s="436"/>
      <c r="HU246" s="436"/>
      <c r="HV246" s="436"/>
      <c r="HW246" s="436"/>
      <c r="HX246" s="436"/>
      <c r="HY246" s="436"/>
      <c r="HZ246" s="436"/>
      <c r="IA246" s="436"/>
      <c r="IB246" s="436"/>
      <c r="IC246" s="436"/>
      <c r="ID246" s="436"/>
      <c r="IE246" s="436"/>
      <c r="IF246" s="436"/>
      <c r="IG246" s="436"/>
      <c r="IH246" s="436"/>
      <c r="II246" s="436"/>
      <c r="IJ246" s="436"/>
      <c r="IK246" s="436"/>
      <c r="IL246" s="436"/>
      <c r="IM246" s="436"/>
      <c r="IN246" s="436"/>
      <c r="IO246" s="436"/>
      <c r="IP246" s="436"/>
      <c r="IQ246" s="265"/>
      <c r="IR246" s="265"/>
    </row>
    <row r="247" spans="1:252" s="461" customFormat="1" x14ac:dyDescent="0.35">
      <c r="A247" s="685"/>
      <c r="B247" s="503"/>
      <c r="C247" s="503"/>
      <c r="D247" s="439"/>
      <c r="E247" s="686"/>
      <c r="J247" s="1591"/>
      <c r="M247" s="436"/>
      <c r="N247" s="436"/>
      <c r="O247" s="436"/>
      <c r="P247" s="436"/>
      <c r="Q247" s="436"/>
      <c r="R247" s="436"/>
      <c r="S247" s="436"/>
      <c r="T247" s="436"/>
      <c r="U247" s="436"/>
      <c r="V247" s="436"/>
      <c r="W247" s="436"/>
      <c r="X247" s="436"/>
      <c r="Y247" s="436"/>
      <c r="Z247" s="436"/>
      <c r="AA247" s="436"/>
      <c r="AB247" s="436"/>
      <c r="AC247" s="436"/>
      <c r="AD247" s="436"/>
      <c r="AE247" s="436"/>
      <c r="AF247" s="436"/>
      <c r="AG247" s="436"/>
      <c r="AH247" s="436"/>
      <c r="AI247" s="436"/>
      <c r="AJ247" s="436"/>
      <c r="AK247" s="436"/>
      <c r="AL247" s="436"/>
      <c r="AM247" s="436"/>
      <c r="AN247" s="436"/>
      <c r="AO247" s="436"/>
      <c r="AP247" s="436"/>
      <c r="AQ247" s="436"/>
      <c r="AR247" s="436"/>
      <c r="AS247" s="436"/>
      <c r="AT247" s="436"/>
      <c r="AU247" s="436"/>
      <c r="AV247" s="436"/>
      <c r="AW247" s="436"/>
      <c r="AX247" s="436"/>
      <c r="AY247" s="436"/>
      <c r="AZ247" s="436"/>
      <c r="BA247" s="436"/>
      <c r="BB247" s="436"/>
      <c r="BC247" s="436"/>
      <c r="BD247" s="436"/>
      <c r="BE247" s="436"/>
      <c r="BF247" s="436"/>
      <c r="BG247" s="436"/>
      <c r="BH247" s="436"/>
      <c r="BI247" s="436"/>
      <c r="BJ247" s="436"/>
      <c r="BK247" s="436"/>
      <c r="BL247" s="436"/>
      <c r="BM247" s="436"/>
      <c r="BN247" s="436"/>
      <c r="BO247" s="436"/>
      <c r="BP247" s="436"/>
      <c r="BQ247" s="436"/>
      <c r="BR247" s="436"/>
      <c r="BS247" s="436"/>
      <c r="BT247" s="436"/>
      <c r="BU247" s="436"/>
      <c r="BV247" s="436"/>
      <c r="BW247" s="436"/>
      <c r="BX247" s="436"/>
      <c r="BY247" s="436"/>
      <c r="BZ247" s="436"/>
      <c r="CA247" s="436"/>
      <c r="CB247" s="436"/>
      <c r="CC247" s="436"/>
      <c r="CD247" s="436"/>
      <c r="CE247" s="436"/>
      <c r="CF247" s="436"/>
      <c r="CG247" s="436"/>
      <c r="CH247" s="436"/>
      <c r="CI247" s="436"/>
      <c r="CJ247" s="436"/>
      <c r="CK247" s="436"/>
      <c r="CL247" s="436"/>
      <c r="CM247" s="436"/>
      <c r="CN247" s="436"/>
      <c r="CO247" s="436"/>
      <c r="CP247" s="436"/>
      <c r="CQ247" s="436"/>
      <c r="CR247" s="436"/>
      <c r="CS247" s="436"/>
      <c r="CT247" s="436"/>
      <c r="CU247" s="436"/>
      <c r="CV247" s="436"/>
      <c r="CW247" s="436"/>
      <c r="CX247" s="436"/>
      <c r="CY247" s="436"/>
      <c r="CZ247" s="436"/>
      <c r="DA247" s="436"/>
      <c r="DB247" s="436"/>
      <c r="DC247" s="436"/>
      <c r="DD247" s="436"/>
      <c r="DE247" s="436"/>
      <c r="DF247" s="436"/>
      <c r="DG247" s="436"/>
      <c r="DH247" s="436"/>
      <c r="DI247" s="436"/>
      <c r="DJ247" s="436"/>
      <c r="DK247" s="436"/>
      <c r="DL247" s="436"/>
      <c r="DM247" s="436"/>
      <c r="DN247" s="436"/>
      <c r="DO247" s="436"/>
      <c r="DP247" s="436"/>
      <c r="DQ247" s="436"/>
      <c r="DR247" s="436"/>
      <c r="DS247" s="436"/>
      <c r="DT247" s="436"/>
      <c r="DU247" s="436"/>
      <c r="DV247" s="436"/>
      <c r="DW247" s="436"/>
      <c r="DX247" s="436"/>
      <c r="DY247" s="436"/>
      <c r="DZ247" s="436"/>
      <c r="EA247" s="436"/>
      <c r="EB247" s="436"/>
      <c r="EC247" s="436"/>
      <c r="ED247" s="436"/>
      <c r="EE247" s="436"/>
      <c r="EF247" s="436"/>
      <c r="EG247" s="436"/>
      <c r="EH247" s="436"/>
      <c r="EI247" s="436"/>
      <c r="EJ247" s="436"/>
      <c r="EK247" s="436"/>
      <c r="EL247" s="436"/>
      <c r="EM247" s="436"/>
      <c r="EN247" s="436"/>
      <c r="EO247" s="436"/>
      <c r="EP247" s="436"/>
      <c r="EQ247" s="436"/>
      <c r="ER247" s="436"/>
      <c r="ES247" s="436"/>
      <c r="ET247" s="436"/>
      <c r="EU247" s="436"/>
      <c r="EV247" s="436"/>
      <c r="EW247" s="436"/>
      <c r="EX247" s="436"/>
      <c r="EY247" s="436"/>
      <c r="EZ247" s="436"/>
      <c r="FA247" s="436"/>
      <c r="FB247" s="436"/>
      <c r="FC247" s="436"/>
      <c r="FD247" s="436"/>
      <c r="FE247" s="436"/>
      <c r="FF247" s="436"/>
      <c r="FG247" s="436"/>
      <c r="FH247" s="436"/>
      <c r="FI247" s="436"/>
      <c r="FJ247" s="436"/>
      <c r="FK247" s="436"/>
      <c r="FL247" s="436"/>
      <c r="FM247" s="436"/>
      <c r="FN247" s="436"/>
      <c r="FO247" s="436"/>
      <c r="FP247" s="436"/>
      <c r="FQ247" s="436"/>
      <c r="FR247" s="436"/>
      <c r="FS247" s="436"/>
      <c r="FT247" s="436"/>
      <c r="FU247" s="436"/>
      <c r="FV247" s="436"/>
      <c r="FW247" s="436"/>
      <c r="FX247" s="436"/>
      <c r="FY247" s="436"/>
      <c r="FZ247" s="436"/>
      <c r="GA247" s="436"/>
      <c r="GB247" s="436"/>
      <c r="GC247" s="436"/>
      <c r="GD247" s="436"/>
      <c r="GE247" s="436"/>
      <c r="GF247" s="436"/>
      <c r="GG247" s="436"/>
      <c r="GH247" s="436"/>
      <c r="GI247" s="436"/>
      <c r="GJ247" s="436"/>
      <c r="GK247" s="436"/>
      <c r="GL247" s="436"/>
      <c r="GM247" s="436"/>
      <c r="GN247" s="436"/>
      <c r="GO247" s="436"/>
      <c r="GP247" s="436"/>
      <c r="GQ247" s="436"/>
      <c r="GR247" s="436"/>
      <c r="GS247" s="436"/>
      <c r="GT247" s="436"/>
      <c r="GU247" s="436"/>
      <c r="GV247" s="436"/>
      <c r="GW247" s="436"/>
      <c r="GX247" s="436"/>
      <c r="GY247" s="436"/>
      <c r="GZ247" s="436"/>
      <c r="HA247" s="436"/>
      <c r="HB247" s="436"/>
      <c r="HC247" s="436"/>
      <c r="HD247" s="436"/>
      <c r="HE247" s="436"/>
      <c r="HF247" s="436"/>
      <c r="HG247" s="436"/>
      <c r="HH247" s="436"/>
      <c r="HI247" s="436"/>
      <c r="HJ247" s="436"/>
      <c r="HK247" s="436"/>
      <c r="HL247" s="436"/>
      <c r="HM247" s="436"/>
      <c r="HN247" s="436"/>
      <c r="HO247" s="436"/>
      <c r="HP247" s="436"/>
      <c r="HQ247" s="436"/>
      <c r="HR247" s="436"/>
      <c r="HS247" s="436"/>
      <c r="HT247" s="436"/>
      <c r="HU247" s="436"/>
      <c r="HV247" s="436"/>
      <c r="HW247" s="436"/>
      <c r="HX247" s="436"/>
      <c r="HY247" s="436"/>
      <c r="HZ247" s="436"/>
      <c r="IA247" s="436"/>
      <c r="IB247" s="436"/>
      <c r="IC247" s="436"/>
      <c r="ID247" s="436"/>
      <c r="IE247" s="436"/>
      <c r="IF247" s="436"/>
      <c r="IG247" s="436"/>
      <c r="IH247" s="436"/>
      <c r="II247" s="436"/>
      <c r="IJ247" s="436"/>
      <c r="IK247" s="436"/>
      <c r="IL247" s="436"/>
      <c r="IM247" s="436"/>
      <c r="IN247" s="436"/>
      <c r="IO247" s="436"/>
      <c r="IP247" s="436"/>
      <c r="IQ247" s="265"/>
      <c r="IR247" s="265"/>
    </row>
    <row r="248" spans="1:252" s="461" customFormat="1" x14ac:dyDescent="0.35">
      <c r="A248" s="685"/>
      <c r="B248" s="503"/>
      <c r="C248" s="503"/>
      <c r="D248" s="439"/>
      <c r="E248" s="686"/>
      <c r="J248" s="1591"/>
      <c r="M248" s="436"/>
      <c r="N248" s="436"/>
      <c r="O248" s="436"/>
      <c r="P248" s="436"/>
      <c r="Q248" s="436"/>
      <c r="R248" s="436"/>
      <c r="S248" s="436"/>
      <c r="T248" s="436"/>
      <c r="U248" s="436"/>
      <c r="V248" s="436"/>
      <c r="W248" s="436"/>
      <c r="X248" s="436"/>
      <c r="Y248" s="436"/>
      <c r="Z248" s="436"/>
      <c r="AA248" s="436"/>
      <c r="AB248" s="436"/>
      <c r="AC248" s="436"/>
      <c r="AD248" s="436"/>
      <c r="AE248" s="436"/>
      <c r="AF248" s="436"/>
      <c r="AG248" s="436"/>
      <c r="AH248" s="436"/>
      <c r="AI248" s="436"/>
      <c r="AJ248" s="436"/>
      <c r="AK248" s="436"/>
      <c r="AL248" s="436"/>
      <c r="AM248" s="436"/>
      <c r="AN248" s="436"/>
      <c r="AO248" s="436"/>
      <c r="AP248" s="436"/>
      <c r="AQ248" s="436"/>
      <c r="AR248" s="436"/>
      <c r="AS248" s="436"/>
      <c r="AT248" s="436"/>
      <c r="AU248" s="436"/>
      <c r="AV248" s="436"/>
      <c r="AW248" s="436"/>
      <c r="AX248" s="436"/>
      <c r="AY248" s="436"/>
      <c r="AZ248" s="436"/>
      <c r="BA248" s="436"/>
      <c r="BB248" s="436"/>
      <c r="BC248" s="436"/>
      <c r="BD248" s="436"/>
      <c r="BE248" s="436"/>
      <c r="BF248" s="436"/>
      <c r="BG248" s="436"/>
      <c r="BH248" s="436"/>
      <c r="BI248" s="436"/>
      <c r="BJ248" s="436"/>
      <c r="BK248" s="436"/>
      <c r="BL248" s="436"/>
      <c r="BM248" s="436"/>
      <c r="BN248" s="436"/>
      <c r="BO248" s="436"/>
      <c r="BP248" s="436"/>
      <c r="BQ248" s="436"/>
      <c r="BR248" s="436"/>
      <c r="BS248" s="436"/>
      <c r="BT248" s="436"/>
      <c r="BU248" s="436"/>
      <c r="BV248" s="436"/>
      <c r="BW248" s="436"/>
      <c r="BX248" s="436"/>
      <c r="BY248" s="436"/>
      <c r="BZ248" s="436"/>
      <c r="CA248" s="436"/>
      <c r="CB248" s="436"/>
      <c r="CC248" s="436"/>
      <c r="CD248" s="436"/>
      <c r="CE248" s="436"/>
      <c r="CF248" s="436"/>
      <c r="CG248" s="436"/>
      <c r="CH248" s="436"/>
      <c r="CI248" s="436"/>
      <c r="CJ248" s="436"/>
      <c r="CK248" s="436"/>
      <c r="CL248" s="436"/>
      <c r="CM248" s="436"/>
      <c r="CN248" s="436"/>
      <c r="CO248" s="436"/>
      <c r="CP248" s="436"/>
      <c r="CQ248" s="436"/>
      <c r="CR248" s="436"/>
      <c r="CS248" s="436"/>
      <c r="CT248" s="436"/>
      <c r="CU248" s="436"/>
      <c r="CV248" s="436"/>
      <c r="CW248" s="436"/>
      <c r="CX248" s="436"/>
      <c r="CY248" s="436"/>
      <c r="CZ248" s="436"/>
      <c r="DA248" s="436"/>
      <c r="DB248" s="436"/>
      <c r="DC248" s="436"/>
      <c r="DD248" s="436"/>
      <c r="DE248" s="436"/>
      <c r="DF248" s="436"/>
      <c r="DG248" s="436"/>
      <c r="DH248" s="436"/>
      <c r="DI248" s="436"/>
      <c r="DJ248" s="436"/>
      <c r="DK248" s="436"/>
      <c r="DL248" s="436"/>
      <c r="DM248" s="436"/>
      <c r="DN248" s="436"/>
      <c r="DO248" s="436"/>
      <c r="DP248" s="436"/>
      <c r="DQ248" s="436"/>
      <c r="DR248" s="436"/>
      <c r="DS248" s="436"/>
      <c r="DT248" s="436"/>
      <c r="DU248" s="436"/>
      <c r="DV248" s="436"/>
      <c r="DW248" s="436"/>
      <c r="DX248" s="436"/>
      <c r="DY248" s="436"/>
      <c r="DZ248" s="436"/>
      <c r="EA248" s="436"/>
      <c r="EB248" s="436"/>
      <c r="EC248" s="436"/>
      <c r="ED248" s="436"/>
      <c r="EE248" s="436"/>
      <c r="EF248" s="436"/>
      <c r="EG248" s="436"/>
      <c r="EH248" s="436"/>
      <c r="EI248" s="436"/>
      <c r="EJ248" s="436"/>
      <c r="EK248" s="436"/>
      <c r="EL248" s="436"/>
      <c r="EM248" s="436"/>
      <c r="EN248" s="436"/>
      <c r="EO248" s="436"/>
      <c r="EP248" s="436"/>
      <c r="EQ248" s="436"/>
      <c r="ER248" s="436"/>
      <c r="ES248" s="436"/>
      <c r="ET248" s="436"/>
      <c r="EU248" s="436"/>
      <c r="EV248" s="436"/>
      <c r="EW248" s="436"/>
      <c r="EX248" s="436"/>
      <c r="EY248" s="436"/>
      <c r="EZ248" s="436"/>
      <c r="FA248" s="436"/>
      <c r="FB248" s="436"/>
      <c r="FC248" s="436"/>
      <c r="FD248" s="436"/>
      <c r="FE248" s="436"/>
      <c r="FF248" s="436"/>
      <c r="FG248" s="436"/>
      <c r="FH248" s="436"/>
      <c r="FI248" s="436"/>
      <c r="FJ248" s="436"/>
      <c r="FK248" s="436"/>
      <c r="FL248" s="436"/>
      <c r="FM248" s="436"/>
      <c r="FN248" s="436"/>
      <c r="FO248" s="436"/>
      <c r="FP248" s="436"/>
      <c r="FQ248" s="436"/>
      <c r="FR248" s="436"/>
      <c r="FS248" s="436"/>
      <c r="FT248" s="436"/>
      <c r="FU248" s="436"/>
      <c r="FV248" s="436"/>
      <c r="FW248" s="436"/>
      <c r="FX248" s="436"/>
      <c r="FY248" s="436"/>
      <c r="FZ248" s="436"/>
      <c r="GA248" s="436"/>
      <c r="GB248" s="436"/>
      <c r="GC248" s="436"/>
      <c r="GD248" s="436"/>
      <c r="GE248" s="436"/>
      <c r="GF248" s="436"/>
      <c r="GG248" s="436"/>
      <c r="GH248" s="436"/>
      <c r="GI248" s="436"/>
      <c r="GJ248" s="436"/>
      <c r="GK248" s="436"/>
      <c r="GL248" s="436"/>
      <c r="GM248" s="436"/>
      <c r="GN248" s="436"/>
      <c r="GO248" s="436"/>
      <c r="GP248" s="436"/>
      <c r="GQ248" s="436"/>
      <c r="GR248" s="436"/>
      <c r="GS248" s="436"/>
      <c r="GT248" s="436"/>
      <c r="GU248" s="436"/>
      <c r="GV248" s="436"/>
      <c r="GW248" s="436"/>
      <c r="GX248" s="436"/>
      <c r="GY248" s="436"/>
      <c r="GZ248" s="436"/>
      <c r="HA248" s="436"/>
      <c r="HB248" s="436"/>
      <c r="HC248" s="436"/>
      <c r="HD248" s="436"/>
      <c r="HE248" s="436"/>
      <c r="HF248" s="436"/>
      <c r="HG248" s="436"/>
      <c r="HH248" s="436"/>
      <c r="HI248" s="436"/>
      <c r="HJ248" s="436"/>
      <c r="HK248" s="436"/>
      <c r="HL248" s="436"/>
      <c r="HM248" s="436"/>
      <c r="HN248" s="436"/>
      <c r="HO248" s="436"/>
      <c r="HP248" s="436"/>
      <c r="HQ248" s="436"/>
      <c r="HR248" s="436"/>
      <c r="HS248" s="436"/>
      <c r="HT248" s="436"/>
      <c r="HU248" s="436"/>
      <c r="HV248" s="436"/>
      <c r="HW248" s="436"/>
      <c r="HX248" s="436"/>
      <c r="HY248" s="436"/>
      <c r="HZ248" s="436"/>
      <c r="IA248" s="436"/>
      <c r="IB248" s="436"/>
      <c r="IC248" s="436"/>
      <c r="ID248" s="436"/>
      <c r="IE248" s="436"/>
      <c r="IF248" s="436"/>
      <c r="IG248" s="436"/>
      <c r="IH248" s="436"/>
      <c r="II248" s="436"/>
      <c r="IJ248" s="436"/>
      <c r="IK248" s="436"/>
      <c r="IL248" s="436"/>
      <c r="IM248" s="436"/>
      <c r="IN248" s="436"/>
      <c r="IO248" s="436"/>
      <c r="IP248" s="436"/>
      <c r="IQ248" s="265"/>
      <c r="IR248" s="265"/>
    </row>
    <row r="249" spans="1:252" s="461" customFormat="1" x14ac:dyDescent="0.35">
      <c r="A249" s="685"/>
      <c r="B249" s="503"/>
      <c r="C249" s="503"/>
      <c r="D249" s="439"/>
      <c r="E249" s="686"/>
      <c r="J249" s="1591"/>
      <c r="M249" s="436"/>
      <c r="N249" s="436"/>
      <c r="O249" s="436"/>
      <c r="P249" s="436"/>
      <c r="Q249" s="436"/>
      <c r="R249" s="436"/>
      <c r="S249" s="436"/>
      <c r="T249" s="436"/>
      <c r="U249" s="436"/>
      <c r="V249" s="436"/>
      <c r="W249" s="436"/>
      <c r="X249" s="436"/>
      <c r="Y249" s="436"/>
      <c r="Z249" s="436"/>
      <c r="AA249" s="436"/>
      <c r="AB249" s="436"/>
      <c r="AC249" s="436"/>
      <c r="AD249" s="436"/>
      <c r="AE249" s="436"/>
      <c r="AF249" s="436"/>
      <c r="AG249" s="436"/>
      <c r="AH249" s="436"/>
      <c r="AI249" s="436"/>
      <c r="AJ249" s="436"/>
      <c r="AK249" s="436"/>
      <c r="AL249" s="436"/>
      <c r="AM249" s="436"/>
      <c r="AN249" s="436"/>
      <c r="AO249" s="436"/>
      <c r="AP249" s="436"/>
      <c r="AQ249" s="436"/>
      <c r="AR249" s="436"/>
      <c r="AS249" s="436"/>
      <c r="AT249" s="436"/>
      <c r="AU249" s="436"/>
      <c r="AV249" s="436"/>
      <c r="AW249" s="436"/>
      <c r="AX249" s="436"/>
      <c r="AY249" s="436"/>
      <c r="AZ249" s="436"/>
      <c r="BA249" s="436"/>
      <c r="BB249" s="436"/>
      <c r="BC249" s="436"/>
      <c r="BD249" s="436"/>
      <c r="BE249" s="436"/>
      <c r="BF249" s="436"/>
      <c r="BG249" s="436"/>
      <c r="BH249" s="436"/>
      <c r="BI249" s="436"/>
      <c r="BJ249" s="436"/>
      <c r="BK249" s="436"/>
      <c r="BL249" s="436"/>
      <c r="BM249" s="436"/>
      <c r="BN249" s="436"/>
      <c r="BO249" s="436"/>
      <c r="BP249" s="436"/>
      <c r="BQ249" s="436"/>
      <c r="BR249" s="436"/>
      <c r="BS249" s="436"/>
      <c r="BT249" s="436"/>
      <c r="BU249" s="436"/>
      <c r="BV249" s="436"/>
      <c r="BW249" s="436"/>
      <c r="BX249" s="436"/>
      <c r="BY249" s="436"/>
      <c r="BZ249" s="436"/>
      <c r="CA249" s="436"/>
      <c r="CB249" s="436"/>
      <c r="CC249" s="436"/>
      <c r="CD249" s="436"/>
      <c r="CE249" s="436"/>
      <c r="CF249" s="436"/>
      <c r="CG249" s="436"/>
      <c r="CH249" s="436"/>
      <c r="CI249" s="436"/>
      <c r="CJ249" s="436"/>
      <c r="CK249" s="436"/>
      <c r="CL249" s="436"/>
      <c r="CM249" s="436"/>
      <c r="CN249" s="436"/>
      <c r="CO249" s="436"/>
      <c r="CP249" s="436"/>
      <c r="CQ249" s="436"/>
      <c r="CR249" s="436"/>
      <c r="CS249" s="436"/>
      <c r="CT249" s="436"/>
      <c r="CU249" s="436"/>
      <c r="CV249" s="436"/>
      <c r="CW249" s="436"/>
      <c r="CX249" s="436"/>
      <c r="CY249" s="436"/>
      <c r="CZ249" s="436"/>
      <c r="DA249" s="436"/>
      <c r="DB249" s="436"/>
      <c r="DC249" s="436"/>
      <c r="DD249" s="436"/>
      <c r="DE249" s="436"/>
      <c r="DF249" s="436"/>
      <c r="DG249" s="436"/>
      <c r="DH249" s="436"/>
      <c r="DI249" s="436"/>
      <c r="DJ249" s="436"/>
      <c r="DK249" s="436"/>
      <c r="DL249" s="436"/>
      <c r="DM249" s="436"/>
      <c r="DN249" s="436"/>
      <c r="DO249" s="436"/>
      <c r="DP249" s="436"/>
      <c r="DQ249" s="436"/>
      <c r="DR249" s="436"/>
      <c r="DS249" s="436"/>
      <c r="DT249" s="436"/>
      <c r="DU249" s="436"/>
      <c r="DV249" s="436"/>
      <c r="DW249" s="436"/>
      <c r="DX249" s="436"/>
      <c r="DY249" s="436"/>
      <c r="DZ249" s="436"/>
      <c r="EA249" s="436"/>
      <c r="EB249" s="436"/>
      <c r="EC249" s="436"/>
      <c r="ED249" s="436"/>
      <c r="EE249" s="436"/>
      <c r="EF249" s="436"/>
      <c r="EG249" s="436"/>
      <c r="EH249" s="436"/>
      <c r="EI249" s="436"/>
      <c r="EJ249" s="436"/>
      <c r="EK249" s="436"/>
      <c r="EL249" s="436"/>
      <c r="EM249" s="436"/>
      <c r="EN249" s="436"/>
      <c r="EO249" s="436"/>
      <c r="EP249" s="436"/>
      <c r="EQ249" s="436"/>
      <c r="ER249" s="436"/>
      <c r="ES249" s="436"/>
      <c r="ET249" s="436"/>
      <c r="EU249" s="436"/>
      <c r="EV249" s="436"/>
      <c r="EW249" s="436"/>
      <c r="EX249" s="436"/>
      <c r="EY249" s="436"/>
      <c r="EZ249" s="436"/>
      <c r="FA249" s="436"/>
      <c r="FB249" s="436"/>
      <c r="FC249" s="436"/>
      <c r="FD249" s="436"/>
      <c r="FE249" s="436"/>
      <c r="FF249" s="436"/>
      <c r="FG249" s="436"/>
      <c r="FH249" s="436"/>
      <c r="FI249" s="436"/>
      <c r="FJ249" s="436"/>
      <c r="FK249" s="436"/>
      <c r="FL249" s="436"/>
      <c r="FM249" s="436"/>
      <c r="FN249" s="436"/>
      <c r="FO249" s="436"/>
      <c r="FP249" s="436"/>
      <c r="FQ249" s="436"/>
      <c r="FR249" s="436"/>
      <c r="FS249" s="436"/>
      <c r="FT249" s="436"/>
      <c r="FU249" s="436"/>
      <c r="FV249" s="436"/>
      <c r="FW249" s="436"/>
      <c r="FX249" s="436"/>
      <c r="FY249" s="436"/>
      <c r="FZ249" s="436"/>
      <c r="GA249" s="436"/>
      <c r="GB249" s="436"/>
      <c r="GC249" s="436"/>
      <c r="GD249" s="436"/>
      <c r="GE249" s="436"/>
      <c r="GF249" s="436"/>
      <c r="GG249" s="436"/>
      <c r="GH249" s="436"/>
      <c r="GI249" s="436"/>
      <c r="GJ249" s="436"/>
      <c r="GK249" s="436"/>
      <c r="GL249" s="436"/>
      <c r="GM249" s="436"/>
      <c r="GN249" s="436"/>
      <c r="GO249" s="436"/>
      <c r="GP249" s="436"/>
      <c r="GQ249" s="436"/>
      <c r="GR249" s="436"/>
      <c r="GS249" s="436"/>
      <c r="GT249" s="436"/>
      <c r="GU249" s="436"/>
      <c r="GV249" s="436"/>
      <c r="GW249" s="436"/>
      <c r="GX249" s="436"/>
      <c r="GY249" s="436"/>
      <c r="GZ249" s="436"/>
      <c r="HA249" s="436"/>
      <c r="HB249" s="436"/>
      <c r="HC249" s="436"/>
      <c r="HD249" s="436"/>
      <c r="HE249" s="436"/>
      <c r="HF249" s="436"/>
      <c r="HG249" s="436"/>
      <c r="HH249" s="436"/>
      <c r="HI249" s="436"/>
      <c r="HJ249" s="436"/>
      <c r="HK249" s="436"/>
      <c r="HL249" s="436"/>
      <c r="HM249" s="436"/>
      <c r="HN249" s="436"/>
      <c r="HO249" s="436"/>
      <c r="HP249" s="436"/>
      <c r="HQ249" s="436"/>
      <c r="HR249" s="436"/>
      <c r="HS249" s="436"/>
      <c r="HT249" s="436"/>
      <c r="HU249" s="436"/>
      <c r="HV249" s="436"/>
      <c r="HW249" s="436"/>
      <c r="HX249" s="436"/>
      <c r="HY249" s="436"/>
      <c r="HZ249" s="436"/>
      <c r="IA249" s="436"/>
      <c r="IB249" s="436"/>
      <c r="IC249" s="436"/>
      <c r="ID249" s="436"/>
      <c r="IE249" s="436"/>
      <c r="IF249" s="436"/>
      <c r="IG249" s="436"/>
      <c r="IH249" s="436"/>
      <c r="II249" s="436"/>
      <c r="IJ249" s="436"/>
      <c r="IK249" s="436"/>
      <c r="IL249" s="436"/>
      <c r="IM249" s="436"/>
      <c r="IN249" s="436"/>
      <c r="IO249" s="436"/>
      <c r="IP249" s="436"/>
      <c r="IQ249" s="265"/>
      <c r="IR249" s="265"/>
    </row>
    <row r="250" spans="1:252" s="461" customFormat="1" x14ac:dyDescent="0.35">
      <c r="A250" s="685"/>
      <c r="B250" s="503"/>
      <c r="C250" s="503"/>
      <c r="D250" s="439"/>
      <c r="E250" s="686"/>
      <c r="J250" s="1591"/>
      <c r="M250" s="436"/>
      <c r="N250" s="436"/>
      <c r="O250" s="436"/>
      <c r="P250" s="436"/>
      <c r="Q250" s="436"/>
      <c r="R250" s="436"/>
      <c r="S250" s="436"/>
      <c r="T250" s="436"/>
      <c r="U250" s="436"/>
      <c r="V250" s="436"/>
      <c r="W250" s="436"/>
      <c r="X250" s="436"/>
      <c r="Y250" s="436"/>
      <c r="Z250" s="436"/>
      <c r="AA250" s="436"/>
      <c r="AB250" s="436"/>
      <c r="AC250" s="436"/>
      <c r="AD250" s="436"/>
      <c r="AE250" s="436"/>
      <c r="AF250" s="436"/>
      <c r="AG250" s="436"/>
      <c r="AH250" s="436"/>
      <c r="AI250" s="436"/>
      <c r="AJ250" s="436"/>
      <c r="AK250" s="436"/>
      <c r="AL250" s="436"/>
      <c r="AM250" s="436"/>
      <c r="AN250" s="436"/>
      <c r="AO250" s="436"/>
      <c r="AP250" s="436"/>
      <c r="AQ250" s="436"/>
      <c r="AR250" s="436"/>
      <c r="AS250" s="436"/>
      <c r="AT250" s="436"/>
      <c r="AU250" s="436"/>
      <c r="AV250" s="436"/>
      <c r="AW250" s="436"/>
      <c r="AX250" s="436"/>
      <c r="AY250" s="436"/>
      <c r="AZ250" s="436"/>
      <c r="BA250" s="436"/>
      <c r="BB250" s="436"/>
      <c r="BC250" s="436"/>
      <c r="BD250" s="436"/>
      <c r="BE250" s="436"/>
      <c r="BF250" s="436"/>
      <c r="BG250" s="436"/>
      <c r="BH250" s="436"/>
      <c r="BI250" s="436"/>
      <c r="BJ250" s="436"/>
      <c r="BK250" s="436"/>
      <c r="BL250" s="436"/>
      <c r="BM250" s="436"/>
      <c r="BN250" s="436"/>
      <c r="BO250" s="436"/>
      <c r="BP250" s="436"/>
      <c r="BQ250" s="436"/>
      <c r="BR250" s="436"/>
      <c r="BS250" s="436"/>
      <c r="BT250" s="436"/>
      <c r="BU250" s="436"/>
      <c r="BV250" s="436"/>
      <c r="BW250" s="436"/>
      <c r="BX250" s="436"/>
      <c r="BY250" s="436"/>
      <c r="BZ250" s="436"/>
      <c r="CA250" s="436"/>
      <c r="CB250" s="436"/>
      <c r="CC250" s="436"/>
      <c r="CD250" s="436"/>
      <c r="CE250" s="436"/>
      <c r="CF250" s="436"/>
      <c r="CG250" s="436"/>
      <c r="CH250" s="436"/>
      <c r="CI250" s="436"/>
      <c r="CJ250" s="436"/>
      <c r="CK250" s="436"/>
      <c r="CL250" s="436"/>
      <c r="CM250" s="436"/>
      <c r="CN250" s="436"/>
      <c r="CO250" s="436"/>
      <c r="CP250" s="436"/>
      <c r="CQ250" s="436"/>
      <c r="CR250" s="436"/>
      <c r="CS250" s="436"/>
      <c r="CT250" s="436"/>
      <c r="CU250" s="436"/>
      <c r="CV250" s="436"/>
      <c r="CW250" s="436"/>
      <c r="CX250" s="436"/>
      <c r="CY250" s="436"/>
      <c r="CZ250" s="436"/>
      <c r="DA250" s="436"/>
      <c r="DB250" s="436"/>
      <c r="DC250" s="436"/>
      <c r="DD250" s="436"/>
      <c r="DE250" s="436"/>
      <c r="DF250" s="436"/>
      <c r="DG250" s="436"/>
      <c r="DH250" s="436"/>
      <c r="DI250" s="436"/>
      <c r="DJ250" s="436"/>
      <c r="DK250" s="436"/>
      <c r="DL250" s="436"/>
      <c r="DM250" s="436"/>
      <c r="DN250" s="436"/>
      <c r="DO250" s="436"/>
      <c r="DP250" s="436"/>
      <c r="DQ250" s="436"/>
      <c r="DR250" s="436"/>
      <c r="DS250" s="436"/>
      <c r="DT250" s="436"/>
      <c r="DU250" s="436"/>
      <c r="DV250" s="436"/>
      <c r="DW250" s="436"/>
      <c r="DX250" s="436"/>
      <c r="DY250" s="436"/>
      <c r="DZ250" s="436"/>
      <c r="EA250" s="436"/>
      <c r="EB250" s="436"/>
      <c r="EC250" s="436"/>
      <c r="ED250" s="436"/>
      <c r="EE250" s="436"/>
      <c r="EF250" s="436"/>
      <c r="EG250" s="436"/>
      <c r="EH250" s="436"/>
      <c r="EI250" s="436"/>
      <c r="EJ250" s="436"/>
      <c r="EK250" s="436"/>
      <c r="EL250" s="436"/>
      <c r="EM250" s="436"/>
      <c r="EN250" s="436"/>
      <c r="EO250" s="436"/>
      <c r="EP250" s="436"/>
      <c r="EQ250" s="436"/>
      <c r="ER250" s="436"/>
      <c r="ES250" s="436"/>
      <c r="ET250" s="436"/>
      <c r="EU250" s="436"/>
      <c r="EV250" s="436"/>
      <c r="EW250" s="436"/>
      <c r="EX250" s="436"/>
      <c r="EY250" s="436"/>
      <c r="EZ250" s="436"/>
      <c r="FA250" s="436"/>
      <c r="FB250" s="436"/>
      <c r="FC250" s="436"/>
      <c r="FD250" s="436"/>
      <c r="FE250" s="436"/>
      <c r="FF250" s="436"/>
      <c r="FG250" s="436"/>
      <c r="FH250" s="436"/>
      <c r="FI250" s="436"/>
      <c r="FJ250" s="436"/>
      <c r="FK250" s="436"/>
      <c r="FL250" s="436"/>
      <c r="FM250" s="436"/>
      <c r="FN250" s="436"/>
      <c r="FO250" s="436"/>
      <c r="FP250" s="436"/>
      <c r="FQ250" s="436"/>
      <c r="FR250" s="436"/>
      <c r="FS250" s="436"/>
      <c r="FT250" s="436"/>
      <c r="FU250" s="436"/>
      <c r="FV250" s="436"/>
      <c r="FW250" s="436"/>
      <c r="FX250" s="436"/>
      <c r="FY250" s="436"/>
      <c r="FZ250" s="436"/>
      <c r="GA250" s="436"/>
      <c r="GB250" s="436"/>
      <c r="GC250" s="436"/>
      <c r="GD250" s="436"/>
      <c r="GE250" s="436"/>
      <c r="GF250" s="436"/>
      <c r="GG250" s="436"/>
      <c r="GH250" s="436"/>
      <c r="GI250" s="436"/>
      <c r="GJ250" s="436"/>
      <c r="GK250" s="436"/>
      <c r="GL250" s="436"/>
      <c r="GM250" s="436"/>
      <c r="GN250" s="436"/>
      <c r="GO250" s="436"/>
      <c r="GP250" s="436"/>
      <c r="GQ250" s="436"/>
      <c r="GR250" s="436"/>
      <c r="GS250" s="436"/>
      <c r="GT250" s="436"/>
      <c r="GU250" s="436"/>
      <c r="GV250" s="436"/>
      <c r="GW250" s="436"/>
      <c r="GX250" s="436"/>
      <c r="GY250" s="436"/>
      <c r="GZ250" s="436"/>
      <c r="HA250" s="436"/>
      <c r="HB250" s="436"/>
      <c r="HC250" s="436"/>
      <c r="HD250" s="436"/>
      <c r="HE250" s="436"/>
      <c r="HF250" s="436"/>
      <c r="HG250" s="436"/>
      <c r="HH250" s="436"/>
      <c r="HI250" s="436"/>
      <c r="HJ250" s="436"/>
      <c r="HK250" s="436"/>
      <c r="HL250" s="436"/>
      <c r="HM250" s="436"/>
      <c r="HN250" s="436"/>
      <c r="HO250" s="436"/>
      <c r="HP250" s="436"/>
      <c r="HQ250" s="436"/>
      <c r="HR250" s="436"/>
      <c r="HS250" s="436"/>
      <c r="HT250" s="436"/>
      <c r="HU250" s="436"/>
      <c r="HV250" s="436"/>
      <c r="HW250" s="436"/>
      <c r="HX250" s="436"/>
      <c r="HY250" s="436"/>
      <c r="HZ250" s="436"/>
      <c r="IA250" s="436"/>
      <c r="IB250" s="436"/>
      <c r="IC250" s="436"/>
      <c r="ID250" s="436"/>
      <c r="IE250" s="436"/>
      <c r="IF250" s="436"/>
      <c r="IG250" s="436"/>
      <c r="IH250" s="436"/>
      <c r="II250" s="436"/>
      <c r="IJ250" s="436"/>
      <c r="IK250" s="436"/>
      <c r="IL250" s="436"/>
      <c r="IM250" s="436"/>
      <c r="IN250" s="436"/>
      <c r="IO250" s="436"/>
      <c r="IP250" s="436"/>
      <c r="IQ250" s="265"/>
      <c r="IR250" s="265"/>
    </row>
    <row r="251" spans="1:252" s="461" customFormat="1" x14ac:dyDescent="0.35">
      <c r="A251" s="685"/>
      <c r="B251" s="503"/>
      <c r="C251" s="503"/>
      <c r="D251" s="439"/>
      <c r="E251" s="686"/>
      <c r="J251" s="1591"/>
      <c r="M251" s="436"/>
      <c r="N251" s="436"/>
      <c r="O251" s="436"/>
      <c r="P251" s="436"/>
      <c r="Q251" s="436"/>
      <c r="R251" s="436"/>
      <c r="S251" s="436"/>
      <c r="T251" s="436"/>
      <c r="U251" s="436"/>
      <c r="V251" s="436"/>
      <c r="W251" s="436"/>
      <c r="X251" s="436"/>
      <c r="Y251" s="436"/>
      <c r="Z251" s="436"/>
      <c r="AA251" s="436"/>
      <c r="AB251" s="436"/>
      <c r="AC251" s="436"/>
      <c r="AD251" s="436"/>
      <c r="AE251" s="436"/>
      <c r="AF251" s="436"/>
      <c r="AG251" s="436"/>
      <c r="AH251" s="436"/>
      <c r="AI251" s="436"/>
      <c r="AJ251" s="436"/>
      <c r="AK251" s="436"/>
      <c r="AL251" s="436"/>
      <c r="AM251" s="436"/>
      <c r="AN251" s="436"/>
      <c r="AO251" s="436"/>
      <c r="AP251" s="436"/>
      <c r="AQ251" s="436"/>
      <c r="AR251" s="436"/>
      <c r="AS251" s="436"/>
      <c r="AT251" s="436"/>
      <c r="AU251" s="436"/>
      <c r="AV251" s="436"/>
      <c r="AW251" s="436"/>
      <c r="AX251" s="436"/>
      <c r="AY251" s="436"/>
      <c r="AZ251" s="436"/>
      <c r="BA251" s="436"/>
      <c r="BB251" s="436"/>
      <c r="BC251" s="436"/>
      <c r="BD251" s="436"/>
      <c r="BE251" s="436"/>
      <c r="BF251" s="436"/>
      <c r="BG251" s="436"/>
      <c r="BH251" s="436"/>
      <c r="BI251" s="436"/>
      <c r="BJ251" s="436"/>
      <c r="BK251" s="436"/>
      <c r="BL251" s="436"/>
      <c r="BM251" s="436"/>
      <c r="BN251" s="436"/>
      <c r="BO251" s="436"/>
      <c r="BP251" s="436"/>
      <c r="BQ251" s="436"/>
      <c r="BR251" s="436"/>
      <c r="BS251" s="436"/>
      <c r="BT251" s="436"/>
      <c r="BU251" s="436"/>
      <c r="BV251" s="436"/>
      <c r="BW251" s="436"/>
      <c r="BX251" s="436"/>
      <c r="BY251" s="436"/>
      <c r="BZ251" s="436"/>
      <c r="CA251" s="436"/>
      <c r="CB251" s="436"/>
      <c r="CC251" s="436"/>
      <c r="CD251" s="436"/>
      <c r="CE251" s="436"/>
      <c r="CF251" s="436"/>
      <c r="CG251" s="436"/>
      <c r="CH251" s="436"/>
      <c r="CI251" s="436"/>
      <c r="CJ251" s="436"/>
      <c r="CK251" s="436"/>
      <c r="CL251" s="436"/>
      <c r="CM251" s="436"/>
      <c r="CN251" s="436"/>
      <c r="CO251" s="436"/>
      <c r="CP251" s="436"/>
      <c r="CQ251" s="436"/>
      <c r="CR251" s="436"/>
      <c r="CS251" s="436"/>
      <c r="CT251" s="436"/>
      <c r="CU251" s="436"/>
      <c r="CV251" s="436"/>
      <c r="CW251" s="436"/>
      <c r="CX251" s="436"/>
      <c r="CY251" s="436"/>
      <c r="CZ251" s="436"/>
      <c r="DA251" s="436"/>
      <c r="DB251" s="436"/>
      <c r="DC251" s="436"/>
      <c r="DD251" s="436"/>
      <c r="DE251" s="436"/>
      <c r="DF251" s="436"/>
      <c r="DG251" s="436"/>
      <c r="DH251" s="436"/>
      <c r="DI251" s="436"/>
      <c r="DJ251" s="436"/>
      <c r="DK251" s="436"/>
      <c r="DL251" s="436"/>
      <c r="DM251" s="436"/>
      <c r="DN251" s="436"/>
      <c r="DO251" s="436"/>
      <c r="DP251" s="436"/>
      <c r="DQ251" s="436"/>
      <c r="DR251" s="436"/>
      <c r="DS251" s="436"/>
      <c r="DT251" s="436"/>
      <c r="DU251" s="436"/>
      <c r="DV251" s="436"/>
      <c r="DW251" s="436"/>
      <c r="DX251" s="436"/>
      <c r="DY251" s="436"/>
      <c r="DZ251" s="436"/>
      <c r="EA251" s="436"/>
      <c r="EB251" s="436"/>
      <c r="EC251" s="436"/>
      <c r="ED251" s="436"/>
      <c r="EE251" s="436"/>
      <c r="EF251" s="436"/>
      <c r="EG251" s="436"/>
      <c r="EH251" s="436"/>
      <c r="EI251" s="436"/>
      <c r="EJ251" s="436"/>
      <c r="EK251" s="436"/>
      <c r="EL251" s="436"/>
      <c r="EM251" s="436"/>
      <c r="EN251" s="436"/>
      <c r="EO251" s="436"/>
      <c r="EP251" s="436"/>
      <c r="EQ251" s="436"/>
      <c r="ER251" s="436"/>
      <c r="ES251" s="436"/>
      <c r="ET251" s="436"/>
      <c r="EU251" s="436"/>
      <c r="EV251" s="436"/>
      <c r="EW251" s="436"/>
      <c r="EX251" s="436"/>
      <c r="EY251" s="436"/>
      <c r="EZ251" s="436"/>
      <c r="FA251" s="436"/>
      <c r="FB251" s="436"/>
      <c r="FC251" s="436"/>
      <c r="FD251" s="436"/>
      <c r="FE251" s="436"/>
      <c r="FF251" s="436"/>
      <c r="FG251" s="436"/>
      <c r="FH251" s="436"/>
      <c r="FI251" s="436"/>
      <c r="FJ251" s="436"/>
      <c r="FK251" s="436"/>
      <c r="FL251" s="436"/>
      <c r="FM251" s="436"/>
      <c r="FN251" s="436"/>
      <c r="FO251" s="436"/>
      <c r="FP251" s="436"/>
      <c r="FQ251" s="436"/>
      <c r="FR251" s="436"/>
      <c r="FS251" s="436"/>
      <c r="FT251" s="436"/>
      <c r="FU251" s="436"/>
      <c r="FV251" s="436"/>
      <c r="FW251" s="436"/>
      <c r="FX251" s="436"/>
      <c r="FY251" s="436"/>
      <c r="FZ251" s="436"/>
      <c r="GA251" s="436"/>
      <c r="GB251" s="436"/>
      <c r="GC251" s="436"/>
      <c r="GD251" s="436"/>
      <c r="GE251" s="436"/>
      <c r="GF251" s="436"/>
      <c r="GG251" s="436"/>
      <c r="GH251" s="436"/>
      <c r="GI251" s="436"/>
      <c r="GJ251" s="436"/>
      <c r="GK251" s="436"/>
      <c r="GL251" s="436"/>
      <c r="GM251" s="436"/>
      <c r="GN251" s="436"/>
      <c r="GO251" s="436"/>
      <c r="GP251" s="436"/>
      <c r="GQ251" s="436"/>
      <c r="GR251" s="436"/>
      <c r="GS251" s="436"/>
      <c r="GT251" s="436"/>
      <c r="GU251" s="436"/>
      <c r="GV251" s="436"/>
      <c r="GW251" s="436"/>
      <c r="GX251" s="436"/>
      <c r="GY251" s="436"/>
      <c r="GZ251" s="436"/>
      <c r="HA251" s="436"/>
      <c r="HB251" s="436"/>
      <c r="HC251" s="436"/>
      <c r="HD251" s="436"/>
      <c r="HE251" s="436"/>
      <c r="HF251" s="436"/>
      <c r="HG251" s="436"/>
      <c r="HH251" s="436"/>
      <c r="HI251" s="436"/>
      <c r="HJ251" s="436"/>
      <c r="HK251" s="436"/>
      <c r="HL251" s="436"/>
      <c r="HM251" s="436"/>
      <c r="HN251" s="436"/>
      <c r="HO251" s="436"/>
      <c r="HP251" s="436"/>
      <c r="HQ251" s="436"/>
      <c r="HR251" s="436"/>
      <c r="HS251" s="436"/>
      <c r="HT251" s="436"/>
      <c r="HU251" s="436"/>
      <c r="HV251" s="436"/>
      <c r="HW251" s="436"/>
      <c r="HX251" s="436"/>
      <c r="HY251" s="436"/>
      <c r="HZ251" s="436"/>
      <c r="IA251" s="436"/>
      <c r="IB251" s="436"/>
      <c r="IC251" s="436"/>
      <c r="ID251" s="436"/>
      <c r="IE251" s="436"/>
      <c r="IF251" s="436"/>
      <c r="IG251" s="436"/>
      <c r="IH251" s="436"/>
      <c r="II251" s="436"/>
      <c r="IJ251" s="436"/>
      <c r="IK251" s="436"/>
      <c r="IL251" s="436"/>
      <c r="IM251" s="436"/>
      <c r="IN251" s="436"/>
      <c r="IO251" s="436"/>
      <c r="IP251" s="436"/>
      <c r="IQ251" s="265"/>
      <c r="IR251" s="265"/>
    </row>
    <row r="252" spans="1:252" s="461" customFormat="1" x14ac:dyDescent="0.35">
      <c r="A252" s="685"/>
      <c r="B252" s="503"/>
      <c r="C252" s="503"/>
      <c r="D252" s="439"/>
      <c r="E252" s="686"/>
      <c r="J252" s="1591"/>
      <c r="M252" s="436"/>
      <c r="N252" s="436"/>
      <c r="O252" s="436"/>
      <c r="P252" s="436"/>
      <c r="Q252" s="436"/>
      <c r="R252" s="436"/>
      <c r="S252" s="436"/>
      <c r="T252" s="436"/>
      <c r="U252" s="436"/>
      <c r="V252" s="436"/>
      <c r="W252" s="436"/>
      <c r="X252" s="436"/>
      <c r="Y252" s="436"/>
      <c r="Z252" s="436"/>
      <c r="AA252" s="436"/>
      <c r="AB252" s="436"/>
      <c r="AC252" s="436"/>
      <c r="AD252" s="436"/>
      <c r="AE252" s="436"/>
      <c r="AF252" s="436"/>
      <c r="AG252" s="436"/>
      <c r="AH252" s="436"/>
      <c r="AI252" s="436"/>
      <c r="AJ252" s="436"/>
      <c r="AK252" s="436"/>
      <c r="AL252" s="436"/>
      <c r="AM252" s="436"/>
      <c r="AN252" s="436"/>
      <c r="AO252" s="436"/>
      <c r="AP252" s="436"/>
      <c r="AQ252" s="436"/>
      <c r="AR252" s="436"/>
      <c r="AS252" s="436"/>
      <c r="AT252" s="436"/>
      <c r="AU252" s="436"/>
      <c r="AV252" s="436"/>
      <c r="AW252" s="436"/>
      <c r="AX252" s="436"/>
      <c r="AY252" s="436"/>
      <c r="AZ252" s="436"/>
      <c r="BA252" s="436"/>
      <c r="BB252" s="436"/>
      <c r="BC252" s="436"/>
      <c r="BD252" s="436"/>
      <c r="BE252" s="436"/>
      <c r="BF252" s="436"/>
      <c r="BG252" s="436"/>
      <c r="BH252" s="436"/>
      <c r="BI252" s="436"/>
      <c r="BJ252" s="436"/>
      <c r="BK252" s="436"/>
      <c r="BL252" s="436"/>
      <c r="BM252" s="436"/>
      <c r="BN252" s="436"/>
      <c r="BO252" s="436"/>
      <c r="BP252" s="436"/>
      <c r="BQ252" s="436"/>
      <c r="BR252" s="436"/>
      <c r="BS252" s="436"/>
      <c r="BT252" s="436"/>
      <c r="BU252" s="436"/>
      <c r="BV252" s="436"/>
      <c r="BW252" s="436"/>
      <c r="BX252" s="436"/>
      <c r="BY252" s="436"/>
      <c r="BZ252" s="436"/>
      <c r="CA252" s="436"/>
      <c r="CB252" s="436"/>
      <c r="CC252" s="436"/>
      <c r="CD252" s="436"/>
      <c r="CE252" s="436"/>
      <c r="CF252" s="436"/>
      <c r="CG252" s="436"/>
      <c r="CH252" s="436"/>
      <c r="CI252" s="436"/>
      <c r="CJ252" s="436"/>
      <c r="CK252" s="436"/>
      <c r="CL252" s="436"/>
      <c r="CM252" s="436"/>
      <c r="CN252" s="436"/>
      <c r="CO252" s="436"/>
      <c r="CP252" s="436"/>
      <c r="CQ252" s="436"/>
      <c r="CR252" s="436"/>
      <c r="CS252" s="436"/>
      <c r="CT252" s="436"/>
      <c r="CU252" s="436"/>
      <c r="CV252" s="436"/>
      <c r="CW252" s="436"/>
      <c r="CX252" s="436"/>
      <c r="CY252" s="436"/>
      <c r="CZ252" s="436"/>
      <c r="DA252" s="436"/>
      <c r="DB252" s="436"/>
      <c r="DC252" s="436"/>
      <c r="DD252" s="436"/>
      <c r="DE252" s="436"/>
      <c r="DF252" s="436"/>
      <c r="DG252" s="436"/>
      <c r="DH252" s="436"/>
      <c r="DI252" s="436"/>
      <c r="DJ252" s="436"/>
      <c r="DK252" s="436"/>
      <c r="DL252" s="436"/>
      <c r="DM252" s="436"/>
      <c r="DN252" s="436"/>
      <c r="DO252" s="436"/>
      <c r="DP252" s="436"/>
      <c r="DQ252" s="436"/>
      <c r="DR252" s="436"/>
      <c r="DS252" s="436"/>
      <c r="DT252" s="436"/>
      <c r="DU252" s="436"/>
      <c r="DV252" s="436"/>
      <c r="DW252" s="436"/>
      <c r="DX252" s="436"/>
      <c r="DY252" s="436"/>
      <c r="DZ252" s="436"/>
      <c r="EA252" s="436"/>
      <c r="EB252" s="436"/>
      <c r="EC252" s="436"/>
      <c r="ED252" s="436"/>
      <c r="EE252" s="436"/>
      <c r="EF252" s="436"/>
      <c r="EG252" s="436"/>
      <c r="EH252" s="436"/>
      <c r="EI252" s="436"/>
      <c r="EJ252" s="436"/>
      <c r="EK252" s="436"/>
      <c r="EL252" s="436"/>
      <c r="EM252" s="436"/>
      <c r="EN252" s="436"/>
      <c r="EO252" s="436"/>
      <c r="EP252" s="436"/>
      <c r="EQ252" s="436"/>
      <c r="ER252" s="436"/>
      <c r="ES252" s="436"/>
      <c r="ET252" s="436"/>
      <c r="EU252" s="436"/>
      <c r="EV252" s="436"/>
      <c r="EW252" s="436"/>
      <c r="EX252" s="436"/>
      <c r="EY252" s="436"/>
      <c r="EZ252" s="436"/>
      <c r="FA252" s="436"/>
      <c r="FB252" s="436"/>
      <c r="FC252" s="436"/>
      <c r="FD252" s="436"/>
      <c r="FE252" s="436"/>
      <c r="FF252" s="436"/>
      <c r="FG252" s="436"/>
      <c r="FH252" s="436"/>
      <c r="FI252" s="436"/>
      <c r="FJ252" s="436"/>
      <c r="FK252" s="436"/>
      <c r="FL252" s="436"/>
      <c r="FM252" s="436"/>
      <c r="FN252" s="436"/>
      <c r="FO252" s="436"/>
      <c r="FP252" s="436"/>
      <c r="FQ252" s="436"/>
      <c r="FR252" s="436"/>
      <c r="FS252" s="436"/>
      <c r="FT252" s="436"/>
      <c r="FU252" s="436"/>
      <c r="FV252" s="436"/>
      <c r="FW252" s="436"/>
      <c r="FX252" s="436"/>
      <c r="FY252" s="436"/>
      <c r="FZ252" s="436"/>
      <c r="GA252" s="436"/>
      <c r="GB252" s="436"/>
      <c r="GC252" s="436"/>
      <c r="GD252" s="436"/>
      <c r="GE252" s="436"/>
      <c r="GF252" s="436"/>
      <c r="GG252" s="436"/>
      <c r="GH252" s="436"/>
      <c r="GI252" s="436"/>
      <c r="GJ252" s="436"/>
      <c r="GK252" s="436"/>
      <c r="GL252" s="436"/>
      <c r="GM252" s="436"/>
      <c r="GN252" s="436"/>
      <c r="GO252" s="436"/>
      <c r="GP252" s="436"/>
      <c r="GQ252" s="436"/>
      <c r="GR252" s="436"/>
      <c r="GS252" s="436"/>
      <c r="GT252" s="436"/>
      <c r="GU252" s="436"/>
      <c r="GV252" s="436"/>
      <c r="GW252" s="436"/>
      <c r="GX252" s="436"/>
      <c r="GY252" s="436"/>
      <c r="GZ252" s="436"/>
      <c r="HA252" s="436"/>
      <c r="HB252" s="436"/>
      <c r="HC252" s="436"/>
      <c r="HD252" s="436"/>
      <c r="HE252" s="436"/>
      <c r="HF252" s="436"/>
      <c r="HG252" s="436"/>
      <c r="HH252" s="436"/>
      <c r="HI252" s="436"/>
      <c r="HJ252" s="436"/>
      <c r="HK252" s="436"/>
      <c r="HL252" s="436"/>
      <c r="HM252" s="436"/>
      <c r="HN252" s="436"/>
      <c r="HO252" s="436"/>
      <c r="HP252" s="436"/>
      <c r="HQ252" s="436"/>
      <c r="HR252" s="436"/>
      <c r="HS252" s="436"/>
      <c r="HT252" s="436"/>
      <c r="HU252" s="436"/>
      <c r="HV252" s="436"/>
      <c r="HW252" s="436"/>
      <c r="HX252" s="436"/>
      <c r="HY252" s="436"/>
      <c r="HZ252" s="436"/>
      <c r="IA252" s="436"/>
      <c r="IB252" s="436"/>
      <c r="IC252" s="436"/>
      <c r="ID252" s="436"/>
      <c r="IE252" s="436"/>
      <c r="IF252" s="436"/>
      <c r="IG252" s="436"/>
      <c r="IH252" s="436"/>
      <c r="II252" s="436"/>
      <c r="IJ252" s="436"/>
      <c r="IK252" s="436"/>
      <c r="IL252" s="436"/>
      <c r="IM252" s="436"/>
      <c r="IN252" s="436"/>
      <c r="IO252" s="436"/>
      <c r="IP252" s="436"/>
      <c r="IQ252" s="265"/>
      <c r="IR252" s="265"/>
    </row>
    <row r="253" spans="1:252" s="461" customFormat="1" x14ac:dyDescent="0.35">
      <c r="A253" s="685"/>
      <c r="B253" s="503"/>
      <c r="C253" s="503"/>
      <c r="D253" s="439"/>
      <c r="E253" s="686"/>
      <c r="J253" s="1591"/>
      <c r="M253" s="436"/>
      <c r="N253" s="436"/>
      <c r="O253" s="436"/>
      <c r="P253" s="436"/>
      <c r="Q253" s="436"/>
      <c r="R253" s="436"/>
      <c r="S253" s="436"/>
      <c r="T253" s="436"/>
      <c r="U253" s="436"/>
      <c r="V253" s="436"/>
      <c r="W253" s="436"/>
      <c r="X253" s="436"/>
      <c r="Y253" s="436"/>
      <c r="Z253" s="436"/>
      <c r="AA253" s="436"/>
      <c r="AB253" s="436"/>
      <c r="AC253" s="436"/>
      <c r="AD253" s="436"/>
      <c r="AE253" s="436"/>
      <c r="AF253" s="436"/>
      <c r="AG253" s="436"/>
      <c r="AH253" s="436"/>
      <c r="AI253" s="436"/>
      <c r="AJ253" s="436"/>
      <c r="AK253" s="436"/>
      <c r="AL253" s="436"/>
      <c r="AM253" s="436"/>
      <c r="AN253" s="436"/>
      <c r="AO253" s="436"/>
      <c r="AP253" s="436"/>
      <c r="AQ253" s="436"/>
      <c r="AR253" s="436"/>
      <c r="AS253" s="436"/>
      <c r="AT253" s="436"/>
      <c r="AU253" s="436"/>
      <c r="AV253" s="436"/>
      <c r="AW253" s="436"/>
      <c r="AX253" s="436"/>
      <c r="AY253" s="436"/>
      <c r="AZ253" s="436"/>
      <c r="BA253" s="436"/>
      <c r="BB253" s="436"/>
      <c r="BC253" s="436"/>
      <c r="BD253" s="436"/>
      <c r="BE253" s="436"/>
      <c r="BF253" s="436"/>
      <c r="BG253" s="436"/>
      <c r="BH253" s="436"/>
      <c r="BI253" s="436"/>
      <c r="BJ253" s="436"/>
      <c r="BK253" s="436"/>
      <c r="BL253" s="436"/>
      <c r="BM253" s="436"/>
      <c r="BN253" s="436"/>
      <c r="BO253" s="436"/>
      <c r="BP253" s="436"/>
      <c r="BQ253" s="436"/>
      <c r="BR253" s="436"/>
      <c r="BS253" s="436"/>
      <c r="BT253" s="436"/>
      <c r="BU253" s="436"/>
      <c r="BV253" s="436"/>
      <c r="BW253" s="436"/>
      <c r="BX253" s="436"/>
      <c r="BY253" s="436"/>
      <c r="BZ253" s="436"/>
      <c r="CA253" s="436"/>
      <c r="CB253" s="436"/>
      <c r="CC253" s="436"/>
      <c r="CD253" s="436"/>
      <c r="CE253" s="436"/>
      <c r="CF253" s="436"/>
      <c r="CG253" s="436"/>
      <c r="CH253" s="436"/>
      <c r="CI253" s="436"/>
      <c r="CJ253" s="436"/>
      <c r="CK253" s="436"/>
      <c r="CL253" s="436"/>
      <c r="CM253" s="436"/>
      <c r="CN253" s="436"/>
      <c r="CO253" s="436"/>
      <c r="CP253" s="436"/>
      <c r="CQ253" s="436"/>
      <c r="CR253" s="436"/>
      <c r="CS253" s="436"/>
      <c r="CT253" s="436"/>
      <c r="CU253" s="436"/>
      <c r="CV253" s="436"/>
      <c r="CW253" s="436"/>
      <c r="CX253" s="436"/>
      <c r="CY253" s="436"/>
      <c r="CZ253" s="436"/>
      <c r="DA253" s="436"/>
      <c r="DB253" s="436"/>
      <c r="DC253" s="436"/>
      <c r="DD253" s="436"/>
      <c r="DE253" s="436"/>
      <c r="DF253" s="436"/>
      <c r="DG253" s="436"/>
      <c r="DH253" s="436"/>
      <c r="DI253" s="436"/>
      <c r="DJ253" s="436"/>
      <c r="DK253" s="436"/>
      <c r="DL253" s="436"/>
      <c r="DM253" s="436"/>
      <c r="DN253" s="436"/>
      <c r="DO253" s="436"/>
      <c r="DP253" s="436"/>
      <c r="DQ253" s="436"/>
      <c r="DR253" s="436"/>
      <c r="DS253" s="436"/>
      <c r="DT253" s="436"/>
      <c r="DU253" s="436"/>
      <c r="DV253" s="436"/>
      <c r="DW253" s="436"/>
      <c r="DX253" s="436"/>
      <c r="DY253" s="436"/>
      <c r="DZ253" s="436"/>
      <c r="EA253" s="436"/>
      <c r="EB253" s="436"/>
      <c r="EC253" s="436"/>
      <c r="ED253" s="436"/>
      <c r="EE253" s="436"/>
      <c r="EF253" s="436"/>
      <c r="EG253" s="436"/>
      <c r="EH253" s="436"/>
      <c r="EI253" s="436"/>
      <c r="EJ253" s="436"/>
      <c r="EK253" s="436"/>
      <c r="EL253" s="436"/>
      <c r="EM253" s="436"/>
      <c r="EN253" s="436"/>
      <c r="EO253" s="436"/>
      <c r="EP253" s="436"/>
      <c r="EQ253" s="436"/>
      <c r="ER253" s="436"/>
      <c r="ES253" s="436"/>
      <c r="ET253" s="436"/>
      <c r="EU253" s="436"/>
      <c r="EV253" s="436"/>
      <c r="EW253" s="436"/>
      <c r="EX253" s="436"/>
      <c r="EY253" s="436"/>
      <c r="EZ253" s="436"/>
      <c r="FA253" s="436"/>
      <c r="FB253" s="436"/>
      <c r="FC253" s="436"/>
      <c r="FD253" s="436"/>
      <c r="FE253" s="436"/>
      <c r="FF253" s="436"/>
      <c r="FG253" s="436"/>
      <c r="FH253" s="436"/>
      <c r="FI253" s="436"/>
      <c r="FJ253" s="436"/>
      <c r="FK253" s="436"/>
      <c r="FL253" s="436"/>
      <c r="FM253" s="436"/>
      <c r="FN253" s="436"/>
      <c r="FO253" s="436"/>
      <c r="FP253" s="436"/>
      <c r="FQ253" s="436"/>
      <c r="FR253" s="436"/>
      <c r="FS253" s="436"/>
      <c r="FT253" s="436"/>
      <c r="FU253" s="436"/>
      <c r="FV253" s="436"/>
      <c r="FW253" s="436"/>
      <c r="FX253" s="436"/>
      <c r="FY253" s="436"/>
      <c r="FZ253" s="436"/>
      <c r="GA253" s="436"/>
      <c r="GB253" s="436"/>
      <c r="GC253" s="436"/>
      <c r="GD253" s="436"/>
      <c r="GE253" s="436"/>
      <c r="GF253" s="436"/>
      <c r="GG253" s="436"/>
      <c r="GH253" s="436"/>
      <c r="GI253" s="436"/>
      <c r="GJ253" s="436"/>
      <c r="GK253" s="436"/>
      <c r="GL253" s="436"/>
      <c r="GM253" s="436"/>
      <c r="GN253" s="436"/>
      <c r="GO253" s="436"/>
      <c r="GP253" s="436"/>
      <c r="GQ253" s="436"/>
      <c r="GR253" s="436"/>
      <c r="GS253" s="436"/>
      <c r="GT253" s="436"/>
      <c r="GU253" s="436"/>
      <c r="GV253" s="436"/>
      <c r="GW253" s="436"/>
      <c r="GX253" s="436"/>
      <c r="GY253" s="436"/>
      <c r="GZ253" s="436"/>
      <c r="HA253" s="436"/>
      <c r="HB253" s="436"/>
      <c r="HC253" s="436"/>
      <c r="HD253" s="436"/>
      <c r="HE253" s="436"/>
      <c r="HF253" s="436"/>
      <c r="HG253" s="436"/>
      <c r="HH253" s="436"/>
      <c r="HI253" s="436"/>
      <c r="HJ253" s="436"/>
      <c r="HK253" s="436"/>
      <c r="HL253" s="436"/>
      <c r="HM253" s="436"/>
      <c r="HN253" s="436"/>
      <c r="HO253" s="436"/>
      <c r="HP253" s="436"/>
      <c r="HQ253" s="436"/>
      <c r="HR253" s="436"/>
      <c r="HS253" s="436"/>
      <c r="HT253" s="436"/>
      <c r="HU253" s="436"/>
      <c r="HV253" s="436"/>
      <c r="HW253" s="436"/>
      <c r="HX253" s="436"/>
      <c r="HY253" s="436"/>
      <c r="HZ253" s="436"/>
      <c r="IA253" s="436"/>
      <c r="IB253" s="436"/>
      <c r="IC253" s="436"/>
      <c r="ID253" s="436"/>
      <c r="IE253" s="436"/>
      <c r="IF253" s="436"/>
      <c r="IG253" s="436"/>
      <c r="IH253" s="436"/>
      <c r="II253" s="436"/>
      <c r="IJ253" s="436"/>
      <c r="IK253" s="436"/>
      <c r="IL253" s="436"/>
      <c r="IM253" s="436"/>
      <c r="IN253" s="436"/>
      <c r="IO253" s="436"/>
      <c r="IP253" s="436"/>
      <c r="IQ253" s="265"/>
      <c r="IR253" s="265"/>
    </row>
    <row r="254" spans="1:252" s="461" customFormat="1" x14ac:dyDescent="0.35">
      <c r="A254" s="685"/>
      <c r="B254" s="503"/>
      <c r="C254" s="503"/>
      <c r="D254" s="439"/>
      <c r="E254" s="686"/>
      <c r="J254" s="1591"/>
      <c r="M254" s="436"/>
      <c r="N254" s="436"/>
      <c r="O254" s="436"/>
      <c r="P254" s="436"/>
      <c r="Q254" s="436"/>
      <c r="R254" s="436"/>
      <c r="S254" s="436"/>
      <c r="T254" s="436"/>
      <c r="U254" s="436"/>
      <c r="V254" s="436"/>
      <c r="W254" s="436"/>
      <c r="X254" s="436"/>
      <c r="Y254" s="436"/>
      <c r="Z254" s="436"/>
      <c r="AA254" s="436"/>
      <c r="AB254" s="436"/>
      <c r="AC254" s="436"/>
      <c r="AD254" s="436"/>
      <c r="AE254" s="436"/>
      <c r="AF254" s="436"/>
      <c r="AG254" s="436"/>
      <c r="AH254" s="436"/>
      <c r="AI254" s="436"/>
      <c r="AJ254" s="436"/>
      <c r="AK254" s="436"/>
      <c r="AL254" s="436"/>
      <c r="AM254" s="436"/>
      <c r="AN254" s="436"/>
      <c r="AO254" s="436"/>
      <c r="AP254" s="436"/>
      <c r="AQ254" s="436"/>
      <c r="AR254" s="436"/>
      <c r="AS254" s="436"/>
      <c r="AT254" s="436"/>
      <c r="AU254" s="436"/>
      <c r="AV254" s="436"/>
      <c r="AW254" s="436"/>
      <c r="AX254" s="436"/>
      <c r="AY254" s="436"/>
      <c r="AZ254" s="436"/>
      <c r="BA254" s="436"/>
      <c r="BB254" s="436"/>
      <c r="BC254" s="436"/>
      <c r="BD254" s="436"/>
      <c r="BE254" s="436"/>
      <c r="BF254" s="436"/>
      <c r="BG254" s="436"/>
      <c r="BH254" s="436"/>
      <c r="BI254" s="436"/>
      <c r="BJ254" s="436"/>
      <c r="BK254" s="436"/>
      <c r="BL254" s="436"/>
      <c r="BM254" s="436"/>
      <c r="BN254" s="436"/>
      <c r="BO254" s="436"/>
      <c r="BP254" s="436"/>
      <c r="BQ254" s="436"/>
      <c r="BR254" s="436"/>
      <c r="BS254" s="436"/>
      <c r="BT254" s="436"/>
      <c r="BU254" s="436"/>
      <c r="BV254" s="436"/>
      <c r="BW254" s="436"/>
      <c r="BX254" s="436"/>
      <c r="BY254" s="436"/>
      <c r="BZ254" s="436"/>
      <c r="CA254" s="436"/>
      <c r="CB254" s="436"/>
      <c r="CC254" s="436"/>
      <c r="CD254" s="436"/>
      <c r="CE254" s="436"/>
      <c r="CF254" s="436"/>
      <c r="CG254" s="436"/>
      <c r="CH254" s="436"/>
      <c r="CI254" s="436"/>
      <c r="CJ254" s="436"/>
      <c r="CK254" s="436"/>
      <c r="CL254" s="436"/>
      <c r="CM254" s="436"/>
      <c r="CN254" s="436"/>
      <c r="CO254" s="436"/>
      <c r="CP254" s="436"/>
      <c r="CQ254" s="436"/>
      <c r="CR254" s="436"/>
      <c r="CS254" s="436"/>
      <c r="CT254" s="436"/>
      <c r="CU254" s="436"/>
      <c r="CV254" s="436"/>
      <c r="CW254" s="436"/>
      <c r="CX254" s="436"/>
      <c r="CY254" s="436"/>
      <c r="CZ254" s="436"/>
      <c r="DA254" s="436"/>
      <c r="DB254" s="436"/>
      <c r="DC254" s="436"/>
      <c r="DD254" s="436"/>
      <c r="DE254" s="436"/>
      <c r="DF254" s="436"/>
      <c r="DG254" s="436"/>
      <c r="DH254" s="436"/>
      <c r="DI254" s="436"/>
      <c r="DJ254" s="436"/>
      <c r="DK254" s="436"/>
      <c r="DL254" s="436"/>
      <c r="DM254" s="436"/>
      <c r="DN254" s="436"/>
      <c r="DO254" s="436"/>
      <c r="DP254" s="436"/>
      <c r="DQ254" s="436"/>
      <c r="DR254" s="436"/>
      <c r="DS254" s="436"/>
      <c r="DT254" s="436"/>
      <c r="DU254" s="436"/>
      <c r="DV254" s="436"/>
      <c r="DW254" s="436"/>
      <c r="DX254" s="436"/>
      <c r="DY254" s="436"/>
      <c r="DZ254" s="436"/>
      <c r="EA254" s="436"/>
      <c r="EB254" s="436"/>
      <c r="EC254" s="436"/>
      <c r="ED254" s="436"/>
      <c r="EE254" s="436"/>
      <c r="EF254" s="436"/>
      <c r="EG254" s="436"/>
      <c r="EH254" s="436"/>
      <c r="EI254" s="436"/>
      <c r="EJ254" s="436"/>
      <c r="EK254" s="436"/>
      <c r="EL254" s="436"/>
      <c r="EM254" s="436"/>
      <c r="EN254" s="436"/>
      <c r="EO254" s="436"/>
      <c r="EP254" s="436"/>
      <c r="EQ254" s="436"/>
      <c r="ER254" s="436"/>
      <c r="ES254" s="436"/>
      <c r="ET254" s="436"/>
      <c r="EU254" s="436"/>
      <c r="EV254" s="436"/>
      <c r="EW254" s="436"/>
      <c r="EX254" s="436"/>
      <c r="EY254" s="436"/>
      <c r="EZ254" s="436"/>
      <c r="FA254" s="436"/>
      <c r="FB254" s="436"/>
      <c r="FC254" s="436"/>
      <c r="FD254" s="436"/>
      <c r="FE254" s="436"/>
      <c r="FF254" s="436"/>
      <c r="FG254" s="436"/>
      <c r="FH254" s="436"/>
      <c r="FI254" s="436"/>
      <c r="FJ254" s="436"/>
      <c r="FK254" s="436"/>
      <c r="FL254" s="436"/>
      <c r="FM254" s="436"/>
      <c r="FN254" s="436"/>
      <c r="FO254" s="436"/>
      <c r="FP254" s="436"/>
      <c r="FQ254" s="436"/>
      <c r="FR254" s="436"/>
      <c r="FS254" s="436"/>
      <c r="FT254" s="436"/>
      <c r="FU254" s="436"/>
      <c r="FV254" s="436"/>
      <c r="FW254" s="436"/>
      <c r="FX254" s="436"/>
      <c r="FY254" s="436"/>
      <c r="FZ254" s="436"/>
      <c r="GA254" s="436"/>
      <c r="GB254" s="436"/>
      <c r="GC254" s="436"/>
      <c r="GD254" s="436"/>
      <c r="GE254" s="436"/>
      <c r="GF254" s="436"/>
      <c r="GG254" s="436"/>
      <c r="GH254" s="436"/>
      <c r="GI254" s="436"/>
      <c r="GJ254" s="436"/>
      <c r="GK254" s="436"/>
      <c r="GL254" s="436"/>
      <c r="GM254" s="436"/>
      <c r="GN254" s="436"/>
      <c r="GO254" s="436"/>
      <c r="GP254" s="436"/>
      <c r="GQ254" s="436"/>
      <c r="GR254" s="436"/>
      <c r="GS254" s="436"/>
      <c r="GT254" s="436"/>
      <c r="GU254" s="436"/>
      <c r="GV254" s="436"/>
      <c r="GW254" s="436"/>
      <c r="GX254" s="436"/>
      <c r="GY254" s="436"/>
      <c r="GZ254" s="436"/>
      <c r="HA254" s="436"/>
      <c r="HB254" s="436"/>
      <c r="HC254" s="436"/>
      <c r="HD254" s="436"/>
      <c r="HE254" s="436"/>
      <c r="HF254" s="436"/>
      <c r="HG254" s="436"/>
      <c r="HH254" s="436"/>
      <c r="HI254" s="436"/>
      <c r="HJ254" s="436"/>
      <c r="HK254" s="436"/>
      <c r="HL254" s="436"/>
      <c r="HM254" s="436"/>
      <c r="HN254" s="436"/>
      <c r="HO254" s="436"/>
      <c r="HP254" s="436"/>
      <c r="HQ254" s="436"/>
      <c r="HR254" s="436"/>
      <c r="HS254" s="436"/>
      <c r="HT254" s="436"/>
      <c r="HU254" s="436"/>
      <c r="HV254" s="436"/>
      <c r="HW254" s="436"/>
      <c r="HX254" s="436"/>
      <c r="HY254" s="436"/>
      <c r="HZ254" s="436"/>
      <c r="IA254" s="436"/>
      <c r="IB254" s="436"/>
      <c r="IC254" s="436"/>
      <c r="ID254" s="436"/>
      <c r="IE254" s="436"/>
      <c r="IF254" s="436"/>
      <c r="IG254" s="436"/>
      <c r="IH254" s="436"/>
      <c r="II254" s="436"/>
      <c r="IJ254" s="436"/>
      <c r="IK254" s="436"/>
      <c r="IL254" s="436"/>
      <c r="IM254" s="436"/>
      <c r="IN254" s="436"/>
      <c r="IO254" s="436"/>
      <c r="IP254" s="436"/>
      <c r="IQ254" s="265"/>
      <c r="IR254" s="265"/>
    </row>
    <row r="255" spans="1:252" s="461" customFormat="1" x14ac:dyDescent="0.35">
      <c r="A255" s="685"/>
      <c r="B255" s="503"/>
      <c r="C255" s="503"/>
      <c r="D255" s="439"/>
      <c r="E255" s="686"/>
      <c r="J255" s="1591"/>
      <c r="M255" s="436"/>
      <c r="N255" s="436"/>
      <c r="O255" s="436"/>
      <c r="P255" s="436"/>
      <c r="Q255" s="436"/>
      <c r="R255" s="436"/>
      <c r="S255" s="436"/>
      <c r="T255" s="436"/>
      <c r="U255" s="436"/>
      <c r="V255" s="436"/>
      <c r="W255" s="436"/>
      <c r="X255" s="436"/>
      <c r="Y255" s="436"/>
      <c r="Z255" s="436"/>
      <c r="AA255" s="436"/>
      <c r="AB255" s="436"/>
      <c r="AC255" s="436"/>
      <c r="AD255" s="436"/>
      <c r="AE255" s="436"/>
      <c r="AF255" s="436"/>
      <c r="AG255" s="436"/>
      <c r="AH255" s="436"/>
      <c r="AI255" s="436"/>
      <c r="AJ255" s="436"/>
      <c r="AK255" s="436"/>
      <c r="AL255" s="436"/>
      <c r="AM255" s="436"/>
      <c r="AN255" s="436"/>
      <c r="AO255" s="436"/>
      <c r="AP255" s="436"/>
      <c r="AQ255" s="436"/>
      <c r="AR255" s="436"/>
      <c r="AS255" s="436"/>
      <c r="AT255" s="436"/>
      <c r="AU255" s="436"/>
      <c r="AV255" s="436"/>
      <c r="AW255" s="436"/>
      <c r="AX255" s="436"/>
      <c r="AY255" s="436"/>
      <c r="AZ255" s="436"/>
      <c r="BA255" s="436"/>
      <c r="BB255" s="436"/>
      <c r="BC255" s="436"/>
      <c r="BD255" s="436"/>
      <c r="BE255" s="436"/>
      <c r="BF255" s="436"/>
      <c r="BG255" s="436"/>
      <c r="BH255" s="436"/>
      <c r="BI255" s="436"/>
      <c r="BJ255" s="436"/>
      <c r="BK255" s="436"/>
      <c r="BL255" s="436"/>
      <c r="BM255" s="436"/>
      <c r="BN255" s="436"/>
      <c r="BO255" s="436"/>
      <c r="BP255" s="436"/>
      <c r="BQ255" s="436"/>
      <c r="BR255" s="436"/>
      <c r="BS255" s="436"/>
      <c r="BT255" s="436"/>
      <c r="BU255" s="436"/>
      <c r="BV255" s="436"/>
      <c r="BW255" s="436"/>
      <c r="BX255" s="436"/>
      <c r="BY255" s="436"/>
      <c r="BZ255" s="436"/>
      <c r="CA255" s="436"/>
      <c r="CB255" s="436"/>
      <c r="CC255" s="436"/>
      <c r="CD255" s="436"/>
      <c r="CE255" s="436"/>
      <c r="CF255" s="436"/>
      <c r="CG255" s="436"/>
      <c r="CH255" s="436"/>
      <c r="CI255" s="436"/>
      <c r="CJ255" s="436"/>
      <c r="CK255" s="436"/>
      <c r="CL255" s="436"/>
      <c r="CM255" s="436"/>
      <c r="CN255" s="436"/>
      <c r="CO255" s="436"/>
      <c r="CP255" s="436"/>
      <c r="CQ255" s="436"/>
      <c r="CR255" s="436"/>
      <c r="CS255" s="436"/>
      <c r="CT255" s="436"/>
      <c r="CU255" s="436"/>
      <c r="CV255" s="436"/>
      <c r="CW255" s="436"/>
      <c r="CX255" s="436"/>
      <c r="CY255" s="436"/>
      <c r="CZ255" s="436"/>
      <c r="DA255" s="436"/>
      <c r="DB255" s="436"/>
      <c r="DC255" s="436"/>
      <c r="DD255" s="436"/>
      <c r="DE255" s="436"/>
      <c r="DF255" s="436"/>
      <c r="DG255" s="436"/>
      <c r="DH255" s="436"/>
      <c r="DI255" s="436"/>
      <c r="DJ255" s="436"/>
      <c r="DK255" s="436"/>
      <c r="DL255" s="436"/>
      <c r="DM255" s="436"/>
      <c r="DN255" s="436"/>
      <c r="DO255" s="436"/>
      <c r="DP255" s="436"/>
      <c r="DQ255" s="436"/>
      <c r="DR255" s="436"/>
      <c r="DS255" s="436"/>
      <c r="DT255" s="436"/>
      <c r="DU255" s="436"/>
      <c r="DV255" s="436"/>
      <c r="DW255" s="436"/>
      <c r="DX255" s="436"/>
      <c r="DY255" s="436"/>
      <c r="DZ255" s="436"/>
      <c r="EA255" s="436"/>
      <c r="EB255" s="436"/>
      <c r="EC255" s="436"/>
      <c r="ED255" s="436"/>
      <c r="EE255" s="436"/>
      <c r="EF255" s="436"/>
      <c r="EG255" s="436"/>
      <c r="EH255" s="436"/>
      <c r="EI255" s="436"/>
      <c r="EJ255" s="436"/>
      <c r="EK255" s="436"/>
      <c r="EL255" s="436"/>
      <c r="EM255" s="436"/>
      <c r="EN255" s="436"/>
      <c r="EO255" s="436"/>
      <c r="EP255" s="436"/>
      <c r="EQ255" s="436"/>
      <c r="ER255" s="436"/>
      <c r="ES255" s="436"/>
      <c r="ET255" s="436"/>
      <c r="EU255" s="436"/>
      <c r="EV255" s="436"/>
      <c r="EW255" s="436"/>
      <c r="EX255" s="436"/>
      <c r="EY255" s="436"/>
      <c r="EZ255" s="436"/>
      <c r="FA255" s="436"/>
      <c r="FB255" s="436"/>
      <c r="FC255" s="436"/>
      <c r="FD255" s="436"/>
      <c r="FE255" s="436"/>
      <c r="FF255" s="436"/>
      <c r="FG255" s="436"/>
      <c r="FH255" s="436"/>
      <c r="FI255" s="436"/>
      <c r="FJ255" s="436"/>
      <c r="FK255" s="436"/>
      <c r="FL255" s="436"/>
      <c r="FM255" s="436"/>
      <c r="FN255" s="436"/>
      <c r="FO255" s="436"/>
      <c r="FP255" s="436"/>
      <c r="FQ255" s="436"/>
      <c r="FR255" s="436"/>
      <c r="FS255" s="436"/>
      <c r="FT255" s="436"/>
      <c r="FU255" s="436"/>
      <c r="FV255" s="436"/>
      <c r="FW255" s="436"/>
      <c r="FX255" s="436"/>
      <c r="FY255" s="436"/>
      <c r="FZ255" s="436"/>
      <c r="GA255" s="436"/>
      <c r="GB255" s="436"/>
      <c r="GC255" s="436"/>
      <c r="GD255" s="436"/>
      <c r="GE255" s="436"/>
      <c r="GF255" s="436"/>
      <c r="GG255" s="436"/>
      <c r="GH255" s="436"/>
      <c r="GI255" s="436"/>
      <c r="GJ255" s="436"/>
      <c r="GK255" s="436"/>
      <c r="GL255" s="436"/>
      <c r="GM255" s="436"/>
      <c r="GN255" s="436"/>
      <c r="GO255" s="436"/>
      <c r="GP255" s="436"/>
      <c r="GQ255" s="436"/>
      <c r="GR255" s="436"/>
      <c r="GS255" s="436"/>
      <c r="GT255" s="436"/>
      <c r="GU255" s="436"/>
      <c r="GV255" s="436"/>
      <c r="GW255" s="436"/>
      <c r="GX255" s="436"/>
      <c r="GY255" s="436"/>
      <c r="GZ255" s="436"/>
      <c r="HA255" s="436"/>
      <c r="HB255" s="436"/>
      <c r="HC255" s="436"/>
      <c r="HD255" s="436"/>
      <c r="HE255" s="436"/>
      <c r="HF255" s="436"/>
      <c r="HG255" s="436"/>
      <c r="HH255" s="436"/>
      <c r="HI255" s="436"/>
      <c r="HJ255" s="436"/>
      <c r="HK255" s="436"/>
      <c r="HL255" s="436"/>
      <c r="HM255" s="436"/>
      <c r="HN255" s="436"/>
      <c r="HO255" s="436"/>
      <c r="HP255" s="436"/>
      <c r="HQ255" s="436"/>
      <c r="HR255" s="436"/>
      <c r="HS255" s="436"/>
      <c r="HT255" s="436"/>
      <c r="HU255" s="436"/>
      <c r="HV255" s="436"/>
      <c r="HW255" s="436"/>
      <c r="HX255" s="436"/>
      <c r="HY255" s="436"/>
      <c r="HZ255" s="436"/>
      <c r="IA255" s="436"/>
      <c r="IB255" s="436"/>
      <c r="IC255" s="436"/>
      <c r="ID255" s="436"/>
      <c r="IE255" s="436"/>
      <c r="IF255" s="436"/>
      <c r="IG255" s="436"/>
      <c r="IH255" s="436"/>
      <c r="II255" s="436"/>
      <c r="IJ255" s="436"/>
      <c r="IK255" s="436"/>
      <c r="IL255" s="436"/>
      <c r="IM255" s="436"/>
      <c r="IN255" s="436"/>
      <c r="IO255" s="436"/>
      <c r="IP255" s="436"/>
      <c r="IQ255" s="265"/>
      <c r="IR255" s="265"/>
    </row>
    <row r="256" spans="1:252" s="461" customFormat="1" x14ac:dyDescent="0.35">
      <c r="A256" s="685"/>
      <c r="B256" s="503"/>
      <c r="C256" s="503"/>
      <c r="D256" s="439"/>
      <c r="E256" s="686"/>
      <c r="J256" s="1591"/>
      <c r="M256" s="436"/>
      <c r="N256" s="436"/>
      <c r="O256" s="436"/>
      <c r="P256" s="436"/>
      <c r="Q256" s="436"/>
      <c r="R256" s="436"/>
      <c r="S256" s="436"/>
      <c r="T256" s="436"/>
      <c r="U256" s="436"/>
      <c r="V256" s="436"/>
      <c r="W256" s="436"/>
      <c r="X256" s="436"/>
      <c r="Y256" s="436"/>
      <c r="Z256" s="436"/>
      <c r="AA256" s="436"/>
      <c r="AB256" s="436"/>
      <c r="AC256" s="436"/>
      <c r="AD256" s="436"/>
      <c r="AE256" s="436"/>
      <c r="AF256" s="436"/>
      <c r="AG256" s="436"/>
      <c r="AH256" s="436"/>
      <c r="AI256" s="436"/>
      <c r="AJ256" s="436"/>
      <c r="AK256" s="436"/>
      <c r="AL256" s="436"/>
      <c r="AM256" s="436"/>
      <c r="AN256" s="436"/>
      <c r="AO256" s="436"/>
      <c r="AP256" s="436"/>
      <c r="AQ256" s="436"/>
      <c r="AR256" s="436"/>
      <c r="AS256" s="436"/>
      <c r="AT256" s="436"/>
      <c r="AU256" s="436"/>
      <c r="AV256" s="436"/>
      <c r="AW256" s="436"/>
      <c r="AX256" s="436"/>
      <c r="AY256" s="436"/>
      <c r="AZ256" s="436"/>
      <c r="BA256" s="436"/>
      <c r="BB256" s="436"/>
      <c r="BC256" s="436"/>
      <c r="BD256" s="436"/>
      <c r="BE256" s="436"/>
      <c r="BF256" s="436"/>
      <c r="BG256" s="436"/>
      <c r="BH256" s="436"/>
      <c r="BI256" s="436"/>
      <c r="BJ256" s="436"/>
      <c r="BK256" s="436"/>
      <c r="BL256" s="436"/>
      <c r="BM256" s="436"/>
      <c r="BN256" s="436"/>
      <c r="BO256" s="436"/>
      <c r="BP256" s="436"/>
      <c r="BQ256" s="436"/>
      <c r="BR256" s="436"/>
      <c r="BS256" s="436"/>
      <c r="BT256" s="436"/>
      <c r="BU256" s="436"/>
      <c r="BV256" s="436"/>
      <c r="BW256" s="436"/>
      <c r="BX256" s="436"/>
      <c r="BY256" s="436"/>
      <c r="BZ256" s="436"/>
      <c r="CA256" s="436"/>
      <c r="CB256" s="436"/>
      <c r="CC256" s="436"/>
      <c r="CD256" s="436"/>
      <c r="CE256" s="436"/>
      <c r="CF256" s="436"/>
      <c r="CG256" s="436"/>
      <c r="CH256" s="436"/>
      <c r="CI256" s="436"/>
      <c r="CJ256" s="436"/>
      <c r="CK256" s="436"/>
      <c r="CL256" s="436"/>
      <c r="CM256" s="436"/>
      <c r="CN256" s="436"/>
      <c r="CO256" s="436"/>
      <c r="CP256" s="436"/>
      <c r="CQ256" s="436"/>
      <c r="CR256" s="436"/>
      <c r="CS256" s="436"/>
      <c r="CT256" s="436"/>
      <c r="CU256" s="436"/>
      <c r="CV256" s="436"/>
      <c r="CW256" s="436"/>
      <c r="CX256" s="436"/>
      <c r="CY256" s="436"/>
      <c r="CZ256" s="436"/>
      <c r="DA256" s="436"/>
      <c r="DB256" s="436"/>
      <c r="DC256" s="436"/>
      <c r="DD256" s="436"/>
      <c r="DE256" s="436"/>
      <c r="DF256" s="436"/>
      <c r="DG256" s="436"/>
      <c r="DH256" s="436"/>
      <c r="DI256" s="436"/>
      <c r="DJ256" s="436"/>
      <c r="DK256" s="436"/>
      <c r="DL256" s="436"/>
      <c r="DM256" s="436"/>
      <c r="DN256" s="436"/>
      <c r="DO256" s="436"/>
      <c r="DP256" s="436"/>
      <c r="DQ256" s="436"/>
      <c r="DR256" s="436"/>
      <c r="DS256" s="436"/>
      <c r="DT256" s="436"/>
      <c r="DU256" s="436"/>
      <c r="DV256" s="436"/>
      <c r="DW256" s="436"/>
      <c r="DX256" s="436"/>
      <c r="DY256" s="436"/>
      <c r="DZ256" s="436"/>
      <c r="EA256" s="436"/>
      <c r="EB256" s="436"/>
      <c r="EC256" s="436"/>
      <c r="ED256" s="436"/>
      <c r="EE256" s="436"/>
      <c r="EF256" s="436"/>
      <c r="EG256" s="436"/>
      <c r="EH256" s="436"/>
      <c r="EI256" s="436"/>
      <c r="EJ256" s="436"/>
      <c r="EK256" s="436"/>
      <c r="EL256" s="436"/>
      <c r="EM256" s="436"/>
      <c r="EN256" s="436"/>
      <c r="EO256" s="436"/>
      <c r="EP256" s="436"/>
      <c r="EQ256" s="436"/>
      <c r="ER256" s="436"/>
      <c r="ES256" s="436"/>
      <c r="ET256" s="436"/>
      <c r="EU256" s="436"/>
      <c r="EV256" s="436"/>
      <c r="EW256" s="436"/>
      <c r="EX256" s="436"/>
      <c r="EY256" s="436"/>
      <c r="EZ256" s="436"/>
      <c r="FA256" s="436"/>
      <c r="FB256" s="436"/>
      <c r="FC256" s="436"/>
      <c r="FD256" s="436"/>
      <c r="FE256" s="436"/>
      <c r="FF256" s="436"/>
      <c r="FG256" s="436"/>
      <c r="FH256" s="436"/>
      <c r="FI256" s="436"/>
      <c r="FJ256" s="436"/>
      <c r="FK256" s="436"/>
      <c r="FL256" s="436"/>
      <c r="FM256" s="436"/>
      <c r="FN256" s="436"/>
      <c r="FO256" s="436"/>
      <c r="FP256" s="436"/>
      <c r="FQ256" s="436"/>
      <c r="FR256" s="436"/>
      <c r="FS256" s="436"/>
      <c r="FT256" s="436"/>
      <c r="FU256" s="436"/>
      <c r="FV256" s="436"/>
      <c r="FW256" s="436"/>
      <c r="FX256" s="436"/>
      <c r="FY256" s="436"/>
      <c r="FZ256" s="436"/>
      <c r="GA256" s="436"/>
      <c r="GB256" s="436"/>
      <c r="GC256" s="436"/>
      <c r="GD256" s="436"/>
      <c r="GE256" s="436"/>
      <c r="GF256" s="436"/>
      <c r="GG256" s="436"/>
      <c r="GH256" s="436"/>
      <c r="GI256" s="436"/>
      <c r="GJ256" s="436"/>
      <c r="GK256" s="436"/>
      <c r="GL256" s="436"/>
      <c r="GM256" s="436"/>
      <c r="GN256" s="436"/>
      <c r="GO256" s="436"/>
      <c r="GP256" s="436"/>
      <c r="GQ256" s="436"/>
      <c r="GR256" s="436"/>
      <c r="GS256" s="436"/>
      <c r="GT256" s="436"/>
      <c r="GU256" s="436"/>
      <c r="GV256" s="436"/>
      <c r="GW256" s="436"/>
      <c r="GX256" s="436"/>
      <c r="GY256" s="436"/>
      <c r="GZ256" s="436"/>
      <c r="HA256" s="436"/>
      <c r="HB256" s="436"/>
      <c r="HC256" s="436"/>
      <c r="HD256" s="436"/>
      <c r="HE256" s="436"/>
      <c r="HF256" s="436"/>
      <c r="HG256" s="436"/>
      <c r="HH256" s="436"/>
      <c r="HI256" s="436"/>
      <c r="HJ256" s="436"/>
      <c r="HK256" s="436"/>
      <c r="HL256" s="436"/>
      <c r="HM256" s="436"/>
      <c r="HN256" s="436"/>
      <c r="HO256" s="436"/>
      <c r="HP256" s="436"/>
      <c r="HQ256" s="436"/>
      <c r="HR256" s="436"/>
      <c r="HS256" s="436"/>
      <c r="HT256" s="436"/>
      <c r="HU256" s="436"/>
      <c r="HV256" s="436"/>
      <c r="HW256" s="436"/>
      <c r="HX256" s="436"/>
      <c r="HY256" s="436"/>
      <c r="HZ256" s="436"/>
      <c r="IA256" s="436"/>
      <c r="IB256" s="436"/>
      <c r="IC256" s="436"/>
      <c r="ID256" s="436"/>
      <c r="IE256" s="436"/>
      <c r="IF256" s="436"/>
      <c r="IG256" s="436"/>
      <c r="IH256" s="436"/>
      <c r="II256" s="436"/>
      <c r="IJ256" s="436"/>
      <c r="IK256" s="436"/>
      <c r="IL256" s="436"/>
      <c r="IM256" s="436"/>
      <c r="IN256" s="436"/>
      <c r="IO256" s="436"/>
      <c r="IP256" s="436"/>
      <c r="IQ256" s="265"/>
      <c r="IR256" s="265"/>
    </row>
    <row r="257" spans="1:252" s="461" customFormat="1" x14ac:dyDescent="0.35">
      <c r="A257" s="685"/>
      <c r="B257" s="503"/>
      <c r="C257" s="503"/>
      <c r="D257" s="439"/>
      <c r="E257" s="686"/>
      <c r="J257" s="1591"/>
      <c r="M257" s="436"/>
      <c r="N257" s="436"/>
      <c r="O257" s="436"/>
      <c r="P257" s="436"/>
      <c r="Q257" s="436"/>
      <c r="R257" s="436"/>
      <c r="S257" s="436"/>
      <c r="T257" s="436"/>
      <c r="U257" s="436"/>
      <c r="V257" s="436"/>
      <c r="W257" s="436"/>
      <c r="X257" s="436"/>
      <c r="Y257" s="436"/>
      <c r="Z257" s="436"/>
      <c r="AA257" s="436"/>
      <c r="AB257" s="436"/>
      <c r="AC257" s="436"/>
      <c r="AD257" s="436"/>
      <c r="AE257" s="436"/>
      <c r="AF257" s="436"/>
      <c r="AG257" s="436"/>
      <c r="AH257" s="436"/>
      <c r="AI257" s="436"/>
      <c r="AJ257" s="436"/>
      <c r="AK257" s="436"/>
      <c r="AL257" s="436"/>
      <c r="AM257" s="436"/>
      <c r="AN257" s="436"/>
      <c r="AO257" s="436"/>
      <c r="AP257" s="436"/>
      <c r="AQ257" s="436"/>
      <c r="AR257" s="436"/>
      <c r="AS257" s="436"/>
      <c r="AT257" s="436"/>
      <c r="AU257" s="436"/>
      <c r="AV257" s="436"/>
      <c r="AW257" s="436"/>
      <c r="AX257" s="436"/>
      <c r="AY257" s="436"/>
      <c r="AZ257" s="436"/>
      <c r="BA257" s="436"/>
      <c r="BB257" s="436"/>
      <c r="BC257" s="436"/>
      <c r="BD257" s="436"/>
      <c r="BE257" s="436"/>
      <c r="BF257" s="436"/>
      <c r="BG257" s="436"/>
      <c r="BH257" s="436"/>
      <c r="BI257" s="436"/>
      <c r="BJ257" s="436"/>
      <c r="BK257" s="436"/>
      <c r="BL257" s="436"/>
      <c r="BM257" s="436"/>
      <c r="BN257" s="436"/>
      <c r="BO257" s="436"/>
      <c r="BP257" s="436"/>
      <c r="BQ257" s="436"/>
      <c r="BR257" s="436"/>
      <c r="BS257" s="436"/>
      <c r="BT257" s="436"/>
      <c r="BU257" s="436"/>
      <c r="BV257" s="436"/>
      <c r="BW257" s="436"/>
      <c r="BX257" s="436"/>
      <c r="BY257" s="436"/>
      <c r="BZ257" s="436"/>
      <c r="CA257" s="436"/>
      <c r="CB257" s="436"/>
      <c r="CC257" s="436"/>
      <c r="CD257" s="436"/>
      <c r="CE257" s="436"/>
      <c r="CF257" s="436"/>
      <c r="CG257" s="436"/>
      <c r="CH257" s="436"/>
      <c r="CI257" s="436"/>
      <c r="CJ257" s="436"/>
      <c r="CK257" s="436"/>
      <c r="CL257" s="436"/>
      <c r="CM257" s="436"/>
      <c r="CN257" s="436"/>
      <c r="CO257" s="436"/>
      <c r="CP257" s="436"/>
      <c r="CQ257" s="436"/>
      <c r="CR257" s="436"/>
      <c r="CS257" s="436"/>
      <c r="CT257" s="436"/>
      <c r="CU257" s="436"/>
      <c r="CV257" s="436"/>
      <c r="CW257" s="436"/>
      <c r="CX257" s="436"/>
      <c r="CY257" s="436"/>
      <c r="CZ257" s="436"/>
      <c r="DA257" s="436"/>
      <c r="DB257" s="436"/>
      <c r="DC257" s="436"/>
      <c r="DD257" s="436"/>
      <c r="DE257" s="436"/>
      <c r="DF257" s="436"/>
      <c r="DG257" s="436"/>
      <c r="DH257" s="436"/>
      <c r="DI257" s="436"/>
      <c r="DJ257" s="436"/>
      <c r="DK257" s="436"/>
      <c r="DL257" s="436"/>
      <c r="DM257" s="436"/>
      <c r="DN257" s="436"/>
      <c r="DO257" s="436"/>
      <c r="DP257" s="436"/>
      <c r="DQ257" s="436"/>
      <c r="DR257" s="436"/>
      <c r="DS257" s="436"/>
      <c r="DT257" s="436"/>
      <c r="DU257" s="436"/>
      <c r="DV257" s="436"/>
      <c r="DW257" s="436"/>
      <c r="DX257" s="436"/>
      <c r="DY257" s="436"/>
      <c r="DZ257" s="436"/>
      <c r="EA257" s="436"/>
      <c r="EB257" s="436"/>
      <c r="EC257" s="436"/>
      <c r="ED257" s="436"/>
      <c r="EE257" s="436"/>
      <c r="EF257" s="436"/>
      <c r="EG257" s="436"/>
      <c r="EH257" s="436"/>
      <c r="EI257" s="436"/>
      <c r="EJ257" s="436"/>
      <c r="EK257" s="436"/>
      <c r="EL257" s="436"/>
      <c r="EM257" s="436"/>
      <c r="EN257" s="436"/>
      <c r="EO257" s="436"/>
      <c r="EP257" s="436"/>
      <c r="EQ257" s="436"/>
      <c r="ER257" s="436"/>
      <c r="ES257" s="436"/>
      <c r="ET257" s="436"/>
      <c r="EU257" s="436"/>
      <c r="EV257" s="436"/>
      <c r="EW257" s="436"/>
      <c r="EX257" s="436"/>
      <c r="EY257" s="436"/>
      <c r="EZ257" s="436"/>
      <c r="FA257" s="436"/>
      <c r="FB257" s="436"/>
      <c r="FC257" s="436"/>
      <c r="FD257" s="436"/>
      <c r="FE257" s="436"/>
      <c r="FF257" s="436"/>
      <c r="FG257" s="436"/>
      <c r="FH257" s="436"/>
      <c r="FI257" s="436"/>
      <c r="FJ257" s="436"/>
      <c r="FK257" s="436"/>
      <c r="FL257" s="436"/>
      <c r="FM257" s="436"/>
      <c r="FN257" s="436"/>
      <c r="FO257" s="436"/>
      <c r="FP257" s="436"/>
      <c r="FQ257" s="436"/>
      <c r="FR257" s="436"/>
      <c r="FS257" s="436"/>
      <c r="FT257" s="436"/>
      <c r="FU257" s="436"/>
      <c r="FV257" s="436"/>
      <c r="FW257" s="436"/>
      <c r="FX257" s="436"/>
      <c r="FY257" s="436"/>
      <c r="FZ257" s="436"/>
      <c r="GA257" s="436"/>
      <c r="GB257" s="436"/>
      <c r="GC257" s="436"/>
      <c r="GD257" s="436"/>
      <c r="GE257" s="436"/>
      <c r="GF257" s="436"/>
      <c r="GG257" s="436"/>
      <c r="GH257" s="436"/>
      <c r="GI257" s="436"/>
      <c r="GJ257" s="436"/>
      <c r="GK257" s="436"/>
      <c r="GL257" s="436"/>
      <c r="GM257" s="436"/>
      <c r="GN257" s="436"/>
      <c r="GO257" s="436"/>
      <c r="GP257" s="436"/>
      <c r="GQ257" s="436"/>
      <c r="GR257" s="436"/>
      <c r="GS257" s="436"/>
      <c r="GT257" s="436"/>
      <c r="GU257" s="436"/>
      <c r="GV257" s="436"/>
      <c r="GW257" s="436"/>
      <c r="GX257" s="436"/>
      <c r="GY257" s="436"/>
      <c r="GZ257" s="436"/>
      <c r="HA257" s="436"/>
      <c r="HB257" s="436"/>
      <c r="HC257" s="436"/>
      <c r="HD257" s="436"/>
      <c r="HE257" s="436"/>
      <c r="HF257" s="436"/>
      <c r="HG257" s="436"/>
      <c r="HH257" s="436"/>
      <c r="HI257" s="436"/>
      <c r="HJ257" s="436"/>
      <c r="HK257" s="436"/>
      <c r="HL257" s="436"/>
      <c r="HM257" s="436"/>
      <c r="HN257" s="436"/>
      <c r="HO257" s="436"/>
      <c r="HP257" s="436"/>
      <c r="HQ257" s="436"/>
      <c r="HR257" s="436"/>
      <c r="HS257" s="436"/>
      <c r="HT257" s="436"/>
      <c r="HU257" s="436"/>
      <c r="HV257" s="436"/>
      <c r="HW257" s="436"/>
      <c r="HX257" s="436"/>
      <c r="HY257" s="436"/>
      <c r="HZ257" s="436"/>
      <c r="IA257" s="436"/>
      <c r="IB257" s="436"/>
      <c r="IC257" s="436"/>
      <c r="ID257" s="436"/>
      <c r="IE257" s="436"/>
      <c r="IF257" s="436"/>
      <c r="IG257" s="436"/>
      <c r="IH257" s="436"/>
      <c r="II257" s="436"/>
      <c r="IJ257" s="436"/>
      <c r="IK257" s="436"/>
      <c r="IL257" s="436"/>
      <c r="IM257" s="436"/>
      <c r="IN257" s="436"/>
      <c r="IO257" s="436"/>
      <c r="IP257" s="436"/>
      <c r="IQ257" s="265"/>
      <c r="IR257" s="265"/>
    </row>
    <row r="258" spans="1:252" s="461" customFormat="1" x14ac:dyDescent="0.35">
      <c r="A258" s="685"/>
      <c r="B258" s="503"/>
      <c r="C258" s="503"/>
      <c r="D258" s="439"/>
      <c r="E258" s="686"/>
      <c r="J258" s="1591"/>
      <c r="M258" s="436"/>
      <c r="N258" s="436"/>
      <c r="O258" s="436"/>
      <c r="P258" s="436"/>
      <c r="Q258" s="436"/>
      <c r="R258" s="436"/>
      <c r="S258" s="436"/>
      <c r="T258" s="436"/>
      <c r="U258" s="436"/>
      <c r="V258" s="436"/>
      <c r="W258" s="436"/>
      <c r="X258" s="436"/>
      <c r="Y258" s="436"/>
      <c r="Z258" s="436"/>
      <c r="AA258" s="436"/>
      <c r="AB258" s="436"/>
      <c r="AC258" s="436"/>
      <c r="AD258" s="436"/>
      <c r="AE258" s="436"/>
      <c r="AF258" s="436"/>
      <c r="AG258" s="436"/>
      <c r="AH258" s="436"/>
      <c r="AI258" s="436"/>
      <c r="AJ258" s="436"/>
      <c r="AK258" s="436"/>
      <c r="AL258" s="436"/>
      <c r="AM258" s="436"/>
      <c r="AN258" s="436"/>
      <c r="AO258" s="436"/>
      <c r="AP258" s="436"/>
      <c r="AQ258" s="436"/>
      <c r="AR258" s="436"/>
      <c r="AS258" s="436"/>
      <c r="AT258" s="436"/>
      <c r="AU258" s="436"/>
      <c r="AV258" s="436"/>
      <c r="AW258" s="436"/>
      <c r="AX258" s="436"/>
      <c r="AY258" s="436"/>
      <c r="AZ258" s="436"/>
      <c r="BA258" s="436"/>
      <c r="BB258" s="436"/>
      <c r="BC258" s="436"/>
      <c r="BD258" s="436"/>
      <c r="BE258" s="436"/>
      <c r="BF258" s="436"/>
      <c r="BG258" s="436"/>
      <c r="BH258" s="436"/>
      <c r="BI258" s="436"/>
      <c r="BJ258" s="436"/>
      <c r="BK258" s="436"/>
      <c r="BL258" s="436"/>
      <c r="BM258" s="436"/>
      <c r="BN258" s="436"/>
      <c r="BO258" s="436"/>
      <c r="BP258" s="436"/>
      <c r="BQ258" s="436"/>
      <c r="BR258" s="436"/>
      <c r="BS258" s="436"/>
      <c r="BT258" s="436"/>
      <c r="BU258" s="436"/>
      <c r="BV258" s="436"/>
      <c r="BW258" s="436"/>
      <c r="BX258" s="436"/>
      <c r="BY258" s="436"/>
      <c r="BZ258" s="436"/>
      <c r="CA258" s="436"/>
      <c r="CB258" s="436"/>
      <c r="CC258" s="436"/>
      <c r="CD258" s="436"/>
      <c r="CE258" s="436"/>
      <c r="CF258" s="436"/>
      <c r="CG258" s="436"/>
      <c r="CH258" s="436"/>
      <c r="CI258" s="436"/>
      <c r="CJ258" s="436"/>
      <c r="CK258" s="436"/>
      <c r="CL258" s="436"/>
      <c r="CM258" s="436"/>
      <c r="CN258" s="436"/>
      <c r="CO258" s="436"/>
      <c r="CP258" s="436"/>
      <c r="CQ258" s="436"/>
      <c r="CR258" s="436"/>
      <c r="CS258" s="436"/>
      <c r="CT258" s="436"/>
      <c r="CU258" s="436"/>
      <c r="CV258" s="436"/>
      <c r="CW258" s="436"/>
      <c r="CX258" s="436"/>
      <c r="CY258" s="436"/>
      <c r="CZ258" s="436"/>
      <c r="DA258" s="436"/>
      <c r="DB258" s="436"/>
      <c r="DC258" s="436"/>
      <c r="DD258" s="436"/>
      <c r="DE258" s="436"/>
      <c r="DF258" s="436"/>
      <c r="DG258" s="436"/>
      <c r="DH258" s="436"/>
      <c r="DI258" s="436"/>
      <c r="DJ258" s="436"/>
      <c r="DK258" s="436"/>
      <c r="DL258" s="436"/>
      <c r="DM258" s="436"/>
      <c r="DN258" s="436"/>
      <c r="DO258" s="436"/>
      <c r="DP258" s="436"/>
      <c r="DQ258" s="436"/>
      <c r="DR258" s="436"/>
      <c r="DS258" s="436"/>
      <c r="DT258" s="436"/>
      <c r="DU258" s="436"/>
      <c r="DV258" s="436"/>
      <c r="DW258" s="436"/>
      <c r="DX258" s="436"/>
      <c r="DY258" s="436"/>
      <c r="DZ258" s="436"/>
      <c r="EA258" s="436"/>
      <c r="EB258" s="436"/>
      <c r="EC258" s="436"/>
      <c r="ED258" s="436"/>
      <c r="EE258" s="436"/>
      <c r="EF258" s="436"/>
      <c r="EG258" s="436"/>
      <c r="EH258" s="436"/>
      <c r="EI258" s="436"/>
      <c r="EJ258" s="436"/>
      <c r="EK258" s="436"/>
      <c r="EL258" s="436"/>
      <c r="EM258" s="436"/>
      <c r="EN258" s="436"/>
      <c r="EO258" s="436"/>
      <c r="EP258" s="436"/>
      <c r="EQ258" s="436"/>
      <c r="ER258" s="436"/>
      <c r="ES258" s="436"/>
      <c r="ET258" s="436"/>
      <c r="EU258" s="436"/>
      <c r="EV258" s="436"/>
      <c r="EW258" s="436"/>
      <c r="EX258" s="436"/>
      <c r="EY258" s="436"/>
      <c r="EZ258" s="436"/>
      <c r="FA258" s="436"/>
      <c r="FB258" s="436"/>
      <c r="FC258" s="436"/>
      <c r="FD258" s="436"/>
      <c r="FE258" s="436"/>
      <c r="FF258" s="436"/>
      <c r="FG258" s="436"/>
      <c r="FH258" s="436"/>
      <c r="FI258" s="436"/>
      <c r="FJ258" s="436"/>
      <c r="FK258" s="436"/>
      <c r="FL258" s="436"/>
      <c r="FM258" s="436"/>
      <c r="FN258" s="436"/>
      <c r="FO258" s="436"/>
      <c r="FP258" s="436"/>
      <c r="FQ258" s="436"/>
      <c r="FR258" s="436"/>
      <c r="FS258" s="436"/>
      <c r="FT258" s="436"/>
      <c r="FU258" s="436"/>
      <c r="FV258" s="436"/>
      <c r="FW258" s="436"/>
      <c r="FX258" s="436"/>
      <c r="FY258" s="436"/>
      <c r="FZ258" s="436"/>
      <c r="GA258" s="436"/>
      <c r="GB258" s="436"/>
      <c r="GC258" s="436"/>
      <c r="GD258" s="436"/>
      <c r="GE258" s="436"/>
      <c r="GF258" s="436"/>
      <c r="GG258" s="436"/>
      <c r="GH258" s="436"/>
      <c r="GI258" s="436"/>
      <c r="GJ258" s="436"/>
      <c r="GK258" s="436"/>
      <c r="GL258" s="436"/>
      <c r="GM258" s="436"/>
      <c r="GN258" s="436"/>
      <c r="GO258" s="436"/>
      <c r="GP258" s="436"/>
      <c r="GQ258" s="436"/>
      <c r="GR258" s="436"/>
      <c r="GS258" s="436"/>
      <c r="GT258" s="436"/>
      <c r="GU258" s="436"/>
      <c r="GV258" s="436"/>
      <c r="GW258" s="436"/>
      <c r="GX258" s="436"/>
      <c r="GY258" s="436"/>
      <c r="GZ258" s="436"/>
      <c r="HA258" s="436"/>
      <c r="HB258" s="436"/>
      <c r="HC258" s="436"/>
      <c r="HD258" s="436"/>
      <c r="HE258" s="436"/>
      <c r="HF258" s="436"/>
      <c r="HG258" s="436"/>
      <c r="HH258" s="436"/>
      <c r="HI258" s="436"/>
      <c r="HJ258" s="436"/>
      <c r="HK258" s="436"/>
      <c r="HL258" s="436"/>
      <c r="HM258" s="436"/>
      <c r="HN258" s="436"/>
      <c r="HO258" s="436"/>
      <c r="HP258" s="436"/>
      <c r="HQ258" s="436"/>
      <c r="HR258" s="436"/>
      <c r="HS258" s="436"/>
      <c r="HT258" s="436"/>
      <c r="HU258" s="436"/>
      <c r="HV258" s="436"/>
      <c r="HW258" s="436"/>
      <c r="HX258" s="436"/>
      <c r="HY258" s="436"/>
      <c r="HZ258" s="436"/>
      <c r="IA258" s="436"/>
      <c r="IB258" s="436"/>
      <c r="IC258" s="436"/>
      <c r="ID258" s="436"/>
      <c r="IE258" s="436"/>
      <c r="IF258" s="436"/>
      <c r="IG258" s="436"/>
      <c r="IH258" s="436"/>
      <c r="II258" s="436"/>
      <c r="IJ258" s="436"/>
      <c r="IK258" s="436"/>
      <c r="IL258" s="436"/>
      <c r="IM258" s="436"/>
      <c r="IN258" s="436"/>
      <c r="IO258" s="436"/>
      <c r="IP258" s="436"/>
      <c r="IQ258" s="265"/>
      <c r="IR258" s="265"/>
    </row>
    <row r="259" spans="1:252" s="461" customFormat="1" x14ac:dyDescent="0.35">
      <c r="A259" s="685"/>
      <c r="B259" s="503"/>
      <c r="C259" s="503"/>
      <c r="D259" s="439"/>
      <c r="E259" s="686"/>
      <c r="J259" s="1591"/>
      <c r="M259" s="436"/>
      <c r="N259" s="436"/>
      <c r="O259" s="436"/>
      <c r="P259" s="436"/>
      <c r="Q259" s="436"/>
      <c r="R259" s="436"/>
      <c r="S259" s="436"/>
      <c r="T259" s="436"/>
      <c r="U259" s="436"/>
      <c r="V259" s="436"/>
      <c r="W259" s="436"/>
      <c r="X259" s="436"/>
      <c r="Y259" s="436"/>
      <c r="Z259" s="436"/>
      <c r="AA259" s="436"/>
      <c r="AB259" s="436"/>
      <c r="AC259" s="436"/>
      <c r="AD259" s="436"/>
      <c r="AE259" s="436"/>
      <c r="AF259" s="436"/>
      <c r="AG259" s="436"/>
      <c r="AH259" s="436"/>
      <c r="AI259" s="436"/>
      <c r="AJ259" s="436"/>
      <c r="AK259" s="436"/>
      <c r="AL259" s="436"/>
      <c r="AM259" s="436"/>
      <c r="AN259" s="436"/>
      <c r="AO259" s="436"/>
      <c r="AP259" s="436"/>
      <c r="AQ259" s="436"/>
      <c r="AR259" s="436"/>
      <c r="AS259" s="436"/>
      <c r="AT259" s="436"/>
      <c r="AU259" s="436"/>
      <c r="AV259" s="436"/>
      <c r="AW259" s="436"/>
      <c r="AX259" s="436"/>
      <c r="AY259" s="436"/>
      <c r="AZ259" s="436"/>
      <c r="BA259" s="436"/>
      <c r="BB259" s="436"/>
      <c r="BC259" s="436"/>
      <c r="BD259" s="436"/>
      <c r="BE259" s="436"/>
      <c r="BF259" s="436"/>
      <c r="BG259" s="436"/>
      <c r="BH259" s="436"/>
      <c r="BI259" s="436"/>
      <c r="BJ259" s="436"/>
      <c r="BK259" s="436"/>
      <c r="BL259" s="436"/>
      <c r="BM259" s="436"/>
      <c r="BN259" s="436"/>
      <c r="BO259" s="436"/>
      <c r="BP259" s="436"/>
      <c r="BQ259" s="436"/>
      <c r="BR259" s="436"/>
      <c r="BS259" s="436"/>
      <c r="BT259" s="436"/>
      <c r="BU259" s="436"/>
      <c r="BV259" s="436"/>
      <c r="BW259" s="436"/>
      <c r="BX259" s="436"/>
      <c r="BY259" s="436"/>
      <c r="BZ259" s="436"/>
      <c r="CA259" s="436"/>
      <c r="CB259" s="436"/>
      <c r="CC259" s="436"/>
      <c r="CD259" s="436"/>
      <c r="CE259" s="436"/>
      <c r="CF259" s="436"/>
      <c r="CG259" s="436"/>
      <c r="CH259" s="436"/>
      <c r="CI259" s="436"/>
      <c r="CJ259" s="436"/>
      <c r="CK259" s="436"/>
      <c r="CL259" s="436"/>
      <c r="CM259" s="436"/>
      <c r="CN259" s="436"/>
      <c r="CO259" s="436"/>
      <c r="CP259" s="436"/>
      <c r="CQ259" s="436"/>
      <c r="CR259" s="436"/>
      <c r="CS259" s="436"/>
      <c r="CT259" s="436"/>
      <c r="CU259" s="436"/>
      <c r="CV259" s="436"/>
      <c r="CW259" s="436"/>
      <c r="CX259" s="436"/>
      <c r="CY259" s="436"/>
      <c r="CZ259" s="436"/>
      <c r="DA259" s="436"/>
      <c r="DB259" s="436"/>
      <c r="DC259" s="436"/>
      <c r="DD259" s="436"/>
      <c r="DE259" s="436"/>
      <c r="DF259" s="436"/>
      <c r="DG259" s="436"/>
      <c r="DH259" s="436"/>
      <c r="DI259" s="436"/>
      <c r="DJ259" s="436"/>
      <c r="DK259" s="436"/>
      <c r="DL259" s="436"/>
      <c r="DM259" s="436"/>
      <c r="DN259" s="436"/>
      <c r="DO259" s="436"/>
      <c r="DP259" s="436"/>
      <c r="DQ259" s="436"/>
      <c r="DR259" s="436"/>
      <c r="DS259" s="436"/>
      <c r="DT259" s="436"/>
      <c r="DU259" s="436"/>
      <c r="DV259" s="436"/>
      <c r="DW259" s="436"/>
      <c r="DX259" s="436"/>
      <c r="DY259" s="436"/>
      <c r="DZ259" s="436"/>
      <c r="EA259" s="436"/>
      <c r="EB259" s="436"/>
      <c r="EC259" s="436"/>
      <c r="ED259" s="436"/>
      <c r="EE259" s="436"/>
      <c r="EF259" s="436"/>
      <c r="EG259" s="436"/>
      <c r="EH259" s="436"/>
      <c r="EI259" s="436"/>
      <c r="EJ259" s="436"/>
      <c r="EK259" s="436"/>
      <c r="EL259" s="436"/>
      <c r="EM259" s="436"/>
      <c r="EN259" s="436"/>
      <c r="EO259" s="436"/>
      <c r="EP259" s="436"/>
      <c r="EQ259" s="436"/>
      <c r="ER259" s="436"/>
      <c r="ES259" s="436"/>
      <c r="ET259" s="436"/>
      <c r="EU259" s="436"/>
      <c r="EV259" s="436"/>
      <c r="EW259" s="436"/>
      <c r="EX259" s="436"/>
      <c r="EY259" s="436"/>
      <c r="EZ259" s="436"/>
      <c r="FA259" s="436"/>
      <c r="FB259" s="436"/>
      <c r="FC259" s="436"/>
      <c r="FD259" s="436"/>
      <c r="FE259" s="436"/>
      <c r="FF259" s="436"/>
      <c r="FG259" s="436"/>
      <c r="FH259" s="436"/>
      <c r="FI259" s="436"/>
      <c r="FJ259" s="436"/>
      <c r="FK259" s="436"/>
      <c r="FL259" s="436"/>
      <c r="FM259" s="436"/>
      <c r="FN259" s="436"/>
      <c r="FO259" s="436"/>
      <c r="FP259" s="436"/>
      <c r="FQ259" s="436"/>
      <c r="FR259" s="436"/>
      <c r="FS259" s="436"/>
      <c r="FT259" s="436"/>
      <c r="FU259" s="436"/>
      <c r="FV259" s="436"/>
      <c r="FW259" s="436"/>
      <c r="FX259" s="436"/>
      <c r="FY259" s="436"/>
      <c r="FZ259" s="436"/>
      <c r="GA259" s="436"/>
      <c r="GB259" s="436"/>
      <c r="GC259" s="436"/>
      <c r="GD259" s="436"/>
      <c r="GE259" s="436"/>
      <c r="GF259" s="436"/>
      <c r="GG259" s="436"/>
      <c r="GH259" s="436"/>
      <c r="GI259" s="436"/>
      <c r="GJ259" s="436"/>
      <c r="GK259" s="436"/>
      <c r="GL259" s="436"/>
      <c r="GM259" s="436"/>
      <c r="GN259" s="436"/>
      <c r="GO259" s="436"/>
      <c r="GP259" s="436"/>
      <c r="GQ259" s="436"/>
      <c r="GR259" s="436"/>
      <c r="GS259" s="436"/>
      <c r="GT259" s="436"/>
      <c r="GU259" s="436"/>
      <c r="GV259" s="436"/>
      <c r="GW259" s="436"/>
      <c r="GX259" s="436"/>
      <c r="GY259" s="436"/>
      <c r="GZ259" s="436"/>
      <c r="HA259" s="436"/>
      <c r="HB259" s="436"/>
      <c r="HC259" s="436"/>
      <c r="HD259" s="436"/>
      <c r="HE259" s="436"/>
      <c r="HF259" s="436"/>
      <c r="HG259" s="436"/>
      <c r="HH259" s="436"/>
      <c r="HI259" s="436"/>
      <c r="HJ259" s="436"/>
      <c r="HK259" s="436"/>
      <c r="HL259" s="436"/>
      <c r="HM259" s="436"/>
      <c r="HN259" s="436"/>
      <c r="HO259" s="436"/>
      <c r="HP259" s="436"/>
      <c r="HQ259" s="436"/>
      <c r="HR259" s="436"/>
      <c r="HS259" s="436"/>
      <c r="HT259" s="436"/>
      <c r="HU259" s="436"/>
      <c r="HV259" s="436"/>
      <c r="HW259" s="436"/>
      <c r="HX259" s="436"/>
      <c r="HY259" s="436"/>
      <c r="HZ259" s="436"/>
      <c r="IA259" s="436"/>
      <c r="IB259" s="436"/>
      <c r="IC259" s="436"/>
      <c r="ID259" s="436"/>
      <c r="IE259" s="436"/>
      <c r="IF259" s="436"/>
      <c r="IG259" s="436"/>
      <c r="IH259" s="436"/>
      <c r="II259" s="436"/>
      <c r="IJ259" s="436"/>
      <c r="IK259" s="436"/>
      <c r="IL259" s="436"/>
      <c r="IM259" s="436"/>
      <c r="IN259" s="436"/>
      <c r="IO259" s="436"/>
      <c r="IP259" s="436"/>
      <c r="IQ259" s="265"/>
      <c r="IR259" s="265"/>
    </row>
  </sheetData>
  <mergeCells count="8">
    <mergeCell ref="B104:D104"/>
    <mergeCell ref="B106:D106"/>
    <mergeCell ref="B1:E1"/>
    <mergeCell ref="H1:L1"/>
    <mergeCell ref="B2:L2"/>
    <mergeCell ref="B3:L3"/>
    <mergeCell ref="H4:L4"/>
    <mergeCell ref="D95:E95"/>
  </mergeCells>
  <printOptions horizontalCentered="1"/>
  <pageMargins left="0.19685039370078741" right="0.19685039370078741" top="0.62992125984251968" bottom="0.62992125984251968" header="0.31496062992125984" footer="0.31496062992125984"/>
  <pageSetup paperSize="9" scale="60" orientation="portrait" r:id="rId1"/>
  <headerFooter>
    <oddFooter>&amp;C-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9"/>
  <sheetViews>
    <sheetView tabSelected="1" view="pageBreakPreview" zoomScaleNormal="75" zoomScaleSheetLayoutView="100" workbookViewId="0">
      <selection activeCell="B1" sqref="B1:C1"/>
    </sheetView>
  </sheetViews>
  <sheetFormatPr defaultColWidth="9.140625" defaultRowHeight="18" customHeight="1" x14ac:dyDescent="0.3"/>
  <cols>
    <col min="1" max="1" width="5.7109375" style="222" customWidth="1"/>
    <col min="2" max="2" width="4.7109375" style="514" customWidth="1"/>
    <col min="3" max="3" width="63.7109375" style="146" customWidth="1"/>
    <col min="4" max="5" width="15.7109375" style="2" customWidth="1"/>
    <col min="6" max="6" width="5.7109375" style="514" customWidth="1"/>
    <col min="7" max="7" width="63.7109375" style="146" customWidth="1"/>
    <col min="8" max="8" width="15.7109375" style="2" customWidth="1"/>
    <col min="9" max="9" width="15.7109375" style="146" customWidth="1"/>
    <col min="10" max="16384" width="9.140625" style="146"/>
  </cols>
  <sheetData>
    <row r="1" spans="1:9" s="1" customFormat="1" ht="18" customHeight="1" x14ac:dyDescent="0.2">
      <c r="A1" s="222"/>
      <c r="B1" s="1864" t="s">
        <v>1502</v>
      </c>
      <c r="C1" s="1864"/>
      <c r="D1" s="574"/>
      <c r="E1" s="574"/>
      <c r="F1" s="575"/>
      <c r="H1" s="574"/>
    </row>
    <row r="2" spans="1:9" s="1" customFormat="1" ht="18" customHeight="1" x14ac:dyDescent="0.2">
      <c r="A2" s="222"/>
      <c r="B2" s="1747" t="s">
        <v>234</v>
      </c>
      <c r="C2" s="1747"/>
      <c r="D2" s="1747"/>
      <c r="E2" s="1747"/>
      <c r="F2" s="1747"/>
      <c r="G2" s="1747"/>
      <c r="H2" s="1747"/>
      <c r="I2" s="1747"/>
    </row>
    <row r="3" spans="1:9" s="1" customFormat="1" ht="18" customHeight="1" x14ac:dyDescent="0.2">
      <c r="A3" s="222"/>
      <c r="B3" s="1747" t="s">
        <v>1384</v>
      </c>
      <c r="C3" s="1747"/>
      <c r="D3" s="1747"/>
      <c r="E3" s="1747"/>
      <c r="F3" s="1747"/>
      <c r="G3" s="1747"/>
      <c r="H3" s="1747"/>
      <c r="I3" s="1747"/>
    </row>
    <row r="4" spans="1:9" s="1" customFormat="1" ht="18" customHeight="1" x14ac:dyDescent="0.2">
      <c r="A4" s="222"/>
      <c r="B4" s="210"/>
      <c r="C4" s="210"/>
      <c r="D4" s="210"/>
      <c r="E4" s="1149"/>
      <c r="F4" s="210"/>
      <c r="G4" s="210"/>
      <c r="I4" s="188" t="s">
        <v>0</v>
      </c>
    </row>
    <row r="5" spans="1:9" s="211" customFormat="1" ht="18" customHeight="1" thickBot="1" x14ac:dyDescent="0.25">
      <c r="A5" s="222"/>
      <c r="B5" s="211" t="s">
        <v>1</v>
      </c>
      <c r="C5" s="211" t="s">
        <v>389</v>
      </c>
      <c r="D5" s="211" t="s">
        <v>2</v>
      </c>
      <c r="F5" s="211" t="s">
        <v>4</v>
      </c>
      <c r="G5" s="211" t="s">
        <v>5</v>
      </c>
      <c r="H5" s="576" t="s">
        <v>16</v>
      </c>
      <c r="I5" s="211" t="s">
        <v>17</v>
      </c>
    </row>
    <row r="6" spans="1:9" ht="55.5" customHeight="1" x14ac:dyDescent="0.35">
      <c r="A6" s="222">
        <v>1</v>
      </c>
      <c r="B6" s="577"/>
      <c r="C6" s="578" t="s">
        <v>235</v>
      </c>
      <c r="D6" s="1161" t="s">
        <v>735</v>
      </c>
      <c r="E6" s="1162" t="s">
        <v>1381</v>
      </c>
      <c r="F6" s="579"/>
      <c r="G6" s="580" t="s">
        <v>236</v>
      </c>
      <c r="H6" s="1161" t="s">
        <v>735</v>
      </c>
      <c r="I6" s="1163" t="s">
        <v>1381</v>
      </c>
    </row>
    <row r="7" spans="1:9" ht="18" customHeight="1" x14ac:dyDescent="0.3">
      <c r="A7" s="222">
        <v>2</v>
      </c>
      <c r="B7" s="120" t="s">
        <v>135</v>
      </c>
      <c r="C7" s="146" t="s">
        <v>237</v>
      </c>
      <c r="D7" s="581">
        <f>'1.Onbe'!J9+'1.Onbe'!J12+'1.Onbe'!J14</f>
        <v>3536785</v>
      </c>
      <c r="E7" s="1153">
        <f>'1.Onbe'!M8+'1.Onbe'!M14</f>
        <v>4886620</v>
      </c>
      <c r="F7" s="582" t="s">
        <v>135</v>
      </c>
      <c r="G7" s="146" t="s">
        <v>43</v>
      </c>
      <c r="H7" s="593">
        <f>'5.Inki'!J298+'6.Önk.műk.'!J1188</f>
        <v>4219586</v>
      </c>
      <c r="I7" s="595">
        <f>'5.Inki'!J301+'6.Önk.műk.'!J1191</f>
        <v>4847802</v>
      </c>
    </row>
    <row r="8" spans="1:9" ht="18" customHeight="1" x14ac:dyDescent="0.3">
      <c r="A8" s="222">
        <v>3</v>
      </c>
      <c r="B8" s="120" t="s">
        <v>142</v>
      </c>
      <c r="C8" s="146" t="s">
        <v>193</v>
      </c>
      <c r="D8" s="581">
        <f>'1.Onbe'!J15</f>
        <v>7765600</v>
      </c>
      <c r="E8" s="1153">
        <f>'1.Onbe'!M15</f>
        <v>7765600</v>
      </c>
      <c r="F8" s="582" t="s">
        <v>142</v>
      </c>
      <c r="G8" s="146" t="s">
        <v>238</v>
      </c>
      <c r="H8" s="593">
        <f>'5.Inki'!K298+'6.Önk.műk.'!K1188</f>
        <v>900609</v>
      </c>
      <c r="I8" s="595">
        <f>'5.Inki'!K301+'6.Önk.műk.'!K1191</f>
        <v>1033529</v>
      </c>
    </row>
    <row r="9" spans="1:9" ht="18" customHeight="1" x14ac:dyDescent="0.3">
      <c r="A9" s="222">
        <v>4</v>
      </c>
      <c r="B9" s="120" t="s">
        <v>143</v>
      </c>
      <c r="C9" s="583" t="s">
        <v>151</v>
      </c>
      <c r="D9" s="581">
        <f>'1.Onbe'!J25+'1.Onbe'!J30</f>
        <v>1675132</v>
      </c>
      <c r="E9" s="1153">
        <f>'1.Onbe'!M25+'1.Onbe'!M30</f>
        <v>1857720</v>
      </c>
      <c r="F9" s="582" t="s">
        <v>143</v>
      </c>
      <c r="G9" s="146" t="s">
        <v>45</v>
      </c>
      <c r="H9" s="593">
        <f>'5.Inki'!L298+'6.Önk.műk.'!L1188</f>
        <v>5250483</v>
      </c>
      <c r="I9" s="595">
        <f>'5.Inki'!L301+'6.Önk.műk.'!L1191</f>
        <v>6086404</v>
      </c>
    </row>
    <row r="10" spans="1:9" ht="18" customHeight="1" x14ac:dyDescent="0.3">
      <c r="A10" s="222">
        <v>5</v>
      </c>
      <c r="B10" s="120" t="s">
        <v>144</v>
      </c>
      <c r="C10" s="146" t="s">
        <v>198</v>
      </c>
      <c r="D10" s="581">
        <f>'1.Onbe'!J32</f>
        <v>0</v>
      </c>
      <c r="E10" s="1153">
        <f>'1.Onbe'!M31+'1.Onbe'!M32</f>
        <v>9041</v>
      </c>
      <c r="F10" s="584" t="s">
        <v>144</v>
      </c>
      <c r="G10" s="146" t="s">
        <v>239</v>
      </c>
      <c r="H10" s="593">
        <f>'6.Önk.műk.'!M1188</f>
        <v>34350</v>
      </c>
      <c r="I10" s="595">
        <f>'5.Inki'!M301+'6.Önk.műk.'!M1191</f>
        <v>35178</v>
      </c>
    </row>
    <row r="11" spans="1:9" ht="18" customHeight="1" x14ac:dyDescent="0.3">
      <c r="A11" s="222">
        <v>6</v>
      </c>
      <c r="B11" s="120"/>
      <c r="C11" s="583"/>
      <c r="D11" s="581"/>
      <c r="E11" s="1153"/>
      <c r="F11" s="584" t="s">
        <v>145</v>
      </c>
      <c r="G11" s="148" t="s">
        <v>240</v>
      </c>
      <c r="H11" s="593">
        <f>'5.Inki'!N298+'6.Önk.műk.'!N1188</f>
        <v>2606027</v>
      </c>
      <c r="I11" s="595">
        <f>'5.Inki'!N301+'6.Önk.műk.'!N1191</f>
        <v>4432533</v>
      </c>
    </row>
    <row r="12" spans="1:9" ht="18" customHeight="1" x14ac:dyDescent="0.3">
      <c r="A12" s="222">
        <v>7</v>
      </c>
      <c r="B12" s="120"/>
      <c r="C12" s="583"/>
      <c r="D12" s="581"/>
      <c r="E12" s="1153"/>
      <c r="F12" s="584" t="s">
        <v>241</v>
      </c>
      <c r="G12" s="148" t="s">
        <v>635</v>
      </c>
      <c r="H12" s="593">
        <f>'2.Onki'!J15+'2.Onki'!J25</f>
        <v>255109</v>
      </c>
      <c r="I12" s="595">
        <f>'2.Onki'!M15+'2.Onki'!M25</f>
        <v>1074</v>
      </c>
    </row>
    <row r="13" spans="1:9" s="1" customFormat="1" ht="20.100000000000001" customHeight="1" x14ac:dyDescent="0.2">
      <c r="A13" s="222">
        <v>8</v>
      </c>
      <c r="B13" s="585"/>
      <c r="C13" s="586" t="s">
        <v>242</v>
      </c>
      <c r="D13" s="587">
        <f>SUM(D7:D12)</f>
        <v>12977517</v>
      </c>
      <c r="E13" s="587">
        <f>SUM(E7:E12)</f>
        <v>14518981</v>
      </c>
      <c r="F13" s="588"/>
      <c r="G13" s="586" t="s">
        <v>243</v>
      </c>
      <c r="H13" s="1157">
        <f>SUM(H7:H12)</f>
        <v>13266164</v>
      </c>
      <c r="I13" s="589">
        <f>SUM(I7:I12)</f>
        <v>16436520</v>
      </c>
    </row>
    <row r="14" spans="1:9" ht="18" customHeight="1" x14ac:dyDescent="0.35">
      <c r="A14" s="222">
        <v>9</v>
      </c>
      <c r="B14" s="590"/>
      <c r="C14" s="189" t="s">
        <v>244</v>
      </c>
      <c r="D14" s="626"/>
      <c r="E14" s="1154"/>
      <c r="F14" s="591"/>
      <c r="G14" s="189" t="s">
        <v>245</v>
      </c>
      <c r="H14" s="1158"/>
      <c r="I14" s="635"/>
    </row>
    <row r="15" spans="1:9" ht="18" customHeight="1" x14ac:dyDescent="0.3">
      <c r="A15" s="222">
        <v>10</v>
      </c>
      <c r="B15" s="117" t="s">
        <v>135</v>
      </c>
      <c r="C15" s="592" t="s">
        <v>246</v>
      </c>
      <c r="D15" s="593">
        <f>'1.Onbe'!J34+'1.Onbe'!J38</f>
        <v>5273160</v>
      </c>
      <c r="E15" s="1155">
        <f>'1.Onbe'!M34+'1.Onbe'!M38</f>
        <v>9466965</v>
      </c>
      <c r="F15" s="594" t="s">
        <v>135</v>
      </c>
      <c r="G15" s="592" t="s">
        <v>247</v>
      </c>
      <c r="H15" s="593">
        <f>'2.Onki'!J9+'2.Onki'!J27</f>
        <v>13178963</v>
      </c>
      <c r="I15" s="595">
        <f>'2.Onki'!M10+'2.Onki'!M27</f>
        <v>20843932</v>
      </c>
    </row>
    <row r="16" spans="1:9" ht="18" customHeight="1" x14ac:dyDescent="0.3">
      <c r="A16" s="222">
        <v>11</v>
      </c>
      <c r="B16" s="117" t="s">
        <v>142</v>
      </c>
      <c r="C16" s="592" t="s">
        <v>205</v>
      </c>
      <c r="D16" s="593">
        <f>'1.Onbe'!J39</f>
        <v>225000</v>
      </c>
      <c r="E16" s="1155">
        <f>'1.Onbe'!M39+'1.Onbe'!M42</f>
        <v>302400</v>
      </c>
      <c r="F16" s="594" t="s">
        <v>142</v>
      </c>
      <c r="G16" s="592" t="s">
        <v>173</v>
      </c>
      <c r="H16" s="593">
        <f>'2.Onki'!J28</f>
        <v>197022</v>
      </c>
      <c r="I16" s="595">
        <f>'2.Onki'!M28</f>
        <v>98177</v>
      </c>
    </row>
    <row r="17" spans="1:36" ht="18" customHeight="1" x14ac:dyDescent="0.3">
      <c r="A17" s="222">
        <v>12</v>
      </c>
      <c r="B17" s="117" t="s">
        <v>143</v>
      </c>
      <c r="C17" s="146" t="s">
        <v>208</v>
      </c>
      <c r="D17" s="593">
        <f>'1.Onbe'!J43+'1.Onbe'!J44</f>
        <v>150000</v>
      </c>
      <c r="E17" s="1155">
        <f>'1.Onbe'!M43+'1.Onbe'!M44</f>
        <v>627702</v>
      </c>
      <c r="F17" s="594" t="s">
        <v>143</v>
      </c>
      <c r="G17" s="592" t="s">
        <v>248</v>
      </c>
      <c r="H17" s="593">
        <f>'2.Onki'!J29</f>
        <v>564991</v>
      </c>
      <c r="I17" s="595">
        <f>'2.Onki'!M29+'2.Onki'!M11</f>
        <v>685889</v>
      </c>
    </row>
    <row r="18" spans="1:36" ht="18" customHeight="1" x14ac:dyDescent="0.3">
      <c r="A18" s="222">
        <v>13</v>
      </c>
      <c r="B18" s="117"/>
      <c r="D18" s="593"/>
      <c r="E18" s="1155"/>
      <c r="F18" s="594" t="s">
        <v>144</v>
      </c>
      <c r="G18" s="592" t="s">
        <v>636</v>
      </c>
      <c r="H18" s="593">
        <f>'2.Onki'!J21</f>
        <v>289409</v>
      </c>
      <c r="I18" s="595">
        <f>'2.Onki'!M21</f>
        <v>405460</v>
      </c>
    </row>
    <row r="19" spans="1:36" s="1" customFormat="1" ht="20.100000000000001" customHeight="1" thickBot="1" x14ac:dyDescent="0.25">
      <c r="A19" s="222">
        <v>14</v>
      </c>
      <c r="B19" s="596"/>
      <c r="C19" s="597" t="s">
        <v>249</v>
      </c>
      <c r="D19" s="627">
        <f>SUM(D15:D18)</f>
        <v>5648160</v>
      </c>
      <c r="E19" s="627">
        <f>SUM(E15:E18)</f>
        <v>10397067</v>
      </c>
      <c r="F19" s="598"/>
      <c r="G19" s="597" t="s">
        <v>250</v>
      </c>
      <c r="H19" s="627">
        <f>SUM(H15:H18)</f>
        <v>14230385</v>
      </c>
      <c r="I19" s="599">
        <f>SUM(I15:I18)</f>
        <v>22033458</v>
      </c>
    </row>
    <row r="20" spans="1:36" s="1" customFormat="1" ht="20.100000000000001" customHeight="1" thickTop="1" thickBot="1" x14ac:dyDescent="0.25">
      <c r="A20" s="222">
        <v>15</v>
      </c>
      <c r="B20" s="600"/>
      <c r="C20" s="601" t="s">
        <v>211</v>
      </c>
      <c r="D20" s="1152">
        <f>SUM(D13,D19)</f>
        <v>18625677</v>
      </c>
      <c r="E20" s="1152">
        <f>SUM(E13,E19)</f>
        <v>24916048</v>
      </c>
      <c r="F20" s="602"/>
      <c r="G20" s="601" t="s">
        <v>227</v>
      </c>
      <c r="H20" s="1159">
        <f>SUM(H13,H19)</f>
        <v>27496549</v>
      </c>
      <c r="I20" s="636">
        <f>SUM(I13,I19)</f>
        <v>38469978</v>
      </c>
    </row>
    <row r="21" spans="1:36" s="1" customFormat="1" ht="18" customHeight="1" thickTop="1" x14ac:dyDescent="0.35">
      <c r="A21" s="222">
        <v>16</v>
      </c>
      <c r="B21" s="603"/>
      <c r="C21" s="189" t="s">
        <v>251</v>
      </c>
      <c r="D21" s="628"/>
      <c r="E21" s="1156"/>
      <c r="F21" s="604"/>
      <c r="G21" s="189" t="s">
        <v>252</v>
      </c>
      <c r="H21" s="628"/>
      <c r="I21" s="637"/>
    </row>
    <row r="22" spans="1:36" s="1" customFormat="1" ht="18" customHeight="1" x14ac:dyDescent="0.2">
      <c r="A22" s="222">
        <v>17</v>
      </c>
      <c r="B22" s="28" t="s">
        <v>135</v>
      </c>
      <c r="C22" s="1" t="s">
        <v>253</v>
      </c>
      <c r="D22" s="628"/>
      <c r="E22" s="1156"/>
      <c r="F22" s="604" t="s">
        <v>135</v>
      </c>
      <c r="G22" s="1" t="s">
        <v>254</v>
      </c>
      <c r="H22" s="628">
        <v>0</v>
      </c>
      <c r="I22" s="637"/>
    </row>
    <row r="23" spans="1:36" s="1" customFormat="1" ht="18" customHeight="1" x14ac:dyDescent="0.2">
      <c r="A23" s="222">
        <v>18</v>
      </c>
      <c r="B23" s="28" t="s">
        <v>142</v>
      </c>
      <c r="C23" s="1" t="s">
        <v>332</v>
      </c>
      <c r="D23" s="628">
        <f>'1.Onbe'!J52</f>
        <v>1315949</v>
      </c>
      <c r="E23" s="1156">
        <f>'1.Onbe'!M52</f>
        <v>2879946</v>
      </c>
      <c r="F23" s="604" t="s">
        <v>142</v>
      </c>
      <c r="G23" s="1" t="s">
        <v>282</v>
      </c>
      <c r="H23" s="628">
        <f>'2.Onki'!J36</f>
        <v>96040</v>
      </c>
      <c r="I23" s="637">
        <f>'2.Onki'!M36</f>
        <v>96040</v>
      </c>
    </row>
    <row r="24" spans="1:36" s="1" customFormat="1" ht="18" customHeight="1" x14ac:dyDescent="0.2">
      <c r="A24" s="222">
        <v>19</v>
      </c>
      <c r="B24" s="28" t="s">
        <v>143</v>
      </c>
      <c r="C24" s="1" t="s">
        <v>281</v>
      </c>
      <c r="D24" s="628">
        <f>'1.Onbe'!K50</f>
        <v>0</v>
      </c>
      <c r="E24" s="1156">
        <f>'1.Onbe'!M50</f>
        <v>0</v>
      </c>
      <c r="F24" s="604"/>
      <c r="H24" s="628"/>
      <c r="I24" s="637"/>
    </row>
    <row r="25" spans="1:36" s="1" customFormat="1" ht="18" customHeight="1" x14ac:dyDescent="0.35">
      <c r="A25" s="222">
        <v>20</v>
      </c>
      <c r="B25" s="603"/>
      <c r="C25" s="189" t="s">
        <v>255</v>
      </c>
      <c r="D25" s="628"/>
      <c r="E25" s="1156"/>
      <c r="F25" s="604"/>
      <c r="G25" s="189" t="s">
        <v>256</v>
      </c>
      <c r="H25" s="628"/>
      <c r="I25" s="637"/>
    </row>
    <row r="26" spans="1:36" s="1" customFormat="1" ht="18" customHeight="1" x14ac:dyDescent="0.2">
      <c r="A26" s="222">
        <v>21</v>
      </c>
      <c r="B26" s="28" t="s">
        <v>144</v>
      </c>
      <c r="C26" s="1" t="s">
        <v>257</v>
      </c>
      <c r="D26" s="628">
        <f>'1.Onbe'!J60</f>
        <v>676488</v>
      </c>
      <c r="E26" s="1156">
        <f>'1.Onbe'!M60</f>
        <v>676488</v>
      </c>
      <c r="F26" s="604" t="s">
        <v>143</v>
      </c>
      <c r="G26" s="1" t="s">
        <v>258</v>
      </c>
      <c r="H26" s="628">
        <f>'2.Onki'!J38</f>
        <v>113595</v>
      </c>
      <c r="I26" s="637">
        <f>'2.Onki'!M38</f>
        <v>113595</v>
      </c>
    </row>
    <row r="27" spans="1:36" s="1" customFormat="1" ht="18" customHeight="1" x14ac:dyDescent="0.2">
      <c r="A27" s="222">
        <v>22</v>
      </c>
      <c r="B27" s="28" t="s">
        <v>145</v>
      </c>
      <c r="C27" s="1" t="s">
        <v>253</v>
      </c>
      <c r="D27" s="628"/>
      <c r="E27" s="1156"/>
      <c r="F27" s="604" t="s">
        <v>144</v>
      </c>
      <c r="G27" s="1" t="s">
        <v>254</v>
      </c>
      <c r="H27" s="628"/>
      <c r="I27" s="637"/>
    </row>
    <row r="28" spans="1:36" s="1" customFormat="1" ht="18" customHeight="1" x14ac:dyDescent="0.2">
      <c r="A28" s="222">
        <v>23</v>
      </c>
      <c r="B28" s="28" t="s">
        <v>241</v>
      </c>
      <c r="C28" s="1" t="s">
        <v>332</v>
      </c>
      <c r="D28" s="628">
        <f>'1.Onbe'!J56</f>
        <v>7088070</v>
      </c>
      <c r="E28" s="1156">
        <f>'1.Onbe'!M56</f>
        <v>10207131</v>
      </c>
      <c r="F28" s="604"/>
      <c r="H28" s="628"/>
      <c r="I28" s="637"/>
    </row>
    <row r="29" spans="1:36" s="606" customFormat="1" ht="20.100000000000001" customHeight="1" thickBot="1" x14ac:dyDescent="0.25">
      <c r="A29" s="222">
        <v>24</v>
      </c>
      <c r="B29" s="413"/>
      <c r="C29" s="234" t="s">
        <v>259</v>
      </c>
      <c r="D29" s="629">
        <f>SUM(D21:D28)</f>
        <v>9080507</v>
      </c>
      <c r="E29" s="629">
        <f>SUM(E21:E28)</f>
        <v>13763565</v>
      </c>
      <c r="F29" s="605"/>
      <c r="G29" s="234" t="s">
        <v>260</v>
      </c>
      <c r="H29" s="629">
        <f>SUM(H21:H28)</f>
        <v>209635</v>
      </c>
      <c r="I29" s="638">
        <f>SUM(I21:I28)</f>
        <v>209635</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row>
    <row r="30" spans="1:36" s="1" customFormat="1" ht="20.100000000000001" customHeight="1" thickTop="1" thickBot="1" x14ac:dyDescent="0.25">
      <c r="A30" s="222">
        <v>25</v>
      </c>
      <c r="B30" s="607"/>
      <c r="C30" s="234" t="s">
        <v>261</v>
      </c>
      <c r="D30" s="627">
        <f>SUM(D20,D29)</f>
        <v>27706184</v>
      </c>
      <c r="E30" s="627">
        <f>SUM(E20,E29)</f>
        <v>38679613</v>
      </c>
      <c r="F30" s="608"/>
      <c r="G30" s="234" t="s">
        <v>262</v>
      </c>
      <c r="H30" s="627">
        <f>SUM(H20,H29)</f>
        <v>27706184</v>
      </c>
      <c r="I30" s="599">
        <f>SUM(I20,I29)</f>
        <v>38679613</v>
      </c>
    </row>
    <row r="31" spans="1:36" s="1" customFormat="1" ht="18" customHeight="1" thickTop="1" x14ac:dyDescent="0.2">
      <c r="A31" s="222">
        <v>26</v>
      </c>
      <c r="B31" s="609"/>
      <c r="C31" s="610" t="s">
        <v>212</v>
      </c>
      <c r="D31" s="630">
        <f>+D20-H20</f>
        <v>-8870872</v>
      </c>
      <c r="E31" s="630">
        <f>+E20-I20</f>
        <v>-13553930</v>
      </c>
      <c r="F31" s="611"/>
      <c r="G31" s="612"/>
      <c r="H31" s="628"/>
      <c r="I31" s="637"/>
    </row>
    <row r="32" spans="1:36" s="1" customFormat="1" ht="18" customHeight="1" x14ac:dyDescent="0.3">
      <c r="A32" s="222">
        <v>27</v>
      </c>
      <c r="B32" s="613"/>
      <c r="C32" s="614" t="s">
        <v>263</v>
      </c>
      <c r="D32" s="631">
        <f>+D13-H13</f>
        <v>-288647</v>
      </c>
      <c r="E32" s="631">
        <f>+E13-I13</f>
        <v>-1917539</v>
      </c>
      <c r="F32" s="611"/>
      <c r="G32" s="612"/>
      <c r="H32" s="628"/>
      <c r="I32" s="637"/>
    </row>
    <row r="33" spans="1:9" s="1" customFormat="1" ht="18" customHeight="1" x14ac:dyDescent="0.3">
      <c r="A33" s="222">
        <v>28</v>
      </c>
      <c r="B33" s="613"/>
      <c r="C33" s="614" t="s">
        <v>264</v>
      </c>
      <c r="D33" s="631">
        <f>+D19-H19</f>
        <v>-8582225</v>
      </c>
      <c r="E33" s="631">
        <f>+E19-I19</f>
        <v>-11636391</v>
      </c>
      <c r="F33" s="611"/>
      <c r="G33" s="612"/>
      <c r="H33" s="628"/>
      <c r="I33" s="637"/>
    </row>
    <row r="34" spans="1:9" s="1" customFormat="1" ht="18" customHeight="1" x14ac:dyDescent="0.2">
      <c r="A34" s="222">
        <v>29</v>
      </c>
      <c r="B34" s="613"/>
      <c r="C34" s="615" t="s">
        <v>265</v>
      </c>
      <c r="D34" s="631">
        <f>+D31-H29</f>
        <v>-9080507</v>
      </c>
      <c r="E34" s="631">
        <f>+E31-I29</f>
        <v>-13763565</v>
      </c>
      <c r="F34" s="611"/>
      <c r="G34" s="612"/>
      <c r="H34" s="628"/>
      <c r="I34" s="637"/>
    </row>
    <row r="35" spans="1:9" s="1" customFormat="1" ht="30.75" customHeight="1" x14ac:dyDescent="0.2">
      <c r="A35" s="222">
        <v>30</v>
      </c>
      <c r="B35" s="613"/>
      <c r="C35" s="616" t="s">
        <v>441</v>
      </c>
      <c r="D35" s="631">
        <f>D28+D23</f>
        <v>8404019</v>
      </c>
      <c r="E35" s="631">
        <f>E28+E23</f>
        <v>13087077</v>
      </c>
      <c r="F35" s="611"/>
      <c r="G35" s="612"/>
      <c r="H35" s="628"/>
      <c r="I35" s="637"/>
    </row>
    <row r="36" spans="1:9" s="1" customFormat="1" ht="36.75" customHeight="1" x14ac:dyDescent="0.2">
      <c r="A36" s="222">
        <v>31</v>
      </c>
      <c r="B36" s="617"/>
      <c r="C36" s="618" t="s">
        <v>442</v>
      </c>
      <c r="D36" s="632">
        <f>D26</f>
        <v>676488</v>
      </c>
      <c r="E36" s="632">
        <f>E26</f>
        <v>676488</v>
      </c>
      <c r="F36" s="619"/>
      <c r="G36" s="620"/>
      <c r="H36" s="1160"/>
      <c r="I36" s="639"/>
    </row>
    <row r="37" spans="1:9" ht="18" customHeight="1" x14ac:dyDescent="0.3">
      <c r="A37" s="222">
        <v>32</v>
      </c>
      <c r="B37" s="621"/>
      <c r="C37" s="146" t="s">
        <v>266</v>
      </c>
      <c r="D37" s="633">
        <f>(D13+D22+D23+D24)/D30</f>
        <v>0.51589442992221524</v>
      </c>
      <c r="E37" s="633">
        <f>(E13+E22+E23+E24)/E30</f>
        <v>0.44982164118343171</v>
      </c>
      <c r="F37" s="622"/>
      <c r="G37" s="146" t="s">
        <v>267</v>
      </c>
      <c r="H37" s="633">
        <f>(H13+H22+H23)/H30</f>
        <v>0.48228236699792365</v>
      </c>
      <c r="I37" s="640">
        <f>(I13+I22+I23)/I30</f>
        <v>0.42742309753719615</v>
      </c>
    </row>
    <row r="38" spans="1:9" ht="18" customHeight="1" thickBot="1" x14ac:dyDescent="0.35">
      <c r="A38" s="222">
        <v>33</v>
      </c>
      <c r="B38" s="623"/>
      <c r="C38" s="624" t="s">
        <v>268</v>
      </c>
      <c r="D38" s="634">
        <f>(D19+D26+D27+D28)/D30</f>
        <v>0.48410557007778482</v>
      </c>
      <c r="E38" s="634">
        <f>(E19+E26+E27+E28)/E30</f>
        <v>0.55017835881656829</v>
      </c>
      <c r="F38" s="625"/>
      <c r="G38" s="624" t="s">
        <v>269</v>
      </c>
      <c r="H38" s="634">
        <f>(H19+H26+H27)/H30</f>
        <v>0.51771763300207641</v>
      </c>
      <c r="I38" s="641">
        <f>(I19+I26+I27)/I30</f>
        <v>0.57257690246280391</v>
      </c>
    </row>
    <row r="39" spans="1:9" ht="18" customHeight="1" x14ac:dyDescent="0.3">
      <c r="G39" s="146" t="s">
        <v>270</v>
      </c>
    </row>
  </sheetData>
  <mergeCells count="3">
    <mergeCell ref="B1:C1"/>
    <mergeCell ref="B2:I2"/>
    <mergeCell ref="B3:I3"/>
  </mergeCells>
  <printOptions horizontalCentered="1" verticalCentered="1"/>
  <pageMargins left="0.19685039370078741" right="0.19685039370078741" top="0.19685039370078741" bottom="0.19685039370078741" header="0.11811023622047245" footer="0.11811023622047245"/>
  <pageSetup paperSize="9" scale="70" orientation="landscape" r:id="rId1"/>
  <headerFooter alignWithMargins="0">
    <oddFooter>&amp;C- &amp;P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4"/>
  <sheetViews>
    <sheetView view="pageBreakPreview" topLeftCell="A31" zoomScaleNormal="100" zoomScaleSheetLayoutView="100" workbookViewId="0">
      <selection activeCell="I49" sqref="I49"/>
    </sheetView>
  </sheetViews>
  <sheetFormatPr defaultColWidth="31.28515625" defaultRowHeight="16.5" x14ac:dyDescent="0.3"/>
  <cols>
    <col min="1" max="1" width="3.7109375" style="126" customWidth="1"/>
    <col min="2" max="2" width="4.7109375" style="1638" customWidth="1"/>
    <col min="3" max="3" width="50.7109375" style="40" customWidth="1"/>
    <col min="4" max="6" width="13.7109375" style="22" customWidth="1"/>
    <col min="7" max="7" width="30.7109375" style="23" customWidth="1"/>
    <col min="8" max="8" width="12.140625" style="24" customWidth="1"/>
    <col min="9" max="9" width="12.85546875" style="24" customWidth="1"/>
    <col min="10" max="16384" width="31.28515625" style="24"/>
  </cols>
  <sheetData>
    <row r="1" spans="1:7" x14ac:dyDescent="0.3">
      <c r="B1" s="1865" t="s">
        <v>561</v>
      </c>
      <c r="C1" s="1865"/>
      <c r="D1" s="1865"/>
      <c r="E1" s="21"/>
    </row>
    <row r="2" spans="1:7" ht="24.95" customHeight="1" x14ac:dyDescent="0.3">
      <c r="C2" s="1866" t="s">
        <v>127</v>
      </c>
      <c r="D2" s="1866"/>
      <c r="E2" s="1866"/>
      <c r="F2" s="1866"/>
      <c r="G2" s="1866"/>
    </row>
    <row r="3" spans="1:7" ht="24.95" customHeight="1" x14ac:dyDescent="0.3">
      <c r="B3" s="1866" t="s">
        <v>1385</v>
      </c>
      <c r="C3" s="1866"/>
      <c r="D3" s="1866"/>
      <c r="E3" s="1866"/>
      <c r="F3" s="1866"/>
      <c r="G3" s="1866"/>
    </row>
    <row r="4" spans="1:7" s="128" customFormat="1" ht="18" customHeight="1" thickBot="1" x14ac:dyDescent="0.35">
      <c r="A4" s="126"/>
      <c r="B4" s="125" t="s">
        <v>1</v>
      </c>
      <c r="C4" s="127" t="s">
        <v>3</v>
      </c>
      <c r="D4" s="23" t="s">
        <v>2</v>
      </c>
      <c r="E4" s="23" t="s">
        <v>4</v>
      </c>
      <c r="F4" s="23" t="s">
        <v>5</v>
      </c>
      <c r="G4" s="23" t="s">
        <v>16</v>
      </c>
    </row>
    <row r="5" spans="1:7" ht="50.25" thickBot="1" x14ac:dyDescent="0.35">
      <c r="B5" s="25" t="s">
        <v>19</v>
      </c>
      <c r="C5" s="26" t="s">
        <v>6</v>
      </c>
      <c r="D5" s="569" t="s">
        <v>558</v>
      </c>
      <c r="E5" s="569" t="s">
        <v>128</v>
      </c>
      <c r="F5" s="569" t="s">
        <v>558</v>
      </c>
      <c r="G5" s="27" t="s">
        <v>129</v>
      </c>
    </row>
    <row r="6" spans="1:7" s="119" customFormat="1" ht="21.75" customHeight="1" thickTop="1" x14ac:dyDescent="0.3">
      <c r="A6" s="125">
        <v>1</v>
      </c>
      <c r="B6" s="120">
        <v>1</v>
      </c>
      <c r="C6" s="658" t="s">
        <v>337</v>
      </c>
      <c r="D6" s="570">
        <v>38</v>
      </c>
      <c r="E6" s="570"/>
      <c r="F6" s="570">
        <f>SUM(D6:E6)</f>
        <v>38</v>
      </c>
      <c r="G6" s="131"/>
    </row>
    <row r="7" spans="1:7" s="121" customFormat="1" ht="21.75" customHeight="1" x14ac:dyDescent="0.2">
      <c r="A7" s="125">
        <v>2</v>
      </c>
      <c r="B7" s="120"/>
      <c r="C7" s="122" t="s">
        <v>271</v>
      </c>
      <c r="D7" s="571">
        <v>0</v>
      </c>
      <c r="E7" s="571"/>
      <c r="F7" s="571">
        <f>SUM(D7:E7)</f>
        <v>0</v>
      </c>
      <c r="G7" s="132"/>
    </row>
    <row r="8" spans="1:7" s="119" customFormat="1" ht="21.75" customHeight="1" x14ac:dyDescent="0.3">
      <c r="A8" s="125">
        <v>3</v>
      </c>
      <c r="B8" s="120">
        <v>2</v>
      </c>
      <c r="C8" s="658" t="s">
        <v>336</v>
      </c>
      <c r="D8" s="570">
        <v>70</v>
      </c>
      <c r="E8" s="570"/>
      <c r="F8" s="570">
        <f>SUM(D8:E8)</f>
        <v>70</v>
      </c>
      <c r="G8" s="131"/>
    </row>
    <row r="9" spans="1:7" s="121" customFormat="1" ht="21.75" customHeight="1" x14ac:dyDescent="0.2">
      <c r="A9" s="125">
        <v>4</v>
      </c>
      <c r="B9" s="120"/>
      <c r="C9" s="122" t="s">
        <v>271</v>
      </c>
      <c r="D9" s="571">
        <v>0</v>
      </c>
      <c r="E9" s="571"/>
      <c r="F9" s="571">
        <f t="shared" ref="F9:F36" si="0">SUM(D9:E9)</f>
        <v>0</v>
      </c>
      <c r="G9" s="133"/>
    </row>
    <row r="10" spans="1:7" s="119" customFormat="1" ht="21.75" customHeight="1" x14ac:dyDescent="0.3">
      <c r="A10" s="125">
        <v>5</v>
      </c>
      <c r="B10" s="120">
        <v>3</v>
      </c>
      <c r="C10" s="658" t="s">
        <v>283</v>
      </c>
      <c r="D10" s="570">
        <v>83.5</v>
      </c>
      <c r="E10" s="570"/>
      <c r="F10" s="570">
        <f t="shared" si="0"/>
        <v>83.5</v>
      </c>
      <c r="G10" s="131"/>
    </row>
    <row r="11" spans="1:7" s="121" customFormat="1" ht="21.75" customHeight="1" x14ac:dyDescent="0.2">
      <c r="A11" s="125">
        <v>6</v>
      </c>
      <c r="B11" s="120"/>
      <c r="C11" s="122" t="s">
        <v>271</v>
      </c>
      <c r="D11" s="571">
        <v>0</v>
      </c>
      <c r="E11" s="571"/>
      <c r="F11" s="571">
        <f t="shared" si="0"/>
        <v>0</v>
      </c>
      <c r="G11" s="132"/>
    </row>
    <row r="12" spans="1:7" s="119" customFormat="1" ht="21.75" customHeight="1" x14ac:dyDescent="0.3">
      <c r="A12" s="125">
        <v>7</v>
      </c>
      <c r="B12" s="120">
        <v>4</v>
      </c>
      <c r="C12" s="658" t="s">
        <v>284</v>
      </c>
      <c r="D12" s="570">
        <v>60</v>
      </c>
      <c r="E12" s="570"/>
      <c r="F12" s="570">
        <f t="shared" si="0"/>
        <v>60</v>
      </c>
      <c r="G12" s="131"/>
    </row>
    <row r="13" spans="1:7" s="121" customFormat="1" ht="21.75" customHeight="1" x14ac:dyDescent="0.2">
      <c r="A13" s="125">
        <v>8</v>
      </c>
      <c r="B13" s="120"/>
      <c r="C13" s="122" t="s">
        <v>271</v>
      </c>
      <c r="D13" s="571">
        <v>0</v>
      </c>
      <c r="E13" s="571"/>
      <c r="F13" s="571">
        <f t="shared" si="0"/>
        <v>0</v>
      </c>
      <c r="G13" s="132"/>
    </row>
    <row r="14" spans="1:7" s="119" customFormat="1" ht="21.75" customHeight="1" x14ac:dyDescent="0.3">
      <c r="A14" s="125">
        <v>9</v>
      </c>
      <c r="B14" s="120">
        <v>5</v>
      </c>
      <c r="C14" s="658" t="s">
        <v>285</v>
      </c>
      <c r="D14" s="570">
        <v>61.5</v>
      </c>
      <c r="E14" s="570"/>
      <c r="F14" s="570">
        <f t="shared" si="0"/>
        <v>61.5</v>
      </c>
      <c r="G14" s="131"/>
    </row>
    <row r="15" spans="1:7" s="121" customFormat="1" ht="21.75" customHeight="1" x14ac:dyDescent="0.2">
      <c r="A15" s="125">
        <v>10</v>
      </c>
      <c r="B15" s="120"/>
      <c r="C15" s="122" t="s">
        <v>271</v>
      </c>
      <c r="D15" s="571">
        <v>0</v>
      </c>
      <c r="E15" s="571"/>
      <c r="F15" s="571">
        <f t="shared" si="0"/>
        <v>0</v>
      </c>
      <c r="G15" s="132"/>
    </row>
    <row r="16" spans="1:7" s="119" customFormat="1" ht="21.75" customHeight="1" x14ac:dyDescent="0.3">
      <c r="A16" s="125">
        <v>11</v>
      </c>
      <c r="B16" s="120">
        <v>6</v>
      </c>
      <c r="C16" s="658" t="s">
        <v>286</v>
      </c>
      <c r="D16" s="570">
        <v>32.5</v>
      </c>
      <c r="E16" s="570"/>
      <c r="F16" s="570">
        <f t="shared" si="0"/>
        <v>32.5</v>
      </c>
      <c r="G16" s="131"/>
    </row>
    <row r="17" spans="1:7" s="121" customFormat="1" ht="21.75" customHeight="1" x14ac:dyDescent="0.2">
      <c r="A17" s="125">
        <v>12</v>
      </c>
      <c r="B17" s="120"/>
      <c r="C17" s="122" t="s">
        <v>271</v>
      </c>
      <c r="D17" s="571">
        <v>2</v>
      </c>
      <c r="E17" s="571"/>
      <c r="F17" s="571">
        <f t="shared" si="0"/>
        <v>2</v>
      </c>
      <c r="G17" s="132"/>
    </row>
    <row r="18" spans="1:7" s="119" customFormat="1" ht="33" x14ac:dyDescent="0.3">
      <c r="A18" s="125">
        <v>13</v>
      </c>
      <c r="B18" s="120">
        <v>7</v>
      </c>
      <c r="C18" s="660" t="s">
        <v>358</v>
      </c>
      <c r="D18" s="570">
        <v>205</v>
      </c>
      <c r="E18" s="570"/>
      <c r="F18" s="570">
        <f t="shared" si="0"/>
        <v>205</v>
      </c>
      <c r="G18" s="712"/>
    </row>
    <row r="19" spans="1:7" s="121" customFormat="1" ht="21.75" customHeight="1" x14ac:dyDescent="0.2">
      <c r="A19" s="125">
        <v>14</v>
      </c>
      <c r="B19" s="120"/>
      <c r="C19" s="122" t="s">
        <v>271</v>
      </c>
      <c r="D19" s="571">
        <v>0</v>
      </c>
      <c r="E19" s="571"/>
      <c r="F19" s="571">
        <f t="shared" si="0"/>
        <v>0</v>
      </c>
      <c r="G19" s="132"/>
    </row>
    <row r="20" spans="1:7" ht="33" customHeight="1" x14ac:dyDescent="0.3">
      <c r="A20" s="125">
        <v>15</v>
      </c>
      <c r="B20" s="120">
        <v>8</v>
      </c>
      <c r="C20" s="659" t="s">
        <v>130</v>
      </c>
      <c r="D20" s="570">
        <v>13.25</v>
      </c>
      <c r="E20" s="570"/>
      <c r="F20" s="570">
        <f t="shared" si="0"/>
        <v>13.25</v>
      </c>
      <c r="G20" s="134"/>
    </row>
    <row r="21" spans="1:7" s="121" customFormat="1" ht="21.75" customHeight="1" x14ac:dyDescent="0.2">
      <c r="A21" s="125">
        <v>16</v>
      </c>
      <c r="B21" s="120"/>
      <c r="C21" s="122" t="s">
        <v>271</v>
      </c>
      <c r="D21" s="571">
        <v>0</v>
      </c>
      <c r="E21" s="571"/>
      <c r="F21" s="571">
        <f>SUM(D21:E21)</f>
        <v>0</v>
      </c>
      <c r="G21" s="132"/>
    </row>
    <row r="22" spans="1:7" ht="33" customHeight="1" x14ac:dyDescent="0.3">
      <c r="A22" s="125">
        <v>17</v>
      </c>
      <c r="B22" s="120">
        <v>9</v>
      </c>
      <c r="C22" s="659" t="s">
        <v>559</v>
      </c>
      <c r="D22" s="570">
        <v>63</v>
      </c>
      <c r="E22" s="570"/>
      <c r="F22" s="570">
        <f t="shared" ref="F22" si="1">SUM(D22:E22)</f>
        <v>63</v>
      </c>
      <c r="G22" s="134"/>
    </row>
    <row r="23" spans="1:7" s="121" customFormat="1" ht="21.75" customHeight="1" x14ac:dyDescent="0.2">
      <c r="A23" s="125">
        <v>18</v>
      </c>
      <c r="B23" s="120"/>
      <c r="C23" s="122" t="s">
        <v>271</v>
      </c>
      <c r="D23" s="571">
        <v>0.16</v>
      </c>
      <c r="E23" s="571"/>
      <c r="F23" s="571">
        <f>SUM(D23:E23)</f>
        <v>0.16</v>
      </c>
      <c r="G23" s="132"/>
    </row>
    <row r="24" spans="1:7" ht="21.75" customHeight="1" x14ac:dyDescent="0.3">
      <c r="A24" s="125">
        <v>19</v>
      </c>
      <c r="B24" s="117">
        <v>10</v>
      </c>
      <c r="C24" s="656" t="s">
        <v>560</v>
      </c>
      <c r="D24" s="29">
        <v>24.25</v>
      </c>
      <c r="E24" s="29"/>
      <c r="F24" s="29">
        <f t="shared" si="0"/>
        <v>24.25</v>
      </c>
      <c r="G24" s="134"/>
    </row>
    <row r="25" spans="1:7" ht="33" customHeight="1" x14ac:dyDescent="0.2">
      <c r="A25" s="125">
        <v>20</v>
      </c>
      <c r="B25" s="120">
        <v>11</v>
      </c>
      <c r="C25" s="659" t="s">
        <v>531</v>
      </c>
      <c r="D25" s="29">
        <v>22</v>
      </c>
      <c r="E25" s="29"/>
      <c r="F25" s="29">
        <f t="shared" si="0"/>
        <v>22</v>
      </c>
      <c r="G25" s="134"/>
    </row>
    <row r="26" spans="1:7" s="119" customFormat="1" ht="21.75" customHeight="1" x14ac:dyDescent="0.3">
      <c r="A26" s="125">
        <v>21</v>
      </c>
      <c r="B26" s="117">
        <v>12</v>
      </c>
      <c r="C26" s="118" t="s">
        <v>26</v>
      </c>
      <c r="D26" s="570">
        <v>51.5</v>
      </c>
      <c r="E26" s="570"/>
      <c r="F26" s="570">
        <f t="shared" si="0"/>
        <v>51.5</v>
      </c>
      <c r="G26" s="131"/>
    </row>
    <row r="27" spans="1:7" s="121" customFormat="1" ht="21.75" customHeight="1" x14ac:dyDescent="0.2">
      <c r="A27" s="125">
        <v>22</v>
      </c>
      <c r="B27" s="120"/>
      <c r="C27" s="122" t="s">
        <v>271</v>
      </c>
      <c r="D27" s="571">
        <v>0</v>
      </c>
      <c r="E27" s="571"/>
      <c r="F27" s="571">
        <f t="shared" si="0"/>
        <v>0</v>
      </c>
      <c r="G27" s="132"/>
    </row>
    <row r="28" spans="1:7" s="119" customFormat="1" ht="27.75" customHeight="1" x14ac:dyDescent="0.3">
      <c r="A28" s="125">
        <v>23</v>
      </c>
      <c r="B28" s="117">
        <v>13</v>
      </c>
      <c r="C28" s="118" t="s">
        <v>36</v>
      </c>
      <c r="D28" s="570">
        <v>53</v>
      </c>
      <c r="E28" s="570"/>
      <c r="F28" s="570">
        <f t="shared" si="0"/>
        <v>53</v>
      </c>
      <c r="G28" s="1578"/>
    </row>
    <row r="29" spans="1:7" s="121" customFormat="1" ht="21.75" customHeight="1" x14ac:dyDescent="0.2">
      <c r="A29" s="125">
        <v>24</v>
      </c>
      <c r="B29" s="120"/>
      <c r="C29" s="122" t="s">
        <v>271</v>
      </c>
      <c r="D29" s="571">
        <v>0</v>
      </c>
      <c r="E29" s="571"/>
      <c r="F29" s="571">
        <f t="shared" si="0"/>
        <v>0</v>
      </c>
      <c r="G29" s="132"/>
    </row>
    <row r="30" spans="1:7" s="121" customFormat="1" ht="34.5" x14ac:dyDescent="0.2">
      <c r="A30" s="125">
        <v>25</v>
      </c>
      <c r="B30" s="120"/>
      <c r="C30" s="122" t="s">
        <v>728</v>
      </c>
      <c r="D30" s="571">
        <v>4</v>
      </c>
      <c r="E30" s="571"/>
      <c r="F30" s="571">
        <f t="shared" si="0"/>
        <v>4</v>
      </c>
      <c r="G30" s="137"/>
    </row>
    <row r="31" spans="1:7" s="121" customFormat="1" ht="34.5" x14ac:dyDescent="0.2">
      <c r="A31" s="125">
        <v>26</v>
      </c>
      <c r="B31" s="120"/>
      <c r="C31" s="122" t="s">
        <v>729</v>
      </c>
      <c r="D31" s="571">
        <v>6</v>
      </c>
      <c r="E31" s="571"/>
      <c r="F31" s="571">
        <f t="shared" si="0"/>
        <v>6</v>
      </c>
      <c r="G31" s="137"/>
    </row>
    <row r="32" spans="1:7" ht="21.75" customHeight="1" x14ac:dyDescent="0.3">
      <c r="A32" s="125">
        <v>27</v>
      </c>
      <c r="B32" s="117">
        <v>14</v>
      </c>
      <c r="C32" s="656" t="s">
        <v>538</v>
      </c>
      <c r="D32" s="570">
        <v>20.5</v>
      </c>
      <c r="E32" s="570"/>
      <c r="F32" s="570">
        <f t="shared" si="0"/>
        <v>20.5</v>
      </c>
      <c r="G32" s="134"/>
    </row>
    <row r="33" spans="1:7" s="121" customFormat="1" ht="21.75" customHeight="1" x14ac:dyDescent="0.2">
      <c r="A33" s="125">
        <v>28</v>
      </c>
      <c r="B33" s="120"/>
      <c r="C33" s="122" t="s">
        <v>271</v>
      </c>
      <c r="D33" s="571">
        <v>1.75</v>
      </c>
      <c r="E33" s="571"/>
      <c r="F33" s="571">
        <f t="shared" si="0"/>
        <v>1.75</v>
      </c>
      <c r="G33" s="132"/>
    </row>
    <row r="34" spans="1:7" s="119" customFormat="1" ht="21.75" customHeight="1" x14ac:dyDescent="0.3">
      <c r="A34" s="125">
        <v>29</v>
      </c>
      <c r="B34" s="117">
        <v>15</v>
      </c>
      <c r="C34" s="118" t="s">
        <v>164</v>
      </c>
      <c r="D34" s="570">
        <v>102</v>
      </c>
      <c r="E34" s="570"/>
      <c r="F34" s="570">
        <f t="shared" si="0"/>
        <v>102</v>
      </c>
      <c r="G34" s="131"/>
    </row>
    <row r="35" spans="1:7" s="121" customFormat="1" ht="21.75" customHeight="1" x14ac:dyDescent="0.2">
      <c r="A35" s="125">
        <v>30</v>
      </c>
      <c r="B35" s="120"/>
      <c r="C35" s="122" t="s">
        <v>271</v>
      </c>
      <c r="D35" s="571">
        <v>0</v>
      </c>
      <c r="E35" s="571"/>
      <c r="F35" s="571">
        <f t="shared" si="0"/>
        <v>0</v>
      </c>
      <c r="G35" s="132"/>
    </row>
    <row r="36" spans="1:7" ht="21.75" customHeight="1" thickBot="1" x14ac:dyDescent="0.35">
      <c r="A36" s="125">
        <v>31</v>
      </c>
      <c r="B36" s="657">
        <v>16</v>
      </c>
      <c r="C36" s="744" t="s">
        <v>287</v>
      </c>
      <c r="D36" s="745">
        <v>53.25</v>
      </c>
      <c r="E36" s="745"/>
      <c r="F36" s="745">
        <f t="shared" si="0"/>
        <v>53.25</v>
      </c>
      <c r="G36" s="746"/>
    </row>
    <row r="37" spans="1:7" ht="30" customHeight="1" thickTop="1" thickBot="1" x14ac:dyDescent="0.25">
      <c r="A37" s="125">
        <v>32</v>
      </c>
      <c r="B37" s="32"/>
      <c r="C37" s="33" t="s">
        <v>131</v>
      </c>
      <c r="D37" s="572">
        <f>SUM(D6:D36)</f>
        <v>967.16</v>
      </c>
      <c r="E37" s="572">
        <f>SUM(E6:E36)</f>
        <v>0</v>
      </c>
      <c r="F37" s="572">
        <f>SUM(F6:F36)</f>
        <v>967.16</v>
      </c>
      <c r="G37" s="135"/>
    </row>
    <row r="38" spans="1:7" ht="35.25" customHeight="1" x14ac:dyDescent="0.35">
      <c r="A38" s="125">
        <v>33</v>
      </c>
      <c r="B38" s="117">
        <v>17</v>
      </c>
      <c r="C38" s="656" t="s">
        <v>1225</v>
      </c>
      <c r="D38" s="29">
        <v>200</v>
      </c>
      <c r="E38" s="29"/>
      <c r="F38" s="29">
        <f>D38+E38</f>
        <v>200</v>
      </c>
      <c r="G38" s="136"/>
    </row>
    <row r="39" spans="1:7" ht="21.75" customHeight="1" x14ac:dyDescent="0.3">
      <c r="A39" s="125">
        <v>34</v>
      </c>
      <c r="B39" s="117">
        <v>18</v>
      </c>
      <c r="C39" s="656" t="s">
        <v>132</v>
      </c>
      <c r="D39" s="1"/>
      <c r="E39" s="1"/>
      <c r="F39" s="1"/>
      <c r="G39" s="136" t="s">
        <v>270</v>
      </c>
    </row>
    <row r="40" spans="1:7" ht="21.75" customHeight="1" x14ac:dyDescent="0.2">
      <c r="A40" s="125">
        <v>35</v>
      </c>
      <c r="B40" s="28"/>
      <c r="C40" s="206" t="s">
        <v>352</v>
      </c>
      <c r="D40" s="29">
        <v>3</v>
      </c>
      <c r="E40" s="29"/>
      <c r="F40" s="29">
        <f>D40+E40</f>
        <v>3</v>
      </c>
      <c r="G40" s="136"/>
    </row>
    <row r="41" spans="1:7" s="121" customFormat="1" ht="21.75" customHeight="1" thickBot="1" x14ac:dyDescent="0.25">
      <c r="A41" s="125">
        <v>36</v>
      </c>
      <c r="B41" s="120"/>
      <c r="C41" s="122" t="s">
        <v>312</v>
      </c>
      <c r="D41" s="571">
        <v>9.8800000000000008</v>
      </c>
      <c r="E41" s="571"/>
      <c r="F41" s="571">
        <f>D41+E41</f>
        <v>9.8800000000000008</v>
      </c>
      <c r="G41" s="137"/>
    </row>
    <row r="42" spans="1:7" ht="30" customHeight="1" x14ac:dyDescent="0.2">
      <c r="A42" s="125">
        <v>37</v>
      </c>
      <c r="B42" s="652"/>
      <c r="C42" s="653" t="s">
        <v>14</v>
      </c>
      <c r="D42" s="654">
        <f>SUM(D37:D41)</f>
        <v>1180.04</v>
      </c>
      <c r="E42" s="654">
        <f>SUM(E37:E41)</f>
        <v>0</v>
      </c>
      <c r="F42" s="654">
        <f>SUM(F37:F41)</f>
        <v>1180.04</v>
      </c>
      <c r="G42" s="655"/>
    </row>
    <row r="43" spans="1:7" ht="16.5" customHeight="1" x14ac:dyDescent="0.2">
      <c r="A43" s="125">
        <v>38</v>
      </c>
      <c r="B43" s="28"/>
      <c r="C43" s="30" t="s">
        <v>133</v>
      </c>
      <c r="D43" s="29"/>
      <c r="E43" s="29"/>
      <c r="F43" s="29"/>
      <c r="G43" s="134"/>
    </row>
    <row r="44" spans="1:7" ht="16.5" customHeight="1" thickBot="1" x14ac:dyDescent="0.25">
      <c r="A44" s="125">
        <v>39</v>
      </c>
      <c r="B44" s="32"/>
      <c r="C44" s="123" t="s">
        <v>312</v>
      </c>
      <c r="D44" s="573">
        <f>+D7+D9+D11+D13+D15+D17+D19+D21+D27+D29+D33+D35+D41</f>
        <v>13.63</v>
      </c>
      <c r="E44" s="573">
        <f>+E7+E9+E11+E13+E15+E17+E19+E21+E27+E29+E33+E35+E41</f>
        <v>0</v>
      </c>
      <c r="F44" s="573">
        <f>+F7+F9+F11+F13+F15+F17+F19+F21+F27+F29+F33+F35+F41</f>
        <v>13.63</v>
      </c>
      <c r="G44" s="138"/>
    </row>
    <row r="46" spans="1:7" x14ac:dyDescent="0.3">
      <c r="C46" s="34"/>
      <c r="D46" s="29"/>
      <c r="E46" s="29"/>
      <c r="F46" s="29"/>
      <c r="G46" s="139"/>
    </row>
    <row r="47" spans="1:7" x14ac:dyDescent="0.3">
      <c r="C47" s="35"/>
      <c r="D47" s="36"/>
      <c r="E47" s="36"/>
      <c r="F47" s="36"/>
      <c r="G47" s="139"/>
    </row>
    <row r="48" spans="1:7" x14ac:dyDescent="0.3">
      <c r="C48" s="35"/>
      <c r="D48" s="36"/>
      <c r="E48" s="36"/>
      <c r="F48" s="36"/>
      <c r="G48" s="139"/>
    </row>
    <row r="49" spans="1:7" x14ac:dyDescent="0.3">
      <c r="C49" s="35"/>
      <c r="D49" s="36"/>
      <c r="E49" s="36"/>
      <c r="F49" s="36"/>
      <c r="G49" s="139"/>
    </row>
    <row r="50" spans="1:7" x14ac:dyDescent="0.3">
      <c r="C50" s="34"/>
      <c r="D50" s="29"/>
      <c r="E50" s="29"/>
      <c r="F50" s="29"/>
      <c r="G50" s="139"/>
    </row>
    <row r="51" spans="1:7" x14ac:dyDescent="0.3">
      <c r="C51" s="34"/>
      <c r="D51" s="29"/>
      <c r="E51" s="29"/>
      <c r="F51" s="29"/>
      <c r="G51" s="139"/>
    </row>
    <row r="52" spans="1:7" x14ac:dyDescent="0.3">
      <c r="C52" s="34"/>
      <c r="D52" s="29"/>
      <c r="E52" s="29"/>
      <c r="F52" s="29"/>
      <c r="G52" s="139"/>
    </row>
    <row r="55" spans="1:7" s="31" customFormat="1" ht="17.25" x14ac:dyDescent="0.3">
      <c r="A55" s="395"/>
      <c r="B55" s="1639"/>
      <c r="C55" s="37"/>
      <c r="D55" s="38"/>
      <c r="E55" s="38"/>
      <c r="F55" s="38"/>
      <c r="G55" s="140"/>
    </row>
    <row r="57" spans="1:7" s="31" customFormat="1" ht="17.25" x14ac:dyDescent="0.3">
      <c r="A57" s="395"/>
      <c r="B57" s="1639"/>
      <c r="C57" s="37"/>
      <c r="D57" s="38"/>
      <c r="E57" s="38"/>
      <c r="F57" s="38"/>
      <c r="G57" s="140"/>
    </row>
    <row r="60" spans="1:7" s="31" customFormat="1" ht="17.25" x14ac:dyDescent="0.3">
      <c r="A60" s="395"/>
      <c r="B60" s="1639"/>
      <c r="C60" s="37"/>
      <c r="D60" s="38"/>
      <c r="E60" s="38"/>
      <c r="F60" s="38"/>
      <c r="G60" s="140"/>
    </row>
    <row r="78" spans="1:7" s="31" customFormat="1" ht="17.25" x14ac:dyDescent="0.3">
      <c r="A78" s="395"/>
      <c r="B78" s="1639"/>
      <c r="C78" s="37"/>
      <c r="D78" s="38"/>
      <c r="E78" s="38"/>
      <c r="F78" s="38"/>
      <c r="G78" s="140"/>
    </row>
    <row r="87" spans="4:4" x14ac:dyDescent="0.3">
      <c r="D87" s="39"/>
    </row>
    <row r="88" spans="4:4" x14ac:dyDescent="0.3">
      <c r="D88" s="39"/>
    </row>
    <row r="89" spans="4:4" x14ac:dyDescent="0.3">
      <c r="D89" s="39"/>
    </row>
    <row r="90" spans="4:4" x14ac:dyDescent="0.3">
      <c r="D90" s="39"/>
    </row>
    <row r="91" spans="4:4" x14ac:dyDescent="0.3">
      <c r="D91" s="39"/>
    </row>
    <row r="92" spans="4:4" x14ac:dyDescent="0.3">
      <c r="D92" s="39"/>
    </row>
    <row r="93" spans="4:4" x14ac:dyDescent="0.3">
      <c r="D93" s="39"/>
    </row>
    <row r="94" spans="4:4" x14ac:dyDescent="0.3">
      <c r="D94" s="39"/>
    </row>
  </sheetData>
  <mergeCells count="3">
    <mergeCell ref="B1:D1"/>
    <mergeCell ref="C2:G2"/>
    <mergeCell ref="B3:G3"/>
  </mergeCells>
  <printOptions horizontalCentered="1"/>
  <pageMargins left="0.19685039370078741" right="0.19685039370078741" top="0.98425196850393704" bottom="0.59055118110236227" header="0.51181102362204722" footer="0.51181102362204722"/>
  <pageSetup paperSize="9" scale="67" orientation="portrait" r:id="rId1"/>
  <headerFooter alignWithMargins="0">
    <oddFooter>&amp;C- &amp;P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U33"/>
  <sheetViews>
    <sheetView view="pageBreakPreview" zoomScaleNormal="100" zoomScaleSheetLayoutView="100" workbookViewId="0">
      <selection activeCell="E32" sqref="E32"/>
    </sheetView>
  </sheetViews>
  <sheetFormatPr defaultColWidth="3" defaultRowHeight="17.25" x14ac:dyDescent="0.3"/>
  <cols>
    <col min="1" max="1" width="3.28515625" style="1606" bestFit="1" customWidth="1"/>
    <col min="2" max="2" width="5.140625" style="1612" customWidth="1"/>
    <col min="3" max="3" width="4.42578125" style="1613" customWidth="1"/>
    <col min="4" max="4" width="58.42578125" style="1613" customWidth="1"/>
    <col min="5" max="5" width="16" style="1614" customWidth="1"/>
    <col min="6" max="6" width="15.85546875" style="1610" customWidth="1"/>
    <col min="7" max="253" width="8" style="1610" customWidth="1"/>
    <col min="254" max="254" width="3" style="1610" bestFit="1" customWidth="1"/>
    <col min="255" max="257" width="3" style="1651"/>
    <col min="258" max="258" width="3.28515625" style="1651" bestFit="1" customWidth="1"/>
    <col min="259" max="259" width="5.140625" style="1651" customWidth="1"/>
    <col min="260" max="260" width="58.42578125" style="1651" customWidth="1"/>
    <col min="261" max="261" width="16" style="1651" customWidth="1"/>
    <col min="262" max="262" width="15.85546875" style="1651" customWidth="1"/>
    <col min="263" max="509" width="8" style="1651" customWidth="1"/>
    <col min="510" max="510" width="3" style="1651" bestFit="1" customWidth="1"/>
    <col min="511" max="513" width="3" style="1651"/>
    <col min="514" max="514" width="3.28515625" style="1651" bestFit="1" customWidth="1"/>
    <col min="515" max="515" width="5.140625" style="1651" customWidth="1"/>
    <col min="516" max="516" width="58.42578125" style="1651" customWidth="1"/>
    <col min="517" max="517" width="16" style="1651" customWidth="1"/>
    <col min="518" max="518" width="15.85546875" style="1651" customWidth="1"/>
    <col min="519" max="765" width="8" style="1651" customWidth="1"/>
    <col min="766" max="766" width="3" style="1651" bestFit="1" customWidth="1"/>
    <col min="767" max="769" width="3" style="1651"/>
    <col min="770" max="770" width="3.28515625" style="1651" bestFit="1" customWidth="1"/>
    <col min="771" max="771" width="5.140625" style="1651" customWidth="1"/>
    <col min="772" max="772" width="58.42578125" style="1651" customWidth="1"/>
    <col min="773" max="773" width="16" style="1651" customWidth="1"/>
    <col min="774" max="774" width="15.85546875" style="1651" customWidth="1"/>
    <col min="775" max="1021" width="8" style="1651" customWidth="1"/>
    <col min="1022" max="1022" width="3" style="1651" bestFit="1" customWidth="1"/>
    <col min="1023" max="1025" width="3" style="1651"/>
    <col min="1026" max="1026" width="3.28515625" style="1651" bestFit="1" customWidth="1"/>
    <col min="1027" max="1027" width="5.140625" style="1651" customWidth="1"/>
    <col min="1028" max="1028" width="58.42578125" style="1651" customWidth="1"/>
    <col min="1029" max="1029" width="16" style="1651" customWidth="1"/>
    <col min="1030" max="1030" width="15.85546875" style="1651" customWidth="1"/>
    <col min="1031" max="1277" width="8" style="1651" customWidth="1"/>
    <col min="1278" max="1278" width="3" style="1651" bestFit="1" customWidth="1"/>
    <col min="1279" max="1281" width="3" style="1651"/>
    <col min="1282" max="1282" width="3.28515625" style="1651" bestFit="1" customWidth="1"/>
    <col min="1283" max="1283" width="5.140625" style="1651" customWidth="1"/>
    <col min="1284" max="1284" width="58.42578125" style="1651" customWidth="1"/>
    <col min="1285" max="1285" width="16" style="1651" customWidth="1"/>
    <col min="1286" max="1286" width="15.85546875" style="1651" customWidth="1"/>
    <col min="1287" max="1533" width="8" style="1651" customWidth="1"/>
    <col min="1534" max="1534" width="3" style="1651" bestFit="1" customWidth="1"/>
    <col min="1535" max="1537" width="3" style="1651"/>
    <col min="1538" max="1538" width="3.28515625" style="1651" bestFit="1" customWidth="1"/>
    <col min="1539" max="1539" width="5.140625" style="1651" customWidth="1"/>
    <col min="1540" max="1540" width="58.42578125" style="1651" customWidth="1"/>
    <col min="1541" max="1541" width="16" style="1651" customWidth="1"/>
    <col min="1542" max="1542" width="15.85546875" style="1651" customWidth="1"/>
    <col min="1543" max="1789" width="8" style="1651" customWidth="1"/>
    <col min="1790" max="1790" width="3" style="1651" bestFit="1" customWidth="1"/>
    <col min="1791" max="1793" width="3" style="1651"/>
    <col min="1794" max="1794" width="3.28515625" style="1651" bestFit="1" customWidth="1"/>
    <col min="1795" max="1795" width="5.140625" style="1651" customWidth="1"/>
    <col min="1796" max="1796" width="58.42578125" style="1651" customWidth="1"/>
    <col min="1797" max="1797" width="16" style="1651" customWidth="1"/>
    <col min="1798" max="1798" width="15.85546875" style="1651" customWidth="1"/>
    <col min="1799" max="2045" width="8" style="1651" customWidth="1"/>
    <col min="2046" max="2046" width="3" style="1651" bestFit="1" customWidth="1"/>
    <col min="2047" max="2049" width="3" style="1651"/>
    <col min="2050" max="2050" width="3.28515625" style="1651" bestFit="1" customWidth="1"/>
    <col min="2051" max="2051" width="5.140625" style="1651" customWidth="1"/>
    <col min="2052" max="2052" width="58.42578125" style="1651" customWidth="1"/>
    <col min="2053" max="2053" width="16" style="1651" customWidth="1"/>
    <col min="2054" max="2054" width="15.85546875" style="1651" customWidth="1"/>
    <col min="2055" max="2301" width="8" style="1651" customWidth="1"/>
    <col min="2302" max="2302" width="3" style="1651" bestFit="1" customWidth="1"/>
    <col min="2303" max="2305" width="3" style="1651"/>
    <col min="2306" max="2306" width="3.28515625" style="1651" bestFit="1" customWidth="1"/>
    <col min="2307" max="2307" width="5.140625" style="1651" customWidth="1"/>
    <col min="2308" max="2308" width="58.42578125" style="1651" customWidth="1"/>
    <col min="2309" max="2309" width="16" style="1651" customWidth="1"/>
    <col min="2310" max="2310" width="15.85546875" style="1651" customWidth="1"/>
    <col min="2311" max="2557" width="8" style="1651" customWidth="1"/>
    <col min="2558" max="2558" width="3" style="1651" bestFit="1" customWidth="1"/>
    <col min="2559" max="2561" width="3" style="1651"/>
    <col min="2562" max="2562" width="3.28515625" style="1651" bestFit="1" customWidth="1"/>
    <col min="2563" max="2563" width="5.140625" style="1651" customWidth="1"/>
    <col min="2564" max="2564" width="58.42578125" style="1651" customWidth="1"/>
    <col min="2565" max="2565" width="16" style="1651" customWidth="1"/>
    <col min="2566" max="2566" width="15.85546875" style="1651" customWidth="1"/>
    <col min="2567" max="2813" width="8" style="1651" customWidth="1"/>
    <col min="2814" max="2814" width="3" style="1651" bestFit="1" customWidth="1"/>
    <col min="2815" max="2817" width="3" style="1651"/>
    <col min="2818" max="2818" width="3.28515625" style="1651" bestFit="1" customWidth="1"/>
    <col min="2819" max="2819" width="5.140625" style="1651" customWidth="1"/>
    <col min="2820" max="2820" width="58.42578125" style="1651" customWidth="1"/>
    <col min="2821" max="2821" width="16" style="1651" customWidth="1"/>
    <col min="2822" max="2822" width="15.85546875" style="1651" customWidth="1"/>
    <col min="2823" max="3069" width="8" style="1651" customWidth="1"/>
    <col min="3070" max="3070" width="3" style="1651" bestFit="1" customWidth="1"/>
    <col min="3071" max="3073" width="3" style="1651"/>
    <col min="3074" max="3074" width="3.28515625" style="1651" bestFit="1" customWidth="1"/>
    <col min="3075" max="3075" width="5.140625" style="1651" customWidth="1"/>
    <col min="3076" max="3076" width="58.42578125" style="1651" customWidth="1"/>
    <col min="3077" max="3077" width="16" style="1651" customWidth="1"/>
    <col min="3078" max="3078" width="15.85546875" style="1651" customWidth="1"/>
    <col min="3079" max="3325" width="8" style="1651" customWidth="1"/>
    <col min="3326" max="3326" width="3" style="1651" bestFit="1" customWidth="1"/>
    <col min="3327" max="3329" width="3" style="1651"/>
    <col min="3330" max="3330" width="3.28515625" style="1651" bestFit="1" customWidth="1"/>
    <col min="3331" max="3331" width="5.140625" style="1651" customWidth="1"/>
    <col min="3332" max="3332" width="58.42578125" style="1651" customWidth="1"/>
    <col min="3333" max="3333" width="16" style="1651" customWidth="1"/>
    <col min="3334" max="3334" width="15.85546875" style="1651" customWidth="1"/>
    <col min="3335" max="3581" width="8" style="1651" customWidth="1"/>
    <col min="3582" max="3582" width="3" style="1651" bestFit="1" customWidth="1"/>
    <col min="3583" max="3585" width="3" style="1651"/>
    <col min="3586" max="3586" width="3.28515625" style="1651" bestFit="1" customWidth="1"/>
    <col min="3587" max="3587" width="5.140625" style="1651" customWidth="1"/>
    <col min="3588" max="3588" width="58.42578125" style="1651" customWidth="1"/>
    <col min="3589" max="3589" width="16" style="1651" customWidth="1"/>
    <col min="3590" max="3590" width="15.85546875" style="1651" customWidth="1"/>
    <col min="3591" max="3837" width="8" style="1651" customWidth="1"/>
    <col min="3838" max="3838" width="3" style="1651" bestFit="1" customWidth="1"/>
    <col min="3839" max="3841" width="3" style="1651"/>
    <col min="3842" max="3842" width="3.28515625" style="1651" bestFit="1" customWidth="1"/>
    <col min="3843" max="3843" width="5.140625" style="1651" customWidth="1"/>
    <col min="3844" max="3844" width="58.42578125" style="1651" customWidth="1"/>
    <col min="3845" max="3845" width="16" style="1651" customWidth="1"/>
    <col min="3846" max="3846" width="15.85546875" style="1651" customWidth="1"/>
    <col min="3847" max="4093" width="8" style="1651" customWidth="1"/>
    <col min="4094" max="4094" width="3" style="1651" bestFit="1" customWidth="1"/>
    <col min="4095" max="4097" width="3" style="1651"/>
    <col min="4098" max="4098" width="3.28515625" style="1651" bestFit="1" customWidth="1"/>
    <col min="4099" max="4099" width="5.140625" style="1651" customWidth="1"/>
    <col min="4100" max="4100" width="58.42578125" style="1651" customWidth="1"/>
    <col min="4101" max="4101" width="16" style="1651" customWidth="1"/>
    <col min="4102" max="4102" width="15.85546875" style="1651" customWidth="1"/>
    <col min="4103" max="4349" width="8" style="1651" customWidth="1"/>
    <col min="4350" max="4350" width="3" style="1651" bestFit="1" customWidth="1"/>
    <col min="4351" max="4353" width="3" style="1651"/>
    <col min="4354" max="4354" width="3.28515625" style="1651" bestFit="1" customWidth="1"/>
    <col min="4355" max="4355" width="5.140625" style="1651" customWidth="1"/>
    <col min="4356" max="4356" width="58.42578125" style="1651" customWidth="1"/>
    <col min="4357" max="4357" width="16" style="1651" customWidth="1"/>
    <col min="4358" max="4358" width="15.85546875" style="1651" customWidth="1"/>
    <col min="4359" max="4605" width="8" style="1651" customWidth="1"/>
    <col min="4606" max="4606" width="3" style="1651" bestFit="1" customWidth="1"/>
    <col min="4607" max="4609" width="3" style="1651"/>
    <col min="4610" max="4610" width="3.28515625" style="1651" bestFit="1" customWidth="1"/>
    <col min="4611" max="4611" width="5.140625" style="1651" customWidth="1"/>
    <col min="4612" max="4612" width="58.42578125" style="1651" customWidth="1"/>
    <col min="4613" max="4613" width="16" style="1651" customWidth="1"/>
    <col min="4614" max="4614" width="15.85546875" style="1651" customWidth="1"/>
    <col min="4615" max="4861" width="8" style="1651" customWidth="1"/>
    <col min="4862" max="4862" width="3" style="1651" bestFit="1" customWidth="1"/>
    <col min="4863" max="4865" width="3" style="1651"/>
    <col min="4866" max="4866" width="3.28515625" style="1651" bestFit="1" customWidth="1"/>
    <col min="4867" max="4867" width="5.140625" style="1651" customWidth="1"/>
    <col min="4868" max="4868" width="58.42578125" style="1651" customWidth="1"/>
    <col min="4869" max="4869" width="16" style="1651" customWidth="1"/>
    <col min="4870" max="4870" width="15.85546875" style="1651" customWidth="1"/>
    <col min="4871" max="5117" width="8" style="1651" customWidth="1"/>
    <col min="5118" max="5118" width="3" style="1651" bestFit="1" customWidth="1"/>
    <col min="5119" max="5121" width="3" style="1651"/>
    <col min="5122" max="5122" width="3.28515625" style="1651" bestFit="1" customWidth="1"/>
    <col min="5123" max="5123" width="5.140625" style="1651" customWidth="1"/>
    <col min="5124" max="5124" width="58.42578125" style="1651" customWidth="1"/>
    <col min="5125" max="5125" width="16" style="1651" customWidth="1"/>
    <col min="5126" max="5126" width="15.85546875" style="1651" customWidth="1"/>
    <col min="5127" max="5373" width="8" style="1651" customWidth="1"/>
    <col min="5374" max="5374" width="3" style="1651" bestFit="1" customWidth="1"/>
    <col min="5375" max="5377" width="3" style="1651"/>
    <col min="5378" max="5378" width="3.28515625" style="1651" bestFit="1" customWidth="1"/>
    <col min="5379" max="5379" width="5.140625" style="1651" customWidth="1"/>
    <col min="5380" max="5380" width="58.42578125" style="1651" customWidth="1"/>
    <col min="5381" max="5381" width="16" style="1651" customWidth="1"/>
    <col min="5382" max="5382" width="15.85546875" style="1651" customWidth="1"/>
    <col min="5383" max="5629" width="8" style="1651" customWidth="1"/>
    <col min="5630" max="5630" width="3" style="1651" bestFit="1" customWidth="1"/>
    <col min="5631" max="5633" width="3" style="1651"/>
    <col min="5634" max="5634" width="3.28515625" style="1651" bestFit="1" customWidth="1"/>
    <col min="5635" max="5635" width="5.140625" style="1651" customWidth="1"/>
    <col min="5636" max="5636" width="58.42578125" style="1651" customWidth="1"/>
    <col min="5637" max="5637" width="16" style="1651" customWidth="1"/>
    <col min="5638" max="5638" width="15.85546875" style="1651" customWidth="1"/>
    <col min="5639" max="5885" width="8" style="1651" customWidth="1"/>
    <col min="5886" max="5886" width="3" style="1651" bestFit="1" customWidth="1"/>
    <col min="5887" max="5889" width="3" style="1651"/>
    <col min="5890" max="5890" width="3.28515625" style="1651" bestFit="1" customWidth="1"/>
    <col min="5891" max="5891" width="5.140625" style="1651" customWidth="1"/>
    <col min="5892" max="5892" width="58.42578125" style="1651" customWidth="1"/>
    <col min="5893" max="5893" width="16" style="1651" customWidth="1"/>
    <col min="5894" max="5894" width="15.85546875" style="1651" customWidth="1"/>
    <col min="5895" max="6141" width="8" style="1651" customWidth="1"/>
    <col min="6142" max="6142" width="3" style="1651" bestFit="1" customWidth="1"/>
    <col min="6143" max="6145" width="3" style="1651"/>
    <col min="6146" max="6146" width="3.28515625" style="1651" bestFit="1" customWidth="1"/>
    <col min="6147" max="6147" width="5.140625" style="1651" customWidth="1"/>
    <col min="6148" max="6148" width="58.42578125" style="1651" customWidth="1"/>
    <col min="6149" max="6149" width="16" style="1651" customWidth="1"/>
    <col min="6150" max="6150" width="15.85546875" style="1651" customWidth="1"/>
    <col min="6151" max="6397" width="8" style="1651" customWidth="1"/>
    <col min="6398" max="6398" width="3" style="1651" bestFit="1" customWidth="1"/>
    <col min="6399" max="6401" width="3" style="1651"/>
    <col min="6402" max="6402" width="3.28515625" style="1651" bestFit="1" customWidth="1"/>
    <col min="6403" max="6403" width="5.140625" style="1651" customWidth="1"/>
    <col min="6404" max="6404" width="58.42578125" style="1651" customWidth="1"/>
    <col min="6405" max="6405" width="16" style="1651" customWidth="1"/>
    <col min="6406" max="6406" width="15.85546875" style="1651" customWidth="1"/>
    <col min="6407" max="6653" width="8" style="1651" customWidth="1"/>
    <col min="6654" max="6654" width="3" style="1651" bestFit="1" customWidth="1"/>
    <col min="6655" max="6657" width="3" style="1651"/>
    <col min="6658" max="6658" width="3.28515625" style="1651" bestFit="1" customWidth="1"/>
    <col min="6659" max="6659" width="5.140625" style="1651" customWidth="1"/>
    <col min="6660" max="6660" width="58.42578125" style="1651" customWidth="1"/>
    <col min="6661" max="6661" width="16" style="1651" customWidth="1"/>
    <col min="6662" max="6662" width="15.85546875" style="1651" customWidth="1"/>
    <col min="6663" max="6909" width="8" style="1651" customWidth="1"/>
    <col min="6910" max="6910" width="3" style="1651" bestFit="1" customWidth="1"/>
    <col min="6911" max="6913" width="3" style="1651"/>
    <col min="6914" max="6914" width="3.28515625" style="1651" bestFit="1" customWidth="1"/>
    <col min="6915" max="6915" width="5.140625" style="1651" customWidth="1"/>
    <col min="6916" max="6916" width="58.42578125" style="1651" customWidth="1"/>
    <col min="6917" max="6917" width="16" style="1651" customWidth="1"/>
    <col min="6918" max="6918" width="15.85546875" style="1651" customWidth="1"/>
    <col min="6919" max="7165" width="8" style="1651" customWidth="1"/>
    <col min="7166" max="7166" width="3" style="1651" bestFit="1" customWidth="1"/>
    <col min="7167" max="7169" width="3" style="1651"/>
    <col min="7170" max="7170" width="3.28515625" style="1651" bestFit="1" customWidth="1"/>
    <col min="7171" max="7171" width="5.140625" style="1651" customWidth="1"/>
    <col min="7172" max="7172" width="58.42578125" style="1651" customWidth="1"/>
    <col min="7173" max="7173" width="16" style="1651" customWidth="1"/>
    <col min="7174" max="7174" width="15.85546875" style="1651" customWidth="1"/>
    <col min="7175" max="7421" width="8" style="1651" customWidth="1"/>
    <col min="7422" max="7422" width="3" style="1651" bestFit="1" customWidth="1"/>
    <col min="7423" max="7425" width="3" style="1651"/>
    <col min="7426" max="7426" width="3.28515625" style="1651" bestFit="1" customWidth="1"/>
    <col min="7427" max="7427" width="5.140625" style="1651" customWidth="1"/>
    <col min="7428" max="7428" width="58.42578125" style="1651" customWidth="1"/>
    <col min="7429" max="7429" width="16" style="1651" customWidth="1"/>
    <col min="7430" max="7430" width="15.85546875" style="1651" customWidth="1"/>
    <col min="7431" max="7677" width="8" style="1651" customWidth="1"/>
    <col min="7678" max="7678" width="3" style="1651" bestFit="1" customWidth="1"/>
    <col min="7679" max="7681" width="3" style="1651"/>
    <col min="7682" max="7682" width="3.28515625" style="1651" bestFit="1" customWidth="1"/>
    <col min="7683" max="7683" width="5.140625" style="1651" customWidth="1"/>
    <col min="7684" max="7684" width="58.42578125" style="1651" customWidth="1"/>
    <col min="7685" max="7685" width="16" style="1651" customWidth="1"/>
    <col min="7686" max="7686" width="15.85546875" style="1651" customWidth="1"/>
    <col min="7687" max="7933" width="8" style="1651" customWidth="1"/>
    <col min="7934" max="7934" width="3" style="1651" bestFit="1" customWidth="1"/>
    <col min="7935" max="7937" width="3" style="1651"/>
    <col min="7938" max="7938" width="3.28515625" style="1651" bestFit="1" customWidth="1"/>
    <col min="7939" max="7939" width="5.140625" style="1651" customWidth="1"/>
    <col min="7940" max="7940" width="58.42578125" style="1651" customWidth="1"/>
    <col min="7941" max="7941" width="16" style="1651" customWidth="1"/>
    <col min="7942" max="7942" width="15.85546875" style="1651" customWidth="1"/>
    <col min="7943" max="8189" width="8" style="1651" customWidth="1"/>
    <col min="8190" max="8190" width="3" style="1651" bestFit="1" customWidth="1"/>
    <col min="8191" max="8193" width="3" style="1651"/>
    <col min="8194" max="8194" width="3.28515625" style="1651" bestFit="1" customWidth="1"/>
    <col min="8195" max="8195" width="5.140625" style="1651" customWidth="1"/>
    <col min="8196" max="8196" width="58.42578125" style="1651" customWidth="1"/>
    <col min="8197" max="8197" width="16" style="1651" customWidth="1"/>
    <col min="8198" max="8198" width="15.85546875" style="1651" customWidth="1"/>
    <col min="8199" max="8445" width="8" style="1651" customWidth="1"/>
    <col min="8446" max="8446" width="3" style="1651" bestFit="1" customWidth="1"/>
    <col min="8447" max="8449" width="3" style="1651"/>
    <col min="8450" max="8450" width="3.28515625" style="1651" bestFit="1" customWidth="1"/>
    <col min="8451" max="8451" width="5.140625" style="1651" customWidth="1"/>
    <col min="8452" max="8452" width="58.42578125" style="1651" customWidth="1"/>
    <col min="8453" max="8453" width="16" style="1651" customWidth="1"/>
    <col min="8454" max="8454" width="15.85546875" style="1651" customWidth="1"/>
    <col min="8455" max="8701" width="8" style="1651" customWidth="1"/>
    <col min="8702" max="8702" width="3" style="1651" bestFit="1" customWidth="1"/>
    <col min="8703" max="8705" width="3" style="1651"/>
    <col min="8706" max="8706" width="3.28515625" style="1651" bestFit="1" customWidth="1"/>
    <col min="8707" max="8707" width="5.140625" style="1651" customWidth="1"/>
    <col min="8708" max="8708" width="58.42578125" style="1651" customWidth="1"/>
    <col min="8709" max="8709" width="16" style="1651" customWidth="1"/>
    <col min="8710" max="8710" width="15.85546875" style="1651" customWidth="1"/>
    <col min="8711" max="8957" width="8" style="1651" customWidth="1"/>
    <col min="8958" max="8958" width="3" style="1651" bestFit="1" customWidth="1"/>
    <col min="8959" max="8961" width="3" style="1651"/>
    <col min="8962" max="8962" width="3.28515625" style="1651" bestFit="1" customWidth="1"/>
    <col min="8963" max="8963" width="5.140625" style="1651" customWidth="1"/>
    <col min="8964" max="8964" width="58.42578125" style="1651" customWidth="1"/>
    <col min="8965" max="8965" width="16" style="1651" customWidth="1"/>
    <col min="8966" max="8966" width="15.85546875" style="1651" customWidth="1"/>
    <col min="8967" max="9213" width="8" style="1651" customWidth="1"/>
    <col min="9214" max="9214" width="3" style="1651" bestFit="1" customWidth="1"/>
    <col min="9215" max="9217" width="3" style="1651"/>
    <col min="9218" max="9218" width="3.28515625" style="1651" bestFit="1" customWidth="1"/>
    <col min="9219" max="9219" width="5.140625" style="1651" customWidth="1"/>
    <col min="9220" max="9220" width="58.42578125" style="1651" customWidth="1"/>
    <col min="9221" max="9221" width="16" style="1651" customWidth="1"/>
    <col min="9222" max="9222" width="15.85546875" style="1651" customWidth="1"/>
    <col min="9223" max="9469" width="8" style="1651" customWidth="1"/>
    <col min="9470" max="9470" width="3" style="1651" bestFit="1" customWidth="1"/>
    <col min="9471" max="9473" width="3" style="1651"/>
    <col min="9474" max="9474" width="3.28515625" style="1651" bestFit="1" customWidth="1"/>
    <col min="9475" max="9475" width="5.140625" style="1651" customWidth="1"/>
    <col min="9476" max="9476" width="58.42578125" style="1651" customWidth="1"/>
    <col min="9477" max="9477" width="16" style="1651" customWidth="1"/>
    <col min="9478" max="9478" width="15.85546875" style="1651" customWidth="1"/>
    <col min="9479" max="9725" width="8" style="1651" customWidth="1"/>
    <col min="9726" max="9726" width="3" style="1651" bestFit="1" customWidth="1"/>
    <col min="9727" max="9729" width="3" style="1651"/>
    <col min="9730" max="9730" width="3.28515625" style="1651" bestFit="1" customWidth="1"/>
    <col min="9731" max="9731" width="5.140625" style="1651" customWidth="1"/>
    <col min="9732" max="9732" width="58.42578125" style="1651" customWidth="1"/>
    <col min="9733" max="9733" width="16" style="1651" customWidth="1"/>
    <col min="9734" max="9734" width="15.85546875" style="1651" customWidth="1"/>
    <col min="9735" max="9981" width="8" style="1651" customWidth="1"/>
    <col min="9982" max="9982" width="3" style="1651" bestFit="1" customWidth="1"/>
    <col min="9983" max="9985" width="3" style="1651"/>
    <col min="9986" max="9986" width="3.28515625" style="1651" bestFit="1" customWidth="1"/>
    <col min="9987" max="9987" width="5.140625" style="1651" customWidth="1"/>
    <col min="9988" max="9988" width="58.42578125" style="1651" customWidth="1"/>
    <col min="9989" max="9989" width="16" style="1651" customWidth="1"/>
    <col min="9990" max="9990" width="15.85546875" style="1651" customWidth="1"/>
    <col min="9991" max="10237" width="8" style="1651" customWidth="1"/>
    <col min="10238" max="10238" width="3" style="1651" bestFit="1" customWidth="1"/>
    <col min="10239" max="10241" width="3" style="1651"/>
    <col min="10242" max="10242" width="3.28515625" style="1651" bestFit="1" customWidth="1"/>
    <col min="10243" max="10243" width="5.140625" style="1651" customWidth="1"/>
    <col min="10244" max="10244" width="58.42578125" style="1651" customWidth="1"/>
    <col min="10245" max="10245" width="16" style="1651" customWidth="1"/>
    <col min="10246" max="10246" width="15.85546875" style="1651" customWidth="1"/>
    <col min="10247" max="10493" width="8" style="1651" customWidth="1"/>
    <col min="10494" max="10494" width="3" style="1651" bestFit="1" customWidth="1"/>
    <col min="10495" max="10497" width="3" style="1651"/>
    <col min="10498" max="10498" width="3.28515625" style="1651" bestFit="1" customWidth="1"/>
    <col min="10499" max="10499" width="5.140625" style="1651" customWidth="1"/>
    <col min="10500" max="10500" width="58.42578125" style="1651" customWidth="1"/>
    <col min="10501" max="10501" width="16" style="1651" customWidth="1"/>
    <col min="10502" max="10502" width="15.85546875" style="1651" customWidth="1"/>
    <col min="10503" max="10749" width="8" style="1651" customWidth="1"/>
    <col min="10750" max="10750" width="3" style="1651" bestFit="1" customWidth="1"/>
    <col min="10751" max="10753" width="3" style="1651"/>
    <col min="10754" max="10754" width="3.28515625" style="1651" bestFit="1" customWidth="1"/>
    <col min="10755" max="10755" width="5.140625" style="1651" customWidth="1"/>
    <col min="10756" max="10756" width="58.42578125" style="1651" customWidth="1"/>
    <col min="10757" max="10757" width="16" style="1651" customWidth="1"/>
    <col min="10758" max="10758" width="15.85546875" style="1651" customWidth="1"/>
    <col min="10759" max="11005" width="8" style="1651" customWidth="1"/>
    <col min="11006" max="11006" width="3" style="1651" bestFit="1" customWidth="1"/>
    <col min="11007" max="11009" width="3" style="1651"/>
    <col min="11010" max="11010" width="3.28515625" style="1651" bestFit="1" customWidth="1"/>
    <col min="11011" max="11011" width="5.140625" style="1651" customWidth="1"/>
    <col min="11012" max="11012" width="58.42578125" style="1651" customWidth="1"/>
    <col min="11013" max="11013" width="16" style="1651" customWidth="1"/>
    <col min="11014" max="11014" width="15.85546875" style="1651" customWidth="1"/>
    <col min="11015" max="11261" width="8" style="1651" customWidth="1"/>
    <col min="11262" max="11262" width="3" style="1651" bestFit="1" customWidth="1"/>
    <col min="11263" max="11265" width="3" style="1651"/>
    <col min="11266" max="11266" width="3.28515625" style="1651" bestFit="1" customWidth="1"/>
    <col min="11267" max="11267" width="5.140625" style="1651" customWidth="1"/>
    <col min="11268" max="11268" width="58.42578125" style="1651" customWidth="1"/>
    <col min="11269" max="11269" width="16" style="1651" customWidth="1"/>
    <col min="11270" max="11270" width="15.85546875" style="1651" customWidth="1"/>
    <col min="11271" max="11517" width="8" style="1651" customWidth="1"/>
    <col min="11518" max="11518" width="3" style="1651" bestFit="1" customWidth="1"/>
    <col min="11519" max="11521" width="3" style="1651"/>
    <col min="11522" max="11522" width="3.28515625" style="1651" bestFit="1" customWidth="1"/>
    <col min="11523" max="11523" width="5.140625" style="1651" customWidth="1"/>
    <col min="11524" max="11524" width="58.42578125" style="1651" customWidth="1"/>
    <col min="11525" max="11525" width="16" style="1651" customWidth="1"/>
    <col min="11526" max="11526" width="15.85546875" style="1651" customWidth="1"/>
    <col min="11527" max="11773" width="8" style="1651" customWidth="1"/>
    <col min="11774" max="11774" width="3" style="1651" bestFit="1" customWidth="1"/>
    <col min="11775" max="11777" width="3" style="1651"/>
    <col min="11778" max="11778" width="3.28515625" style="1651" bestFit="1" customWidth="1"/>
    <col min="11779" max="11779" width="5.140625" style="1651" customWidth="1"/>
    <col min="11780" max="11780" width="58.42578125" style="1651" customWidth="1"/>
    <col min="11781" max="11781" width="16" style="1651" customWidth="1"/>
    <col min="11782" max="11782" width="15.85546875" style="1651" customWidth="1"/>
    <col min="11783" max="12029" width="8" style="1651" customWidth="1"/>
    <col min="12030" max="12030" width="3" style="1651" bestFit="1" customWidth="1"/>
    <col min="12031" max="12033" width="3" style="1651"/>
    <col min="12034" max="12034" width="3.28515625" style="1651" bestFit="1" customWidth="1"/>
    <col min="12035" max="12035" width="5.140625" style="1651" customWidth="1"/>
    <col min="12036" max="12036" width="58.42578125" style="1651" customWidth="1"/>
    <col min="12037" max="12037" width="16" style="1651" customWidth="1"/>
    <col min="12038" max="12038" width="15.85546875" style="1651" customWidth="1"/>
    <col min="12039" max="12285" width="8" style="1651" customWidth="1"/>
    <col min="12286" max="12286" width="3" style="1651" bestFit="1" customWidth="1"/>
    <col min="12287" max="12289" width="3" style="1651"/>
    <col min="12290" max="12290" width="3.28515625" style="1651" bestFit="1" customWidth="1"/>
    <col min="12291" max="12291" width="5.140625" style="1651" customWidth="1"/>
    <col min="12292" max="12292" width="58.42578125" style="1651" customWidth="1"/>
    <col min="12293" max="12293" width="16" style="1651" customWidth="1"/>
    <col min="12294" max="12294" width="15.85546875" style="1651" customWidth="1"/>
    <col min="12295" max="12541" width="8" style="1651" customWidth="1"/>
    <col min="12542" max="12542" width="3" style="1651" bestFit="1" customWidth="1"/>
    <col min="12543" max="12545" width="3" style="1651"/>
    <col min="12546" max="12546" width="3.28515625" style="1651" bestFit="1" customWidth="1"/>
    <col min="12547" max="12547" width="5.140625" style="1651" customWidth="1"/>
    <col min="12548" max="12548" width="58.42578125" style="1651" customWidth="1"/>
    <col min="12549" max="12549" width="16" style="1651" customWidth="1"/>
    <col min="12550" max="12550" width="15.85546875" style="1651" customWidth="1"/>
    <col min="12551" max="12797" width="8" style="1651" customWidth="1"/>
    <col min="12798" max="12798" width="3" style="1651" bestFit="1" customWidth="1"/>
    <col min="12799" max="12801" width="3" style="1651"/>
    <col min="12802" max="12802" width="3.28515625" style="1651" bestFit="1" customWidth="1"/>
    <col min="12803" max="12803" width="5.140625" style="1651" customWidth="1"/>
    <col min="12804" max="12804" width="58.42578125" style="1651" customWidth="1"/>
    <col min="12805" max="12805" width="16" style="1651" customWidth="1"/>
    <col min="12806" max="12806" width="15.85546875" style="1651" customWidth="1"/>
    <col min="12807" max="13053" width="8" style="1651" customWidth="1"/>
    <col min="13054" max="13054" width="3" style="1651" bestFit="1" customWidth="1"/>
    <col min="13055" max="13057" width="3" style="1651"/>
    <col min="13058" max="13058" width="3.28515625" style="1651" bestFit="1" customWidth="1"/>
    <col min="13059" max="13059" width="5.140625" style="1651" customWidth="1"/>
    <col min="13060" max="13060" width="58.42578125" style="1651" customWidth="1"/>
    <col min="13061" max="13061" width="16" style="1651" customWidth="1"/>
    <col min="13062" max="13062" width="15.85546875" style="1651" customWidth="1"/>
    <col min="13063" max="13309" width="8" style="1651" customWidth="1"/>
    <col min="13310" max="13310" width="3" style="1651" bestFit="1" customWidth="1"/>
    <col min="13311" max="13313" width="3" style="1651"/>
    <col min="13314" max="13314" width="3.28515625" style="1651" bestFit="1" customWidth="1"/>
    <col min="13315" max="13315" width="5.140625" style="1651" customWidth="1"/>
    <col min="13316" max="13316" width="58.42578125" style="1651" customWidth="1"/>
    <col min="13317" max="13317" width="16" style="1651" customWidth="1"/>
    <col min="13318" max="13318" width="15.85546875" style="1651" customWidth="1"/>
    <col min="13319" max="13565" width="8" style="1651" customWidth="1"/>
    <col min="13566" max="13566" width="3" style="1651" bestFit="1" customWidth="1"/>
    <col min="13567" max="13569" width="3" style="1651"/>
    <col min="13570" max="13570" width="3.28515625" style="1651" bestFit="1" customWidth="1"/>
    <col min="13571" max="13571" width="5.140625" style="1651" customWidth="1"/>
    <col min="13572" max="13572" width="58.42578125" style="1651" customWidth="1"/>
    <col min="13573" max="13573" width="16" style="1651" customWidth="1"/>
    <col min="13574" max="13574" width="15.85546875" style="1651" customWidth="1"/>
    <col min="13575" max="13821" width="8" style="1651" customWidth="1"/>
    <col min="13822" max="13822" width="3" style="1651" bestFit="1" customWidth="1"/>
    <col min="13823" max="13825" width="3" style="1651"/>
    <col min="13826" max="13826" width="3.28515625" style="1651" bestFit="1" customWidth="1"/>
    <col min="13827" max="13827" width="5.140625" style="1651" customWidth="1"/>
    <col min="13828" max="13828" width="58.42578125" style="1651" customWidth="1"/>
    <col min="13829" max="13829" width="16" style="1651" customWidth="1"/>
    <col min="13830" max="13830" width="15.85546875" style="1651" customWidth="1"/>
    <col min="13831" max="14077" width="8" style="1651" customWidth="1"/>
    <col min="14078" max="14078" width="3" style="1651" bestFit="1" customWidth="1"/>
    <col min="14079" max="14081" width="3" style="1651"/>
    <col min="14082" max="14082" width="3.28515625" style="1651" bestFit="1" customWidth="1"/>
    <col min="14083" max="14083" width="5.140625" style="1651" customWidth="1"/>
    <col min="14084" max="14084" width="58.42578125" style="1651" customWidth="1"/>
    <col min="14085" max="14085" width="16" style="1651" customWidth="1"/>
    <col min="14086" max="14086" width="15.85546875" style="1651" customWidth="1"/>
    <col min="14087" max="14333" width="8" style="1651" customWidth="1"/>
    <col min="14334" max="14334" width="3" style="1651" bestFit="1" customWidth="1"/>
    <col min="14335" max="14337" width="3" style="1651"/>
    <col min="14338" max="14338" width="3.28515625" style="1651" bestFit="1" customWidth="1"/>
    <col min="14339" max="14339" width="5.140625" style="1651" customWidth="1"/>
    <col min="14340" max="14340" width="58.42578125" style="1651" customWidth="1"/>
    <col min="14341" max="14341" width="16" style="1651" customWidth="1"/>
    <col min="14342" max="14342" width="15.85546875" style="1651" customWidth="1"/>
    <col min="14343" max="14589" width="8" style="1651" customWidth="1"/>
    <col min="14590" max="14590" width="3" style="1651" bestFit="1" customWidth="1"/>
    <col min="14591" max="14593" width="3" style="1651"/>
    <col min="14594" max="14594" width="3.28515625" style="1651" bestFit="1" customWidth="1"/>
    <col min="14595" max="14595" width="5.140625" style="1651" customWidth="1"/>
    <col min="14596" max="14596" width="58.42578125" style="1651" customWidth="1"/>
    <col min="14597" max="14597" width="16" style="1651" customWidth="1"/>
    <col min="14598" max="14598" width="15.85546875" style="1651" customWidth="1"/>
    <col min="14599" max="14845" width="8" style="1651" customWidth="1"/>
    <col min="14846" max="14846" width="3" style="1651" bestFit="1" customWidth="1"/>
    <col min="14847" max="14849" width="3" style="1651"/>
    <col min="14850" max="14850" width="3.28515625" style="1651" bestFit="1" customWidth="1"/>
    <col min="14851" max="14851" width="5.140625" style="1651" customWidth="1"/>
    <col min="14852" max="14852" width="58.42578125" style="1651" customWidth="1"/>
    <col min="14853" max="14853" width="16" style="1651" customWidth="1"/>
    <col min="14854" max="14854" width="15.85546875" style="1651" customWidth="1"/>
    <col min="14855" max="15101" width="8" style="1651" customWidth="1"/>
    <col min="15102" max="15102" width="3" style="1651" bestFit="1" customWidth="1"/>
    <col min="15103" max="15105" width="3" style="1651"/>
    <col min="15106" max="15106" width="3.28515625" style="1651" bestFit="1" customWidth="1"/>
    <col min="15107" max="15107" width="5.140625" style="1651" customWidth="1"/>
    <col min="15108" max="15108" width="58.42578125" style="1651" customWidth="1"/>
    <col min="15109" max="15109" width="16" style="1651" customWidth="1"/>
    <col min="15110" max="15110" width="15.85546875" style="1651" customWidth="1"/>
    <col min="15111" max="15357" width="8" style="1651" customWidth="1"/>
    <col min="15358" max="15358" width="3" style="1651" bestFit="1" customWidth="1"/>
    <col min="15359" max="15361" width="3" style="1651"/>
    <col min="15362" max="15362" width="3.28515625" style="1651" bestFit="1" customWidth="1"/>
    <col min="15363" max="15363" width="5.140625" style="1651" customWidth="1"/>
    <col min="15364" max="15364" width="58.42578125" style="1651" customWidth="1"/>
    <col min="15365" max="15365" width="16" style="1651" customWidth="1"/>
    <col min="15366" max="15366" width="15.85546875" style="1651" customWidth="1"/>
    <col min="15367" max="15613" width="8" style="1651" customWidth="1"/>
    <col min="15614" max="15614" width="3" style="1651" bestFit="1" customWidth="1"/>
    <col min="15615" max="15617" width="3" style="1651"/>
    <col min="15618" max="15618" width="3.28515625" style="1651" bestFit="1" customWidth="1"/>
    <col min="15619" max="15619" width="5.140625" style="1651" customWidth="1"/>
    <col min="15620" max="15620" width="58.42578125" style="1651" customWidth="1"/>
    <col min="15621" max="15621" width="16" style="1651" customWidth="1"/>
    <col min="15622" max="15622" width="15.85546875" style="1651" customWidth="1"/>
    <col min="15623" max="15869" width="8" style="1651" customWidth="1"/>
    <col min="15870" max="15870" width="3" style="1651" bestFit="1" customWidth="1"/>
    <col min="15871" max="15873" width="3" style="1651"/>
    <col min="15874" max="15874" width="3.28515625" style="1651" bestFit="1" customWidth="1"/>
    <col min="15875" max="15875" width="5.140625" style="1651" customWidth="1"/>
    <col min="15876" max="15876" width="58.42578125" style="1651" customWidth="1"/>
    <col min="15877" max="15877" width="16" style="1651" customWidth="1"/>
    <col min="15878" max="15878" width="15.85546875" style="1651" customWidth="1"/>
    <col min="15879" max="16125" width="8" style="1651" customWidth="1"/>
    <col min="16126" max="16126" width="3" style="1651" bestFit="1" customWidth="1"/>
    <col min="16127" max="16129" width="3" style="1651"/>
    <col min="16130" max="16130" width="3.28515625" style="1651" bestFit="1" customWidth="1"/>
    <col min="16131" max="16131" width="5.140625" style="1651" customWidth="1"/>
    <col min="16132" max="16132" width="58.42578125" style="1651" customWidth="1"/>
    <col min="16133" max="16133" width="16" style="1651" customWidth="1"/>
    <col min="16134" max="16134" width="15.85546875" style="1651" customWidth="1"/>
    <col min="16135" max="16381" width="8" style="1651" customWidth="1"/>
    <col min="16382" max="16382" width="3" style="1651" bestFit="1" customWidth="1"/>
    <col min="16383" max="16384" width="3" style="1651"/>
  </cols>
  <sheetData>
    <row r="1" spans="1:255" x14ac:dyDescent="0.3">
      <c r="B1" s="1870" t="s">
        <v>1250</v>
      </c>
      <c r="C1" s="1870"/>
      <c r="D1" s="1871"/>
      <c r="E1" s="1607"/>
      <c r="F1" s="1608"/>
      <c r="G1" s="1608"/>
      <c r="H1" s="1608"/>
      <c r="I1" s="1608"/>
      <c r="J1" s="1608"/>
      <c r="K1" s="1608"/>
      <c r="L1" s="1608"/>
      <c r="M1" s="1608"/>
      <c r="N1" s="1608"/>
      <c r="O1" s="1608"/>
      <c r="P1" s="1608"/>
      <c r="Q1" s="1608"/>
      <c r="R1" s="1608"/>
      <c r="S1" s="1608"/>
      <c r="T1" s="1608"/>
      <c r="U1" s="1608"/>
      <c r="V1" s="1608"/>
      <c r="W1" s="1608"/>
      <c r="X1" s="1608"/>
      <c r="Y1" s="1608"/>
      <c r="Z1" s="1608"/>
      <c r="AA1" s="1608"/>
      <c r="AB1" s="1608"/>
      <c r="AC1" s="1608"/>
      <c r="AD1" s="1608"/>
      <c r="AE1" s="1608"/>
      <c r="AF1" s="1608"/>
      <c r="AG1" s="1608"/>
      <c r="AH1" s="1608"/>
      <c r="AI1" s="1608"/>
      <c r="AJ1" s="1608"/>
      <c r="AK1" s="1608"/>
      <c r="AL1" s="1608"/>
      <c r="AM1" s="1608"/>
      <c r="AN1" s="1608"/>
      <c r="AO1" s="1608"/>
      <c r="AP1" s="1608"/>
      <c r="AQ1" s="1608"/>
      <c r="AR1" s="1608"/>
      <c r="AS1" s="1608"/>
      <c r="AT1" s="1608"/>
      <c r="AU1" s="1608"/>
      <c r="AV1" s="1608"/>
      <c r="AW1" s="1608"/>
      <c r="AX1" s="1608"/>
      <c r="AY1" s="1608"/>
      <c r="AZ1" s="1608"/>
      <c r="BA1" s="1608"/>
      <c r="BB1" s="1608"/>
      <c r="BC1" s="1608"/>
      <c r="BD1" s="1608"/>
      <c r="BE1" s="1608"/>
      <c r="BF1" s="1608"/>
      <c r="BG1" s="1608"/>
      <c r="BH1" s="1608"/>
      <c r="BI1" s="1608"/>
      <c r="BJ1" s="1608"/>
      <c r="BK1" s="1608"/>
      <c r="BL1" s="1608"/>
      <c r="BM1" s="1608"/>
      <c r="BN1" s="1608"/>
      <c r="BO1" s="1608"/>
      <c r="BP1" s="1608"/>
      <c r="BQ1" s="1608"/>
      <c r="BR1" s="1608"/>
      <c r="BS1" s="1608"/>
      <c r="BT1" s="1608"/>
      <c r="BU1" s="1608"/>
      <c r="BV1" s="1608"/>
      <c r="BW1" s="1608"/>
      <c r="BX1" s="1608"/>
      <c r="BY1" s="1608"/>
      <c r="BZ1" s="1608"/>
      <c r="CA1" s="1608"/>
      <c r="CB1" s="1608"/>
      <c r="CC1" s="1608"/>
      <c r="CD1" s="1608"/>
      <c r="CE1" s="1608"/>
      <c r="CF1" s="1608"/>
      <c r="CG1" s="1608"/>
      <c r="CH1" s="1608"/>
      <c r="CI1" s="1608"/>
      <c r="CJ1" s="1608"/>
      <c r="CK1" s="1608"/>
      <c r="CL1" s="1608"/>
      <c r="CM1" s="1608"/>
      <c r="CN1" s="1608"/>
      <c r="CO1" s="1608"/>
      <c r="CP1" s="1608"/>
      <c r="CQ1" s="1608"/>
      <c r="CR1" s="1608"/>
      <c r="CS1" s="1608"/>
      <c r="CT1" s="1608"/>
      <c r="CU1" s="1608"/>
      <c r="CV1" s="1608"/>
      <c r="CW1" s="1608"/>
      <c r="CX1" s="1608"/>
      <c r="CY1" s="1608"/>
      <c r="CZ1" s="1608"/>
      <c r="DA1" s="1608"/>
      <c r="DB1" s="1608"/>
      <c r="DC1" s="1608"/>
      <c r="DD1" s="1608"/>
      <c r="DE1" s="1608"/>
      <c r="DF1" s="1608"/>
      <c r="DG1" s="1608"/>
      <c r="DH1" s="1608"/>
      <c r="DI1" s="1608"/>
      <c r="DJ1" s="1608"/>
      <c r="DK1" s="1608"/>
      <c r="DL1" s="1608"/>
      <c r="DM1" s="1608"/>
      <c r="DN1" s="1608"/>
      <c r="DO1" s="1608"/>
      <c r="DP1" s="1608"/>
      <c r="DQ1" s="1608"/>
      <c r="DR1" s="1608"/>
      <c r="DS1" s="1608"/>
      <c r="DT1" s="1608"/>
      <c r="DU1" s="1608"/>
      <c r="DV1" s="1608"/>
      <c r="DW1" s="1608"/>
      <c r="DX1" s="1608"/>
      <c r="DY1" s="1608"/>
      <c r="DZ1" s="1608"/>
      <c r="EA1" s="1608"/>
      <c r="EB1" s="1608"/>
      <c r="EC1" s="1608"/>
      <c r="ED1" s="1608"/>
      <c r="EE1" s="1608"/>
      <c r="EF1" s="1608"/>
      <c r="EG1" s="1608"/>
      <c r="EH1" s="1608"/>
      <c r="EI1" s="1608"/>
      <c r="EJ1" s="1608"/>
      <c r="EK1" s="1608"/>
      <c r="EL1" s="1608"/>
      <c r="EM1" s="1608"/>
      <c r="EN1" s="1608"/>
      <c r="EO1" s="1608"/>
      <c r="EP1" s="1608"/>
      <c r="EQ1" s="1608"/>
      <c r="ER1" s="1608"/>
      <c r="ES1" s="1608"/>
      <c r="ET1" s="1608"/>
      <c r="EU1" s="1608"/>
      <c r="EV1" s="1608"/>
      <c r="EW1" s="1608"/>
      <c r="EX1" s="1608"/>
      <c r="EY1" s="1608"/>
      <c r="EZ1" s="1608"/>
      <c r="FA1" s="1608"/>
      <c r="FB1" s="1608"/>
      <c r="FC1" s="1608"/>
      <c r="FD1" s="1608"/>
      <c r="FE1" s="1608"/>
      <c r="FF1" s="1608"/>
      <c r="FG1" s="1608"/>
      <c r="FH1" s="1608"/>
      <c r="FI1" s="1608"/>
      <c r="FJ1" s="1608"/>
      <c r="FK1" s="1608"/>
      <c r="FL1" s="1608"/>
      <c r="FM1" s="1608"/>
      <c r="FN1" s="1608"/>
      <c r="FO1" s="1608"/>
      <c r="FP1" s="1608"/>
      <c r="FQ1" s="1608"/>
      <c r="FR1" s="1608"/>
      <c r="FS1" s="1608"/>
      <c r="FT1" s="1608"/>
      <c r="FU1" s="1608"/>
      <c r="FV1" s="1608"/>
      <c r="FW1" s="1608"/>
      <c r="FX1" s="1608"/>
      <c r="FY1" s="1608"/>
      <c r="FZ1" s="1608"/>
      <c r="GA1" s="1608"/>
      <c r="GB1" s="1608"/>
      <c r="GC1" s="1608"/>
      <c r="GD1" s="1608"/>
      <c r="GE1" s="1608"/>
      <c r="GF1" s="1608"/>
      <c r="GG1" s="1608"/>
      <c r="GH1" s="1608"/>
      <c r="GI1" s="1608"/>
      <c r="GJ1" s="1608"/>
      <c r="GK1" s="1608"/>
      <c r="GL1" s="1608"/>
      <c r="GM1" s="1608"/>
      <c r="GN1" s="1608"/>
      <c r="GO1" s="1608"/>
      <c r="GP1" s="1608"/>
      <c r="GQ1" s="1608"/>
      <c r="GR1" s="1608"/>
      <c r="GS1" s="1608"/>
      <c r="GT1" s="1608"/>
      <c r="GU1" s="1608"/>
      <c r="GV1" s="1608"/>
      <c r="GW1" s="1608"/>
      <c r="GX1" s="1608"/>
      <c r="GY1" s="1608"/>
      <c r="GZ1" s="1608"/>
      <c r="HA1" s="1608"/>
      <c r="HB1" s="1608"/>
      <c r="HC1" s="1608"/>
      <c r="HD1" s="1608"/>
      <c r="HE1" s="1608"/>
      <c r="HF1" s="1608"/>
      <c r="HG1" s="1608"/>
      <c r="HH1" s="1608"/>
      <c r="HI1" s="1608"/>
      <c r="HJ1" s="1608"/>
      <c r="HK1" s="1608"/>
      <c r="HL1" s="1608"/>
      <c r="HM1" s="1608"/>
      <c r="HN1" s="1608"/>
      <c r="HO1" s="1608"/>
      <c r="HP1" s="1608"/>
      <c r="HQ1" s="1608"/>
      <c r="HR1" s="1608"/>
      <c r="HS1" s="1608"/>
      <c r="HT1" s="1608"/>
      <c r="HU1" s="1608"/>
      <c r="HV1" s="1608"/>
      <c r="HW1" s="1608"/>
      <c r="HX1" s="1608"/>
      <c r="HY1" s="1608"/>
      <c r="HZ1" s="1608"/>
      <c r="IA1" s="1608"/>
      <c r="IB1" s="1608"/>
      <c r="IC1" s="1608"/>
      <c r="ID1" s="1608"/>
      <c r="IE1" s="1608"/>
      <c r="IF1" s="1608"/>
      <c r="IG1" s="1608"/>
      <c r="IH1" s="1608"/>
      <c r="II1" s="1608"/>
      <c r="IJ1" s="1608"/>
      <c r="IK1" s="1608"/>
      <c r="IL1" s="1608"/>
      <c r="IM1" s="1608"/>
      <c r="IN1" s="1608"/>
      <c r="IO1" s="1608"/>
      <c r="IP1" s="1608"/>
      <c r="IQ1" s="1608"/>
      <c r="IR1" s="1608"/>
      <c r="IS1" s="1608"/>
      <c r="IT1" s="1608"/>
      <c r="IU1" s="1650"/>
    </row>
    <row r="2" spans="1:255" x14ac:dyDescent="0.3">
      <c r="B2" s="1652"/>
      <c r="C2" s="1652"/>
      <c r="D2" s="1652"/>
      <c r="E2" s="1607"/>
      <c r="F2" s="1608"/>
      <c r="G2" s="1608"/>
      <c r="H2" s="1608"/>
      <c r="I2" s="1608"/>
      <c r="J2" s="1608"/>
      <c r="K2" s="1608"/>
      <c r="L2" s="1608"/>
      <c r="M2" s="1608"/>
      <c r="N2" s="1608"/>
      <c r="O2" s="1608"/>
      <c r="P2" s="1608"/>
      <c r="Q2" s="1608"/>
      <c r="R2" s="1608"/>
      <c r="S2" s="1608"/>
      <c r="T2" s="1608"/>
      <c r="U2" s="1608"/>
      <c r="V2" s="1608"/>
      <c r="W2" s="1608"/>
      <c r="X2" s="1608"/>
      <c r="Y2" s="1608"/>
      <c r="Z2" s="1608"/>
      <c r="AA2" s="1608"/>
      <c r="AB2" s="1608"/>
      <c r="AC2" s="1608"/>
      <c r="AD2" s="1608"/>
      <c r="AE2" s="1608"/>
      <c r="AF2" s="1608"/>
      <c r="AG2" s="1608"/>
      <c r="AH2" s="1608"/>
      <c r="AI2" s="1608"/>
      <c r="AJ2" s="1608"/>
      <c r="AK2" s="1608"/>
      <c r="AL2" s="1608"/>
      <c r="AM2" s="1608"/>
      <c r="AN2" s="1608"/>
      <c r="AO2" s="1608"/>
      <c r="AP2" s="1608"/>
      <c r="AQ2" s="1608"/>
      <c r="AR2" s="1608"/>
      <c r="AS2" s="1608"/>
      <c r="AT2" s="1608"/>
      <c r="AU2" s="1608"/>
      <c r="AV2" s="1608"/>
      <c r="AW2" s="1608"/>
      <c r="AX2" s="1608"/>
      <c r="AY2" s="1608"/>
      <c r="AZ2" s="1608"/>
      <c r="BA2" s="1608"/>
      <c r="BB2" s="1608"/>
      <c r="BC2" s="1608"/>
      <c r="BD2" s="1608"/>
      <c r="BE2" s="1608"/>
      <c r="BF2" s="1608"/>
      <c r="BG2" s="1608"/>
      <c r="BH2" s="1608"/>
      <c r="BI2" s="1608"/>
      <c r="BJ2" s="1608"/>
      <c r="BK2" s="1608"/>
      <c r="BL2" s="1608"/>
      <c r="BM2" s="1608"/>
      <c r="BN2" s="1608"/>
      <c r="BO2" s="1608"/>
      <c r="BP2" s="1608"/>
      <c r="BQ2" s="1608"/>
      <c r="BR2" s="1608"/>
      <c r="BS2" s="1608"/>
      <c r="BT2" s="1608"/>
      <c r="BU2" s="1608"/>
      <c r="BV2" s="1608"/>
      <c r="BW2" s="1608"/>
      <c r="BX2" s="1608"/>
      <c r="BY2" s="1608"/>
      <c r="BZ2" s="1608"/>
      <c r="CA2" s="1608"/>
      <c r="CB2" s="1608"/>
      <c r="CC2" s="1608"/>
      <c r="CD2" s="1608"/>
      <c r="CE2" s="1608"/>
      <c r="CF2" s="1608"/>
      <c r="CG2" s="1608"/>
      <c r="CH2" s="1608"/>
      <c r="CI2" s="1608"/>
      <c r="CJ2" s="1608"/>
      <c r="CK2" s="1608"/>
      <c r="CL2" s="1608"/>
      <c r="CM2" s="1608"/>
      <c r="CN2" s="1608"/>
      <c r="CO2" s="1608"/>
      <c r="CP2" s="1608"/>
      <c r="CQ2" s="1608"/>
      <c r="CR2" s="1608"/>
      <c r="CS2" s="1608"/>
      <c r="CT2" s="1608"/>
      <c r="CU2" s="1608"/>
      <c r="CV2" s="1608"/>
      <c r="CW2" s="1608"/>
      <c r="CX2" s="1608"/>
      <c r="CY2" s="1608"/>
      <c r="CZ2" s="1608"/>
      <c r="DA2" s="1608"/>
      <c r="DB2" s="1608"/>
      <c r="DC2" s="1608"/>
      <c r="DD2" s="1608"/>
      <c r="DE2" s="1608"/>
      <c r="DF2" s="1608"/>
      <c r="DG2" s="1608"/>
      <c r="DH2" s="1608"/>
      <c r="DI2" s="1608"/>
      <c r="DJ2" s="1608"/>
      <c r="DK2" s="1608"/>
      <c r="DL2" s="1608"/>
      <c r="DM2" s="1608"/>
      <c r="DN2" s="1608"/>
      <c r="DO2" s="1608"/>
      <c r="DP2" s="1608"/>
      <c r="DQ2" s="1608"/>
      <c r="DR2" s="1608"/>
      <c r="DS2" s="1608"/>
      <c r="DT2" s="1608"/>
      <c r="DU2" s="1608"/>
      <c r="DV2" s="1608"/>
      <c r="DW2" s="1608"/>
      <c r="DX2" s="1608"/>
      <c r="DY2" s="1608"/>
      <c r="DZ2" s="1608"/>
      <c r="EA2" s="1608"/>
      <c r="EB2" s="1608"/>
      <c r="EC2" s="1608"/>
      <c r="ED2" s="1608"/>
      <c r="EE2" s="1608"/>
      <c r="EF2" s="1608"/>
      <c r="EG2" s="1608"/>
      <c r="EH2" s="1608"/>
      <c r="EI2" s="1608"/>
      <c r="EJ2" s="1608"/>
      <c r="EK2" s="1608"/>
      <c r="EL2" s="1608"/>
      <c r="EM2" s="1608"/>
      <c r="EN2" s="1608"/>
      <c r="EO2" s="1608"/>
      <c r="EP2" s="1608"/>
      <c r="EQ2" s="1608"/>
      <c r="ER2" s="1608"/>
      <c r="ES2" s="1608"/>
      <c r="ET2" s="1608"/>
      <c r="EU2" s="1608"/>
      <c r="EV2" s="1608"/>
      <c r="EW2" s="1608"/>
      <c r="EX2" s="1608"/>
      <c r="EY2" s="1608"/>
      <c r="EZ2" s="1608"/>
      <c r="FA2" s="1608"/>
      <c r="FB2" s="1608"/>
      <c r="FC2" s="1608"/>
      <c r="FD2" s="1608"/>
      <c r="FE2" s="1608"/>
      <c r="FF2" s="1608"/>
      <c r="FG2" s="1608"/>
      <c r="FH2" s="1608"/>
      <c r="FI2" s="1608"/>
      <c r="FJ2" s="1608"/>
      <c r="FK2" s="1608"/>
      <c r="FL2" s="1608"/>
      <c r="FM2" s="1608"/>
      <c r="FN2" s="1608"/>
      <c r="FO2" s="1608"/>
      <c r="FP2" s="1608"/>
      <c r="FQ2" s="1608"/>
      <c r="FR2" s="1608"/>
      <c r="FS2" s="1608"/>
      <c r="FT2" s="1608"/>
      <c r="FU2" s="1608"/>
      <c r="FV2" s="1608"/>
      <c r="FW2" s="1608"/>
      <c r="FX2" s="1608"/>
      <c r="FY2" s="1608"/>
      <c r="FZ2" s="1608"/>
      <c r="GA2" s="1608"/>
      <c r="GB2" s="1608"/>
      <c r="GC2" s="1608"/>
      <c r="GD2" s="1608"/>
      <c r="GE2" s="1608"/>
      <c r="GF2" s="1608"/>
      <c r="GG2" s="1608"/>
      <c r="GH2" s="1608"/>
      <c r="GI2" s="1608"/>
      <c r="GJ2" s="1608"/>
      <c r="GK2" s="1608"/>
      <c r="GL2" s="1608"/>
      <c r="GM2" s="1608"/>
      <c r="GN2" s="1608"/>
      <c r="GO2" s="1608"/>
      <c r="GP2" s="1608"/>
      <c r="GQ2" s="1608"/>
      <c r="GR2" s="1608"/>
      <c r="GS2" s="1608"/>
      <c r="GT2" s="1608"/>
      <c r="GU2" s="1608"/>
      <c r="GV2" s="1608"/>
      <c r="GW2" s="1608"/>
      <c r="GX2" s="1608"/>
      <c r="GY2" s="1608"/>
      <c r="GZ2" s="1608"/>
      <c r="HA2" s="1608"/>
      <c r="HB2" s="1608"/>
      <c r="HC2" s="1608"/>
      <c r="HD2" s="1608"/>
      <c r="HE2" s="1608"/>
      <c r="HF2" s="1608"/>
      <c r="HG2" s="1608"/>
      <c r="HH2" s="1608"/>
      <c r="HI2" s="1608"/>
      <c r="HJ2" s="1608"/>
      <c r="HK2" s="1608"/>
      <c r="HL2" s="1608"/>
      <c r="HM2" s="1608"/>
      <c r="HN2" s="1608"/>
      <c r="HO2" s="1608"/>
      <c r="HP2" s="1608"/>
      <c r="HQ2" s="1608"/>
      <c r="HR2" s="1608"/>
      <c r="HS2" s="1608"/>
      <c r="HT2" s="1608"/>
      <c r="HU2" s="1608"/>
      <c r="HV2" s="1608"/>
      <c r="HW2" s="1608"/>
      <c r="HX2" s="1608"/>
      <c r="HY2" s="1608"/>
      <c r="HZ2" s="1608"/>
      <c r="IA2" s="1608"/>
      <c r="IB2" s="1608"/>
      <c r="IC2" s="1608"/>
      <c r="ID2" s="1608"/>
      <c r="IE2" s="1608"/>
      <c r="IF2" s="1608"/>
      <c r="IG2" s="1608"/>
      <c r="IH2" s="1608"/>
      <c r="II2" s="1608"/>
      <c r="IJ2" s="1608"/>
      <c r="IK2" s="1608"/>
      <c r="IL2" s="1608"/>
      <c r="IM2" s="1608"/>
      <c r="IN2" s="1608"/>
      <c r="IO2" s="1608"/>
      <c r="IP2" s="1608"/>
      <c r="IQ2" s="1608"/>
      <c r="IR2" s="1608"/>
      <c r="IS2" s="1608"/>
      <c r="IT2" s="1608"/>
      <c r="IU2" s="1650"/>
    </row>
    <row r="3" spans="1:255" x14ac:dyDescent="0.35">
      <c r="B3" s="1872" t="s">
        <v>1229</v>
      </c>
      <c r="C3" s="1872"/>
      <c r="D3" s="1872"/>
      <c r="E3" s="1872"/>
      <c r="F3" s="1872"/>
      <c r="G3" s="1609"/>
      <c r="H3" s="1609"/>
      <c r="I3" s="1609"/>
      <c r="J3" s="1609"/>
      <c r="K3" s="1609"/>
      <c r="L3" s="1609"/>
      <c r="M3" s="1609"/>
      <c r="N3" s="1609"/>
      <c r="O3" s="1609"/>
      <c r="P3" s="1609"/>
      <c r="Q3" s="1609"/>
      <c r="R3" s="1609"/>
      <c r="S3" s="1609"/>
      <c r="T3" s="1609"/>
      <c r="U3" s="1609"/>
      <c r="V3" s="1609"/>
      <c r="W3" s="1609"/>
      <c r="X3" s="1609"/>
      <c r="Y3" s="1609"/>
      <c r="Z3" s="1609"/>
      <c r="AA3" s="1609"/>
      <c r="AB3" s="1609"/>
      <c r="AC3" s="1609"/>
      <c r="AD3" s="1609"/>
      <c r="AE3" s="1609"/>
      <c r="AF3" s="1609"/>
      <c r="AG3" s="1609"/>
      <c r="AH3" s="1609"/>
      <c r="AI3" s="1609"/>
      <c r="AJ3" s="1609"/>
      <c r="AK3" s="1609"/>
      <c r="AL3" s="1609"/>
      <c r="AM3" s="1609"/>
      <c r="AN3" s="1609"/>
      <c r="AO3" s="1609"/>
      <c r="AP3" s="1609"/>
      <c r="AQ3" s="1609"/>
      <c r="AR3" s="1609"/>
      <c r="AS3" s="1609"/>
      <c r="AT3" s="1609"/>
      <c r="AU3" s="1609"/>
      <c r="AV3" s="1609"/>
      <c r="AW3" s="1609"/>
      <c r="AX3" s="1609"/>
      <c r="AY3" s="1609"/>
      <c r="AZ3" s="1609"/>
      <c r="BA3" s="1609"/>
      <c r="BB3" s="1609"/>
      <c r="BC3" s="1609"/>
      <c r="BD3" s="1609"/>
      <c r="BE3" s="1609"/>
      <c r="BF3" s="1609"/>
      <c r="BG3" s="1609"/>
      <c r="BH3" s="1609"/>
      <c r="BI3" s="1609"/>
      <c r="BJ3" s="1609"/>
      <c r="BK3" s="1609"/>
      <c r="BL3" s="1609"/>
      <c r="BM3" s="1609"/>
      <c r="BN3" s="1609"/>
      <c r="BO3" s="1609"/>
      <c r="BP3" s="1609"/>
      <c r="BQ3" s="1609"/>
      <c r="BR3" s="1609"/>
      <c r="BS3" s="1609"/>
      <c r="BT3" s="1609"/>
      <c r="BU3" s="1609"/>
      <c r="BV3" s="1609"/>
      <c r="BW3" s="1609"/>
      <c r="BX3" s="1609"/>
      <c r="BY3" s="1609"/>
      <c r="BZ3" s="1609"/>
      <c r="CA3" s="1609"/>
      <c r="CB3" s="1609"/>
      <c r="CC3" s="1609"/>
      <c r="CD3" s="1609"/>
      <c r="CE3" s="1609"/>
      <c r="CF3" s="1609"/>
      <c r="CG3" s="1609"/>
      <c r="CH3" s="1609"/>
      <c r="CI3" s="1609"/>
      <c r="CJ3" s="1609"/>
      <c r="CK3" s="1609"/>
      <c r="CL3" s="1609"/>
      <c r="CM3" s="1609"/>
      <c r="CN3" s="1609"/>
      <c r="CO3" s="1609"/>
      <c r="CP3" s="1609"/>
      <c r="CQ3" s="1609"/>
      <c r="CR3" s="1609"/>
      <c r="CS3" s="1609"/>
      <c r="CT3" s="1609"/>
      <c r="CU3" s="1609"/>
      <c r="CV3" s="1609"/>
      <c r="CW3" s="1609"/>
      <c r="CX3" s="1609"/>
      <c r="CY3" s="1609"/>
      <c r="CZ3" s="1609"/>
      <c r="DA3" s="1609"/>
      <c r="DB3" s="1609"/>
      <c r="DC3" s="1609"/>
      <c r="DD3" s="1609"/>
      <c r="DE3" s="1609"/>
      <c r="DF3" s="1609"/>
      <c r="DG3" s="1609"/>
      <c r="DH3" s="1609"/>
      <c r="DI3" s="1609"/>
      <c r="DJ3" s="1609"/>
      <c r="DK3" s="1609"/>
      <c r="DL3" s="1609"/>
      <c r="DM3" s="1609"/>
      <c r="DN3" s="1609"/>
      <c r="DO3" s="1609"/>
      <c r="DP3" s="1609"/>
      <c r="DQ3" s="1609"/>
      <c r="DR3" s="1609"/>
      <c r="DS3" s="1609"/>
      <c r="DT3" s="1609"/>
      <c r="DU3" s="1609"/>
      <c r="DV3" s="1609"/>
      <c r="DW3" s="1609"/>
      <c r="DX3" s="1609"/>
      <c r="DY3" s="1609"/>
      <c r="DZ3" s="1609"/>
      <c r="EA3" s="1609"/>
      <c r="EB3" s="1609"/>
      <c r="EC3" s="1609"/>
      <c r="ED3" s="1609"/>
      <c r="EE3" s="1609"/>
      <c r="EF3" s="1609"/>
      <c r="EG3" s="1609"/>
      <c r="EH3" s="1609"/>
      <c r="EI3" s="1609"/>
      <c r="EJ3" s="1609"/>
      <c r="EK3" s="1609"/>
      <c r="EL3" s="1609"/>
      <c r="EM3" s="1609"/>
      <c r="EN3" s="1609"/>
      <c r="EO3" s="1609"/>
      <c r="EP3" s="1609"/>
      <c r="EQ3" s="1609"/>
      <c r="ER3" s="1609"/>
      <c r="ES3" s="1609"/>
      <c r="ET3" s="1609"/>
      <c r="EU3" s="1609"/>
      <c r="EV3" s="1609"/>
      <c r="EW3" s="1609"/>
      <c r="EX3" s="1609"/>
      <c r="EY3" s="1609"/>
      <c r="EZ3" s="1609"/>
      <c r="FA3" s="1609"/>
      <c r="FB3" s="1609"/>
      <c r="FC3" s="1609"/>
      <c r="FD3" s="1609"/>
      <c r="FE3" s="1609"/>
      <c r="FF3" s="1609"/>
      <c r="FG3" s="1609"/>
      <c r="FH3" s="1609"/>
      <c r="FI3" s="1609"/>
      <c r="FJ3" s="1609"/>
      <c r="FK3" s="1609"/>
      <c r="FL3" s="1609"/>
      <c r="FM3" s="1609"/>
      <c r="FN3" s="1609"/>
      <c r="FO3" s="1609"/>
      <c r="FP3" s="1609"/>
      <c r="FQ3" s="1609"/>
      <c r="FR3" s="1609"/>
      <c r="FS3" s="1609"/>
      <c r="FT3" s="1609"/>
      <c r="FU3" s="1609"/>
      <c r="FV3" s="1609"/>
      <c r="FW3" s="1609"/>
      <c r="FX3" s="1609"/>
      <c r="FY3" s="1609"/>
      <c r="FZ3" s="1609"/>
      <c r="GA3" s="1609"/>
      <c r="GB3" s="1609"/>
      <c r="GC3" s="1609"/>
      <c r="GD3" s="1609"/>
      <c r="GE3" s="1609"/>
      <c r="GF3" s="1609"/>
      <c r="GG3" s="1609"/>
      <c r="GH3" s="1609"/>
      <c r="GI3" s="1609"/>
      <c r="GJ3" s="1609"/>
      <c r="GK3" s="1609"/>
      <c r="GL3" s="1609"/>
      <c r="GM3" s="1609"/>
      <c r="GN3" s="1609"/>
      <c r="GO3" s="1609"/>
      <c r="GP3" s="1609"/>
      <c r="GQ3" s="1609"/>
      <c r="GR3" s="1609"/>
      <c r="GS3" s="1609"/>
      <c r="GT3" s="1609"/>
      <c r="GU3" s="1609"/>
      <c r="GV3" s="1609"/>
      <c r="GW3" s="1609"/>
      <c r="GX3" s="1609"/>
      <c r="GY3" s="1609"/>
      <c r="GZ3" s="1609"/>
      <c r="HA3" s="1609"/>
      <c r="HB3" s="1609"/>
      <c r="HC3" s="1609"/>
      <c r="HD3" s="1609"/>
      <c r="HE3" s="1609"/>
      <c r="HF3" s="1609"/>
      <c r="HG3" s="1609"/>
      <c r="HH3" s="1609"/>
      <c r="HI3" s="1609"/>
      <c r="HJ3" s="1609"/>
      <c r="HK3" s="1609"/>
      <c r="HL3" s="1609"/>
      <c r="HM3" s="1609"/>
      <c r="HN3" s="1609"/>
      <c r="HO3" s="1609"/>
      <c r="HP3" s="1609"/>
      <c r="HQ3" s="1609"/>
      <c r="HR3" s="1609"/>
      <c r="HS3" s="1609"/>
      <c r="HT3" s="1609"/>
      <c r="HU3" s="1609"/>
      <c r="HV3" s="1609"/>
      <c r="HW3" s="1609"/>
      <c r="HX3" s="1609"/>
      <c r="HY3" s="1609"/>
      <c r="HZ3" s="1609"/>
      <c r="IA3" s="1609"/>
      <c r="IB3" s="1609"/>
      <c r="IC3" s="1609"/>
      <c r="ID3" s="1609"/>
      <c r="IE3" s="1609"/>
      <c r="IF3" s="1609"/>
      <c r="IG3" s="1609"/>
      <c r="IH3" s="1609"/>
      <c r="II3" s="1609"/>
      <c r="IJ3" s="1609"/>
      <c r="IK3" s="1609"/>
      <c r="IL3" s="1609"/>
      <c r="IM3" s="1609"/>
      <c r="IN3" s="1609"/>
      <c r="IO3" s="1609"/>
      <c r="IP3" s="1609"/>
      <c r="IQ3" s="1609"/>
      <c r="IR3" s="1609"/>
      <c r="IS3" s="1609"/>
      <c r="IT3" s="1609"/>
      <c r="IU3" s="1653"/>
    </row>
    <row r="4" spans="1:255" x14ac:dyDescent="0.3">
      <c r="B4" s="1873" t="s">
        <v>1230</v>
      </c>
      <c r="C4" s="1873"/>
      <c r="D4" s="1873"/>
      <c r="E4" s="1873"/>
      <c r="F4" s="1873"/>
    </row>
    <row r="5" spans="1:255" x14ac:dyDescent="0.3">
      <c r="B5" s="1636"/>
      <c r="C5" s="1636"/>
      <c r="D5" s="1636"/>
      <c r="E5" s="1636"/>
    </row>
    <row r="6" spans="1:255" ht="45.6" customHeight="1" x14ac:dyDescent="0.3">
      <c r="B6" s="1874" t="s">
        <v>1236</v>
      </c>
      <c r="C6" s="1874"/>
      <c r="D6" s="1874"/>
      <c r="E6" s="1874"/>
      <c r="F6" s="1874"/>
    </row>
    <row r="7" spans="1:255" thickBot="1" x14ac:dyDescent="0.35">
      <c r="B7" s="1875" t="s">
        <v>1</v>
      </c>
      <c r="C7" s="1875"/>
      <c r="D7" s="1611" t="s">
        <v>3</v>
      </c>
      <c r="E7" s="1611" t="s">
        <v>2</v>
      </c>
      <c r="F7" s="1637" t="s">
        <v>4</v>
      </c>
      <c r="G7" s="1637"/>
      <c r="H7" s="1637"/>
      <c r="I7" s="1637"/>
      <c r="J7" s="1637"/>
      <c r="K7" s="1637"/>
      <c r="L7" s="1637"/>
      <c r="M7" s="1637"/>
      <c r="N7" s="1637"/>
      <c r="O7" s="1637"/>
      <c r="P7" s="1637"/>
      <c r="Q7" s="1637"/>
      <c r="R7" s="1637"/>
      <c r="S7" s="1637"/>
      <c r="T7" s="1637"/>
      <c r="U7" s="1637"/>
      <c r="V7" s="1637"/>
      <c r="W7" s="1637"/>
      <c r="X7" s="1637"/>
      <c r="Y7" s="1637"/>
      <c r="Z7" s="1637"/>
      <c r="AA7" s="1637"/>
      <c r="AB7" s="1637"/>
      <c r="AC7" s="1637"/>
      <c r="AD7" s="1637"/>
      <c r="AE7" s="1637"/>
      <c r="AF7" s="1637"/>
      <c r="AG7" s="1637"/>
      <c r="AH7" s="1637"/>
      <c r="AI7" s="1637"/>
      <c r="AJ7" s="1637"/>
      <c r="AK7" s="1637"/>
      <c r="AL7" s="1637"/>
      <c r="AM7" s="1637"/>
      <c r="AN7" s="1637"/>
      <c r="AO7" s="1637"/>
      <c r="AP7" s="1637"/>
      <c r="AQ7" s="1637"/>
      <c r="AR7" s="1637"/>
      <c r="AS7" s="1637"/>
      <c r="AT7" s="1637"/>
      <c r="AU7" s="1637"/>
      <c r="AV7" s="1637"/>
      <c r="AW7" s="1637"/>
      <c r="AX7" s="1637"/>
      <c r="AY7" s="1637"/>
      <c r="AZ7" s="1637"/>
      <c r="BA7" s="1637"/>
      <c r="BB7" s="1637"/>
      <c r="BC7" s="1637"/>
      <c r="BD7" s="1637"/>
      <c r="BE7" s="1637"/>
      <c r="BF7" s="1637"/>
      <c r="BG7" s="1637"/>
      <c r="BH7" s="1637"/>
      <c r="BI7" s="1637"/>
      <c r="BJ7" s="1637"/>
      <c r="BK7" s="1637"/>
      <c r="BL7" s="1637"/>
      <c r="BM7" s="1637"/>
      <c r="BN7" s="1637"/>
      <c r="BO7" s="1637"/>
      <c r="BP7" s="1637"/>
      <c r="BQ7" s="1637"/>
      <c r="BR7" s="1637"/>
      <c r="BS7" s="1637"/>
      <c r="BT7" s="1637"/>
      <c r="BU7" s="1637"/>
      <c r="BV7" s="1637"/>
      <c r="BW7" s="1637"/>
      <c r="BX7" s="1637"/>
      <c r="BY7" s="1637"/>
      <c r="BZ7" s="1637"/>
      <c r="CA7" s="1637"/>
      <c r="CB7" s="1637"/>
      <c r="CC7" s="1637"/>
      <c r="CD7" s="1637"/>
      <c r="CE7" s="1637"/>
      <c r="CF7" s="1637"/>
      <c r="CG7" s="1637"/>
      <c r="CH7" s="1637"/>
      <c r="CI7" s="1637"/>
      <c r="CJ7" s="1637"/>
      <c r="CK7" s="1637"/>
      <c r="CL7" s="1637"/>
      <c r="CM7" s="1637"/>
      <c r="CN7" s="1637"/>
      <c r="CO7" s="1637"/>
      <c r="CP7" s="1637"/>
      <c r="CQ7" s="1637"/>
      <c r="CR7" s="1637"/>
      <c r="CS7" s="1637"/>
      <c r="CT7" s="1637"/>
      <c r="CU7" s="1637"/>
      <c r="CV7" s="1637"/>
      <c r="CW7" s="1637"/>
      <c r="CX7" s="1637"/>
      <c r="CY7" s="1637"/>
      <c r="CZ7" s="1637"/>
      <c r="DA7" s="1637"/>
      <c r="DB7" s="1637"/>
      <c r="DC7" s="1637"/>
      <c r="DD7" s="1637"/>
      <c r="DE7" s="1637"/>
      <c r="DF7" s="1637"/>
      <c r="DG7" s="1637"/>
      <c r="DH7" s="1637"/>
      <c r="DI7" s="1637"/>
      <c r="DJ7" s="1637"/>
      <c r="DK7" s="1637"/>
      <c r="DL7" s="1637"/>
      <c r="DM7" s="1637"/>
      <c r="DN7" s="1637"/>
      <c r="DO7" s="1637"/>
      <c r="DP7" s="1637"/>
      <c r="DQ7" s="1637"/>
      <c r="DR7" s="1637"/>
      <c r="DS7" s="1637"/>
      <c r="DT7" s="1637"/>
      <c r="DU7" s="1637"/>
      <c r="DV7" s="1637"/>
      <c r="DW7" s="1637"/>
      <c r="DX7" s="1637"/>
      <c r="DY7" s="1637"/>
      <c r="DZ7" s="1637"/>
      <c r="EA7" s="1637"/>
      <c r="EB7" s="1637"/>
      <c r="EC7" s="1637"/>
      <c r="ED7" s="1637"/>
      <c r="EE7" s="1637"/>
      <c r="EF7" s="1637"/>
      <c r="EG7" s="1637"/>
      <c r="EH7" s="1637"/>
      <c r="EI7" s="1637"/>
      <c r="EJ7" s="1637"/>
      <c r="EK7" s="1637"/>
      <c r="EL7" s="1637"/>
      <c r="EM7" s="1637"/>
      <c r="EN7" s="1637"/>
      <c r="EO7" s="1637"/>
      <c r="EP7" s="1637"/>
      <c r="EQ7" s="1637"/>
      <c r="ER7" s="1637"/>
      <c r="ES7" s="1637"/>
      <c r="ET7" s="1637"/>
      <c r="EU7" s="1637"/>
      <c r="EV7" s="1637"/>
      <c r="EW7" s="1637"/>
      <c r="EX7" s="1637"/>
      <c r="EY7" s="1637"/>
      <c r="EZ7" s="1637"/>
      <c r="FA7" s="1637"/>
      <c r="FB7" s="1637"/>
      <c r="FC7" s="1637"/>
      <c r="FD7" s="1637"/>
      <c r="FE7" s="1637"/>
      <c r="FF7" s="1637"/>
      <c r="FG7" s="1637"/>
      <c r="FH7" s="1637"/>
      <c r="FI7" s="1637"/>
      <c r="FJ7" s="1637"/>
      <c r="FK7" s="1637"/>
      <c r="FL7" s="1637"/>
      <c r="FM7" s="1637"/>
      <c r="FN7" s="1637"/>
      <c r="FO7" s="1637"/>
      <c r="FP7" s="1637"/>
      <c r="FQ7" s="1637"/>
      <c r="FR7" s="1637"/>
      <c r="FS7" s="1637"/>
      <c r="FT7" s="1637"/>
      <c r="FU7" s="1637"/>
      <c r="FV7" s="1637"/>
      <c r="FW7" s="1637"/>
      <c r="FX7" s="1637"/>
      <c r="FY7" s="1637"/>
      <c r="FZ7" s="1637"/>
      <c r="GA7" s="1637"/>
      <c r="GB7" s="1637"/>
      <c r="GC7" s="1637"/>
      <c r="GD7" s="1637"/>
      <c r="GE7" s="1637"/>
      <c r="GF7" s="1637"/>
      <c r="GG7" s="1637"/>
      <c r="GH7" s="1637"/>
      <c r="GI7" s="1637"/>
      <c r="GJ7" s="1637"/>
      <c r="GK7" s="1637"/>
      <c r="GL7" s="1637"/>
      <c r="GM7" s="1637"/>
      <c r="GN7" s="1637"/>
      <c r="GO7" s="1637"/>
      <c r="GP7" s="1637"/>
      <c r="GQ7" s="1637"/>
      <c r="GR7" s="1637"/>
      <c r="GS7" s="1637"/>
      <c r="GT7" s="1637"/>
      <c r="GU7" s="1637"/>
      <c r="GV7" s="1637"/>
      <c r="GW7" s="1637"/>
      <c r="GX7" s="1637"/>
      <c r="GY7" s="1637"/>
      <c r="GZ7" s="1637"/>
      <c r="HA7" s="1637"/>
      <c r="HB7" s="1637"/>
      <c r="HC7" s="1637"/>
      <c r="HD7" s="1637"/>
      <c r="HE7" s="1637"/>
      <c r="HF7" s="1637"/>
      <c r="HG7" s="1637"/>
      <c r="HH7" s="1637"/>
      <c r="HI7" s="1637"/>
      <c r="HJ7" s="1637"/>
      <c r="HK7" s="1637"/>
      <c r="HL7" s="1637"/>
      <c r="HM7" s="1637"/>
      <c r="HN7" s="1637"/>
      <c r="HO7" s="1637"/>
      <c r="HP7" s="1637"/>
      <c r="HQ7" s="1637"/>
      <c r="HR7" s="1637"/>
      <c r="HS7" s="1637"/>
      <c r="HT7" s="1637"/>
      <c r="HU7" s="1637"/>
      <c r="HV7" s="1637"/>
      <c r="HW7" s="1637"/>
      <c r="HX7" s="1637"/>
      <c r="HY7" s="1637"/>
      <c r="HZ7" s="1637"/>
      <c r="IA7" s="1637"/>
      <c r="IB7" s="1637"/>
      <c r="IC7" s="1637"/>
      <c r="ID7" s="1637"/>
      <c r="IE7" s="1637"/>
      <c r="IF7" s="1637"/>
      <c r="IG7" s="1637"/>
      <c r="IH7" s="1637"/>
      <c r="II7" s="1637"/>
      <c r="IJ7" s="1637"/>
      <c r="IK7" s="1637"/>
      <c r="IL7" s="1637"/>
      <c r="IM7" s="1637"/>
      <c r="IN7" s="1637"/>
      <c r="IO7" s="1637"/>
      <c r="IP7" s="1637"/>
      <c r="IQ7" s="1637"/>
      <c r="IR7" s="1637"/>
      <c r="IS7" s="1637"/>
      <c r="IT7" s="1637"/>
      <c r="IU7" s="1653"/>
    </row>
    <row r="8" spans="1:255" ht="44.1" customHeight="1" thickBot="1" x14ac:dyDescent="0.35">
      <c r="A8" s="1654">
        <v>1</v>
      </c>
      <c r="B8" s="1867" t="s">
        <v>1237</v>
      </c>
      <c r="C8" s="1868"/>
      <c r="D8" s="1869"/>
      <c r="E8" s="1661" t="s">
        <v>1231</v>
      </c>
      <c r="F8" s="1655" t="s">
        <v>1232</v>
      </c>
      <c r="J8" s="1610" t="s">
        <v>270</v>
      </c>
    </row>
    <row r="9" spans="1:255" ht="74.45" customHeight="1" x14ac:dyDescent="0.3">
      <c r="A9" s="1876">
        <v>2</v>
      </c>
      <c r="B9" s="1888">
        <v>1</v>
      </c>
      <c r="C9" s="1890" t="s">
        <v>1238</v>
      </c>
      <c r="D9" s="1891"/>
      <c r="E9" s="1892">
        <v>50000</v>
      </c>
      <c r="F9" s="1893"/>
    </row>
    <row r="10" spans="1:255" ht="34.5" customHeight="1" x14ac:dyDescent="0.3">
      <c r="A10" s="1876"/>
      <c r="B10" s="1889"/>
      <c r="C10" s="1656"/>
      <c r="D10" s="1658" t="s">
        <v>937</v>
      </c>
      <c r="E10" s="1883"/>
      <c r="F10" s="1894"/>
    </row>
    <row r="11" spans="1:255" ht="16.5" x14ac:dyDescent="0.3">
      <c r="A11" s="1876"/>
      <c r="B11" s="1889"/>
      <c r="C11" s="1656"/>
      <c r="D11" s="1658" t="s">
        <v>643</v>
      </c>
      <c r="E11" s="1883"/>
      <c r="F11" s="1894"/>
    </row>
    <row r="12" spans="1:255" ht="42.6" customHeight="1" x14ac:dyDescent="0.3">
      <c r="A12" s="1876">
        <v>3</v>
      </c>
      <c r="B12" s="1877">
        <v>2</v>
      </c>
      <c r="C12" s="1880" t="s">
        <v>1239</v>
      </c>
      <c r="D12" s="1881"/>
      <c r="E12" s="1882">
        <v>50000</v>
      </c>
      <c r="F12" s="1885">
        <v>184000</v>
      </c>
    </row>
    <row r="13" spans="1:255" ht="33" x14ac:dyDescent="0.3">
      <c r="A13" s="1876"/>
      <c r="B13" s="1878"/>
      <c r="C13" s="1656"/>
      <c r="D13" s="1658" t="s">
        <v>363</v>
      </c>
      <c r="E13" s="1883"/>
      <c r="F13" s="1886"/>
    </row>
    <row r="14" spans="1:255" ht="28.5" customHeight="1" x14ac:dyDescent="0.3">
      <c r="A14" s="1876"/>
      <c r="B14" s="1879"/>
      <c r="C14" s="1657"/>
      <c r="D14" s="1663" t="s">
        <v>678</v>
      </c>
      <c r="E14" s="1884"/>
      <c r="F14" s="1887"/>
    </row>
    <row r="15" spans="1:255" ht="56.45" customHeight="1" x14ac:dyDescent="0.3">
      <c r="A15" s="1876">
        <v>4</v>
      </c>
      <c r="B15" s="1878">
        <v>3</v>
      </c>
      <c r="C15" s="1899" t="s">
        <v>1240</v>
      </c>
      <c r="D15" s="1896"/>
      <c r="E15" s="1883">
        <f>193000+39000</f>
        <v>232000</v>
      </c>
      <c r="F15" s="1886">
        <f>148000-39000</f>
        <v>109000</v>
      </c>
    </row>
    <row r="16" spans="1:255" ht="33" x14ac:dyDescent="0.3">
      <c r="A16" s="1876"/>
      <c r="B16" s="1878"/>
      <c r="C16" s="1656"/>
      <c r="D16" s="1658" t="s">
        <v>1241</v>
      </c>
      <c r="E16" s="1883"/>
      <c r="F16" s="1886"/>
    </row>
    <row r="17" spans="1:6" ht="33" x14ac:dyDescent="0.3">
      <c r="A17" s="1876"/>
      <c r="B17" s="1878"/>
      <c r="C17" s="1656"/>
      <c r="D17" s="1658" t="s">
        <v>1242</v>
      </c>
      <c r="E17" s="1883"/>
      <c r="F17" s="1886"/>
    </row>
    <row r="18" spans="1:6" ht="23.45" customHeight="1" x14ac:dyDescent="0.3">
      <c r="A18" s="1876"/>
      <c r="B18" s="1878"/>
      <c r="C18" s="1656"/>
      <c r="D18" s="1658" t="s">
        <v>1243</v>
      </c>
      <c r="E18" s="1883"/>
      <c r="F18" s="1886"/>
    </row>
    <row r="19" spans="1:6" ht="32.450000000000003" customHeight="1" x14ac:dyDescent="0.3">
      <c r="A19" s="1876"/>
      <c r="B19" s="1879"/>
      <c r="C19" s="1657"/>
      <c r="D19" s="1663" t="s">
        <v>1244</v>
      </c>
      <c r="E19" s="1884"/>
      <c r="F19" s="1887"/>
    </row>
    <row r="20" spans="1:6" ht="48.6" customHeight="1" x14ac:dyDescent="0.3">
      <c r="A20" s="1876">
        <v>5</v>
      </c>
      <c r="B20" s="1878">
        <v>5</v>
      </c>
      <c r="C20" s="1895" t="s">
        <v>1245</v>
      </c>
      <c r="D20" s="1896"/>
      <c r="E20" s="1897"/>
      <c r="F20" s="1886">
        <v>44000</v>
      </c>
    </row>
    <row r="21" spans="1:6" ht="18.600000000000001" customHeight="1" x14ac:dyDescent="0.3">
      <c r="A21" s="1876"/>
      <c r="B21" s="1878"/>
      <c r="C21" s="1658"/>
      <c r="D21" s="1658" t="s">
        <v>1246</v>
      </c>
      <c r="E21" s="1897"/>
      <c r="F21" s="1886"/>
    </row>
    <row r="22" spans="1:6" ht="18.95" customHeight="1" x14ac:dyDescent="0.3">
      <c r="A22" s="1876"/>
      <c r="B22" s="1879"/>
      <c r="C22" s="1663"/>
      <c r="D22" s="1663" t="s">
        <v>1247</v>
      </c>
      <c r="E22" s="1898"/>
      <c r="F22" s="1887"/>
    </row>
    <row r="23" spans="1:6" ht="68.099999999999994" customHeight="1" x14ac:dyDescent="0.3">
      <c r="A23" s="1876">
        <v>6</v>
      </c>
      <c r="B23" s="1878">
        <v>7</v>
      </c>
      <c r="C23" s="1904" t="s">
        <v>1248</v>
      </c>
      <c r="D23" s="1896"/>
      <c r="E23" s="1883">
        <v>297000</v>
      </c>
      <c r="F23" s="1886">
        <v>294000</v>
      </c>
    </row>
    <row r="24" spans="1:6" ht="16.5" x14ac:dyDescent="0.3">
      <c r="A24" s="1876"/>
      <c r="B24" s="1878"/>
      <c r="C24" s="1659"/>
      <c r="D24" s="1659" t="s">
        <v>684</v>
      </c>
      <c r="E24" s="1883"/>
      <c r="F24" s="1886"/>
    </row>
    <row r="25" spans="1:6" ht="33" x14ac:dyDescent="0.3">
      <c r="A25" s="1876"/>
      <c r="B25" s="1878"/>
      <c r="C25" s="1659"/>
      <c r="D25" s="1659" t="s">
        <v>500</v>
      </c>
      <c r="E25" s="1883"/>
      <c r="F25" s="1886"/>
    </row>
    <row r="26" spans="1:6" ht="16.5" x14ac:dyDescent="0.3">
      <c r="A26" s="1876"/>
      <c r="B26" s="1878"/>
      <c r="C26" s="1659"/>
      <c r="D26" s="1659" t="s">
        <v>1249</v>
      </c>
      <c r="E26" s="1883"/>
      <c r="F26" s="1886"/>
    </row>
    <row r="27" spans="1:6" ht="33" x14ac:dyDescent="0.3">
      <c r="A27" s="1876"/>
      <c r="B27" s="1878"/>
      <c r="C27" s="1659"/>
      <c r="D27" s="1659" t="s">
        <v>502</v>
      </c>
      <c r="E27" s="1883"/>
      <c r="F27" s="1886"/>
    </row>
    <row r="28" spans="1:6" ht="16.5" x14ac:dyDescent="0.3">
      <c r="A28" s="1876"/>
      <c r="B28" s="1878"/>
      <c r="C28" s="1659"/>
      <c r="D28" s="1659" t="s">
        <v>694</v>
      </c>
      <c r="E28" s="1883"/>
      <c r="F28" s="1886"/>
    </row>
    <row r="29" spans="1:6" ht="16.5" x14ac:dyDescent="0.3">
      <c r="A29" s="1876"/>
      <c r="B29" s="1878"/>
      <c r="C29" s="1659"/>
      <c r="D29" s="1659" t="s">
        <v>642</v>
      </c>
      <c r="E29" s="1883"/>
      <c r="F29" s="1886"/>
    </row>
    <row r="30" spans="1:6" ht="16.5" x14ac:dyDescent="0.3">
      <c r="A30" s="1876"/>
      <c r="B30" s="1878"/>
      <c r="C30" s="1659"/>
      <c r="D30" s="1659" t="s">
        <v>646</v>
      </c>
      <c r="E30" s="1883"/>
      <c r="F30" s="1886"/>
    </row>
    <row r="31" spans="1:6" ht="33.75" thickBot="1" x14ac:dyDescent="0.35">
      <c r="A31" s="1876"/>
      <c r="B31" s="1903"/>
      <c r="C31" s="1660"/>
      <c r="D31" s="1660" t="s">
        <v>514</v>
      </c>
      <c r="E31" s="1905"/>
      <c r="F31" s="1906"/>
    </row>
    <row r="32" spans="1:6" ht="24" customHeight="1" thickBot="1" x14ac:dyDescent="0.35">
      <c r="A32" s="1654">
        <v>7</v>
      </c>
      <c r="B32" s="1907" t="s">
        <v>1233</v>
      </c>
      <c r="C32" s="1908"/>
      <c r="D32" s="1908"/>
      <c r="E32" s="1662">
        <f>SUM(E9:E31)</f>
        <v>629000</v>
      </c>
      <c r="F32" s="1662">
        <f>SUM(F9:F31)</f>
        <v>631000</v>
      </c>
    </row>
    <row r="33" spans="1:6" ht="23.45" customHeight="1" thickBot="1" x14ac:dyDescent="0.35">
      <c r="A33" s="1654">
        <v>8</v>
      </c>
      <c r="B33" s="1867" t="s">
        <v>1234</v>
      </c>
      <c r="C33" s="1900"/>
      <c r="D33" s="1900"/>
      <c r="E33" s="1901">
        <v>1260000</v>
      </c>
      <c r="F33" s="1902"/>
    </row>
  </sheetData>
  <mergeCells count="34">
    <mergeCell ref="B33:D33"/>
    <mergeCell ref="E33:F33"/>
    <mergeCell ref="A23:A31"/>
    <mergeCell ref="B23:B31"/>
    <mergeCell ref="C23:D23"/>
    <mergeCell ref="E23:E31"/>
    <mergeCell ref="F23:F31"/>
    <mergeCell ref="B32:D32"/>
    <mergeCell ref="A15:A19"/>
    <mergeCell ref="B15:B19"/>
    <mergeCell ref="C15:D15"/>
    <mergeCell ref="E15:E19"/>
    <mergeCell ref="F15:F19"/>
    <mergeCell ref="A20:A22"/>
    <mergeCell ref="B20:B22"/>
    <mergeCell ref="C20:D20"/>
    <mergeCell ref="E20:E22"/>
    <mergeCell ref="F20:F22"/>
    <mergeCell ref="A9:A11"/>
    <mergeCell ref="B9:B11"/>
    <mergeCell ref="C9:D9"/>
    <mergeCell ref="E9:E11"/>
    <mergeCell ref="F9:F11"/>
    <mergeCell ref="A12:A14"/>
    <mergeCell ref="B12:B14"/>
    <mergeCell ref="C12:D12"/>
    <mergeCell ref="E12:E14"/>
    <mergeCell ref="F12:F14"/>
    <mergeCell ref="B8:D8"/>
    <mergeCell ref="B1:D1"/>
    <mergeCell ref="B3:F3"/>
    <mergeCell ref="B4:F4"/>
    <mergeCell ref="B6:F6"/>
    <mergeCell ref="B7:C7"/>
  </mergeCells>
  <printOptions horizontalCentered="1"/>
  <pageMargins left="0.70866141732283472" right="0.70866141732283472" top="0.74803149606299213" bottom="0.74803149606299213" header="0.31496062992125984" footer="0.31496062992125984"/>
  <pageSetup paperSize="9" scale="75" pageOrder="overThenDown" orientation="portrait" r:id="rId1"/>
  <headerFooter>
    <oddFooter>&amp;C- &amp;P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1"/>
  <sheetViews>
    <sheetView view="pageBreakPreview" topLeftCell="E25" zoomScaleNormal="100" zoomScaleSheetLayoutView="100" workbookViewId="0">
      <selection activeCell="P29" sqref="P29"/>
    </sheetView>
  </sheetViews>
  <sheetFormatPr defaultColWidth="10.42578125" defaultRowHeight="16.5" x14ac:dyDescent="0.3"/>
  <cols>
    <col min="1" max="1" width="3.7109375" style="269" customWidth="1"/>
    <col min="2" max="2" width="6.42578125" style="270" customWidth="1"/>
    <col min="3" max="3" width="50.7109375" style="1222" customWidth="1"/>
    <col min="4" max="4" width="19.7109375" style="271" customWidth="1"/>
    <col min="5" max="5" width="3" style="269" customWidth="1"/>
    <col min="6" max="11" width="13.7109375" style="269" customWidth="1"/>
    <col min="12" max="12" width="15.7109375" style="269" customWidth="1"/>
    <col min="13" max="17" width="13.7109375" style="269" customWidth="1"/>
    <col min="18" max="18" width="15.7109375" style="269" customWidth="1"/>
    <col min="19" max="16384" width="10.42578125" style="269"/>
  </cols>
  <sheetData>
    <row r="1" spans="1:18" x14ac:dyDescent="0.3">
      <c r="B1" s="1909" t="s">
        <v>1300</v>
      </c>
      <c r="C1" s="1909"/>
      <c r="D1" s="1909"/>
      <c r="E1" s="1909"/>
      <c r="F1" s="1909"/>
      <c r="G1" s="1909"/>
      <c r="H1" s="1909"/>
      <c r="I1" s="1909"/>
      <c r="J1" s="1909"/>
      <c r="K1" s="1909"/>
      <c r="L1" s="1909"/>
      <c r="M1" s="1909"/>
      <c r="N1" s="1909"/>
      <c r="O1" s="1909"/>
      <c r="P1" s="1909"/>
      <c r="Q1" s="1909"/>
      <c r="R1" s="1224"/>
    </row>
    <row r="2" spans="1:18" ht="24.95" customHeight="1" x14ac:dyDescent="0.35">
      <c r="B2" s="1910" t="s">
        <v>127</v>
      </c>
      <c r="C2" s="1910"/>
      <c r="D2" s="1910"/>
      <c r="E2" s="1910"/>
      <c r="F2" s="1910"/>
      <c r="G2" s="1910"/>
      <c r="H2" s="1910"/>
      <c r="I2" s="1910"/>
      <c r="J2" s="1910"/>
      <c r="K2" s="1910"/>
      <c r="L2" s="1910"/>
      <c r="M2" s="1910"/>
      <c r="N2" s="1910"/>
      <c r="O2" s="1910"/>
      <c r="P2" s="1910"/>
      <c r="Q2" s="1910"/>
      <c r="R2" s="1910"/>
    </row>
    <row r="3" spans="1:18" ht="24.95" customHeight="1" x14ac:dyDescent="0.35">
      <c r="B3" s="1910" t="s">
        <v>400</v>
      </c>
      <c r="C3" s="1910"/>
      <c r="D3" s="1910"/>
      <c r="E3" s="1910"/>
      <c r="F3" s="1910"/>
      <c r="G3" s="1910"/>
      <c r="H3" s="1910"/>
      <c r="I3" s="1910"/>
      <c r="J3" s="1910"/>
      <c r="K3" s="1910"/>
      <c r="L3" s="1910"/>
      <c r="M3" s="1910"/>
      <c r="N3" s="1910"/>
      <c r="O3" s="1910"/>
      <c r="P3" s="1910"/>
      <c r="Q3" s="1910"/>
      <c r="R3" s="1910"/>
    </row>
    <row r="4" spans="1:18" ht="24.95" customHeight="1" x14ac:dyDescent="0.35">
      <c r="B4" s="1910" t="s">
        <v>1306</v>
      </c>
      <c r="C4" s="1910"/>
      <c r="D4" s="1910"/>
      <c r="E4" s="1910"/>
      <c r="F4" s="1910"/>
      <c r="G4" s="1910"/>
      <c r="H4" s="1910"/>
      <c r="I4" s="1910"/>
      <c r="J4" s="1910"/>
      <c r="K4" s="1910"/>
      <c r="L4" s="1910"/>
      <c r="M4" s="1910"/>
      <c r="N4" s="1910"/>
      <c r="O4" s="1910"/>
      <c r="P4" s="1910"/>
      <c r="Q4" s="1910"/>
      <c r="R4" s="1910"/>
    </row>
    <row r="5" spans="1:18" ht="17.25" x14ac:dyDescent="0.35">
      <c r="Q5" s="1911" t="s">
        <v>0</v>
      </c>
      <c r="R5" s="1911"/>
    </row>
    <row r="6" spans="1:18" s="270" customFormat="1" ht="17.25" thickBot="1" x14ac:dyDescent="0.35">
      <c r="B6" s="270" t="s">
        <v>1</v>
      </c>
      <c r="C6" s="396" t="s">
        <v>3</v>
      </c>
      <c r="D6" s="271" t="s">
        <v>2</v>
      </c>
      <c r="F6" s="270" t="s">
        <v>4</v>
      </c>
      <c r="G6" s="270" t="s">
        <v>394</v>
      </c>
      <c r="H6" s="270" t="s">
        <v>16</v>
      </c>
      <c r="I6" s="270" t="s">
        <v>17</v>
      </c>
      <c r="J6" s="270" t="s">
        <v>18</v>
      </c>
      <c r="K6" s="270" t="s">
        <v>39</v>
      </c>
      <c r="L6" s="270" t="s">
        <v>31</v>
      </c>
      <c r="M6" s="270" t="s">
        <v>24</v>
      </c>
      <c r="N6" s="270" t="s">
        <v>40</v>
      </c>
      <c r="O6" s="270" t="s">
        <v>41</v>
      </c>
      <c r="P6" s="397" t="s">
        <v>169</v>
      </c>
      <c r="Q6" s="397" t="s">
        <v>170</v>
      </c>
      <c r="R6" s="397" t="s">
        <v>557</v>
      </c>
    </row>
    <row r="7" spans="1:18" s="272" customFormat="1" ht="24.75" customHeight="1" x14ac:dyDescent="0.2">
      <c r="A7" s="398"/>
      <c r="B7" s="1919" t="s">
        <v>354</v>
      </c>
      <c r="C7" s="1922" t="s">
        <v>370</v>
      </c>
      <c r="D7" s="1925" t="s">
        <v>371</v>
      </c>
      <c r="E7" s="285"/>
      <c r="F7" s="1928" t="s">
        <v>390</v>
      </c>
      <c r="G7" s="1929"/>
      <c r="H7" s="1929"/>
      <c r="I7" s="1929"/>
      <c r="J7" s="1929"/>
      <c r="K7" s="1929"/>
      <c r="L7" s="1930"/>
      <c r="M7" s="1931" t="s">
        <v>391</v>
      </c>
      <c r="N7" s="1929"/>
      <c r="O7" s="1929"/>
      <c r="P7" s="1929"/>
      <c r="Q7" s="1929"/>
      <c r="R7" s="1934" t="s">
        <v>706</v>
      </c>
    </row>
    <row r="8" spans="1:18" s="272" customFormat="1" ht="24.75" customHeight="1" x14ac:dyDescent="0.2">
      <c r="A8" s="398"/>
      <c r="B8" s="1920"/>
      <c r="C8" s="1923"/>
      <c r="D8" s="1926"/>
      <c r="E8" s="282"/>
      <c r="F8" s="1937" t="s">
        <v>372</v>
      </c>
      <c r="G8" s="1913" t="s">
        <v>374</v>
      </c>
      <c r="H8" s="1913"/>
      <c r="I8" s="1913"/>
      <c r="J8" s="1913"/>
      <c r="K8" s="1913"/>
      <c r="L8" s="1914" t="s">
        <v>373</v>
      </c>
      <c r="M8" s="1932"/>
      <c r="N8" s="1933"/>
      <c r="O8" s="1933"/>
      <c r="P8" s="1933"/>
      <c r="Q8" s="1933"/>
      <c r="R8" s="1935"/>
    </row>
    <row r="9" spans="1:18" s="272" customFormat="1" ht="33" customHeight="1" thickBot="1" x14ac:dyDescent="0.25">
      <c r="A9" s="398"/>
      <c r="B9" s="1921"/>
      <c r="C9" s="1924"/>
      <c r="D9" s="1927"/>
      <c r="E9" s="282"/>
      <c r="F9" s="1938"/>
      <c r="G9" s="400" t="s">
        <v>392</v>
      </c>
      <c r="H9" s="400" t="s">
        <v>539</v>
      </c>
      <c r="I9" s="400" t="s">
        <v>916</v>
      </c>
      <c r="J9" s="400" t="s">
        <v>647</v>
      </c>
      <c r="K9" s="400" t="s">
        <v>556</v>
      </c>
      <c r="L9" s="1915"/>
      <c r="M9" s="401" t="s">
        <v>393</v>
      </c>
      <c r="N9" s="402" t="s">
        <v>539</v>
      </c>
      <c r="O9" s="402" t="s">
        <v>916</v>
      </c>
      <c r="P9" s="402" t="s">
        <v>647</v>
      </c>
      <c r="Q9" s="402" t="s">
        <v>556</v>
      </c>
      <c r="R9" s="1936"/>
    </row>
    <row r="10" spans="1:18" s="272" customFormat="1" ht="33" x14ac:dyDescent="0.2">
      <c r="A10" s="272">
        <v>1</v>
      </c>
      <c r="B10" s="735">
        <v>1</v>
      </c>
      <c r="C10" s="275" t="s">
        <v>678</v>
      </c>
      <c r="D10" s="276" t="s">
        <v>714</v>
      </c>
      <c r="E10" s="736"/>
      <c r="F10" s="399">
        <f t="shared" ref="F10:F40" si="0">+R10-L10</f>
        <v>187554</v>
      </c>
      <c r="G10" s="274"/>
      <c r="H10" s="274"/>
      <c r="I10" s="274"/>
      <c r="J10" s="274">
        <v>917181</v>
      </c>
      <c r="K10" s="274">
        <v>15000</v>
      </c>
      <c r="L10" s="273">
        <f t="shared" ref="L10:L40" si="1">SUM(G10:K10)</f>
        <v>932181</v>
      </c>
      <c r="M10" s="274"/>
      <c r="N10" s="274"/>
      <c r="O10" s="274"/>
      <c r="P10" s="274">
        <f>918181</f>
        <v>918181</v>
      </c>
      <c r="Q10" s="274">
        <f>186554+15000</f>
        <v>201554</v>
      </c>
      <c r="R10" s="284">
        <f t="shared" ref="R10:R40" si="2">SUM(M10:Q10)</f>
        <v>1119735</v>
      </c>
    </row>
    <row r="11" spans="1:18" s="272" customFormat="1" ht="66" x14ac:dyDescent="0.2">
      <c r="A11" s="272">
        <v>2</v>
      </c>
      <c r="B11" s="735">
        <v>2</v>
      </c>
      <c r="C11" s="275" t="s">
        <v>725</v>
      </c>
      <c r="D11" s="276" t="s">
        <v>714</v>
      </c>
      <c r="E11" s="736"/>
      <c r="F11" s="399">
        <f t="shared" si="0"/>
        <v>113560</v>
      </c>
      <c r="G11" s="274"/>
      <c r="H11" s="274"/>
      <c r="I11" s="274"/>
      <c r="J11" s="274">
        <v>87086</v>
      </c>
      <c r="K11" s="274"/>
      <c r="L11" s="273">
        <f t="shared" si="1"/>
        <v>87086</v>
      </c>
      <c r="M11" s="274"/>
      <c r="N11" s="274"/>
      <c r="O11" s="274">
        <v>4834</v>
      </c>
      <c r="P11" s="274">
        <f>86052+109000</f>
        <v>195052</v>
      </c>
      <c r="Q11" s="274">
        <v>760</v>
      </c>
      <c r="R11" s="284">
        <f t="shared" si="2"/>
        <v>200646</v>
      </c>
    </row>
    <row r="12" spans="1:18" s="272" customFormat="1" ht="33" x14ac:dyDescent="0.3">
      <c r="A12" s="272">
        <v>3</v>
      </c>
      <c r="B12" s="735">
        <v>3</v>
      </c>
      <c r="C12" s="737" t="s">
        <v>723</v>
      </c>
      <c r="D12" s="740" t="s">
        <v>714</v>
      </c>
      <c r="E12" s="736"/>
      <c r="F12" s="399">
        <f t="shared" si="0"/>
        <v>0</v>
      </c>
      <c r="G12" s="274"/>
      <c r="H12" s="274"/>
      <c r="I12" s="274"/>
      <c r="J12" s="274">
        <v>788115</v>
      </c>
      <c r="K12" s="274">
        <v>41400</v>
      </c>
      <c r="L12" s="273">
        <f t="shared" si="1"/>
        <v>829515</v>
      </c>
      <c r="M12" s="274"/>
      <c r="N12" s="274"/>
      <c r="O12" s="274">
        <v>6414</v>
      </c>
      <c r="P12" s="274">
        <f>781615+86</f>
        <v>781701</v>
      </c>
      <c r="Q12" s="274">
        <v>41400</v>
      </c>
      <c r="R12" s="284">
        <f t="shared" si="2"/>
        <v>829515</v>
      </c>
    </row>
    <row r="13" spans="1:18" s="272" customFormat="1" ht="33" x14ac:dyDescent="0.3">
      <c r="A13" s="272">
        <v>4</v>
      </c>
      <c r="B13" s="735">
        <v>4</v>
      </c>
      <c r="C13" s="737" t="s">
        <v>724</v>
      </c>
      <c r="D13" s="740" t="s">
        <v>714</v>
      </c>
      <c r="E13" s="736"/>
      <c r="F13" s="399">
        <f t="shared" si="0"/>
        <v>41474</v>
      </c>
      <c r="G13" s="274"/>
      <c r="H13" s="274"/>
      <c r="I13" s="274"/>
      <c r="J13" s="274">
        <v>134273</v>
      </c>
      <c r="K13" s="274"/>
      <c r="L13" s="273">
        <f t="shared" si="1"/>
        <v>134273</v>
      </c>
      <c r="M13" s="274">
        <v>2921</v>
      </c>
      <c r="N13" s="274">
        <v>3620</v>
      </c>
      <c r="O13" s="274"/>
      <c r="P13" s="274">
        <v>134273</v>
      </c>
      <c r="Q13" s="274">
        <f>34933</f>
        <v>34933</v>
      </c>
      <c r="R13" s="284">
        <f t="shared" si="2"/>
        <v>175747</v>
      </c>
    </row>
    <row r="14" spans="1:18" s="272" customFormat="1" ht="33" x14ac:dyDescent="0.2">
      <c r="A14" s="272">
        <v>5</v>
      </c>
      <c r="B14" s="735">
        <v>5</v>
      </c>
      <c r="C14" s="275" t="s">
        <v>363</v>
      </c>
      <c r="D14" s="276" t="s">
        <v>375</v>
      </c>
      <c r="E14" s="736"/>
      <c r="F14" s="399">
        <f t="shared" si="0"/>
        <v>241534</v>
      </c>
      <c r="G14" s="274">
        <v>400000</v>
      </c>
      <c r="H14" s="274"/>
      <c r="I14" s="274"/>
      <c r="J14" s="274">
        <v>241732</v>
      </c>
      <c r="K14" s="274"/>
      <c r="L14" s="273">
        <f t="shared" si="1"/>
        <v>641732</v>
      </c>
      <c r="M14" s="274">
        <v>12483</v>
      </c>
      <c r="N14" s="274">
        <v>9241</v>
      </c>
      <c r="O14" s="274">
        <v>5099</v>
      </c>
      <c r="P14" s="274">
        <f>516178+241732+47488+51046-1</f>
        <v>856443</v>
      </c>
      <c r="Q14" s="274"/>
      <c r="R14" s="284">
        <f t="shared" si="2"/>
        <v>883266</v>
      </c>
    </row>
    <row r="15" spans="1:18" ht="49.5" customHeight="1" x14ac:dyDescent="0.3">
      <c r="A15" s="272">
        <v>6</v>
      </c>
      <c r="B15" s="735">
        <v>6</v>
      </c>
      <c r="C15" s="275" t="s">
        <v>546</v>
      </c>
      <c r="D15" s="276" t="s">
        <v>396</v>
      </c>
      <c r="E15" s="283"/>
      <c r="F15" s="399">
        <f t="shared" si="0"/>
        <v>143262</v>
      </c>
      <c r="G15" s="274">
        <v>977327</v>
      </c>
      <c r="H15" s="274"/>
      <c r="I15" s="274"/>
      <c r="J15" s="274">
        <v>27091</v>
      </c>
      <c r="K15" s="274"/>
      <c r="L15" s="273">
        <f t="shared" si="1"/>
        <v>1004418</v>
      </c>
      <c r="M15" s="274">
        <v>25062</v>
      </c>
      <c r="N15" s="274">
        <v>32060</v>
      </c>
      <c r="O15" s="274">
        <f>393152+1</f>
        <v>393153</v>
      </c>
      <c r="P15" s="274">
        <f>697540-135</f>
        <v>697405</v>
      </c>
      <c r="Q15" s="274"/>
      <c r="R15" s="284">
        <f t="shared" si="2"/>
        <v>1147680</v>
      </c>
    </row>
    <row r="16" spans="1:18" ht="33" customHeight="1" x14ac:dyDescent="0.3">
      <c r="A16" s="272">
        <v>7</v>
      </c>
      <c r="B16" s="735">
        <v>7</v>
      </c>
      <c r="C16" s="275" t="s">
        <v>547</v>
      </c>
      <c r="D16" s="276" t="s">
        <v>548</v>
      </c>
      <c r="E16" s="283"/>
      <c r="F16" s="399">
        <f t="shared" si="0"/>
        <v>0</v>
      </c>
      <c r="G16" s="274"/>
      <c r="H16" s="274"/>
      <c r="I16" s="274"/>
      <c r="J16" s="274">
        <f>43600+458000</f>
        <v>501600</v>
      </c>
      <c r="K16" s="274"/>
      <c r="L16" s="273">
        <f t="shared" si="1"/>
        <v>501600</v>
      </c>
      <c r="M16" s="274"/>
      <c r="N16" s="274"/>
      <c r="O16" s="274">
        <v>326</v>
      </c>
      <c r="P16" s="274">
        <v>501274</v>
      </c>
      <c r="Q16" s="274"/>
      <c r="R16" s="284">
        <f t="shared" si="2"/>
        <v>501600</v>
      </c>
    </row>
    <row r="17" spans="1:18" ht="66.75" customHeight="1" x14ac:dyDescent="0.3">
      <c r="A17" s="272">
        <v>8</v>
      </c>
      <c r="B17" s="735">
        <v>8</v>
      </c>
      <c r="C17" s="1327" t="s">
        <v>436</v>
      </c>
      <c r="D17" s="1328" t="s">
        <v>549</v>
      </c>
      <c r="E17" s="736"/>
      <c r="F17" s="399">
        <f t="shared" si="0"/>
        <v>0</v>
      </c>
      <c r="G17" s="1329">
        <v>26790</v>
      </c>
      <c r="H17" s="1329"/>
      <c r="I17" s="1329"/>
      <c r="J17" s="1329"/>
      <c r="K17" s="1329"/>
      <c r="L17" s="273">
        <f t="shared" si="1"/>
        <v>26790</v>
      </c>
      <c r="M17" s="1329">
        <v>8890</v>
      </c>
      <c r="N17" s="1329">
        <v>9697</v>
      </c>
      <c r="O17" s="1329">
        <v>8097</v>
      </c>
      <c r="P17" s="1329">
        <v>106</v>
      </c>
      <c r="Q17" s="1329"/>
      <c r="R17" s="284">
        <f t="shared" si="2"/>
        <v>26790</v>
      </c>
    </row>
    <row r="18" spans="1:18" ht="33" customHeight="1" x14ac:dyDescent="0.3">
      <c r="A18" s="272">
        <v>9</v>
      </c>
      <c r="B18" s="735">
        <v>9</v>
      </c>
      <c r="C18" s="275" t="s">
        <v>514</v>
      </c>
      <c r="D18" s="276" t="s">
        <v>550</v>
      </c>
      <c r="E18" s="283"/>
      <c r="F18" s="399">
        <f t="shared" si="0"/>
        <v>397000</v>
      </c>
      <c r="G18" s="274"/>
      <c r="H18" s="274"/>
      <c r="I18" s="274">
        <v>2092161</v>
      </c>
      <c r="J18" s="274">
        <f>607839+500000</f>
        <v>1107839</v>
      </c>
      <c r="K18" s="274"/>
      <c r="L18" s="273">
        <f t="shared" si="1"/>
        <v>3200000</v>
      </c>
      <c r="M18" s="274">
        <v>40063</v>
      </c>
      <c r="N18" s="274">
        <v>83854</v>
      </c>
      <c r="O18" s="274">
        <v>327034</v>
      </c>
      <c r="P18" s="274">
        <f>2249049+50000+500000+47000+6000</f>
        <v>2852049</v>
      </c>
      <c r="Q18" s="1326">
        <v>294000</v>
      </c>
      <c r="R18" s="284">
        <f t="shared" si="2"/>
        <v>3597000</v>
      </c>
    </row>
    <row r="19" spans="1:18" ht="33" customHeight="1" x14ac:dyDescent="0.3">
      <c r="A19" s="272">
        <v>10</v>
      </c>
      <c r="B19" s="735">
        <v>10</v>
      </c>
      <c r="C19" s="275" t="s">
        <v>448</v>
      </c>
      <c r="D19" s="276" t="s">
        <v>397</v>
      </c>
      <c r="E19" s="283"/>
      <c r="F19" s="399">
        <f t="shared" si="0"/>
        <v>2173</v>
      </c>
      <c r="G19" s="274"/>
      <c r="H19" s="274">
        <v>3765</v>
      </c>
      <c r="I19" s="274">
        <v>7428</v>
      </c>
      <c r="J19" s="274">
        <f>21326+3733</f>
        <v>25059</v>
      </c>
      <c r="K19" s="274"/>
      <c r="L19" s="273">
        <f t="shared" si="1"/>
        <v>36252</v>
      </c>
      <c r="M19" s="274"/>
      <c r="N19" s="274">
        <v>7899</v>
      </c>
      <c r="O19" s="274">
        <v>22368</v>
      </c>
      <c r="P19" s="274">
        <f>7894+242+22</f>
        <v>8158</v>
      </c>
      <c r="Q19" s="274"/>
      <c r="R19" s="284">
        <f t="shared" si="2"/>
        <v>38425</v>
      </c>
    </row>
    <row r="20" spans="1:18" ht="33" customHeight="1" x14ac:dyDescent="0.3">
      <c r="A20" s="272">
        <v>11</v>
      </c>
      <c r="B20" s="735">
        <v>11</v>
      </c>
      <c r="C20" s="275" t="s">
        <v>488</v>
      </c>
      <c r="D20" s="276" t="s">
        <v>519</v>
      </c>
      <c r="E20" s="283"/>
      <c r="F20" s="399">
        <f t="shared" si="0"/>
        <v>62406</v>
      </c>
      <c r="G20" s="274"/>
      <c r="H20" s="274"/>
      <c r="I20" s="274">
        <v>227554</v>
      </c>
      <c r="J20" s="274">
        <v>10916</v>
      </c>
      <c r="K20" s="274"/>
      <c r="L20" s="273">
        <f t="shared" si="1"/>
        <v>238470</v>
      </c>
      <c r="M20" s="274"/>
      <c r="N20" s="274"/>
      <c r="O20" s="274">
        <v>4460</v>
      </c>
      <c r="P20" s="274">
        <f>42322+223094+31000</f>
        <v>296416</v>
      </c>
      <c r="Q20" s="274"/>
      <c r="R20" s="284">
        <f t="shared" si="2"/>
        <v>300876</v>
      </c>
    </row>
    <row r="21" spans="1:18" ht="34.5" customHeight="1" x14ac:dyDescent="0.3">
      <c r="A21" s="272">
        <v>12</v>
      </c>
      <c r="B21" s="735">
        <v>12</v>
      </c>
      <c r="C21" s="275" t="s">
        <v>489</v>
      </c>
      <c r="D21" s="276" t="s">
        <v>519</v>
      </c>
      <c r="E21" s="283"/>
      <c r="F21" s="399">
        <f t="shared" si="0"/>
        <v>3</v>
      </c>
      <c r="G21" s="274"/>
      <c r="H21" s="274"/>
      <c r="I21" s="274">
        <v>64997</v>
      </c>
      <c r="J21" s="274">
        <f>2003-2003-22</f>
        <v>-22</v>
      </c>
      <c r="K21" s="274"/>
      <c r="L21" s="273">
        <f t="shared" si="1"/>
        <v>64975</v>
      </c>
      <c r="M21" s="274">
        <v>1994</v>
      </c>
      <c r="N21" s="274"/>
      <c r="O21" s="274">
        <v>32064</v>
      </c>
      <c r="P21" s="1326">
        <f>2003+30942-2003-22</f>
        <v>30920</v>
      </c>
      <c r="Q21" s="274"/>
      <c r="R21" s="284">
        <f t="shared" si="2"/>
        <v>64978</v>
      </c>
    </row>
    <row r="22" spans="1:18" ht="49.5" customHeight="1" x14ac:dyDescent="0.3">
      <c r="A22" s="272">
        <v>13</v>
      </c>
      <c r="B22" s="735">
        <v>13</v>
      </c>
      <c r="C22" s="275" t="s">
        <v>494</v>
      </c>
      <c r="D22" s="276" t="s">
        <v>397</v>
      </c>
      <c r="E22" s="283"/>
      <c r="F22" s="399">
        <f t="shared" si="0"/>
        <v>6731</v>
      </c>
      <c r="G22" s="274"/>
      <c r="H22" s="274"/>
      <c r="I22" s="274">
        <v>32728</v>
      </c>
      <c r="J22" s="274"/>
      <c r="K22" s="274"/>
      <c r="L22" s="273">
        <f t="shared" si="1"/>
        <v>32728</v>
      </c>
      <c r="M22" s="274"/>
      <c r="N22" s="274">
        <v>6731</v>
      </c>
      <c r="O22" s="274"/>
      <c r="P22" s="274">
        <v>32728</v>
      </c>
      <c r="Q22" s="274"/>
      <c r="R22" s="284">
        <f t="shared" si="2"/>
        <v>39459</v>
      </c>
    </row>
    <row r="23" spans="1:18" ht="33" customHeight="1" x14ac:dyDescent="0.3">
      <c r="A23" s="272">
        <v>14</v>
      </c>
      <c r="B23" s="735">
        <v>14</v>
      </c>
      <c r="C23" s="275" t="s">
        <v>540</v>
      </c>
      <c r="D23" s="276" t="s">
        <v>551</v>
      </c>
      <c r="E23" s="283"/>
      <c r="F23" s="399">
        <f t="shared" si="0"/>
        <v>0</v>
      </c>
      <c r="G23" s="274"/>
      <c r="H23" s="274"/>
      <c r="I23" s="274">
        <v>19671</v>
      </c>
      <c r="J23" s="274">
        <v>208329</v>
      </c>
      <c r="K23" s="274">
        <v>12000</v>
      </c>
      <c r="L23" s="273">
        <f t="shared" si="1"/>
        <v>240000</v>
      </c>
      <c r="M23" s="274"/>
      <c r="N23" s="274"/>
      <c r="O23" s="274">
        <v>9749</v>
      </c>
      <c r="P23" s="274">
        <v>218251</v>
      </c>
      <c r="Q23" s="274">
        <v>12000</v>
      </c>
      <c r="R23" s="284">
        <f t="shared" si="2"/>
        <v>240000</v>
      </c>
    </row>
    <row r="24" spans="1:18" ht="48" customHeight="1" x14ac:dyDescent="0.3">
      <c r="A24" s="272">
        <v>15</v>
      </c>
      <c r="B24" s="735">
        <v>15</v>
      </c>
      <c r="C24" s="275" t="s">
        <v>552</v>
      </c>
      <c r="D24" s="276" t="s">
        <v>520</v>
      </c>
      <c r="E24" s="283"/>
      <c r="F24" s="399">
        <f t="shared" si="0"/>
        <v>134</v>
      </c>
      <c r="G24" s="274"/>
      <c r="H24" s="274">
        <v>9000</v>
      </c>
      <c r="I24" s="274">
        <v>-2700</v>
      </c>
      <c r="J24" s="274"/>
      <c r="K24" s="274"/>
      <c r="L24" s="273">
        <f t="shared" si="1"/>
        <v>6300</v>
      </c>
      <c r="M24" s="274"/>
      <c r="N24" s="274"/>
      <c r="O24" s="274">
        <v>1582</v>
      </c>
      <c r="P24" s="274">
        <f>4718+134</f>
        <v>4852</v>
      </c>
      <c r="Q24" s="274"/>
      <c r="R24" s="284">
        <f t="shared" si="2"/>
        <v>6434</v>
      </c>
    </row>
    <row r="25" spans="1:18" ht="33" customHeight="1" x14ac:dyDescent="0.3">
      <c r="A25" s="272">
        <v>16</v>
      </c>
      <c r="B25" s="735">
        <v>16</v>
      </c>
      <c r="C25" s="275" t="s">
        <v>495</v>
      </c>
      <c r="D25" s="276" t="s">
        <v>519</v>
      </c>
      <c r="E25" s="283"/>
      <c r="F25" s="399">
        <f t="shared" si="0"/>
        <v>0</v>
      </c>
      <c r="G25" s="274"/>
      <c r="H25" s="274"/>
      <c r="I25" s="274">
        <v>9031</v>
      </c>
      <c r="J25" s="274">
        <f>2258</f>
        <v>2258</v>
      </c>
      <c r="K25" s="274"/>
      <c r="L25" s="273">
        <f t="shared" si="1"/>
        <v>11289</v>
      </c>
      <c r="M25" s="274"/>
      <c r="N25" s="274"/>
      <c r="O25" s="274">
        <v>7830</v>
      </c>
      <c r="P25" s="274">
        <f>4959-1500</f>
        <v>3459</v>
      </c>
      <c r="Q25" s="274"/>
      <c r="R25" s="284">
        <f t="shared" si="2"/>
        <v>11289</v>
      </c>
    </row>
    <row r="26" spans="1:18" ht="33" customHeight="1" x14ac:dyDescent="0.3">
      <c r="A26" s="272">
        <v>17</v>
      </c>
      <c r="B26" s="735">
        <v>17</v>
      </c>
      <c r="C26" s="275" t="s">
        <v>493</v>
      </c>
      <c r="D26" s="276" t="s">
        <v>519</v>
      </c>
      <c r="E26" s="283"/>
      <c r="F26" s="399">
        <f t="shared" si="0"/>
        <v>0</v>
      </c>
      <c r="G26" s="274"/>
      <c r="H26" s="274"/>
      <c r="I26" s="274">
        <v>17017</v>
      </c>
      <c r="J26" s="274">
        <v>8958</v>
      </c>
      <c r="K26" s="274"/>
      <c r="L26" s="273">
        <f t="shared" si="1"/>
        <v>25975</v>
      </c>
      <c r="M26" s="274"/>
      <c r="N26" s="274"/>
      <c r="O26" s="274">
        <v>12413</v>
      </c>
      <c r="P26" s="274">
        <f>13561+1</f>
        <v>13562</v>
      </c>
      <c r="Q26" s="274"/>
      <c r="R26" s="284">
        <f t="shared" si="2"/>
        <v>25975</v>
      </c>
    </row>
    <row r="27" spans="1:18" ht="33" customHeight="1" x14ac:dyDescent="0.3">
      <c r="A27" s="272">
        <v>18</v>
      </c>
      <c r="B27" s="735">
        <v>18</v>
      </c>
      <c r="C27" s="275" t="s">
        <v>919</v>
      </c>
      <c r="D27" s="276" t="s">
        <v>519</v>
      </c>
      <c r="E27" s="283"/>
      <c r="F27" s="399">
        <f t="shared" si="0"/>
        <v>5021</v>
      </c>
      <c r="G27" s="274"/>
      <c r="H27" s="274"/>
      <c r="I27" s="274">
        <v>58534</v>
      </c>
      <c r="J27" s="274">
        <v>3081</v>
      </c>
      <c r="K27" s="274"/>
      <c r="L27" s="273">
        <f t="shared" si="1"/>
        <v>61615</v>
      </c>
      <c r="M27" s="1326"/>
      <c r="N27" s="1326"/>
      <c r="O27" s="1326">
        <v>143</v>
      </c>
      <c r="P27" s="1326">
        <v>66493</v>
      </c>
      <c r="Q27" s="274"/>
      <c r="R27" s="284">
        <f t="shared" si="2"/>
        <v>66636</v>
      </c>
    </row>
    <row r="28" spans="1:18" ht="33" customHeight="1" x14ac:dyDescent="0.3">
      <c r="A28" s="272">
        <v>19</v>
      </c>
      <c r="B28" s="735">
        <v>19</v>
      </c>
      <c r="C28" s="275" t="s">
        <v>544</v>
      </c>
      <c r="D28" s="276" t="s">
        <v>548</v>
      </c>
      <c r="E28" s="283"/>
      <c r="F28" s="399">
        <f t="shared" si="0"/>
        <v>700</v>
      </c>
      <c r="G28" s="274"/>
      <c r="H28" s="274"/>
      <c r="I28" s="274">
        <v>24175</v>
      </c>
      <c r="J28" s="274"/>
      <c r="K28" s="274">
        <v>24175</v>
      </c>
      <c r="L28" s="273">
        <f t="shared" si="1"/>
        <v>48350</v>
      </c>
      <c r="M28" s="274"/>
      <c r="N28" s="274"/>
      <c r="O28" s="274">
        <v>1176</v>
      </c>
      <c r="P28" s="274">
        <f>8950+22999</f>
        <v>31949</v>
      </c>
      <c r="Q28" s="274">
        <f>15225+700</f>
        <v>15925</v>
      </c>
      <c r="R28" s="284">
        <f t="shared" si="2"/>
        <v>49050</v>
      </c>
    </row>
    <row r="29" spans="1:18" ht="33" customHeight="1" x14ac:dyDescent="0.3">
      <c r="A29" s="272">
        <v>20</v>
      </c>
      <c r="B29" s="735">
        <v>20</v>
      </c>
      <c r="C29" s="275" t="s">
        <v>845</v>
      </c>
      <c r="D29" s="276" t="s">
        <v>519</v>
      </c>
      <c r="E29" s="283"/>
      <c r="F29" s="399">
        <f t="shared" si="0"/>
        <v>1320</v>
      </c>
      <c r="G29" s="274"/>
      <c r="H29" s="274"/>
      <c r="I29" s="274">
        <v>71352</v>
      </c>
      <c r="J29" s="274"/>
      <c r="K29" s="274"/>
      <c r="L29" s="273">
        <f t="shared" si="1"/>
        <v>71352</v>
      </c>
      <c r="M29" s="274"/>
      <c r="N29" s="274"/>
      <c r="O29" s="274">
        <v>4926</v>
      </c>
      <c r="P29" s="274">
        <f>67212+205+329</f>
        <v>67746</v>
      </c>
      <c r="Q29" s="274"/>
      <c r="R29" s="284">
        <f t="shared" si="2"/>
        <v>72672</v>
      </c>
    </row>
    <row r="30" spans="1:18" ht="33" customHeight="1" x14ac:dyDescent="0.3">
      <c r="A30" s="272">
        <v>21</v>
      </c>
      <c r="B30" s="735">
        <v>21</v>
      </c>
      <c r="C30" s="275" t="s">
        <v>623</v>
      </c>
      <c r="D30" s="276" t="s">
        <v>548</v>
      </c>
      <c r="E30" s="283"/>
      <c r="F30" s="399">
        <f t="shared" si="0"/>
        <v>0</v>
      </c>
      <c r="G30" s="274"/>
      <c r="H30" s="274"/>
      <c r="I30" s="274">
        <v>558299</v>
      </c>
      <c r="J30" s="274"/>
      <c r="K30" s="274">
        <v>793085</v>
      </c>
      <c r="L30" s="273">
        <f t="shared" si="1"/>
        <v>1351384</v>
      </c>
      <c r="M30" s="274"/>
      <c r="N30" s="274"/>
      <c r="O30" s="274">
        <v>28000</v>
      </c>
      <c r="P30" s="274">
        <v>530299</v>
      </c>
      <c r="Q30" s="274">
        <v>793085</v>
      </c>
      <c r="R30" s="284">
        <f t="shared" si="2"/>
        <v>1351384</v>
      </c>
    </row>
    <row r="31" spans="1:18" ht="33" customHeight="1" x14ac:dyDescent="0.3">
      <c r="A31" s="272">
        <v>22</v>
      </c>
      <c r="B31" s="735">
        <v>22</v>
      </c>
      <c r="C31" s="275" t="s">
        <v>713</v>
      </c>
      <c r="D31" s="276" t="s">
        <v>714</v>
      </c>
      <c r="E31" s="283"/>
      <c r="F31" s="399">
        <f t="shared" si="0"/>
        <v>59476</v>
      </c>
      <c r="G31" s="274"/>
      <c r="H31" s="274"/>
      <c r="I31" s="274"/>
      <c r="J31" s="274">
        <v>223100</v>
      </c>
      <c r="K31" s="274"/>
      <c r="L31" s="273">
        <f t="shared" si="1"/>
        <v>223100</v>
      </c>
      <c r="M31" s="274"/>
      <c r="N31" s="274">
        <v>6699</v>
      </c>
      <c r="O31" s="274"/>
      <c r="P31" s="274">
        <v>223100</v>
      </c>
      <c r="Q31" s="274">
        <v>52777</v>
      </c>
      <c r="R31" s="284">
        <f t="shared" si="2"/>
        <v>282576</v>
      </c>
    </row>
    <row r="32" spans="1:18" ht="33" customHeight="1" x14ac:dyDescent="0.3">
      <c r="A32" s="272">
        <v>23</v>
      </c>
      <c r="B32" s="735">
        <v>23</v>
      </c>
      <c r="C32" s="275" t="s">
        <v>716</v>
      </c>
      <c r="D32" s="276" t="s">
        <v>714</v>
      </c>
      <c r="E32" s="283"/>
      <c r="F32" s="399">
        <f t="shared" si="0"/>
        <v>161006</v>
      </c>
      <c r="G32" s="274"/>
      <c r="H32" s="274"/>
      <c r="I32" s="274"/>
      <c r="J32" s="274">
        <v>173975</v>
      </c>
      <c r="K32" s="274"/>
      <c r="L32" s="273">
        <f t="shared" si="1"/>
        <v>173975</v>
      </c>
      <c r="M32" s="274"/>
      <c r="N32" s="274"/>
      <c r="O32" s="274">
        <v>6401</v>
      </c>
      <c r="P32" s="274">
        <f>215705+44000+39000</f>
        <v>298705</v>
      </c>
      <c r="Q32" s="274">
        <f>875+29000</f>
        <v>29875</v>
      </c>
      <c r="R32" s="284">
        <f t="shared" si="2"/>
        <v>334981</v>
      </c>
    </row>
    <row r="33" spans="1:18" ht="33" customHeight="1" x14ac:dyDescent="0.3">
      <c r="A33" s="272">
        <v>24</v>
      </c>
      <c r="B33" s="735">
        <v>24</v>
      </c>
      <c r="C33" s="275" t="s">
        <v>867</v>
      </c>
      <c r="D33" s="276" t="s">
        <v>719</v>
      </c>
      <c r="E33" s="283"/>
      <c r="F33" s="399">
        <f t="shared" si="0"/>
        <v>5782</v>
      </c>
      <c r="G33" s="274"/>
      <c r="H33" s="274"/>
      <c r="I33" s="274"/>
      <c r="J33" s="274">
        <v>5830</v>
      </c>
      <c r="K33" s="274">
        <v>10537</v>
      </c>
      <c r="L33" s="273">
        <f t="shared" si="1"/>
        <v>16367</v>
      </c>
      <c r="M33" s="274"/>
      <c r="N33" s="274"/>
      <c r="O33" s="274"/>
      <c r="P33" s="274">
        <v>9910</v>
      </c>
      <c r="Q33" s="274">
        <v>12239</v>
      </c>
      <c r="R33" s="284">
        <f t="shared" si="2"/>
        <v>22149</v>
      </c>
    </row>
    <row r="34" spans="1:18" ht="33" customHeight="1" x14ac:dyDescent="0.3">
      <c r="A34" s="272">
        <v>25</v>
      </c>
      <c r="B34" s="735">
        <v>25</v>
      </c>
      <c r="C34" s="275" t="s">
        <v>918</v>
      </c>
      <c r="D34" s="276" t="s">
        <v>718</v>
      </c>
      <c r="E34" s="283"/>
      <c r="F34" s="399">
        <f t="shared" si="0"/>
        <v>39517</v>
      </c>
      <c r="G34" s="274"/>
      <c r="H34" s="274"/>
      <c r="I34" s="274"/>
      <c r="J34" s="274">
        <v>53492</v>
      </c>
      <c r="K34" s="274"/>
      <c r="L34" s="273">
        <f t="shared" si="1"/>
        <v>53492</v>
      </c>
      <c r="M34" s="274"/>
      <c r="N34" s="274"/>
      <c r="O34" s="274">
        <v>2459</v>
      </c>
      <c r="P34" s="274">
        <v>53492</v>
      </c>
      <c r="Q34" s="274">
        <f>22058+15000</f>
        <v>37058</v>
      </c>
      <c r="R34" s="284">
        <f t="shared" si="2"/>
        <v>93009</v>
      </c>
    </row>
    <row r="35" spans="1:18" ht="33" customHeight="1" x14ac:dyDescent="0.3">
      <c r="A35" s="272">
        <v>26</v>
      </c>
      <c r="B35" s="735">
        <v>26</v>
      </c>
      <c r="C35" s="275" t="s">
        <v>917</v>
      </c>
      <c r="D35" s="276" t="s">
        <v>718</v>
      </c>
      <c r="E35" s="283"/>
      <c r="F35" s="399">
        <f t="shared" si="0"/>
        <v>11379</v>
      </c>
      <c r="G35" s="274"/>
      <c r="H35" s="274"/>
      <c r="I35" s="274"/>
      <c r="J35" s="274">
        <v>39413</v>
      </c>
      <c r="K35" s="274"/>
      <c r="L35" s="273">
        <f t="shared" si="1"/>
        <v>39413</v>
      </c>
      <c r="M35" s="274"/>
      <c r="N35" s="274"/>
      <c r="O35" s="274">
        <v>1956</v>
      </c>
      <c r="P35" s="274">
        <f>39537+2231</f>
        <v>41768</v>
      </c>
      <c r="Q35" s="274">
        <v>7068</v>
      </c>
      <c r="R35" s="284">
        <f t="shared" si="2"/>
        <v>50792</v>
      </c>
    </row>
    <row r="36" spans="1:18" ht="33" customHeight="1" x14ac:dyDescent="0.3">
      <c r="A36" s="272">
        <v>27</v>
      </c>
      <c r="B36" s="735">
        <v>27</v>
      </c>
      <c r="C36" s="275" t="s">
        <v>1133</v>
      </c>
      <c r="D36" s="276" t="s">
        <v>1132</v>
      </c>
      <c r="E36" s="283"/>
      <c r="F36" s="399">
        <f t="shared" si="0"/>
        <v>0</v>
      </c>
      <c r="G36" s="274"/>
      <c r="H36" s="274"/>
      <c r="I36" s="274"/>
      <c r="J36" s="274">
        <v>184000</v>
      </c>
      <c r="K36" s="274"/>
      <c r="L36" s="273">
        <f t="shared" si="1"/>
        <v>184000</v>
      </c>
      <c r="M36" s="274"/>
      <c r="N36" s="274"/>
      <c r="O36" s="274">
        <v>9200</v>
      </c>
      <c r="P36" s="274">
        <f>22605+94607+57588</f>
        <v>174800</v>
      </c>
      <c r="Q36" s="274"/>
      <c r="R36" s="284">
        <f t="shared" si="2"/>
        <v>184000</v>
      </c>
    </row>
    <row r="37" spans="1:18" ht="54.75" customHeight="1" x14ac:dyDescent="0.3">
      <c r="A37" s="272">
        <v>28</v>
      </c>
      <c r="B37" s="735">
        <v>28</v>
      </c>
      <c r="C37" s="1568" t="s">
        <v>1137</v>
      </c>
      <c r="D37" s="276" t="s">
        <v>719</v>
      </c>
      <c r="E37" s="283"/>
      <c r="F37" s="399">
        <f t="shared" si="0"/>
        <v>12126</v>
      </c>
      <c r="G37" s="274"/>
      <c r="H37" s="274"/>
      <c r="I37" s="274"/>
      <c r="J37" s="274">
        <v>255000</v>
      </c>
      <c r="K37" s="274"/>
      <c r="L37" s="273">
        <f t="shared" si="1"/>
        <v>255000</v>
      </c>
      <c r="M37" s="274"/>
      <c r="N37" s="274"/>
      <c r="O37" s="274">
        <v>4379</v>
      </c>
      <c r="P37" s="274">
        <f>5080+257667</f>
        <v>262747</v>
      </c>
      <c r="Q37" s="274"/>
      <c r="R37" s="284">
        <f t="shared" si="2"/>
        <v>267126</v>
      </c>
    </row>
    <row r="38" spans="1:18" ht="33" customHeight="1" x14ac:dyDescent="0.3">
      <c r="A38" s="272">
        <v>29</v>
      </c>
      <c r="B38" s="735">
        <v>29</v>
      </c>
      <c r="C38" s="40" t="s">
        <v>1140</v>
      </c>
      <c r="D38" s="276" t="s">
        <v>719</v>
      </c>
      <c r="E38" s="283"/>
      <c r="F38" s="399">
        <f t="shared" si="0"/>
        <v>60391</v>
      </c>
      <c r="G38" s="274"/>
      <c r="H38" s="274"/>
      <c r="I38" s="274"/>
      <c r="J38" s="274">
        <v>1544000</v>
      </c>
      <c r="K38" s="274">
        <v>76000</v>
      </c>
      <c r="L38" s="273">
        <f t="shared" si="1"/>
        <v>1620000</v>
      </c>
      <c r="M38" s="274"/>
      <c r="N38" s="274"/>
      <c r="O38" s="274">
        <f>16505+94</f>
        <v>16599</v>
      </c>
      <c r="P38" s="274">
        <f>853792+734000</f>
        <v>1587792</v>
      </c>
      <c r="Q38" s="274">
        <f>810000-734000</f>
        <v>76000</v>
      </c>
      <c r="R38" s="284">
        <f t="shared" si="2"/>
        <v>1680391</v>
      </c>
    </row>
    <row r="39" spans="1:18" ht="40.5" customHeight="1" x14ac:dyDescent="0.3">
      <c r="A39" s="272">
        <v>30</v>
      </c>
      <c r="B39" s="735">
        <v>30</v>
      </c>
      <c r="C39" s="275" t="s">
        <v>1266</v>
      </c>
      <c r="D39" s="276" t="s">
        <v>519</v>
      </c>
      <c r="E39" s="283"/>
      <c r="F39" s="399">
        <f t="shared" si="0"/>
        <v>0</v>
      </c>
      <c r="G39" s="274"/>
      <c r="H39" s="274"/>
      <c r="I39" s="274">
        <v>27687</v>
      </c>
      <c r="J39" s="274"/>
      <c r="K39" s="274"/>
      <c r="L39" s="273">
        <f t="shared" si="1"/>
        <v>27687</v>
      </c>
      <c r="M39" s="274"/>
      <c r="N39" s="274"/>
      <c r="O39" s="274">
        <v>4679</v>
      </c>
      <c r="P39" s="274">
        <f>23288-280</f>
        <v>23008</v>
      </c>
      <c r="Q39" s="274"/>
      <c r="R39" s="284">
        <f t="shared" si="2"/>
        <v>27687</v>
      </c>
    </row>
    <row r="40" spans="1:18" ht="69" customHeight="1" thickBot="1" x14ac:dyDescent="0.35">
      <c r="A40" s="272">
        <v>31</v>
      </c>
      <c r="B40" s="735">
        <v>31</v>
      </c>
      <c r="C40" s="275" t="s">
        <v>554</v>
      </c>
      <c r="D40" s="276" t="s">
        <v>397</v>
      </c>
      <c r="E40" s="283"/>
      <c r="F40" s="399">
        <f t="shared" si="0"/>
        <v>16824</v>
      </c>
      <c r="G40" s="274"/>
      <c r="H40" s="274"/>
      <c r="I40" s="274">
        <v>29873</v>
      </c>
      <c r="J40" s="274"/>
      <c r="K40" s="274"/>
      <c r="L40" s="273">
        <f t="shared" si="1"/>
        <v>29873</v>
      </c>
      <c r="M40" s="274"/>
      <c r="N40" s="274">
        <v>750</v>
      </c>
      <c r="O40" s="274">
        <v>1550</v>
      </c>
      <c r="P40" s="274">
        <f>43881+516</f>
        <v>44397</v>
      </c>
      <c r="Q40" s="274"/>
      <c r="R40" s="284">
        <f t="shared" si="2"/>
        <v>46697</v>
      </c>
    </row>
    <row r="41" spans="1:18" ht="33" customHeight="1" thickBot="1" x14ac:dyDescent="0.35">
      <c r="A41" s="272">
        <v>32</v>
      </c>
      <c r="B41" s="1916" t="s">
        <v>134</v>
      </c>
      <c r="C41" s="1917"/>
      <c r="D41" s="1917"/>
      <c r="E41" s="278"/>
      <c r="F41" s="279">
        <f t="shared" ref="F41:R41" si="3">SUM(F10:F40)</f>
        <v>1569373</v>
      </c>
      <c r="G41" s="277">
        <f t="shared" si="3"/>
        <v>1404117</v>
      </c>
      <c r="H41" s="277">
        <f t="shared" si="3"/>
        <v>12765</v>
      </c>
      <c r="I41" s="277">
        <f t="shared" si="3"/>
        <v>3237807</v>
      </c>
      <c r="J41" s="277">
        <f>SUM(J10:J40)</f>
        <v>6542306</v>
      </c>
      <c r="K41" s="277">
        <f t="shared" si="3"/>
        <v>972197</v>
      </c>
      <c r="L41" s="280">
        <f t="shared" si="3"/>
        <v>12169192</v>
      </c>
      <c r="M41" s="277">
        <f t="shared" si="3"/>
        <v>91413</v>
      </c>
      <c r="N41" s="277">
        <f t="shared" si="3"/>
        <v>160551</v>
      </c>
      <c r="O41" s="277">
        <f t="shared" si="3"/>
        <v>916891</v>
      </c>
      <c r="P41" s="277">
        <f t="shared" si="3"/>
        <v>10961036</v>
      </c>
      <c r="Q41" s="277">
        <f t="shared" si="3"/>
        <v>1608674</v>
      </c>
      <c r="R41" s="281">
        <f t="shared" si="3"/>
        <v>13738565</v>
      </c>
    </row>
    <row r="42" spans="1:18" ht="40.5" customHeight="1" x14ac:dyDescent="0.3">
      <c r="C42" s="1918" t="s">
        <v>933</v>
      </c>
      <c r="D42" s="1918"/>
      <c r="E42" s="1918"/>
      <c r="F42" s="1918"/>
      <c r="G42" s="1918"/>
      <c r="H42" s="1918"/>
      <c r="I42" s="1918"/>
      <c r="J42" s="1918"/>
      <c r="K42" s="1918"/>
      <c r="L42" s="1918"/>
      <c r="M42" s="1918"/>
      <c r="N42" s="1918"/>
      <c r="O42" s="1918"/>
      <c r="P42" s="1918"/>
      <c r="Q42" s="1918"/>
      <c r="R42" s="1918"/>
    </row>
    <row r="43" spans="1:18" ht="20.100000000000001" customHeight="1" x14ac:dyDescent="0.3">
      <c r="C43" s="1939" t="s">
        <v>868</v>
      </c>
      <c r="D43" s="1939"/>
      <c r="E43" s="1939"/>
      <c r="F43" s="1939"/>
      <c r="G43" s="1939"/>
      <c r="H43" s="1939"/>
      <c r="I43" s="1223"/>
      <c r="J43" s="1223"/>
      <c r="K43" s="1223"/>
      <c r="L43" s="1223"/>
      <c r="M43" s="1223"/>
      <c r="N43" s="1223"/>
      <c r="O43" s="1223"/>
      <c r="P43" s="1223"/>
      <c r="Q43" s="1223"/>
      <c r="R43" s="1223"/>
    </row>
    <row r="44" spans="1:18" ht="20.100000000000001" customHeight="1" x14ac:dyDescent="0.3">
      <c r="C44" s="1912" t="s">
        <v>555</v>
      </c>
      <c r="D44" s="1912"/>
      <c r="E44" s="1912"/>
      <c r="F44" s="1912"/>
      <c r="G44" s="1912"/>
      <c r="H44" s="1912"/>
      <c r="I44" s="1912"/>
    </row>
    <row r="45" spans="1:18" ht="20.100000000000001" customHeight="1" x14ac:dyDescent="0.3">
      <c r="C45" s="1912" t="s">
        <v>1265</v>
      </c>
      <c r="D45" s="1912"/>
      <c r="E45" s="1912"/>
      <c r="F45" s="1912"/>
      <c r="G45" s="1912"/>
      <c r="H45" s="1912"/>
      <c r="I45" s="1912"/>
      <c r="J45" s="1912"/>
    </row>
    <row r="46" spans="1:18" ht="24.95" customHeight="1" x14ac:dyDescent="0.3"/>
    <row r="47" spans="1:18" ht="24.95" customHeight="1" x14ac:dyDescent="0.3"/>
    <row r="48" spans="1:18" ht="24.95" customHeight="1" x14ac:dyDescent="0.3"/>
    <row r="49" ht="24.95" customHeight="1" x14ac:dyDescent="0.3"/>
    <row r="50" ht="24.95" customHeight="1" x14ac:dyDescent="0.3"/>
    <row r="51" ht="24.95" customHeight="1" x14ac:dyDescent="0.3"/>
  </sheetData>
  <mergeCells count="19">
    <mergeCell ref="C45:J45"/>
    <mergeCell ref="G8:K8"/>
    <mergeCell ref="L8:L9"/>
    <mergeCell ref="C44:I44"/>
    <mergeCell ref="B41:D41"/>
    <mergeCell ref="C42:R42"/>
    <mergeCell ref="B7:B9"/>
    <mergeCell ref="C7:C9"/>
    <mergeCell ref="D7:D9"/>
    <mergeCell ref="F7:L7"/>
    <mergeCell ref="M7:Q8"/>
    <mergeCell ref="R7:R9"/>
    <mergeCell ref="F8:F9"/>
    <mergeCell ref="C43:H43"/>
    <mergeCell ref="B1:Q1"/>
    <mergeCell ref="B2:R2"/>
    <mergeCell ref="B3:R3"/>
    <mergeCell ref="B4:R4"/>
    <mergeCell ref="Q5:R5"/>
  </mergeCells>
  <printOptions horizontalCentered="1"/>
  <pageMargins left="0.19685039370078741" right="0.19685039370078741" top="0.39370078740157483" bottom="0.39370078740157483" header="0.31496062992125984" footer="0.31496062992125984"/>
  <pageSetup paperSize="9" scale="55" orientation="landscape" r:id="rId1"/>
  <headerFooter>
    <oddFooter>&amp;C- &amp;P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1"/>
  <sheetViews>
    <sheetView view="pageBreakPreview" zoomScale="85" zoomScaleNormal="85" zoomScaleSheetLayoutView="85" workbookViewId="0">
      <pane ySplit="7" topLeftCell="A35" activePane="bottomLeft" state="frozen"/>
      <selection pane="bottomLeft" activeCell="D45" sqref="D45"/>
    </sheetView>
  </sheetViews>
  <sheetFormatPr defaultRowHeight="17.25" x14ac:dyDescent="0.35"/>
  <cols>
    <col min="1" max="1" width="3.42578125" style="939" bestFit="1" customWidth="1"/>
    <col min="2" max="2" width="3.7109375" style="940" customWidth="1"/>
    <col min="3" max="3" width="36.5703125" style="936" customWidth="1"/>
    <col min="4" max="5" width="7.7109375" style="936" bestFit="1" customWidth="1"/>
    <col min="6" max="6" width="7" style="936" bestFit="1" customWidth="1"/>
    <col min="7" max="7" width="11.42578125" style="936" bestFit="1" customWidth="1"/>
    <col min="8" max="8" width="10.140625" style="936" bestFit="1" customWidth="1"/>
    <col min="9" max="9" width="11" style="936" bestFit="1" customWidth="1"/>
    <col min="10" max="10" width="12.5703125" style="936" bestFit="1" customWidth="1"/>
    <col min="11" max="11" width="6.28515625" style="936" bestFit="1" customWidth="1"/>
    <col min="12" max="12" width="6.28515625" style="936" customWidth="1"/>
    <col min="13" max="13" width="12.7109375" style="936" bestFit="1" customWidth="1"/>
    <col min="14" max="14" width="12.140625" style="936" bestFit="1" customWidth="1"/>
    <col min="15" max="15" width="10.85546875" style="936" customWidth="1"/>
    <col min="16" max="16" width="9.28515625" style="936" customWidth="1"/>
    <col min="17" max="17" width="11.85546875" style="936" customWidth="1"/>
    <col min="18" max="18" width="10.28515625" style="936" customWidth="1"/>
    <col min="19" max="256" width="9.140625" style="936"/>
    <col min="257" max="257" width="3.42578125" style="936" bestFit="1" customWidth="1"/>
    <col min="258" max="258" width="3.7109375" style="936" customWidth="1"/>
    <col min="259" max="259" width="36.5703125" style="936" customWidth="1"/>
    <col min="260" max="261" width="7.7109375" style="936" bestFit="1" customWidth="1"/>
    <col min="262" max="262" width="7" style="936" bestFit="1" customWidth="1"/>
    <col min="263" max="263" width="11.42578125" style="936" bestFit="1" customWidth="1"/>
    <col min="264" max="264" width="10.140625" style="936" bestFit="1" customWidth="1"/>
    <col min="265" max="265" width="11" style="936" bestFit="1" customWidth="1"/>
    <col min="266" max="266" width="12.5703125" style="936" bestFit="1" customWidth="1"/>
    <col min="267" max="267" width="6.28515625" style="936" bestFit="1" customWidth="1"/>
    <col min="268" max="268" width="6.28515625" style="936" customWidth="1"/>
    <col min="269" max="269" width="12.7109375" style="936" bestFit="1" customWidth="1"/>
    <col min="270" max="270" width="12.140625" style="936" bestFit="1" customWidth="1"/>
    <col min="271" max="271" width="10.85546875" style="936" customWidth="1"/>
    <col min="272" max="272" width="9.28515625" style="936" customWidth="1"/>
    <col min="273" max="273" width="11.85546875" style="936" customWidth="1"/>
    <col min="274" max="274" width="10.28515625" style="936" customWidth="1"/>
    <col min="275" max="512" width="9.140625" style="936"/>
    <col min="513" max="513" width="3.42578125" style="936" bestFit="1" customWidth="1"/>
    <col min="514" max="514" width="3.7109375" style="936" customWidth="1"/>
    <col min="515" max="515" width="36.5703125" style="936" customWidth="1"/>
    <col min="516" max="517" width="7.7109375" style="936" bestFit="1" customWidth="1"/>
    <col min="518" max="518" width="7" style="936" bestFit="1" customWidth="1"/>
    <col min="519" max="519" width="11.42578125" style="936" bestFit="1" customWidth="1"/>
    <col min="520" max="520" width="10.140625" style="936" bestFit="1" customWidth="1"/>
    <col min="521" max="521" width="11" style="936" bestFit="1" customWidth="1"/>
    <col min="522" max="522" width="12.5703125" style="936" bestFit="1" customWidth="1"/>
    <col min="523" max="523" width="6.28515625" style="936" bestFit="1" customWidth="1"/>
    <col min="524" max="524" width="6.28515625" style="936" customWidth="1"/>
    <col min="525" max="525" width="12.7109375" style="936" bestFit="1" customWidth="1"/>
    <col min="526" max="526" width="12.140625" style="936" bestFit="1" customWidth="1"/>
    <col min="527" max="527" width="10.85546875" style="936" customWidth="1"/>
    <col min="528" max="528" width="9.28515625" style="936" customWidth="1"/>
    <col min="529" max="529" width="11.85546875" style="936" customWidth="1"/>
    <col min="530" max="530" width="10.28515625" style="936" customWidth="1"/>
    <col min="531" max="768" width="9.140625" style="936"/>
    <col min="769" max="769" width="3.42578125" style="936" bestFit="1" customWidth="1"/>
    <col min="770" max="770" width="3.7109375" style="936" customWidth="1"/>
    <col min="771" max="771" width="36.5703125" style="936" customWidth="1"/>
    <col min="772" max="773" width="7.7109375" style="936" bestFit="1" customWidth="1"/>
    <col min="774" max="774" width="7" style="936" bestFit="1" customWidth="1"/>
    <col min="775" max="775" width="11.42578125" style="936" bestFit="1" customWidth="1"/>
    <col min="776" max="776" width="10.140625" style="936" bestFit="1" customWidth="1"/>
    <col min="777" max="777" width="11" style="936" bestFit="1" customWidth="1"/>
    <col min="778" max="778" width="12.5703125" style="936" bestFit="1" customWidth="1"/>
    <col min="779" max="779" width="6.28515625" style="936" bestFit="1" customWidth="1"/>
    <col min="780" max="780" width="6.28515625" style="936" customWidth="1"/>
    <col min="781" max="781" width="12.7109375" style="936" bestFit="1" customWidth="1"/>
    <col min="782" max="782" width="12.140625" style="936" bestFit="1" customWidth="1"/>
    <col min="783" max="783" width="10.85546875" style="936" customWidth="1"/>
    <col min="784" max="784" width="9.28515625" style="936" customWidth="1"/>
    <col min="785" max="785" width="11.85546875" style="936" customWidth="1"/>
    <col min="786" max="786" width="10.28515625" style="936" customWidth="1"/>
    <col min="787" max="1024" width="9.140625" style="936"/>
    <col min="1025" max="1025" width="3.42578125" style="936" bestFit="1" customWidth="1"/>
    <col min="1026" max="1026" width="3.7109375" style="936" customWidth="1"/>
    <col min="1027" max="1027" width="36.5703125" style="936" customWidth="1"/>
    <col min="1028" max="1029" width="7.7109375" style="936" bestFit="1" customWidth="1"/>
    <col min="1030" max="1030" width="7" style="936" bestFit="1" customWidth="1"/>
    <col min="1031" max="1031" width="11.42578125" style="936" bestFit="1" customWidth="1"/>
    <col min="1032" max="1032" width="10.140625" style="936" bestFit="1" customWidth="1"/>
    <col min="1033" max="1033" width="11" style="936" bestFit="1" customWidth="1"/>
    <col min="1034" max="1034" width="12.5703125" style="936" bestFit="1" customWidth="1"/>
    <col min="1035" max="1035" width="6.28515625" style="936" bestFit="1" customWidth="1"/>
    <col min="1036" max="1036" width="6.28515625" style="936" customWidth="1"/>
    <col min="1037" max="1037" width="12.7109375" style="936" bestFit="1" customWidth="1"/>
    <col min="1038" max="1038" width="12.140625" style="936" bestFit="1" customWidth="1"/>
    <col min="1039" max="1039" width="10.85546875" style="936" customWidth="1"/>
    <col min="1040" max="1040" width="9.28515625" style="936" customWidth="1"/>
    <col min="1041" max="1041" width="11.85546875" style="936" customWidth="1"/>
    <col min="1042" max="1042" width="10.28515625" style="936" customWidth="1"/>
    <col min="1043" max="1280" width="9.140625" style="936"/>
    <col min="1281" max="1281" width="3.42578125" style="936" bestFit="1" customWidth="1"/>
    <col min="1282" max="1282" width="3.7109375" style="936" customWidth="1"/>
    <col min="1283" max="1283" width="36.5703125" style="936" customWidth="1"/>
    <col min="1284" max="1285" width="7.7109375" style="936" bestFit="1" customWidth="1"/>
    <col min="1286" max="1286" width="7" style="936" bestFit="1" customWidth="1"/>
    <col min="1287" max="1287" width="11.42578125" style="936" bestFit="1" customWidth="1"/>
    <col min="1288" max="1288" width="10.140625" style="936" bestFit="1" customWidth="1"/>
    <col min="1289" max="1289" width="11" style="936" bestFit="1" customWidth="1"/>
    <col min="1290" max="1290" width="12.5703125" style="936" bestFit="1" customWidth="1"/>
    <col min="1291" max="1291" width="6.28515625" style="936" bestFit="1" customWidth="1"/>
    <col min="1292" max="1292" width="6.28515625" style="936" customWidth="1"/>
    <col min="1293" max="1293" width="12.7109375" style="936" bestFit="1" customWidth="1"/>
    <col min="1294" max="1294" width="12.140625" style="936" bestFit="1" customWidth="1"/>
    <col min="1295" max="1295" width="10.85546875" style="936" customWidth="1"/>
    <col min="1296" max="1296" width="9.28515625" style="936" customWidth="1"/>
    <col min="1297" max="1297" width="11.85546875" style="936" customWidth="1"/>
    <col min="1298" max="1298" width="10.28515625" style="936" customWidth="1"/>
    <col min="1299" max="1536" width="9.140625" style="936"/>
    <col min="1537" max="1537" width="3.42578125" style="936" bestFit="1" customWidth="1"/>
    <col min="1538" max="1538" width="3.7109375" style="936" customWidth="1"/>
    <col min="1539" max="1539" width="36.5703125" style="936" customWidth="1"/>
    <col min="1540" max="1541" width="7.7109375" style="936" bestFit="1" customWidth="1"/>
    <col min="1542" max="1542" width="7" style="936" bestFit="1" customWidth="1"/>
    <col min="1543" max="1543" width="11.42578125" style="936" bestFit="1" customWidth="1"/>
    <col min="1544" max="1544" width="10.140625" style="936" bestFit="1" customWidth="1"/>
    <col min="1545" max="1545" width="11" style="936" bestFit="1" customWidth="1"/>
    <col min="1546" max="1546" width="12.5703125" style="936" bestFit="1" customWidth="1"/>
    <col min="1547" max="1547" width="6.28515625" style="936" bestFit="1" customWidth="1"/>
    <col min="1548" max="1548" width="6.28515625" style="936" customWidth="1"/>
    <col min="1549" max="1549" width="12.7109375" style="936" bestFit="1" customWidth="1"/>
    <col min="1550" max="1550" width="12.140625" style="936" bestFit="1" customWidth="1"/>
    <col min="1551" max="1551" width="10.85546875" style="936" customWidth="1"/>
    <col min="1552" max="1552" width="9.28515625" style="936" customWidth="1"/>
    <col min="1553" max="1553" width="11.85546875" style="936" customWidth="1"/>
    <col min="1554" max="1554" width="10.28515625" style="936" customWidth="1"/>
    <col min="1555" max="1792" width="9.140625" style="936"/>
    <col min="1793" max="1793" width="3.42578125" style="936" bestFit="1" customWidth="1"/>
    <col min="1794" max="1794" width="3.7109375" style="936" customWidth="1"/>
    <col min="1795" max="1795" width="36.5703125" style="936" customWidth="1"/>
    <col min="1796" max="1797" width="7.7109375" style="936" bestFit="1" customWidth="1"/>
    <col min="1798" max="1798" width="7" style="936" bestFit="1" customWidth="1"/>
    <col min="1799" max="1799" width="11.42578125" style="936" bestFit="1" customWidth="1"/>
    <col min="1800" max="1800" width="10.140625" style="936" bestFit="1" customWidth="1"/>
    <col min="1801" max="1801" width="11" style="936" bestFit="1" customWidth="1"/>
    <col min="1802" max="1802" width="12.5703125" style="936" bestFit="1" customWidth="1"/>
    <col min="1803" max="1803" width="6.28515625" style="936" bestFit="1" customWidth="1"/>
    <col min="1804" max="1804" width="6.28515625" style="936" customWidth="1"/>
    <col min="1805" max="1805" width="12.7109375" style="936" bestFit="1" customWidth="1"/>
    <col min="1806" max="1806" width="12.140625" style="936" bestFit="1" customWidth="1"/>
    <col min="1807" max="1807" width="10.85546875" style="936" customWidth="1"/>
    <col min="1808" max="1808" width="9.28515625" style="936" customWidth="1"/>
    <col min="1809" max="1809" width="11.85546875" style="936" customWidth="1"/>
    <col min="1810" max="1810" width="10.28515625" style="936" customWidth="1"/>
    <col min="1811" max="2048" width="9.140625" style="936"/>
    <col min="2049" max="2049" width="3.42578125" style="936" bestFit="1" customWidth="1"/>
    <col min="2050" max="2050" width="3.7109375" style="936" customWidth="1"/>
    <col min="2051" max="2051" width="36.5703125" style="936" customWidth="1"/>
    <col min="2052" max="2053" width="7.7109375" style="936" bestFit="1" customWidth="1"/>
    <col min="2054" max="2054" width="7" style="936" bestFit="1" customWidth="1"/>
    <col min="2055" max="2055" width="11.42578125" style="936" bestFit="1" customWidth="1"/>
    <col min="2056" max="2056" width="10.140625" style="936" bestFit="1" customWidth="1"/>
    <col min="2057" max="2057" width="11" style="936" bestFit="1" customWidth="1"/>
    <col min="2058" max="2058" width="12.5703125" style="936" bestFit="1" customWidth="1"/>
    <col min="2059" max="2059" width="6.28515625" style="936" bestFit="1" customWidth="1"/>
    <col min="2060" max="2060" width="6.28515625" style="936" customWidth="1"/>
    <col min="2061" max="2061" width="12.7109375" style="936" bestFit="1" customWidth="1"/>
    <col min="2062" max="2062" width="12.140625" style="936" bestFit="1" customWidth="1"/>
    <col min="2063" max="2063" width="10.85546875" style="936" customWidth="1"/>
    <col min="2064" max="2064" width="9.28515625" style="936" customWidth="1"/>
    <col min="2065" max="2065" width="11.85546875" style="936" customWidth="1"/>
    <col min="2066" max="2066" width="10.28515625" style="936" customWidth="1"/>
    <col min="2067" max="2304" width="9.140625" style="936"/>
    <col min="2305" max="2305" width="3.42578125" style="936" bestFit="1" customWidth="1"/>
    <col min="2306" max="2306" width="3.7109375" style="936" customWidth="1"/>
    <col min="2307" max="2307" width="36.5703125" style="936" customWidth="1"/>
    <col min="2308" max="2309" width="7.7109375" style="936" bestFit="1" customWidth="1"/>
    <col min="2310" max="2310" width="7" style="936" bestFit="1" customWidth="1"/>
    <col min="2311" max="2311" width="11.42578125" style="936" bestFit="1" customWidth="1"/>
    <col min="2312" max="2312" width="10.140625" style="936" bestFit="1" customWidth="1"/>
    <col min="2313" max="2313" width="11" style="936" bestFit="1" customWidth="1"/>
    <col min="2314" max="2314" width="12.5703125" style="936" bestFit="1" customWidth="1"/>
    <col min="2315" max="2315" width="6.28515625" style="936" bestFit="1" customWidth="1"/>
    <col min="2316" max="2316" width="6.28515625" style="936" customWidth="1"/>
    <col min="2317" max="2317" width="12.7109375" style="936" bestFit="1" customWidth="1"/>
    <col min="2318" max="2318" width="12.140625" style="936" bestFit="1" customWidth="1"/>
    <col min="2319" max="2319" width="10.85546875" style="936" customWidth="1"/>
    <col min="2320" max="2320" width="9.28515625" style="936" customWidth="1"/>
    <col min="2321" max="2321" width="11.85546875" style="936" customWidth="1"/>
    <col min="2322" max="2322" width="10.28515625" style="936" customWidth="1"/>
    <col min="2323" max="2560" width="9.140625" style="936"/>
    <col min="2561" max="2561" width="3.42578125" style="936" bestFit="1" customWidth="1"/>
    <col min="2562" max="2562" width="3.7109375" style="936" customWidth="1"/>
    <col min="2563" max="2563" width="36.5703125" style="936" customWidth="1"/>
    <col min="2564" max="2565" width="7.7109375" style="936" bestFit="1" customWidth="1"/>
    <col min="2566" max="2566" width="7" style="936" bestFit="1" customWidth="1"/>
    <col min="2567" max="2567" width="11.42578125" style="936" bestFit="1" customWidth="1"/>
    <col min="2568" max="2568" width="10.140625" style="936" bestFit="1" customWidth="1"/>
    <col min="2569" max="2569" width="11" style="936" bestFit="1" customWidth="1"/>
    <col min="2570" max="2570" width="12.5703125" style="936" bestFit="1" customWidth="1"/>
    <col min="2571" max="2571" width="6.28515625" style="936" bestFit="1" customWidth="1"/>
    <col min="2572" max="2572" width="6.28515625" style="936" customWidth="1"/>
    <col min="2573" max="2573" width="12.7109375" style="936" bestFit="1" customWidth="1"/>
    <col min="2574" max="2574" width="12.140625" style="936" bestFit="1" customWidth="1"/>
    <col min="2575" max="2575" width="10.85546875" style="936" customWidth="1"/>
    <col min="2576" max="2576" width="9.28515625" style="936" customWidth="1"/>
    <col min="2577" max="2577" width="11.85546875" style="936" customWidth="1"/>
    <col min="2578" max="2578" width="10.28515625" style="936" customWidth="1"/>
    <col min="2579" max="2816" width="9.140625" style="936"/>
    <col min="2817" max="2817" width="3.42578125" style="936" bestFit="1" customWidth="1"/>
    <col min="2818" max="2818" width="3.7109375" style="936" customWidth="1"/>
    <col min="2819" max="2819" width="36.5703125" style="936" customWidth="1"/>
    <col min="2820" max="2821" width="7.7109375" style="936" bestFit="1" customWidth="1"/>
    <col min="2822" max="2822" width="7" style="936" bestFit="1" customWidth="1"/>
    <col min="2823" max="2823" width="11.42578125" style="936" bestFit="1" customWidth="1"/>
    <col min="2824" max="2824" width="10.140625" style="936" bestFit="1" customWidth="1"/>
    <col min="2825" max="2825" width="11" style="936" bestFit="1" customWidth="1"/>
    <col min="2826" max="2826" width="12.5703125" style="936" bestFit="1" customWidth="1"/>
    <col min="2827" max="2827" width="6.28515625" style="936" bestFit="1" customWidth="1"/>
    <col min="2828" max="2828" width="6.28515625" style="936" customWidth="1"/>
    <col min="2829" max="2829" width="12.7109375" style="936" bestFit="1" customWidth="1"/>
    <col min="2830" max="2830" width="12.140625" style="936" bestFit="1" customWidth="1"/>
    <col min="2831" max="2831" width="10.85546875" style="936" customWidth="1"/>
    <col min="2832" max="2832" width="9.28515625" style="936" customWidth="1"/>
    <col min="2833" max="2833" width="11.85546875" style="936" customWidth="1"/>
    <col min="2834" max="2834" width="10.28515625" style="936" customWidth="1"/>
    <col min="2835" max="3072" width="9.140625" style="936"/>
    <col min="3073" max="3073" width="3.42578125" style="936" bestFit="1" customWidth="1"/>
    <col min="3074" max="3074" width="3.7109375" style="936" customWidth="1"/>
    <col min="3075" max="3075" width="36.5703125" style="936" customWidth="1"/>
    <col min="3076" max="3077" width="7.7109375" style="936" bestFit="1" customWidth="1"/>
    <col min="3078" max="3078" width="7" style="936" bestFit="1" customWidth="1"/>
    <col min="3079" max="3079" width="11.42578125" style="936" bestFit="1" customWidth="1"/>
    <col min="3080" max="3080" width="10.140625" style="936" bestFit="1" customWidth="1"/>
    <col min="3081" max="3081" width="11" style="936" bestFit="1" customWidth="1"/>
    <col min="3082" max="3082" width="12.5703125" style="936" bestFit="1" customWidth="1"/>
    <col min="3083" max="3083" width="6.28515625" style="936" bestFit="1" customWidth="1"/>
    <col min="3084" max="3084" width="6.28515625" style="936" customWidth="1"/>
    <col min="3085" max="3085" width="12.7109375" style="936" bestFit="1" customWidth="1"/>
    <col min="3086" max="3086" width="12.140625" style="936" bestFit="1" customWidth="1"/>
    <col min="3087" max="3087" width="10.85546875" style="936" customWidth="1"/>
    <col min="3088" max="3088" width="9.28515625" style="936" customWidth="1"/>
    <col min="3089" max="3089" width="11.85546875" style="936" customWidth="1"/>
    <col min="3090" max="3090" width="10.28515625" style="936" customWidth="1"/>
    <col min="3091" max="3328" width="9.140625" style="936"/>
    <col min="3329" max="3329" width="3.42578125" style="936" bestFit="1" customWidth="1"/>
    <col min="3330" max="3330" width="3.7109375" style="936" customWidth="1"/>
    <col min="3331" max="3331" width="36.5703125" style="936" customWidth="1"/>
    <col min="3332" max="3333" width="7.7109375" style="936" bestFit="1" customWidth="1"/>
    <col min="3334" max="3334" width="7" style="936" bestFit="1" customWidth="1"/>
    <col min="3335" max="3335" width="11.42578125" style="936" bestFit="1" customWidth="1"/>
    <col min="3336" max="3336" width="10.140625" style="936" bestFit="1" customWidth="1"/>
    <col min="3337" max="3337" width="11" style="936" bestFit="1" customWidth="1"/>
    <col min="3338" max="3338" width="12.5703125" style="936" bestFit="1" customWidth="1"/>
    <col min="3339" max="3339" width="6.28515625" style="936" bestFit="1" customWidth="1"/>
    <col min="3340" max="3340" width="6.28515625" style="936" customWidth="1"/>
    <col min="3341" max="3341" width="12.7109375" style="936" bestFit="1" customWidth="1"/>
    <col min="3342" max="3342" width="12.140625" style="936" bestFit="1" customWidth="1"/>
    <col min="3343" max="3343" width="10.85546875" style="936" customWidth="1"/>
    <col min="3344" max="3344" width="9.28515625" style="936" customWidth="1"/>
    <col min="3345" max="3345" width="11.85546875" style="936" customWidth="1"/>
    <col min="3346" max="3346" width="10.28515625" style="936" customWidth="1"/>
    <col min="3347" max="3584" width="9.140625" style="936"/>
    <col min="3585" max="3585" width="3.42578125" style="936" bestFit="1" customWidth="1"/>
    <col min="3586" max="3586" width="3.7109375" style="936" customWidth="1"/>
    <col min="3587" max="3587" width="36.5703125" style="936" customWidth="1"/>
    <col min="3588" max="3589" width="7.7109375" style="936" bestFit="1" customWidth="1"/>
    <col min="3590" max="3590" width="7" style="936" bestFit="1" customWidth="1"/>
    <col min="3591" max="3591" width="11.42578125" style="936" bestFit="1" customWidth="1"/>
    <col min="3592" max="3592" width="10.140625" style="936" bestFit="1" customWidth="1"/>
    <col min="3593" max="3593" width="11" style="936" bestFit="1" customWidth="1"/>
    <col min="3594" max="3594" width="12.5703125" style="936" bestFit="1" customWidth="1"/>
    <col min="3595" max="3595" width="6.28515625" style="936" bestFit="1" customWidth="1"/>
    <col min="3596" max="3596" width="6.28515625" style="936" customWidth="1"/>
    <col min="3597" max="3597" width="12.7109375" style="936" bestFit="1" customWidth="1"/>
    <col min="3598" max="3598" width="12.140625" style="936" bestFit="1" customWidth="1"/>
    <col min="3599" max="3599" width="10.85546875" style="936" customWidth="1"/>
    <col min="3600" max="3600" width="9.28515625" style="936" customWidth="1"/>
    <col min="3601" max="3601" width="11.85546875" style="936" customWidth="1"/>
    <col min="3602" max="3602" width="10.28515625" style="936" customWidth="1"/>
    <col min="3603" max="3840" width="9.140625" style="936"/>
    <col min="3841" max="3841" width="3.42578125" style="936" bestFit="1" customWidth="1"/>
    <col min="3842" max="3842" width="3.7109375" style="936" customWidth="1"/>
    <col min="3843" max="3843" width="36.5703125" style="936" customWidth="1"/>
    <col min="3844" max="3845" width="7.7109375" style="936" bestFit="1" customWidth="1"/>
    <col min="3846" max="3846" width="7" style="936" bestFit="1" customWidth="1"/>
    <col min="3847" max="3847" width="11.42578125" style="936" bestFit="1" customWidth="1"/>
    <col min="3848" max="3848" width="10.140625" style="936" bestFit="1" customWidth="1"/>
    <col min="3849" max="3849" width="11" style="936" bestFit="1" customWidth="1"/>
    <col min="3850" max="3850" width="12.5703125" style="936" bestFit="1" customWidth="1"/>
    <col min="3851" max="3851" width="6.28515625" style="936" bestFit="1" customWidth="1"/>
    <col min="3852" max="3852" width="6.28515625" style="936" customWidth="1"/>
    <col min="3853" max="3853" width="12.7109375" style="936" bestFit="1" customWidth="1"/>
    <col min="3854" max="3854" width="12.140625" style="936" bestFit="1" customWidth="1"/>
    <col min="3855" max="3855" width="10.85546875" style="936" customWidth="1"/>
    <col min="3856" max="3856" width="9.28515625" style="936" customWidth="1"/>
    <col min="3857" max="3857" width="11.85546875" style="936" customWidth="1"/>
    <col min="3858" max="3858" width="10.28515625" style="936" customWidth="1"/>
    <col min="3859" max="4096" width="9.140625" style="936"/>
    <col min="4097" max="4097" width="3.42578125" style="936" bestFit="1" customWidth="1"/>
    <col min="4098" max="4098" width="3.7109375" style="936" customWidth="1"/>
    <col min="4099" max="4099" width="36.5703125" style="936" customWidth="1"/>
    <col min="4100" max="4101" width="7.7109375" style="936" bestFit="1" customWidth="1"/>
    <col min="4102" max="4102" width="7" style="936" bestFit="1" customWidth="1"/>
    <col min="4103" max="4103" width="11.42578125" style="936" bestFit="1" customWidth="1"/>
    <col min="4104" max="4104" width="10.140625" style="936" bestFit="1" customWidth="1"/>
    <col min="4105" max="4105" width="11" style="936" bestFit="1" customWidth="1"/>
    <col min="4106" max="4106" width="12.5703125" style="936" bestFit="1" customWidth="1"/>
    <col min="4107" max="4107" width="6.28515625" style="936" bestFit="1" customWidth="1"/>
    <col min="4108" max="4108" width="6.28515625" style="936" customWidth="1"/>
    <col min="4109" max="4109" width="12.7109375" style="936" bestFit="1" customWidth="1"/>
    <col min="4110" max="4110" width="12.140625" style="936" bestFit="1" customWidth="1"/>
    <col min="4111" max="4111" width="10.85546875" style="936" customWidth="1"/>
    <col min="4112" max="4112" width="9.28515625" style="936" customWidth="1"/>
    <col min="4113" max="4113" width="11.85546875" style="936" customWidth="1"/>
    <col min="4114" max="4114" width="10.28515625" style="936" customWidth="1"/>
    <col min="4115" max="4352" width="9.140625" style="936"/>
    <col min="4353" max="4353" width="3.42578125" style="936" bestFit="1" customWidth="1"/>
    <col min="4354" max="4354" width="3.7109375" style="936" customWidth="1"/>
    <col min="4355" max="4355" width="36.5703125" style="936" customWidth="1"/>
    <col min="4356" max="4357" width="7.7109375" style="936" bestFit="1" customWidth="1"/>
    <col min="4358" max="4358" width="7" style="936" bestFit="1" customWidth="1"/>
    <col min="4359" max="4359" width="11.42578125" style="936" bestFit="1" customWidth="1"/>
    <col min="4360" max="4360" width="10.140625" style="936" bestFit="1" customWidth="1"/>
    <col min="4361" max="4361" width="11" style="936" bestFit="1" customWidth="1"/>
    <col min="4362" max="4362" width="12.5703125" style="936" bestFit="1" customWidth="1"/>
    <col min="4363" max="4363" width="6.28515625" style="936" bestFit="1" customWidth="1"/>
    <col min="4364" max="4364" width="6.28515625" style="936" customWidth="1"/>
    <col min="4365" max="4365" width="12.7109375" style="936" bestFit="1" customWidth="1"/>
    <col min="4366" max="4366" width="12.140625" style="936" bestFit="1" customWidth="1"/>
    <col min="4367" max="4367" width="10.85546875" style="936" customWidth="1"/>
    <col min="4368" max="4368" width="9.28515625" style="936" customWidth="1"/>
    <col min="4369" max="4369" width="11.85546875" style="936" customWidth="1"/>
    <col min="4370" max="4370" width="10.28515625" style="936" customWidth="1"/>
    <col min="4371" max="4608" width="9.140625" style="936"/>
    <col min="4609" max="4609" width="3.42578125" style="936" bestFit="1" customWidth="1"/>
    <col min="4610" max="4610" width="3.7109375" style="936" customWidth="1"/>
    <col min="4611" max="4611" width="36.5703125" style="936" customWidth="1"/>
    <col min="4612" max="4613" width="7.7109375" style="936" bestFit="1" customWidth="1"/>
    <col min="4614" max="4614" width="7" style="936" bestFit="1" customWidth="1"/>
    <col min="4615" max="4615" width="11.42578125" style="936" bestFit="1" customWidth="1"/>
    <col min="4616" max="4616" width="10.140625" style="936" bestFit="1" customWidth="1"/>
    <col min="4617" max="4617" width="11" style="936" bestFit="1" customWidth="1"/>
    <col min="4618" max="4618" width="12.5703125" style="936" bestFit="1" customWidth="1"/>
    <col min="4619" max="4619" width="6.28515625" style="936" bestFit="1" customWidth="1"/>
    <col min="4620" max="4620" width="6.28515625" style="936" customWidth="1"/>
    <col min="4621" max="4621" width="12.7109375" style="936" bestFit="1" customWidth="1"/>
    <col min="4622" max="4622" width="12.140625" style="936" bestFit="1" customWidth="1"/>
    <col min="4623" max="4623" width="10.85546875" style="936" customWidth="1"/>
    <col min="4624" max="4624" width="9.28515625" style="936" customWidth="1"/>
    <col min="4625" max="4625" width="11.85546875" style="936" customWidth="1"/>
    <col min="4626" max="4626" width="10.28515625" style="936" customWidth="1"/>
    <col min="4627" max="4864" width="9.140625" style="936"/>
    <col min="4865" max="4865" width="3.42578125" style="936" bestFit="1" customWidth="1"/>
    <col min="4866" max="4866" width="3.7109375" style="936" customWidth="1"/>
    <col min="4867" max="4867" width="36.5703125" style="936" customWidth="1"/>
    <col min="4868" max="4869" width="7.7109375" style="936" bestFit="1" customWidth="1"/>
    <col min="4870" max="4870" width="7" style="936" bestFit="1" customWidth="1"/>
    <col min="4871" max="4871" width="11.42578125" style="936" bestFit="1" customWidth="1"/>
    <col min="4872" max="4872" width="10.140625" style="936" bestFit="1" customWidth="1"/>
    <col min="4873" max="4873" width="11" style="936" bestFit="1" customWidth="1"/>
    <col min="4874" max="4874" width="12.5703125" style="936" bestFit="1" customWidth="1"/>
    <col min="4875" max="4875" width="6.28515625" style="936" bestFit="1" customWidth="1"/>
    <col min="4876" max="4876" width="6.28515625" style="936" customWidth="1"/>
    <col min="4877" max="4877" width="12.7109375" style="936" bestFit="1" customWidth="1"/>
    <col min="4878" max="4878" width="12.140625" style="936" bestFit="1" customWidth="1"/>
    <col min="4879" max="4879" width="10.85546875" style="936" customWidth="1"/>
    <col min="4880" max="4880" width="9.28515625" style="936" customWidth="1"/>
    <col min="4881" max="4881" width="11.85546875" style="936" customWidth="1"/>
    <col min="4882" max="4882" width="10.28515625" style="936" customWidth="1"/>
    <col min="4883" max="5120" width="9.140625" style="936"/>
    <col min="5121" max="5121" width="3.42578125" style="936" bestFit="1" customWidth="1"/>
    <col min="5122" max="5122" width="3.7109375" style="936" customWidth="1"/>
    <col min="5123" max="5123" width="36.5703125" style="936" customWidth="1"/>
    <col min="5124" max="5125" width="7.7109375" style="936" bestFit="1" customWidth="1"/>
    <col min="5126" max="5126" width="7" style="936" bestFit="1" customWidth="1"/>
    <col min="5127" max="5127" width="11.42578125" style="936" bestFit="1" customWidth="1"/>
    <col min="5128" max="5128" width="10.140625" style="936" bestFit="1" customWidth="1"/>
    <col min="5129" max="5129" width="11" style="936" bestFit="1" customWidth="1"/>
    <col min="5130" max="5130" width="12.5703125" style="936" bestFit="1" customWidth="1"/>
    <col min="5131" max="5131" width="6.28515625" style="936" bestFit="1" customWidth="1"/>
    <col min="5132" max="5132" width="6.28515625" style="936" customWidth="1"/>
    <col min="5133" max="5133" width="12.7109375" style="936" bestFit="1" customWidth="1"/>
    <col min="5134" max="5134" width="12.140625" style="936" bestFit="1" customWidth="1"/>
    <col min="5135" max="5135" width="10.85546875" style="936" customWidth="1"/>
    <col min="5136" max="5136" width="9.28515625" style="936" customWidth="1"/>
    <col min="5137" max="5137" width="11.85546875" style="936" customWidth="1"/>
    <col min="5138" max="5138" width="10.28515625" style="936" customWidth="1"/>
    <col min="5139" max="5376" width="9.140625" style="936"/>
    <col min="5377" max="5377" width="3.42578125" style="936" bestFit="1" customWidth="1"/>
    <col min="5378" max="5378" width="3.7109375" style="936" customWidth="1"/>
    <col min="5379" max="5379" width="36.5703125" style="936" customWidth="1"/>
    <col min="5380" max="5381" width="7.7109375" style="936" bestFit="1" customWidth="1"/>
    <col min="5382" max="5382" width="7" style="936" bestFit="1" customWidth="1"/>
    <col min="5383" max="5383" width="11.42578125" style="936" bestFit="1" customWidth="1"/>
    <col min="5384" max="5384" width="10.140625" style="936" bestFit="1" customWidth="1"/>
    <col min="5385" max="5385" width="11" style="936" bestFit="1" customWidth="1"/>
    <col min="5386" max="5386" width="12.5703125" style="936" bestFit="1" customWidth="1"/>
    <col min="5387" max="5387" width="6.28515625" style="936" bestFit="1" customWidth="1"/>
    <col min="5388" max="5388" width="6.28515625" style="936" customWidth="1"/>
    <col min="5389" max="5389" width="12.7109375" style="936" bestFit="1" customWidth="1"/>
    <col min="5390" max="5390" width="12.140625" style="936" bestFit="1" customWidth="1"/>
    <col min="5391" max="5391" width="10.85546875" style="936" customWidth="1"/>
    <col min="5392" max="5392" width="9.28515625" style="936" customWidth="1"/>
    <col min="5393" max="5393" width="11.85546875" style="936" customWidth="1"/>
    <col min="5394" max="5394" width="10.28515625" style="936" customWidth="1"/>
    <col min="5395" max="5632" width="9.140625" style="936"/>
    <col min="5633" max="5633" width="3.42578125" style="936" bestFit="1" customWidth="1"/>
    <col min="5634" max="5634" width="3.7109375" style="936" customWidth="1"/>
    <col min="5635" max="5635" width="36.5703125" style="936" customWidth="1"/>
    <col min="5636" max="5637" width="7.7109375" style="936" bestFit="1" customWidth="1"/>
    <col min="5638" max="5638" width="7" style="936" bestFit="1" customWidth="1"/>
    <col min="5639" max="5639" width="11.42578125" style="936" bestFit="1" customWidth="1"/>
    <col min="5640" max="5640" width="10.140625" style="936" bestFit="1" customWidth="1"/>
    <col min="5641" max="5641" width="11" style="936" bestFit="1" customWidth="1"/>
    <col min="5642" max="5642" width="12.5703125" style="936" bestFit="1" customWidth="1"/>
    <col min="5643" max="5643" width="6.28515625" style="936" bestFit="1" customWidth="1"/>
    <col min="5644" max="5644" width="6.28515625" style="936" customWidth="1"/>
    <col min="5645" max="5645" width="12.7109375" style="936" bestFit="1" customWidth="1"/>
    <col min="5646" max="5646" width="12.140625" style="936" bestFit="1" customWidth="1"/>
    <col min="5647" max="5647" width="10.85546875" style="936" customWidth="1"/>
    <col min="5648" max="5648" width="9.28515625" style="936" customWidth="1"/>
    <col min="5649" max="5649" width="11.85546875" style="936" customWidth="1"/>
    <col min="5650" max="5650" width="10.28515625" style="936" customWidth="1"/>
    <col min="5651" max="5888" width="9.140625" style="936"/>
    <col min="5889" max="5889" width="3.42578125" style="936" bestFit="1" customWidth="1"/>
    <col min="5890" max="5890" width="3.7109375" style="936" customWidth="1"/>
    <col min="5891" max="5891" width="36.5703125" style="936" customWidth="1"/>
    <col min="5892" max="5893" width="7.7109375" style="936" bestFit="1" customWidth="1"/>
    <col min="5894" max="5894" width="7" style="936" bestFit="1" customWidth="1"/>
    <col min="5895" max="5895" width="11.42578125" style="936" bestFit="1" customWidth="1"/>
    <col min="5896" max="5896" width="10.140625" style="936" bestFit="1" customWidth="1"/>
    <col min="5897" max="5897" width="11" style="936" bestFit="1" customWidth="1"/>
    <col min="5898" max="5898" width="12.5703125" style="936" bestFit="1" customWidth="1"/>
    <col min="5899" max="5899" width="6.28515625" style="936" bestFit="1" customWidth="1"/>
    <col min="5900" max="5900" width="6.28515625" style="936" customWidth="1"/>
    <col min="5901" max="5901" width="12.7109375" style="936" bestFit="1" customWidth="1"/>
    <col min="5902" max="5902" width="12.140625" style="936" bestFit="1" customWidth="1"/>
    <col min="5903" max="5903" width="10.85546875" style="936" customWidth="1"/>
    <col min="5904" max="5904" width="9.28515625" style="936" customWidth="1"/>
    <col min="5905" max="5905" width="11.85546875" style="936" customWidth="1"/>
    <col min="5906" max="5906" width="10.28515625" style="936" customWidth="1"/>
    <col min="5907" max="6144" width="9.140625" style="936"/>
    <col min="6145" max="6145" width="3.42578125" style="936" bestFit="1" customWidth="1"/>
    <col min="6146" max="6146" width="3.7109375" style="936" customWidth="1"/>
    <col min="6147" max="6147" width="36.5703125" style="936" customWidth="1"/>
    <col min="6148" max="6149" width="7.7109375" style="936" bestFit="1" customWidth="1"/>
    <col min="6150" max="6150" width="7" style="936" bestFit="1" customWidth="1"/>
    <col min="6151" max="6151" width="11.42578125" style="936" bestFit="1" customWidth="1"/>
    <col min="6152" max="6152" width="10.140625" style="936" bestFit="1" customWidth="1"/>
    <col min="6153" max="6153" width="11" style="936" bestFit="1" customWidth="1"/>
    <col min="6154" max="6154" width="12.5703125" style="936" bestFit="1" customWidth="1"/>
    <col min="6155" max="6155" width="6.28515625" style="936" bestFit="1" customWidth="1"/>
    <col min="6156" max="6156" width="6.28515625" style="936" customWidth="1"/>
    <col min="6157" max="6157" width="12.7109375" style="936" bestFit="1" customWidth="1"/>
    <col min="6158" max="6158" width="12.140625" style="936" bestFit="1" customWidth="1"/>
    <col min="6159" max="6159" width="10.85546875" style="936" customWidth="1"/>
    <col min="6160" max="6160" width="9.28515625" style="936" customWidth="1"/>
    <col min="6161" max="6161" width="11.85546875" style="936" customWidth="1"/>
    <col min="6162" max="6162" width="10.28515625" style="936" customWidth="1"/>
    <col min="6163" max="6400" width="9.140625" style="936"/>
    <col min="6401" max="6401" width="3.42578125" style="936" bestFit="1" customWidth="1"/>
    <col min="6402" max="6402" width="3.7109375" style="936" customWidth="1"/>
    <col min="6403" max="6403" width="36.5703125" style="936" customWidth="1"/>
    <col min="6404" max="6405" width="7.7109375" style="936" bestFit="1" customWidth="1"/>
    <col min="6406" max="6406" width="7" style="936" bestFit="1" customWidth="1"/>
    <col min="6407" max="6407" width="11.42578125" style="936" bestFit="1" customWidth="1"/>
    <col min="6408" max="6408" width="10.140625" style="936" bestFit="1" customWidth="1"/>
    <col min="6409" max="6409" width="11" style="936" bestFit="1" customWidth="1"/>
    <col min="6410" max="6410" width="12.5703125" style="936" bestFit="1" customWidth="1"/>
    <col min="6411" max="6411" width="6.28515625" style="936" bestFit="1" customWidth="1"/>
    <col min="6412" max="6412" width="6.28515625" style="936" customWidth="1"/>
    <col min="6413" max="6413" width="12.7109375" style="936" bestFit="1" customWidth="1"/>
    <col min="6414" max="6414" width="12.140625" style="936" bestFit="1" customWidth="1"/>
    <col min="6415" max="6415" width="10.85546875" style="936" customWidth="1"/>
    <col min="6416" max="6416" width="9.28515625" style="936" customWidth="1"/>
    <col min="6417" max="6417" width="11.85546875" style="936" customWidth="1"/>
    <col min="6418" max="6418" width="10.28515625" style="936" customWidth="1"/>
    <col min="6419" max="6656" width="9.140625" style="936"/>
    <col min="6657" max="6657" width="3.42578125" style="936" bestFit="1" customWidth="1"/>
    <col min="6658" max="6658" width="3.7109375" style="936" customWidth="1"/>
    <col min="6659" max="6659" width="36.5703125" style="936" customWidth="1"/>
    <col min="6660" max="6661" width="7.7109375" style="936" bestFit="1" customWidth="1"/>
    <col min="6662" max="6662" width="7" style="936" bestFit="1" customWidth="1"/>
    <col min="6663" max="6663" width="11.42578125" style="936" bestFit="1" customWidth="1"/>
    <col min="6664" max="6664" width="10.140625" style="936" bestFit="1" customWidth="1"/>
    <col min="6665" max="6665" width="11" style="936" bestFit="1" customWidth="1"/>
    <col min="6666" max="6666" width="12.5703125" style="936" bestFit="1" customWidth="1"/>
    <col min="6667" max="6667" width="6.28515625" style="936" bestFit="1" customWidth="1"/>
    <col min="6668" max="6668" width="6.28515625" style="936" customWidth="1"/>
    <col min="6669" max="6669" width="12.7109375" style="936" bestFit="1" customWidth="1"/>
    <col min="6670" max="6670" width="12.140625" style="936" bestFit="1" customWidth="1"/>
    <col min="6671" max="6671" width="10.85546875" style="936" customWidth="1"/>
    <col min="6672" max="6672" width="9.28515625" style="936" customWidth="1"/>
    <col min="6673" max="6673" width="11.85546875" style="936" customWidth="1"/>
    <col min="6674" max="6674" width="10.28515625" style="936" customWidth="1"/>
    <col min="6675" max="6912" width="9.140625" style="936"/>
    <col min="6913" max="6913" width="3.42578125" style="936" bestFit="1" customWidth="1"/>
    <col min="6914" max="6914" width="3.7109375" style="936" customWidth="1"/>
    <col min="6915" max="6915" width="36.5703125" style="936" customWidth="1"/>
    <col min="6916" max="6917" width="7.7109375" style="936" bestFit="1" customWidth="1"/>
    <col min="6918" max="6918" width="7" style="936" bestFit="1" customWidth="1"/>
    <col min="6919" max="6919" width="11.42578125" style="936" bestFit="1" customWidth="1"/>
    <col min="6920" max="6920" width="10.140625" style="936" bestFit="1" customWidth="1"/>
    <col min="6921" max="6921" width="11" style="936" bestFit="1" customWidth="1"/>
    <col min="6922" max="6922" width="12.5703125" style="936" bestFit="1" customWidth="1"/>
    <col min="6923" max="6923" width="6.28515625" style="936" bestFit="1" customWidth="1"/>
    <col min="6924" max="6924" width="6.28515625" style="936" customWidth="1"/>
    <col min="6925" max="6925" width="12.7109375" style="936" bestFit="1" customWidth="1"/>
    <col min="6926" max="6926" width="12.140625" style="936" bestFit="1" customWidth="1"/>
    <col min="6927" max="6927" width="10.85546875" style="936" customWidth="1"/>
    <col min="6928" max="6928" width="9.28515625" style="936" customWidth="1"/>
    <col min="6929" max="6929" width="11.85546875" style="936" customWidth="1"/>
    <col min="6930" max="6930" width="10.28515625" style="936" customWidth="1"/>
    <col min="6931" max="7168" width="9.140625" style="936"/>
    <col min="7169" max="7169" width="3.42578125" style="936" bestFit="1" customWidth="1"/>
    <col min="7170" max="7170" width="3.7109375" style="936" customWidth="1"/>
    <col min="7171" max="7171" width="36.5703125" style="936" customWidth="1"/>
    <col min="7172" max="7173" width="7.7109375" style="936" bestFit="1" customWidth="1"/>
    <col min="7174" max="7174" width="7" style="936" bestFit="1" customWidth="1"/>
    <col min="7175" max="7175" width="11.42578125" style="936" bestFit="1" customWidth="1"/>
    <col min="7176" max="7176" width="10.140625" style="936" bestFit="1" customWidth="1"/>
    <col min="7177" max="7177" width="11" style="936" bestFit="1" customWidth="1"/>
    <col min="7178" max="7178" width="12.5703125" style="936" bestFit="1" customWidth="1"/>
    <col min="7179" max="7179" width="6.28515625" style="936" bestFit="1" customWidth="1"/>
    <col min="7180" max="7180" width="6.28515625" style="936" customWidth="1"/>
    <col min="7181" max="7181" width="12.7109375" style="936" bestFit="1" customWidth="1"/>
    <col min="7182" max="7182" width="12.140625" style="936" bestFit="1" customWidth="1"/>
    <col min="7183" max="7183" width="10.85546875" style="936" customWidth="1"/>
    <col min="7184" max="7184" width="9.28515625" style="936" customWidth="1"/>
    <col min="7185" max="7185" width="11.85546875" style="936" customWidth="1"/>
    <col min="7186" max="7186" width="10.28515625" style="936" customWidth="1"/>
    <col min="7187" max="7424" width="9.140625" style="936"/>
    <col min="7425" max="7425" width="3.42578125" style="936" bestFit="1" customWidth="1"/>
    <col min="7426" max="7426" width="3.7109375" style="936" customWidth="1"/>
    <col min="7427" max="7427" width="36.5703125" style="936" customWidth="1"/>
    <col min="7428" max="7429" width="7.7109375" style="936" bestFit="1" customWidth="1"/>
    <col min="7430" max="7430" width="7" style="936" bestFit="1" customWidth="1"/>
    <col min="7431" max="7431" width="11.42578125" style="936" bestFit="1" customWidth="1"/>
    <col min="7432" max="7432" width="10.140625" style="936" bestFit="1" customWidth="1"/>
    <col min="7433" max="7433" width="11" style="936" bestFit="1" customWidth="1"/>
    <col min="7434" max="7434" width="12.5703125" style="936" bestFit="1" customWidth="1"/>
    <col min="7435" max="7435" width="6.28515625" style="936" bestFit="1" customWidth="1"/>
    <col min="7436" max="7436" width="6.28515625" style="936" customWidth="1"/>
    <col min="7437" max="7437" width="12.7109375" style="936" bestFit="1" customWidth="1"/>
    <col min="7438" max="7438" width="12.140625" style="936" bestFit="1" customWidth="1"/>
    <col min="7439" max="7439" width="10.85546875" style="936" customWidth="1"/>
    <col min="7440" max="7440" width="9.28515625" style="936" customWidth="1"/>
    <col min="7441" max="7441" width="11.85546875" style="936" customWidth="1"/>
    <col min="7442" max="7442" width="10.28515625" style="936" customWidth="1"/>
    <col min="7443" max="7680" width="9.140625" style="936"/>
    <col min="7681" max="7681" width="3.42578125" style="936" bestFit="1" customWidth="1"/>
    <col min="7682" max="7682" width="3.7109375" style="936" customWidth="1"/>
    <col min="7683" max="7683" width="36.5703125" style="936" customWidth="1"/>
    <col min="7684" max="7685" width="7.7109375" style="936" bestFit="1" customWidth="1"/>
    <col min="7686" max="7686" width="7" style="936" bestFit="1" customWidth="1"/>
    <col min="7687" max="7687" width="11.42578125" style="936" bestFit="1" customWidth="1"/>
    <col min="7688" max="7688" width="10.140625" style="936" bestFit="1" customWidth="1"/>
    <col min="7689" max="7689" width="11" style="936" bestFit="1" customWidth="1"/>
    <col min="7690" max="7690" width="12.5703125" style="936" bestFit="1" customWidth="1"/>
    <col min="7691" max="7691" width="6.28515625" style="936" bestFit="1" customWidth="1"/>
    <col min="7692" max="7692" width="6.28515625" style="936" customWidth="1"/>
    <col min="7693" max="7693" width="12.7109375" style="936" bestFit="1" customWidth="1"/>
    <col min="7694" max="7694" width="12.140625" style="936" bestFit="1" customWidth="1"/>
    <col min="7695" max="7695" width="10.85546875" style="936" customWidth="1"/>
    <col min="7696" max="7696" width="9.28515625" style="936" customWidth="1"/>
    <col min="7697" max="7697" width="11.85546875" style="936" customWidth="1"/>
    <col min="7698" max="7698" width="10.28515625" style="936" customWidth="1"/>
    <col min="7699" max="7936" width="9.140625" style="936"/>
    <col min="7937" max="7937" width="3.42578125" style="936" bestFit="1" customWidth="1"/>
    <col min="7938" max="7938" width="3.7109375" style="936" customWidth="1"/>
    <col min="7939" max="7939" width="36.5703125" style="936" customWidth="1"/>
    <col min="7940" max="7941" width="7.7109375" style="936" bestFit="1" customWidth="1"/>
    <col min="7942" max="7942" width="7" style="936" bestFit="1" customWidth="1"/>
    <col min="7943" max="7943" width="11.42578125" style="936" bestFit="1" customWidth="1"/>
    <col min="7944" max="7944" width="10.140625" style="936" bestFit="1" customWidth="1"/>
    <col min="7945" max="7945" width="11" style="936" bestFit="1" customWidth="1"/>
    <col min="7946" max="7946" width="12.5703125" style="936" bestFit="1" customWidth="1"/>
    <col min="7947" max="7947" width="6.28515625" style="936" bestFit="1" customWidth="1"/>
    <col min="7948" max="7948" width="6.28515625" style="936" customWidth="1"/>
    <col min="7949" max="7949" width="12.7109375" style="936" bestFit="1" customWidth="1"/>
    <col min="7950" max="7950" width="12.140625" style="936" bestFit="1" customWidth="1"/>
    <col min="7951" max="7951" width="10.85546875" style="936" customWidth="1"/>
    <col min="7952" max="7952" width="9.28515625" style="936" customWidth="1"/>
    <col min="7953" max="7953" width="11.85546875" style="936" customWidth="1"/>
    <col min="7954" max="7954" width="10.28515625" style="936" customWidth="1"/>
    <col min="7955" max="8192" width="9.140625" style="936"/>
    <col min="8193" max="8193" width="3.42578125" style="936" bestFit="1" customWidth="1"/>
    <col min="8194" max="8194" width="3.7109375" style="936" customWidth="1"/>
    <col min="8195" max="8195" width="36.5703125" style="936" customWidth="1"/>
    <col min="8196" max="8197" width="7.7109375" style="936" bestFit="1" customWidth="1"/>
    <col min="8198" max="8198" width="7" style="936" bestFit="1" customWidth="1"/>
    <col min="8199" max="8199" width="11.42578125" style="936" bestFit="1" customWidth="1"/>
    <col min="8200" max="8200" width="10.140625" style="936" bestFit="1" customWidth="1"/>
    <col min="8201" max="8201" width="11" style="936" bestFit="1" customWidth="1"/>
    <col min="8202" max="8202" width="12.5703125" style="936" bestFit="1" customWidth="1"/>
    <col min="8203" max="8203" width="6.28515625" style="936" bestFit="1" customWidth="1"/>
    <col min="8204" max="8204" width="6.28515625" style="936" customWidth="1"/>
    <col min="8205" max="8205" width="12.7109375" style="936" bestFit="1" customWidth="1"/>
    <col min="8206" max="8206" width="12.140625" style="936" bestFit="1" customWidth="1"/>
    <col min="8207" max="8207" width="10.85546875" style="936" customWidth="1"/>
    <col min="8208" max="8208" width="9.28515625" style="936" customWidth="1"/>
    <col min="8209" max="8209" width="11.85546875" style="936" customWidth="1"/>
    <col min="8210" max="8210" width="10.28515625" style="936" customWidth="1"/>
    <col min="8211" max="8448" width="9.140625" style="936"/>
    <col min="8449" max="8449" width="3.42578125" style="936" bestFit="1" customWidth="1"/>
    <col min="8450" max="8450" width="3.7109375" style="936" customWidth="1"/>
    <col min="8451" max="8451" width="36.5703125" style="936" customWidth="1"/>
    <col min="8452" max="8453" width="7.7109375" style="936" bestFit="1" customWidth="1"/>
    <col min="8454" max="8454" width="7" style="936" bestFit="1" customWidth="1"/>
    <col min="8455" max="8455" width="11.42578125" style="936" bestFit="1" customWidth="1"/>
    <col min="8456" max="8456" width="10.140625" style="936" bestFit="1" customWidth="1"/>
    <col min="8457" max="8457" width="11" style="936" bestFit="1" customWidth="1"/>
    <col min="8458" max="8458" width="12.5703125" style="936" bestFit="1" customWidth="1"/>
    <col min="8459" max="8459" width="6.28515625" style="936" bestFit="1" customWidth="1"/>
    <col min="8460" max="8460" width="6.28515625" style="936" customWidth="1"/>
    <col min="8461" max="8461" width="12.7109375" style="936" bestFit="1" customWidth="1"/>
    <col min="8462" max="8462" width="12.140625" style="936" bestFit="1" customWidth="1"/>
    <col min="8463" max="8463" width="10.85546875" style="936" customWidth="1"/>
    <col min="8464" max="8464" width="9.28515625" style="936" customWidth="1"/>
    <col min="8465" max="8465" width="11.85546875" style="936" customWidth="1"/>
    <col min="8466" max="8466" width="10.28515625" style="936" customWidth="1"/>
    <col min="8467" max="8704" width="9.140625" style="936"/>
    <col min="8705" max="8705" width="3.42578125" style="936" bestFit="1" customWidth="1"/>
    <col min="8706" max="8706" width="3.7109375" style="936" customWidth="1"/>
    <col min="8707" max="8707" width="36.5703125" style="936" customWidth="1"/>
    <col min="8708" max="8709" width="7.7109375" style="936" bestFit="1" customWidth="1"/>
    <col min="8710" max="8710" width="7" style="936" bestFit="1" customWidth="1"/>
    <col min="8711" max="8711" width="11.42578125" style="936" bestFit="1" customWidth="1"/>
    <col min="8712" max="8712" width="10.140625" style="936" bestFit="1" customWidth="1"/>
    <col min="8713" max="8713" width="11" style="936" bestFit="1" customWidth="1"/>
    <col min="8714" max="8714" width="12.5703125" style="936" bestFit="1" customWidth="1"/>
    <col min="8715" max="8715" width="6.28515625" style="936" bestFit="1" customWidth="1"/>
    <col min="8716" max="8716" width="6.28515625" style="936" customWidth="1"/>
    <col min="8717" max="8717" width="12.7109375" style="936" bestFit="1" customWidth="1"/>
    <col min="8718" max="8718" width="12.140625" style="936" bestFit="1" customWidth="1"/>
    <col min="8719" max="8719" width="10.85546875" style="936" customWidth="1"/>
    <col min="8720" max="8720" width="9.28515625" style="936" customWidth="1"/>
    <col min="8721" max="8721" width="11.85546875" style="936" customWidth="1"/>
    <col min="8722" max="8722" width="10.28515625" style="936" customWidth="1"/>
    <col min="8723" max="8960" width="9.140625" style="936"/>
    <col min="8961" max="8961" width="3.42578125" style="936" bestFit="1" customWidth="1"/>
    <col min="8962" max="8962" width="3.7109375" style="936" customWidth="1"/>
    <col min="8963" max="8963" width="36.5703125" style="936" customWidth="1"/>
    <col min="8964" max="8965" width="7.7109375" style="936" bestFit="1" customWidth="1"/>
    <col min="8966" max="8966" width="7" style="936" bestFit="1" customWidth="1"/>
    <col min="8967" max="8967" width="11.42578125" style="936" bestFit="1" customWidth="1"/>
    <col min="8968" max="8968" width="10.140625" style="936" bestFit="1" customWidth="1"/>
    <col min="8969" max="8969" width="11" style="936" bestFit="1" customWidth="1"/>
    <col min="8970" max="8970" width="12.5703125" style="936" bestFit="1" customWidth="1"/>
    <col min="8971" max="8971" width="6.28515625" style="936" bestFit="1" customWidth="1"/>
    <col min="8972" max="8972" width="6.28515625" style="936" customWidth="1"/>
    <col min="8973" max="8973" width="12.7109375" style="936" bestFit="1" customWidth="1"/>
    <col min="8974" max="8974" width="12.140625" style="936" bestFit="1" customWidth="1"/>
    <col min="8975" max="8975" width="10.85546875" style="936" customWidth="1"/>
    <col min="8976" max="8976" width="9.28515625" style="936" customWidth="1"/>
    <col min="8977" max="8977" width="11.85546875" style="936" customWidth="1"/>
    <col min="8978" max="8978" width="10.28515625" style="936" customWidth="1"/>
    <col min="8979" max="9216" width="9.140625" style="936"/>
    <col min="9217" max="9217" width="3.42578125" style="936" bestFit="1" customWidth="1"/>
    <col min="9218" max="9218" width="3.7109375" style="936" customWidth="1"/>
    <col min="9219" max="9219" width="36.5703125" style="936" customWidth="1"/>
    <col min="9220" max="9221" width="7.7109375" style="936" bestFit="1" customWidth="1"/>
    <col min="9222" max="9222" width="7" style="936" bestFit="1" customWidth="1"/>
    <col min="9223" max="9223" width="11.42578125" style="936" bestFit="1" customWidth="1"/>
    <col min="9224" max="9224" width="10.140625" style="936" bestFit="1" customWidth="1"/>
    <col min="9225" max="9225" width="11" style="936" bestFit="1" customWidth="1"/>
    <col min="9226" max="9226" width="12.5703125" style="936" bestFit="1" customWidth="1"/>
    <col min="9227" max="9227" width="6.28515625" style="936" bestFit="1" customWidth="1"/>
    <col min="9228" max="9228" width="6.28515625" style="936" customWidth="1"/>
    <col min="9229" max="9229" width="12.7109375" style="936" bestFit="1" customWidth="1"/>
    <col min="9230" max="9230" width="12.140625" style="936" bestFit="1" customWidth="1"/>
    <col min="9231" max="9231" width="10.85546875" style="936" customWidth="1"/>
    <col min="9232" max="9232" width="9.28515625" style="936" customWidth="1"/>
    <col min="9233" max="9233" width="11.85546875" style="936" customWidth="1"/>
    <col min="9234" max="9234" width="10.28515625" style="936" customWidth="1"/>
    <col min="9235" max="9472" width="9.140625" style="936"/>
    <col min="9473" max="9473" width="3.42578125" style="936" bestFit="1" customWidth="1"/>
    <col min="9474" max="9474" width="3.7109375" style="936" customWidth="1"/>
    <col min="9475" max="9475" width="36.5703125" style="936" customWidth="1"/>
    <col min="9476" max="9477" width="7.7109375" style="936" bestFit="1" customWidth="1"/>
    <col min="9478" max="9478" width="7" style="936" bestFit="1" customWidth="1"/>
    <col min="9479" max="9479" width="11.42578125" style="936" bestFit="1" customWidth="1"/>
    <col min="9480" max="9480" width="10.140625" style="936" bestFit="1" customWidth="1"/>
    <col min="9481" max="9481" width="11" style="936" bestFit="1" customWidth="1"/>
    <col min="9482" max="9482" width="12.5703125" style="936" bestFit="1" customWidth="1"/>
    <col min="9483" max="9483" width="6.28515625" style="936" bestFit="1" customWidth="1"/>
    <col min="9484" max="9484" width="6.28515625" style="936" customWidth="1"/>
    <col min="9485" max="9485" width="12.7109375" style="936" bestFit="1" customWidth="1"/>
    <col min="9486" max="9486" width="12.140625" style="936" bestFit="1" customWidth="1"/>
    <col min="9487" max="9487" width="10.85546875" style="936" customWidth="1"/>
    <col min="9488" max="9488" width="9.28515625" style="936" customWidth="1"/>
    <col min="9489" max="9489" width="11.85546875" style="936" customWidth="1"/>
    <col min="9490" max="9490" width="10.28515625" style="936" customWidth="1"/>
    <col min="9491" max="9728" width="9.140625" style="936"/>
    <col min="9729" max="9729" width="3.42578125" style="936" bestFit="1" customWidth="1"/>
    <col min="9730" max="9730" width="3.7109375" style="936" customWidth="1"/>
    <col min="9731" max="9731" width="36.5703125" style="936" customWidth="1"/>
    <col min="9732" max="9733" width="7.7109375" style="936" bestFit="1" customWidth="1"/>
    <col min="9734" max="9734" width="7" style="936" bestFit="1" customWidth="1"/>
    <col min="9735" max="9735" width="11.42578125" style="936" bestFit="1" customWidth="1"/>
    <col min="9736" max="9736" width="10.140625" style="936" bestFit="1" customWidth="1"/>
    <col min="9737" max="9737" width="11" style="936" bestFit="1" customWidth="1"/>
    <col min="9738" max="9738" width="12.5703125" style="936" bestFit="1" customWidth="1"/>
    <col min="9739" max="9739" width="6.28515625" style="936" bestFit="1" customWidth="1"/>
    <col min="9740" max="9740" width="6.28515625" style="936" customWidth="1"/>
    <col min="9741" max="9741" width="12.7109375" style="936" bestFit="1" customWidth="1"/>
    <col min="9742" max="9742" width="12.140625" style="936" bestFit="1" customWidth="1"/>
    <col min="9743" max="9743" width="10.85546875" style="936" customWidth="1"/>
    <col min="9744" max="9744" width="9.28515625" style="936" customWidth="1"/>
    <col min="9745" max="9745" width="11.85546875" style="936" customWidth="1"/>
    <col min="9746" max="9746" width="10.28515625" style="936" customWidth="1"/>
    <col min="9747" max="9984" width="9.140625" style="936"/>
    <col min="9985" max="9985" width="3.42578125" style="936" bestFit="1" customWidth="1"/>
    <col min="9986" max="9986" width="3.7109375" style="936" customWidth="1"/>
    <col min="9987" max="9987" width="36.5703125" style="936" customWidth="1"/>
    <col min="9988" max="9989" width="7.7109375" style="936" bestFit="1" customWidth="1"/>
    <col min="9990" max="9990" width="7" style="936" bestFit="1" customWidth="1"/>
    <col min="9991" max="9991" width="11.42578125" style="936" bestFit="1" customWidth="1"/>
    <col min="9992" max="9992" width="10.140625" style="936" bestFit="1" customWidth="1"/>
    <col min="9993" max="9993" width="11" style="936" bestFit="1" customWidth="1"/>
    <col min="9994" max="9994" width="12.5703125" style="936" bestFit="1" customWidth="1"/>
    <col min="9995" max="9995" width="6.28515625" style="936" bestFit="1" customWidth="1"/>
    <col min="9996" max="9996" width="6.28515625" style="936" customWidth="1"/>
    <col min="9997" max="9997" width="12.7109375" style="936" bestFit="1" customWidth="1"/>
    <col min="9998" max="9998" width="12.140625" style="936" bestFit="1" customWidth="1"/>
    <col min="9999" max="9999" width="10.85546875" style="936" customWidth="1"/>
    <col min="10000" max="10000" width="9.28515625" style="936" customWidth="1"/>
    <col min="10001" max="10001" width="11.85546875" style="936" customWidth="1"/>
    <col min="10002" max="10002" width="10.28515625" style="936" customWidth="1"/>
    <col min="10003" max="10240" width="9.140625" style="936"/>
    <col min="10241" max="10241" width="3.42578125" style="936" bestFit="1" customWidth="1"/>
    <col min="10242" max="10242" width="3.7109375" style="936" customWidth="1"/>
    <col min="10243" max="10243" width="36.5703125" style="936" customWidth="1"/>
    <col min="10244" max="10245" width="7.7109375" style="936" bestFit="1" customWidth="1"/>
    <col min="10246" max="10246" width="7" style="936" bestFit="1" customWidth="1"/>
    <col min="10247" max="10247" width="11.42578125" style="936" bestFit="1" customWidth="1"/>
    <col min="10248" max="10248" width="10.140625" style="936" bestFit="1" customWidth="1"/>
    <col min="10249" max="10249" width="11" style="936" bestFit="1" customWidth="1"/>
    <col min="10250" max="10250" width="12.5703125" style="936" bestFit="1" customWidth="1"/>
    <col min="10251" max="10251" width="6.28515625" style="936" bestFit="1" customWidth="1"/>
    <col min="10252" max="10252" width="6.28515625" style="936" customWidth="1"/>
    <col min="10253" max="10253" width="12.7109375" style="936" bestFit="1" customWidth="1"/>
    <col min="10254" max="10254" width="12.140625" style="936" bestFit="1" customWidth="1"/>
    <col min="10255" max="10255" width="10.85546875" style="936" customWidth="1"/>
    <col min="10256" max="10256" width="9.28515625" style="936" customWidth="1"/>
    <col min="10257" max="10257" width="11.85546875" style="936" customWidth="1"/>
    <col min="10258" max="10258" width="10.28515625" style="936" customWidth="1"/>
    <col min="10259" max="10496" width="9.140625" style="936"/>
    <col min="10497" max="10497" width="3.42578125" style="936" bestFit="1" customWidth="1"/>
    <col min="10498" max="10498" width="3.7109375" style="936" customWidth="1"/>
    <col min="10499" max="10499" width="36.5703125" style="936" customWidth="1"/>
    <col min="10500" max="10501" width="7.7109375" style="936" bestFit="1" customWidth="1"/>
    <col min="10502" max="10502" width="7" style="936" bestFit="1" customWidth="1"/>
    <col min="10503" max="10503" width="11.42578125" style="936" bestFit="1" customWidth="1"/>
    <col min="10504" max="10504" width="10.140625" style="936" bestFit="1" customWidth="1"/>
    <col min="10505" max="10505" width="11" style="936" bestFit="1" customWidth="1"/>
    <col min="10506" max="10506" width="12.5703125" style="936" bestFit="1" customWidth="1"/>
    <col min="10507" max="10507" width="6.28515625" style="936" bestFit="1" customWidth="1"/>
    <col min="10508" max="10508" width="6.28515625" style="936" customWidth="1"/>
    <col min="10509" max="10509" width="12.7109375" style="936" bestFit="1" customWidth="1"/>
    <col min="10510" max="10510" width="12.140625" style="936" bestFit="1" customWidth="1"/>
    <col min="10511" max="10511" width="10.85546875" style="936" customWidth="1"/>
    <col min="10512" max="10512" width="9.28515625" style="936" customWidth="1"/>
    <col min="10513" max="10513" width="11.85546875" style="936" customWidth="1"/>
    <col min="10514" max="10514" width="10.28515625" style="936" customWidth="1"/>
    <col min="10515" max="10752" width="9.140625" style="936"/>
    <col min="10753" max="10753" width="3.42578125" style="936" bestFit="1" customWidth="1"/>
    <col min="10754" max="10754" width="3.7109375" style="936" customWidth="1"/>
    <col min="10755" max="10755" width="36.5703125" style="936" customWidth="1"/>
    <col min="10756" max="10757" width="7.7109375" style="936" bestFit="1" customWidth="1"/>
    <col min="10758" max="10758" width="7" style="936" bestFit="1" customWidth="1"/>
    <col min="10759" max="10759" width="11.42578125" style="936" bestFit="1" customWidth="1"/>
    <col min="10760" max="10760" width="10.140625" style="936" bestFit="1" customWidth="1"/>
    <col min="10761" max="10761" width="11" style="936" bestFit="1" customWidth="1"/>
    <col min="10762" max="10762" width="12.5703125" style="936" bestFit="1" customWidth="1"/>
    <col min="10763" max="10763" width="6.28515625" style="936" bestFit="1" customWidth="1"/>
    <col min="10764" max="10764" width="6.28515625" style="936" customWidth="1"/>
    <col min="10765" max="10765" width="12.7109375" style="936" bestFit="1" customWidth="1"/>
    <col min="10766" max="10766" width="12.140625" style="936" bestFit="1" customWidth="1"/>
    <col min="10767" max="10767" width="10.85546875" style="936" customWidth="1"/>
    <col min="10768" max="10768" width="9.28515625" style="936" customWidth="1"/>
    <col min="10769" max="10769" width="11.85546875" style="936" customWidth="1"/>
    <col min="10770" max="10770" width="10.28515625" style="936" customWidth="1"/>
    <col min="10771" max="11008" width="9.140625" style="936"/>
    <col min="11009" max="11009" width="3.42578125" style="936" bestFit="1" customWidth="1"/>
    <col min="11010" max="11010" width="3.7109375" style="936" customWidth="1"/>
    <col min="11011" max="11011" width="36.5703125" style="936" customWidth="1"/>
    <col min="11012" max="11013" width="7.7109375" style="936" bestFit="1" customWidth="1"/>
    <col min="11014" max="11014" width="7" style="936" bestFit="1" customWidth="1"/>
    <col min="11015" max="11015" width="11.42578125" style="936" bestFit="1" customWidth="1"/>
    <col min="11016" max="11016" width="10.140625" style="936" bestFit="1" customWidth="1"/>
    <col min="11017" max="11017" width="11" style="936" bestFit="1" customWidth="1"/>
    <col min="11018" max="11018" width="12.5703125" style="936" bestFit="1" customWidth="1"/>
    <col min="11019" max="11019" width="6.28515625" style="936" bestFit="1" customWidth="1"/>
    <col min="11020" max="11020" width="6.28515625" style="936" customWidth="1"/>
    <col min="11021" max="11021" width="12.7109375" style="936" bestFit="1" customWidth="1"/>
    <col min="11022" max="11022" width="12.140625" style="936" bestFit="1" customWidth="1"/>
    <col min="11023" max="11023" width="10.85546875" style="936" customWidth="1"/>
    <col min="11024" max="11024" width="9.28515625" style="936" customWidth="1"/>
    <col min="11025" max="11025" width="11.85546875" style="936" customWidth="1"/>
    <col min="11026" max="11026" width="10.28515625" style="936" customWidth="1"/>
    <col min="11027" max="11264" width="9.140625" style="936"/>
    <col min="11265" max="11265" width="3.42578125" style="936" bestFit="1" customWidth="1"/>
    <col min="11266" max="11266" width="3.7109375" style="936" customWidth="1"/>
    <col min="11267" max="11267" width="36.5703125" style="936" customWidth="1"/>
    <col min="11268" max="11269" width="7.7109375" style="936" bestFit="1" customWidth="1"/>
    <col min="11270" max="11270" width="7" style="936" bestFit="1" customWidth="1"/>
    <col min="11271" max="11271" width="11.42578125" style="936" bestFit="1" customWidth="1"/>
    <col min="11272" max="11272" width="10.140625" style="936" bestFit="1" customWidth="1"/>
    <col min="11273" max="11273" width="11" style="936" bestFit="1" customWidth="1"/>
    <col min="11274" max="11274" width="12.5703125" style="936" bestFit="1" customWidth="1"/>
    <col min="11275" max="11275" width="6.28515625" style="936" bestFit="1" customWidth="1"/>
    <col min="11276" max="11276" width="6.28515625" style="936" customWidth="1"/>
    <col min="11277" max="11277" width="12.7109375" style="936" bestFit="1" customWidth="1"/>
    <col min="11278" max="11278" width="12.140625" style="936" bestFit="1" customWidth="1"/>
    <col min="11279" max="11279" width="10.85546875" style="936" customWidth="1"/>
    <col min="11280" max="11280" width="9.28515625" style="936" customWidth="1"/>
    <col min="11281" max="11281" width="11.85546875" style="936" customWidth="1"/>
    <col min="11282" max="11282" width="10.28515625" style="936" customWidth="1"/>
    <col min="11283" max="11520" width="9.140625" style="936"/>
    <col min="11521" max="11521" width="3.42578125" style="936" bestFit="1" customWidth="1"/>
    <col min="11522" max="11522" width="3.7109375" style="936" customWidth="1"/>
    <col min="11523" max="11523" width="36.5703125" style="936" customWidth="1"/>
    <col min="11524" max="11525" width="7.7109375" style="936" bestFit="1" customWidth="1"/>
    <col min="11526" max="11526" width="7" style="936" bestFit="1" customWidth="1"/>
    <col min="11527" max="11527" width="11.42578125" style="936" bestFit="1" customWidth="1"/>
    <col min="11528" max="11528" width="10.140625" style="936" bestFit="1" customWidth="1"/>
    <col min="11529" max="11529" width="11" style="936" bestFit="1" customWidth="1"/>
    <col min="11530" max="11530" width="12.5703125" style="936" bestFit="1" customWidth="1"/>
    <col min="11531" max="11531" width="6.28515625" style="936" bestFit="1" customWidth="1"/>
    <col min="11532" max="11532" width="6.28515625" style="936" customWidth="1"/>
    <col min="11533" max="11533" width="12.7109375" style="936" bestFit="1" customWidth="1"/>
    <col min="11534" max="11534" width="12.140625" style="936" bestFit="1" customWidth="1"/>
    <col min="11535" max="11535" width="10.85546875" style="936" customWidth="1"/>
    <col min="11536" max="11536" width="9.28515625" style="936" customWidth="1"/>
    <col min="11537" max="11537" width="11.85546875" style="936" customWidth="1"/>
    <col min="11538" max="11538" width="10.28515625" style="936" customWidth="1"/>
    <col min="11539" max="11776" width="9.140625" style="936"/>
    <col min="11777" max="11777" width="3.42578125" style="936" bestFit="1" customWidth="1"/>
    <col min="11778" max="11778" width="3.7109375" style="936" customWidth="1"/>
    <col min="11779" max="11779" width="36.5703125" style="936" customWidth="1"/>
    <col min="11780" max="11781" width="7.7109375" style="936" bestFit="1" customWidth="1"/>
    <col min="11782" max="11782" width="7" style="936" bestFit="1" customWidth="1"/>
    <col min="11783" max="11783" width="11.42578125" style="936" bestFit="1" customWidth="1"/>
    <col min="11784" max="11784" width="10.140625" style="936" bestFit="1" customWidth="1"/>
    <col min="11785" max="11785" width="11" style="936" bestFit="1" customWidth="1"/>
    <col min="11786" max="11786" width="12.5703125" style="936" bestFit="1" customWidth="1"/>
    <col min="11787" max="11787" width="6.28515625" style="936" bestFit="1" customWidth="1"/>
    <col min="11788" max="11788" width="6.28515625" style="936" customWidth="1"/>
    <col min="11789" max="11789" width="12.7109375" style="936" bestFit="1" customWidth="1"/>
    <col min="11790" max="11790" width="12.140625" style="936" bestFit="1" customWidth="1"/>
    <col min="11791" max="11791" width="10.85546875" style="936" customWidth="1"/>
    <col min="11792" max="11792" width="9.28515625" style="936" customWidth="1"/>
    <col min="11793" max="11793" width="11.85546875" style="936" customWidth="1"/>
    <col min="11794" max="11794" width="10.28515625" style="936" customWidth="1"/>
    <col min="11795" max="12032" width="9.140625" style="936"/>
    <col min="12033" max="12033" width="3.42578125" style="936" bestFit="1" customWidth="1"/>
    <col min="12034" max="12034" width="3.7109375" style="936" customWidth="1"/>
    <col min="12035" max="12035" width="36.5703125" style="936" customWidth="1"/>
    <col min="12036" max="12037" width="7.7109375" style="936" bestFit="1" customWidth="1"/>
    <col min="12038" max="12038" width="7" style="936" bestFit="1" customWidth="1"/>
    <col min="12039" max="12039" width="11.42578125" style="936" bestFit="1" customWidth="1"/>
    <col min="12040" max="12040" width="10.140625" style="936" bestFit="1" customWidth="1"/>
    <col min="12041" max="12041" width="11" style="936" bestFit="1" customWidth="1"/>
    <col min="12042" max="12042" width="12.5703125" style="936" bestFit="1" customWidth="1"/>
    <col min="12043" max="12043" width="6.28515625" style="936" bestFit="1" customWidth="1"/>
    <col min="12044" max="12044" width="6.28515625" style="936" customWidth="1"/>
    <col min="12045" max="12045" width="12.7109375" style="936" bestFit="1" customWidth="1"/>
    <col min="12046" max="12046" width="12.140625" style="936" bestFit="1" customWidth="1"/>
    <col min="12047" max="12047" width="10.85546875" style="936" customWidth="1"/>
    <col min="12048" max="12048" width="9.28515625" style="936" customWidth="1"/>
    <col min="12049" max="12049" width="11.85546875" style="936" customWidth="1"/>
    <col min="12050" max="12050" width="10.28515625" style="936" customWidth="1"/>
    <col min="12051" max="12288" width="9.140625" style="936"/>
    <col min="12289" max="12289" width="3.42578125" style="936" bestFit="1" customWidth="1"/>
    <col min="12290" max="12290" width="3.7109375" style="936" customWidth="1"/>
    <col min="12291" max="12291" width="36.5703125" style="936" customWidth="1"/>
    <col min="12292" max="12293" width="7.7109375" style="936" bestFit="1" customWidth="1"/>
    <col min="12294" max="12294" width="7" style="936" bestFit="1" customWidth="1"/>
    <col min="12295" max="12295" width="11.42578125" style="936" bestFit="1" customWidth="1"/>
    <col min="12296" max="12296" width="10.140625" style="936" bestFit="1" customWidth="1"/>
    <col min="12297" max="12297" width="11" style="936" bestFit="1" customWidth="1"/>
    <col min="12298" max="12298" width="12.5703125" style="936" bestFit="1" customWidth="1"/>
    <col min="12299" max="12299" width="6.28515625" style="936" bestFit="1" customWidth="1"/>
    <col min="12300" max="12300" width="6.28515625" style="936" customWidth="1"/>
    <col min="12301" max="12301" width="12.7109375" style="936" bestFit="1" customWidth="1"/>
    <col min="12302" max="12302" width="12.140625" style="936" bestFit="1" customWidth="1"/>
    <col min="12303" max="12303" width="10.85546875" style="936" customWidth="1"/>
    <col min="12304" max="12304" width="9.28515625" style="936" customWidth="1"/>
    <col min="12305" max="12305" width="11.85546875" style="936" customWidth="1"/>
    <col min="12306" max="12306" width="10.28515625" style="936" customWidth="1"/>
    <col min="12307" max="12544" width="9.140625" style="936"/>
    <col min="12545" max="12545" width="3.42578125" style="936" bestFit="1" customWidth="1"/>
    <col min="12546" max="12546" width="3.7109375" style="936" customWidth="1"/>
    <col min="12547" max="12547" width="36.5703125" style="936" customWidth="1"/>
    <col min="12548" max="12549" width="7.7109375" style="936" bestFit="1" customWidth="1"/>
    <col min="12550" max="12550" width="7" style="936" bestFit="1" customWidth="1"/>
    <col min="12551" max="12551" width="11.42578125" style="936" bestFit="1" customWidth="1"/>
    <col min="12552" max="12552" width="10.140625" style="936" bestFit="1" customWidth="1"/>
    <col min="12553" max="12553" width="11" style="936" bestFit="1" customWidth="1"/>
    <col min="12554" max="12554" width="12.5703125" style="936" bestFit="1" customWidth="1"/>
    <col min="12555" max="12555" width="6.28515625" style="936" bestFit="1" customWidth="1"/>
    <col min="12556" max="12556" width="6.28515625" style="936" customWidth="1"/>
    <col min="12557" max="12557" width="12.7109375" style="936" bestFit="1" customWidth="1"/>
    <col min="12558" max="12558" width="12.140625" style="936" bestFit="1" customWidth="1"/>
    <col min="12559" max="12559" width="10.85546875" style="936" customWidth="1"/>
    <col min="12560" max="12560" width="9.28515625" style="936" customWidth="1"/>
    <col min="12561" max="12561" width="11.85546875" style="936" customWidth="1"/>
    <col min="12562" max="12562" width="10.28515625" style="936" customWidth="1"/>
    <col min="12563" max="12800" width="9.140625" style="936"/>
    <col min="12801" max="12801" width="3.42578125" style="936" bestFit="1" customWidth="1"/>
    <col min="12802" max="12802" width="3.7109375" style="936" customWidth="1"/>
    <col min="12803" max="12803" width="36.5703125" style="936" customWidth="1"/>
    <col min="12804" max="12805" width="7.7109375" style="936" bestFit="1" customWidth="1"/>
    <col min="12806" max="12806" width="7" style="936" bestFit="1" customWidth="1"/>
    <col min="12807" max="12807" width="11.42578125" style="936" bestFit="1" customWidth="1"/>
    <col min="12808" max="12808" width="10.140625" style="936" bestFit="1" customWidth="1"/>
    <col min="12809" max="12809" width="11" style="936" bestFit="1" customWidth="1"/>
    <col min="12810" max="12810" width="12.5703125" style="936" bestFit="1" customWidth="1"/>
    <col min="12811" max="12811" width="6.28515625" style="936" bestFit="1" customWidth="1"/>
    <col min="12812" max="12812" width="6.28515625" style="936" customWidth="1"/>
    <col min="12813" max="12813" width="12.7109375" style="936" bestFit="1" customWidth="1"/>
    <col min="12814" max="12814" width="12.140625" style="936" bestFit="1" customWidth="1"/>
    <col min="12815" max="12815" width="10.85546875" style="936" customWidth="1"/>
    <col min="12816" max="12816" width="9.28515625" style="936" customWidth="1"/>
    <col min="12817" max="12817" width="11.85546875" style="936" customWidth="1"/>
    <col min="12818" max="12818" width="10.28515625" style="936" customWidth="1"/>
    <col min="12819" max="13056" width="9.140625" style="936"/>
    <col min="13057" max="13057" width="3.42578125" style="936" bestFit="1" customWidth="1"/>
    <col min="13058" max="13058" width="3.7109375" style="936" customWidth="1"/>
    <col min="13059" max="13059" width="36.5703125" style="936" customWidth="1"/>
    <col min="13060" max="13061" width="7.7109375" style="936" bestFit="1" customWidth="1"/>
    <col min="13062" max="13062" width="7" style="936" bestFit="1" customWidth="1"/>
    <col min="13063" max="13063" width="11.42578125" style="936" bestFit="1" customWidth="1"/>
    <col min="13064" max="13064" width="10.140625" style="936" bestFit="1" customWidth="1"/>
    <col min="13065" max="13065" width="11" style="936" bestFit="1" customWidth="1"/>
    <col min="13066" max="13066" width="12.5703125" style="936" bestFit="1" customWidth="1"/>
    <col min="13067" max="13067" width="6.28515625" style="936" bestFit="1" customWidth="1"/>
    <col min="13068" max="13068" width="6.28515625" style="936" customWidth="1"/>
    <col min="13069" max="13069" width="12.7109375" style="936" bestFit="1" customWidth="1"/>
    <col min="13070" max="13070" width="12.140625" style="936" bestFit="1" customWidth="1"/>
    <col min="13071" max="13071" width="10.85546875" style="936" customWidth="1"/>
    <col min="13072" max="13072" width="9.28515625" style="936" customWidth="1"/>
    <col min="13073" max="13073" width="11.85546875" style="936" customWidth="1"/>
    <col min="13074" max="13074" width="10.28515625" style="936" customWidth="1"/>
    <col min="13075" max="13312" width="9.140625" style="936"/>
    <col min="13313" max="13313" width="3.42578125" style="936" bestFit="1" customWidth="1"/>
    <col min="13314" max="13314" width="3.7109375" style="936" customWidth="1"/>
    <col min="13315" max="13315" width="36.5703125" style="936" customWidth="1"/>
    <col min="13316" max="13317" width="7.7109375" style="936" bestFit="1" customWidth="1"/>
    <col min="13318" max="13318" width="7" style="936" bestFit="1" customWidth="1"/>
    <col min="13319" max="13319" width="11.42578125" style="936" bestFit="1" customWidth="1"/>
    <col min="13320" max="13320" width="10.140625" style="936" bestFit="1" customWidth="1"/>
    <col min="13321" max="13321" width="11" style="936" bestFit="1" customWidth="1"/>
    <col min="13322" max="13322" width="12.5703125" style="936" bestFit="1" customWidth="1"/>
    <col min="13323" max="13323" width="6.28515625" style="936" bestFit="1" customWidth="1"/>
    <col min="13324" max="13324" width="6.28515625" style="936" customWidth="1"/>
    <col min="13325" max="13325" width="12.7109375" style="936" bestFit="1" customWidth="1"/>
    <col min="13326" max="13326" width="12.140625" style="936" bestFit="1" customWidth="1"/>
    <col min="13327" max="13327" width="10.85546875" style="936" customWidth="1"/>
    <col min="13328" max="13328" width="9.28515625" style="936" customWidth="1"/>
    <col min="13329" max="13329" width="11.85546875" style="936" customWidth="1"/>
    <col min="13330" max="13330" width="10.28515625" style="936" customWidth="1"/>
    <col min="13331" max="13568" width="9.140625" style="936"/>
    <col min="13569" max="13569" width="3.42578125" style="936" bestFit="1" customWidth="1"/>
    <col min="13570" max="13570" width="3.7109375" style="936" customWidth="1"/>
    <col min="13571" max="13571" width="36.5703125" style="936" customWidth="1"/>
    <col min="13572" max="13573" width="7.7109375" style="936" bestFit="1" customWidth="1"/>
    <col min="13574" max="13574" width="7" style="936" bestFit="1" customWidth="1"/>
    <col min="13575" max="13575" width="11.42578125" style="936" bestFit="1" customWidth="1"/>
    <col min="13576" max="13576" width="10.140625" style="936" bestFit="1" customWidth="1"/>
    <col min="13577" max="13577" width="11" style="936" bestFit="1" customWidth="1"/>
    <col min="13578" max="13578" width="12.5703125" style="936" bestFit="1" customWidth="1"/>
    <col min="13579" max="13579" width="6.28515625" style="936" bestFit="1" customWidth="1"/>
    <col min="13580" max="13580" width="6.28515625" style="936" customWidth="1"/>
    <col min="13581" max="13581" width="12.7109375" style="936" bestFit="1" customWidth="1"/>
    <col min="13582" max="13582" width="12.140625" style="936" bestFit="1" customWidth="1"/>
    <col min="13583" max="13583" width="10.85546875" style="936" customWidth="1"/>
    <col min="13584" max="13584" width="9.28515625" style="936" customWidth="1"/>
    <col min="13585" max="13585" width="11.85546875" style="936" customWidth="1"/>
    <col min="13586" max="13586" width="10.28515625" style="936" customWidth="1"/>
    <col min="13587" max="13824" width="9.140625" style="936"/>
    <col min="13825" max="13825" width="3.42578125" style="936" bestFit="1" customWidth="1"/>
    <col min="13826" max="13826" width="3.7109375" style="936" customWidth="1"/>
    <col min="13827" max="13827" width="36.5703125" style="936" customWidth="1"/>
    <col min="13828" max="13829" width="7.7109375" style="936" bestFit="1" customWidth="1"/>
    <col min="13830" max="13830" width="7" style="936" bestFit="1" customWidth="1"/>
    <col min="13831" max="13831" width="11.42578125" style="936" bestFit="1" customWidth="1"/>
    <col min="13832" max="13832" width="10.140625" style="936" bestFit="1" customWidth="1"/>
    <col min="13833" max="13833" width="11" style="936" bestFit="1" customWidth="1"/>
    <col min="13834" max="13834" width="12.5703125" style="936" bestFit="1" customWidth="1"/>
    <col min="13835" max="13835" width="6.28515625" style="936" bestFit="1" customWidth="1"/>
    <col min="13836" max="13836" width="6.28515625" style="936" customWidth="1"/>
    <col min="13837" max="13837" width="12.7109375" style="936" bestFit="1" customWidth="1"/>
    <col min="13838" max="13838" width="12.140625" style="936" bestFit="1" customWidth="1"/>
    <col min="13839" max="13839" width="10.85546875" style="936" customWidth="1"/>
    <col min="13840" max="13840" width="9.28515625" style="936" customWidth="1"/>
    <col min="13841" max="13841" width="11.85546875" style="936" customWidth="1"/>
    <col min="13842" max="13842" width="10.28515625" style="936" customWidth="1"/>
    <col min="13843" max="14080" width="9.140625" style="936"/>
    <col min="14081" max="14081" width="3.42578125" style="936" bestFit="1" customWidth="1"/>
    <col min="14082" max="14082" width="3.7109375" style="936" customWidth="1"/>
    <col min="14083" max="14083" width="36.5703125" style="936" customWidth="1"/>
    <col min="14084" max="14085" width="7.7109375" style="936" bestFit="1" customWidth="1"/>
    <col min="14086" max="14086" width="7" style="936" bestFit="1" customWidth="1"/>
    <col min="14087" max="14087" width="11.42578125" style="936" bestFit="1" customWidth="1"/>
    <col min="14088" max="14088" width="10.140625" style="936" bestFit="1" customWidth="1"/>
    <col min="14089" max="14089" width="11" style="936" bestFit="1" customWidth="1"/>
    <col min="14090" max="14090" width="12.5703125" style="936" bestFit="1" customWidth="1"/>
    <col min="14091" max="14091" width="6.28515625" style="936" bestFit="1" customWidth="1"/>
    <col min="14092" max="14092" width="6.28515625" style="936" customWidth="1"/>
    <col min="14093" max="14093" width="12.7109375" style="936" bestFit="1" customWidth="1"/>
    <col min="14094" max="14094" width="12.140625" style="936" bestFit="1" customWidth="1"/>
    <col min="14095" max="14095" width="10.85546875" style="936" customWidth="1"/>
    <col min="14096" max="14096" width="9.28515625" style="936" customWidth="1"/>
    <col min="14097" max="14097" width="11.85546875" style="936" customWidth="1"/>
    <col min="14098" max="14098" width="10.28515625" style="936" customWidth="1"/>
    <col min="14099" max="14336" width="9.140625" style="936"/>
    <col min="14337" max="14337" width="3.42578125" style="936" bestFit="1" customWidth="1"/>
    <col min="14338" max="14338" width="3.7109375" style="936" customWidth="1"/>
    <col min="14339" max="14339" width="36.5703125" style="936" customWidth="1"/>
    <col min="14340" max="14341" width="7.7109375" style="936" bestFit="1" customWidth="1"/>
    <col min="14342" max="14342" width="7" style="936" bestFit="1" customWidth="1"/>
    <col min="14343" max="14343" width="11.42578125" style="936" bestFit="1" customWidth="1"/>
    <col min="14344" max="14344" width="10.140625" style="936" bestFit="1" customWidth="1"/>
    <col min="14345" max="14345" width="11" style="936" bestFit="1" customWidth="1"/>
    <col min="14346" max="14346" width="12.5703125" style="936" bestFit="1" customWidth="1"/>
    <col min="14347" max="14347" width="6.28515625" style="936" bestFit="1" customWidth="1"/>
    <col min="14348" max="14348" width="6.28515625" style="936" customWidth="1"/>
    <col min="14349" max="14349" width="12.7109375" style="936" bestFit="1" customWidth="1"/>
    <col min="14350" max="14350" width="12.140625" style="936" bestFit="1" customWidth="1"/>
    <col min="14351" max="14351" width="10.85546875" style="936" customWidth="1"/>
    <col min="14352" max="14352" width="9.28515625" style="936" customWidth="1"/>
    <col min="14353" max="14353" width="11.85546875" style="936" customWidth="1"/>
    <col min="14354" max="14354" width="10.28515625" style="936" customWidth="1"/>
    <col min="14355" max="14592" width="9.140625" style="936"/>
    <col min="14593" max="14593" width="3.42578125" style="936" bestFit="1" customWidth="1"/>
    <col min="14594" max="14594" width="3.7109375" style="936" customWidth="1"/>
    <col min="14595" max="14595" width="36.5703125" style="936" customWidth="1"/>
    <col min="14596" max="14597" width="7.7109375" style="936" bestFit="1" customWidth="1"/>
    <col min="14598" max="14598" width="7" style="936" bestFit="1" customWidth="1"/>
    <col min="14599" max="14599" width="11.42578125" style="936" bestFit="1" customWidth="1"/>
    <col min="14600" max="14600" width="10.140625" style="936" bestFit="1" customWidth="1"/>
    <col min="14601" max="14601" width="11" style="936" bestFit="1" customWidth="1"/>
    <col min="14602" max="14602" width="12.5703125" style="936" bestFit="1" customWidth="1"/>
    <col min="14603" max="14603" width="6.28515625" style="936" bestFit="1" customWidth="1"/>
    <col min="14604" max="14604" width="6.28515625" style="936" customWidth="1"/>
    <col min="14605" max="14605" width="12.7109375" style="936" bestFit="1" customWidth="1"/>
    <col min="14606" max="14606" width="12.140625" style="936" bestFit="1" customWidth="1"/>
    <col min="14607" max="14607" width="10.85546875" style="936" customWidth="1"/>
    <col min="14608" max="14608" width="9.28515625" style="936" customWidth="1"/>
    <col min="14609" max="14609" width="11.85546875" style="936" customWidth="1"/>
    <col min="14610" max="14610" width="10.28515625" style="936" customWidth="1"/>
    <col min="14611" max="14848" width="9.140625" style="936"/>
    <col min="14849" max="14849" width="3.42578125" style="936" bestFit="1" customWidth="1"/>
    <col min="14850" max="14850" width="3.7109375" style="936" customWidth="1"/>
    <col min="14851" max="14851" width="36.5703125" style="936" customWidth="1"/>
    <col min="14852" max="14853" width="7.7109375" style="936" bestFit="1" customWidth="1"/>
    <col min="14854" max="14854" width="7" style="936" bestFit="1" customWidth="1"/>
    <col min="14855" max="14855" width="11.42578125" style="936" bestFit="1" customWidth="1"/>
    <col min="14856" max="14856" width="10.140625" style="936" bestFit="1" customWidth="1"/>
    <col min="14857" max="14857" width="11" style="936" bestFit="1" customWidth="1"/>
    <col min="14858" max="14858" width="12.5703125" style="936" bestFit="1" customWidth="1"/>
    <col min="14859" max="14859" width="6.28515625" style="936" bestFit="1" customWidth="1"/>
    <col min="14860" max="14860" width="6.28515625" style="936" customWidth="1"/>
    <col min="14861" max="14861" width="12.7109375" style="936" bestFit="1" customWidth="1"/>
    <col min="14862" max="14862" width="12.140625" style="936" bestFit="1" customWidth="1"/>
    <col min="14863" max="14863" width="10.85546875" style="936" customWidth="1"/>
    <col min="14864" max="14864" width="9.28515625" style="936" customWidth="1"/>
    <col min="14865" max="14865" width="11.85546875" style="936" customWidth="1"/>
    <col min="14866" max="14866" width="10.28515625" style="936" customWidth="1"/>
    <col min="14867" max="15104" width="9.140625" style="936"/>
    <col min="15105" max="15105" width="3.42578125" style="936" bestFit="1" customWidth="1"/>
    <col min="15106" max="15106" width="3.7109375" style="936" customWidth="1"/>
    <col min="15107" max="15107" width="36.5703125" style="936" customWidth="1"/>
    <col min="15108" max="15109" width="7.7109375" style="936" bestFit="1" customWidth="1"/>
    <col min="15110" max="15110" width="7" style="936" bestFit="1" customWidth="1"/>
    <col min="15111" max="15111" width="11.42578125" style="936" bestFit="1" customWidth="1"/>
    <col min="15112" max="15112" width="10.140625" style="936" bestFit="1" customWidth="1"/>
    <col min="15113" max="15113" width="11" style="936" bestFit="1" customWidth="1"/>
    <col min="15114" max="15114" width="12.5703125" style="936" bestFit="1" customWidth="1"/>
    <col min="15115" max="15115" width="6.28515625" style="936" bestFit="1" customWidth="1"/>
    <col min="15116" max="15116" width="6.28515625" style="936" customWidth="1"/>
    <col min="15117" max="15117" width="12.7109375" style="936" bestFit="1" customWidth="1"/>
    <col min="15118" max="15118" width="12.140625" style="936" bestFit="1" customWidth="1"/>
    <col min="15119" max="15119" width="10.85546875" style="936" customWidth="1"/>
    <col min="15120" max="15120" width="9.28515625" style="936" customWidth="1"/>
    <col min="15121" max="15121" width="11.85546875" style="936" customWidth="1"/>
    <col min="15122" max="15122" width="10.28515625" style="936" customWidth="1"/>
    <col min="15123" max="15360" width="9.140625" style="936"/>
    <col min="15361" max="15361" width="3.42578125" style="936" bestFit="1" customWidth="1"/>
    <col min="15362" max="15362" width="3.7109375" style="936" customWidth="1"/>
    <col min="15363" max="15363" width="36.5703125" style="936" customWidth="1"/>
    <col min="15364" max="15365" width="7.7109375" style="936" bestFit="1" customWidth="1"/>
    <col min="15366" max="15366" width="7" style="936" bestFit="1" customWidth="1"/>
    <col min="15367" max="15367" width="11.42578125" style="936" bestFit="1" customWidth="1"/>
    <col min="15368" max="15368" width="10.140625" style="936" bestFit="1" customWidth="1"/>
    <col min="15369" max="15369" width="11" style="936" bestFit="1" customWidth="1"/>
    <col min="15370" max="15370" width="12.5703125" style="936" bestFit="1" customWidth="1"/>
    <col min="15371" max="15371" width="6.28515625" style="936" bestFit="1" customWidth="1"/>
    <col min="15372" max="15372" width="6.28515625" style="936" customWidth="1"/>
    <col min="15373" max="15373" width="12.7109375" style="936" bestFit="1" customWidth="1"/>
    <col min="15374" max="15374" width="12.140625" style="936" bestFit="1" customWidth="1"/>
    <col min="15375" max="15375" width="10.85546875" style="936" customWidth="1"/>
    <col min="15376" max="15376" width="9.28515625" style="936" customWidth="1"/>
    <col min="15377" max="15377" width="11.85546875" style="936" customWidth="1"/>
    <col min="15378" max="15378" width="10.28515625" style="936" customWidth="1"/>
    <col min="15379" max="15616" width="9.140625" style="936"/>
    <col min="15617" max="15617" width="3.42578125" style="936" bestFit="1" customWidth="1"/>
    <col min="15618" max="15618" width="3.7109375" style="936" customWidth="1"/>
    <col min="15619" max="15619" width="36.5703125" style="936" customWidth="1"/>
    <col min="15620" max="15621" width="7.7109375" style="936" bestFit="1" customWidth="1"/>
    <col min="15622" max="15622" width="7" style="936" bestFit="1" customWidth="1"/>
    <col min="15623" max="15623" width="11.42578125" style="936" bestFit="1" customWidth="1"/>
    <col min="15624" max="15624" width="10.140625" style="936" bestFit="1" customWidth="1"/>
    <col min="15625" max="15625" width="11" style="936" bestFit="1" customWidth="1"/>
    <col min="15626" max="15626" width="12.5703125" style="936" bestFit="1" customWidth="1"/>
    <col min="15627" max="15627" width="6.28515625" style="936" bestFit="1" customWidth="1"/>
    <col min="15628" max="15628" width="6.28515625" style="936" customWidth="1"/>
    <col min="15629" max="15629" width="12.7109375" style="936" bestFit="1" customWidth="1"/>
    <col min="15630" max="15630" width="12.140625" style="936" bestFit="1" customWidth="1"/>
    <col min="15631" max="15631" width="10.85546875" style="936" customWidth="1"/>
    <col min="15632" max="15632" width="9.28515625" style="936" customWidth="1"/>
    <col min="15633" max="15633" width="11.85546875" style="936" customWidth="1"/>
    <col min="15634" max="15634" width="10.28515625" style="936" customWidth="1"/>
    <col min="15635" max="15872" width="9.140625" style="936"/>
    <col min="15873" max="15873" width="3.42578125" style="936" bestFit="1" customWidth="1"/>
    <col min="15874" max="15874" width="3.7109375" style="936" customWidth="1"/>
    <col min="15875" max="15875" width="36.5703125" style="936" customWidth="1"/>
    <col min="15876" max="15877" width="7.7109375" style="936" bestFit="1" customWidth="1"/>
    <col min="15878" max="15878" width="7" style="936" bestFit="1" customWidth="1"/>
    <col min="15879" max="15879" width="11.42578125" style="936" bestFit="1" customWidth="1"/>
    <col min="15880" max="15880" width="10.140625" style="936" bestFit="1" customWidth="1"/>
    <col min="15881" max="15881" width="11" style="936" bestFit="1" customWidth="1"/>
    <col min="15882" max="15882" width="12.5703125" style="936" bestFit="1" customWidth="1"/>
    <col min="15883" max="15883" width="6.28515625" style="936" bestFit="1" customWidth="1"/>
    <col min="15884" max="15884" width="6.28515625" style="936" customWidth="1"/>
    <col min="15885" max="15885" width="12.7109375" style="936" bestFit="1" customWidth="1"/>
    <col min="15886" max="15886" width="12.140625" style="936" bestFit="1" customWidth="1"/>
    <col min="15887" max="15887" width="10.85546875" style="936" customWidth="1"/>
    <col min="15888" max="15888" width="9.28515625" style="936" customWidth="1"/>
    <col min="15889" max="15889" width="11.85546875" style="936" customWidth="1"/>
    <col min="15890" max="15890" width="10.28515625" style="936" customWidth="1"/>
    <col min="15891" max="16128" width="9.140625" style="936"/>
    <col min="16129" max="16129" width="3.42578125" style="936" bestFit="1" customWidth="1"/>
    <col min="16130" max="16130" width="3.7109375" style="936" customWidth="1"/>
    <col min="16131" max="16131" width="36.5703125" style="936" customWidth="1"/>
    <col min="16132" max="16133" width="7.7109375" style="936" bestFit="1" customWidth="1"/>
    <col min="16134" max="16134" width="7" style="936" bestFit="1" customWidth="1"/>
    <col min="16135" max="16135" width="11.42578125" style="936" bestFit="1" customWidth="1"/>
    <col min="16136" max="16136" width="10.140625" style="936" bestFit="1" customWidth="1"/>
    <col min="16137" max="16137" width="11" style="936" bestFit="1" customWidth="1"/>
    <col min="16138" max="16138" width="12.5703125" style="936" bestFit="1" customWidth="1"/>
    <col min="16139" max="16139" width="6.28515625" style="936" bestFit="1" customWidth="1"/>
    <col min="16140" max="16140" width="6.28515625" style="936" customWidth="1"/>
    <col min="16141" max="16141" width="12.7109375" style="936" bestFit="1" customWidth="1"/>
    <col min="16142" max="16142" width="12.140625" style="936" bestFit="1" customWidth="1"/>
    <col min="16143" max="16143" width="10.85546875" style="936" customWidth="1"/>
    <col min="16144" max="16144" width="9.28515625" style="936" customWidth="1"/>
    <col min="16145" max="16145" width="11.85546875" style="936" customWidth="1"/>
    <col min="16146" max="16146" width="10.28515625" style="936" customWidth="1"/>
    <col min="16147" max="16384" width="9.140625" style="936"/>
  </cols>
  <sheetData>
    <row r="1" spans="1:256" ht="30" customHeight="1" x14ac:dyDescent="0.3">
      <c r="A1" s="934"/>
      <c r="B1" s="1865" t="s">
        <v>1301</v>
      </c>
      <c r="C1" s="1865"/>
      <c r="D1" s="1865"/>
      <c r="E1" s="1865"/>
      <c r="F1" s="1865"/>
      <c r="G1" s="1865"/>
      <c r="H1" s="1865"/>
      <c r="I1" s="1865"/>
      <c r="J1" s="1865"/>
      <c r="K1" s="1865"/>
      <c r="L1" s="1865"/>
      <c r="M1" s="1865"/>
      <c r="N1" s="1865"/>
      <c r="O1" s="1865"/>
      <c r="P1" s="1865"/>
      <c r="Q1" s="1865"/>
      <c r="R1" s="935"/>
      <c r="S1" s="935"/>
      <c r="T1" s="935"/>
      <c r="U1" s="935"/>
      <c r="V1" s="935"/>
      <c r="W1" s="935"/>
      <c r="X1" s="935"/>
      <c r="Y1" s="935"/>
      <c r="Z1" s="935"/>
      <c r="AA1" s="935"/>
      <c r="AB1" s="935"/>
      <c r="AC1" s="935"/>
      <c r="AD1" s="935"/>
      <c r="AE1" s="935"/>
      <c r="AF1" s="935"/>
      <c r="AG1" s="935"/>
      <c r="AH1" s="935"/>
      <c r="AI1" s="935"/>
      <c r="AJ1" s="935"/>
      <c r="AK1" s="935"/>
      <c r="AL1" s="935"/>
      <c r="AM1" s="935"/>
      <c r="AN1" s="935"/>
      <c r="AO1" s="935"/>
      <c r="AP1" s="935"/>
      <c r="AQ1" s="935"/>
      <c r="AR1" s="935"/>
      <c r="AS1" s="935"/>
      <c r="AT1" s="935"/>
      <c r="AU1" s="935"/>
      <c r="AV1" s="935"/>
      <c r="AW1" s="935"/>
      <c r="AX1" s="935"/>
      <c r="AY1" s="935"/>
      <c r="AZ1" s="935"/>
      <c r="BA1" s="935"/>
      <c r="BB1" s="935"/>
      <c r="BC1" s="935"/>
      <c r="BD1" s="935"/>
      <c r="BE1" s="935"/>
      <c r="BF1" s="935"/>
      <c r="BG1" s="935"/>
      <c r="BH1" s="935"/>
      <c r="BI1" s="935"/>
      <c r="BJ1" s="935"/>
      <c r="BK1" s="935"/>
      <c r="BL1" s="935"/>
      <c r="BM1" s="935"/>
      <c r="BN1" s="935"/>
      <c r="BO1" s="935"/>
      <c r="BP1" s="935"/>
      <c r="BQ1" s="935"/>
      <c r="BR1" s="935"/>
      <c r="BS1" s="935"/>
      <c r="BT1" s="935"/>
      <c r="BU1" s="935"/>
      <c r="BV1" s="935"/>
      <c r="BW1" s="935"/>
      <c r="BX1" s="935"/>
      <c r="BY1" s="935"/>
      <c r="BZ1" s="935"/>
      <c r="CA1" s="935"/>
      <c r="CB1" s="935"/>
      <c r="CC1" s="935"/>
      <c r="CD1" s="935"/>
      <c r="CE1" s="935"/>
      <c r="CF1" s="935"/>
      <c r="CG1" s="935"/>
      <c r="CH1" s="935"/>
      <c r="CI1" s="935"/>
      <c r="CJ1" s="935"/>
      <c r="CK1" s="935"/>
      <c r="CL1" s="935"/>
      <c r="CM1" s="935"/>
      <c r="CN1" s="935"/>
      <c r="CO1" s="935"/>
      <c r="CP1" s="935"/>
      <c r="CQ1" s="935"/>
      <c r="CR1" s="935"/>
      <c r="CS1" s="935"/>
      <c r="CT1" s="935"/>
      <c r="CU1" s="935"/>
      <c r="CV1" s="935"/>
      <c r="CW1" s="935"/>
      <c r="CX1" s="935"/>
      <c r="CY1" s="935"/>
      <c r="CZ1" s="935"/>
      <c r="DA1" s="935"/>
      <c r="DB1" s="935"/>
      <c r="DC1" s="935"/>
      <c r="DD1" s="935"/>
      <c r="DE1" s="935"/>
      <c r="DF1" s="935"/>
      <c r="DG1" s="935"/>
      <c r="DH1" s="935"/>
      <c r="DI1" s="935"/>
      <c r="DJ1" s="935"/>
      <c r="DK1" s="935"/>
      <c r="DL1" s="935"/>
      <c r="DM1" s="935"/>
      <c r="DN1" s="935"/>
      <c r="DO1" s="935"/>
      <c r="DP1" s="935"/>
      <c r="DQ1" s="935"/>
      <c r="DR1" s="935"/>
      <c r="DS1" s="935"/>
      <c r="DT1" s="935"/>
      <c r="DU1" s="935"/>
      <c r="DV1" s="935"/>
      <c r="DW1" s="935"/>
      <c r="DX1" s="935"/>
      <c r="DY1" s="935"/>
      <c r="DZ1" s="935"/>
      <c r="EA1" s="935"/>
      <c r="EB1" s="935"/>
      <c r="EC1" s="935"/>
      <c r="ED1" s="935"/>
      <c r="EE1" s="935"/>
      <c r="EF1" s="935"/>
      <c r="EG1" s="935"/>
      <c r="EH1" s="935"/>
      <c r="EI1" s="935"/>
      <c r="EJ1" s="935"/>
      <c r="EK1" s="935"/>
      <c r="EL1" s="935"/>
      <c r="EM1" s="935"/>
      <c r="EN1" s="935"/>
      <c r="EO1" s="935"/>
      <c r="EP1" s="935"/>
      <c r="EQ1" s="935"/>
      <c r="ER1" s="935"/>
      <c r="ES1" s="935"/>
      <c r="ET1" s="935"/>
      <c r="EU1" s="935"/>
      <c r="EV1" s="935"/>
      <c r="EW1" s="935"/>
      <c r="EX1" s="935"/>
      <c r="EY1" s="935"/>
      <c r="EZ1" s="935"/>
      <c r="FA1" s="935"/>
      <c r="FB1" s="935"/>
      <c r="FC1" s="935"/>
      <c r="FD1" s="935"/>
      <c r="FE1" s="935"/>
      <c r="FF1" s="935"/>
      <c r="FG1" s="935"/>
      <c r="FH1" s="935"/>
      <c r="FI1" s="935"/>
      <c r="FJ1" s="935"/>
      <c r="FK1" s="935"/>
      <c r="FL1" s="935"/>
      <c r="FM1" s="935"/>
      <c r="FN1" s="935"/>
      <c r="FO1" s="935"/>
      <c r="FP1" s="935"/>
      <c r="FQ1" s="935"/>
      <c r="FR1" s="935"/>
      <c r="FS1" s="935"/>
      <c r="FT1" s="935"/>
      <c r="FU1" s="935"/>
      <c r="FV1" s="935"/>
      <c r="FW1" s="935"/>
      <c r="FX1" s="935"/>
      <c r="FY1" s="935"/>
      <c r="FZ1" s="935"/>
      <c r="GA1" s="935"/>
      <c r="GB1" s="935"/>
      <c r="GC1" s="935"/>
      <c r="GD1" s="935"/>
      <c r="GE1" s="935"/>
      <c r="GF1" s="935"/>
      <c r="GG1" s="935"/>
      <c r="GH1" s="935"/>
      <c r="GI1" s="935"/>
      <c r="GJ1" s="935"/>
      <c r="GK1" s="935"/>
      <c r="GL1" s="935"/>
      <c r="GM1" s="935"/>
      <c r="GN1" s="935"/>
      <c r="GO1" s="935"/>
      <c r="GP1" s="935"/>
      <c r="GQ1" s="935"/>
      <c r="GR1" s="935"/>
      <c r="GS1" s="935"/>
      <c r="GT1" s="935"/>
      <c r="GU1" s="935"/>
      <c r="GV1" s="935"/>
      <c r="GW1" s="935"/>
      <c r="GX1" s="935"/>
      <c r="GY1" s="935"/>
      <c r="GZ1" s="935"/>
      <c r="HA1" s="935"/>
      <c r="HB1" s="935"/>
      <c r="HC1" s="935"/>
      <c r="HD1" s="935"/>
      <c r="HE1" s="935"/>
      <c r="HF1" s="935"/>
      <c r="HG1" s="935"/>
      <c r="HH1" s="935"/>
      <c r="HI1" s="935"/>
      <c r="HJ1" s="935"/>
      <c r="HK1" s="935"/>
      <c r="HL1" s="935"/>
      <c r="HM1" s="935"/>
      <c r="HN1" s="935"/>
      <c r="HO1" s="935"/>
      <c r="HP1" s="935"/>
      <c r="HQ1" s="935"/>
      <c r="HR1" s="935"/>
      <c r="HS1" s="935"/>
      <c r="HT1" s="935"/>
      <c r="HU1" s="935"/>
      <c r="HV1" s="935"/>
      <c r="HW1" s="935"/>
      <c r="HX1" s="935"/>
      <c r="HY1" s="935"/>
      <c r="HZ1" s="935"/>
      <c r="IA1" s="935"/>
      <c r="IB1" s="935"/>
      <c r="IC1" s="935"/>
      <c r="ID1" s="935"/>
      <c r="IE1" s="935"/>
      <c r="IF1" s="935"/>
      <c r="IG1" s="935"/>
      <c r="IH1" s="935"/>
      <c r="II1" s="935"/>
      <c r="IJ1" s="935"/>
      <c r="IK1" s="935"/>
      <c r="IL1" s="935"/>
      <c r="IM1" s="935"/>
      <c r="IN1" s="935"/>
      <c r="IO1" s="935"/>
      <c r="IP1" s="935"/>
      <c r="IQ1" s="935"/>
      <c r="IR1" s="935"/>
      <c r="IS1" s="935"/>
      <c r="IT1" s="935"/>
      <c r="IU1" s="935"/>
      <c r="IV1" s="935"/>
    </row>
    <row r="2" spans="1:256" ht="30" customHeight="1" x14ac:dyDescent="0.35">
      <c r="A2" s="937"/>
      <c r="B2" s="1951" t="s">
        <v>771</v>
      </c>
      <c r="C2" s="1951"/>
      <c r="D2" s="1951"/>
      <c r="E2" s="1951"/>
      <c r="F2" s="1951"/>
      <c r="G2" s="1951"/>
      <c r="H2" s="1951"/>
      <c r="I2" s="1951"/>
      <c r="J2" s="1951"/>
      <c r="K2" s="1951"/>
      <c r="L2" s="1951"/>
      <c r="M2" s="1951"/>
      <c r="N2" s="1951"/>
      <c r="O2" s="1951"/>
      <c r="P2" s="1951"/>
      <c r="Q2" s="1951"/>
      <c r="R2" s="938"/>
      <c r="S2" s="938"/>
      <c r="T2" s="938"/>
      <c r="U2" s="938"/>
      <c r="V2" s="938"/>
      <c r="W2" s="938"/>
      <c r="X2" s="938"/>
      <c r="Y2" s="938"/>
      <c r="Z2" s="938"/>
      <c r="AA2" s="938"/>
      <c r="AB2" s="938"/>
      <c r="AC2" s="938"/>
      <c r="AD2" s="938"/>
      <c r="AE2" s="938"/>
      <c r="AF2" s="938"/>
      <c r="AG2" s="938"/>
      <c r="AH2" s="938"/>
      <c r="AI2" s="938"/>
      <c r="AJ2" s="938"/>
      <c r="AK2" s="938"/>
      <c r="AL2" s="938"/>
      <c r="AM2" s="938"/>
      <c r="AN2" s="938"/>
      <c r="AO2" s="938"/>
      <c r="AP2" s="938"/>
      <c r="AQ2" s="938"/>
      <c r="AR2" s="938"/>
      <c r="AS2" s="938"/>
      <c r="AT2" s="938"/>
      <c r="AU2" s="938"/>
      <c r="AV2" s="938"/>
      <c r="AW2" s="938"/>
      <c r="AX2" s="938"/>
      <c r="AY2" s="938"/>
      <c r="AZ2" s="938"/>
      <c r="BA2" s="938"/>
      <c r="BB2" s="938"/>
      <c r="BC2" s="938"/>
      <c r="BD2" s="938"/>
      <c r="BE2" s="938"/>
      <c r="BF2" s="938"/>
      <c r="BG2" s="938"/>
      <c r="BH2" s="938"/>
      <c r="BI2" s="938"/>
      <c r="BJ2" s="938"/>
      <c r="BK2" s="938"/>
      <c r="BL2" s="938"/>
      <c r="BM2" s="938"/>
      <c r="BN2" s="938"/>
      <c r="BO2" s="938"/>
      <c r="BP2" s="938"/>
      <c r="BQ2" s="938"/>
      <c r="BR2" s="938"/>
      <c r="BS2" s="938"/>
      <c r="BT2" s="938"/>
      <c r="BU2" s="938"/>
      <c r="BV2" s="938"/>
      <c r="BW2" s="938"/>
      <c r="BX2" s="938"/>
      <c r="BY2" s="938"/>
      <c r="BZ2" s="938"/>
      <c r="CA2" s="938"/>
      <c r="CB2" s="938"/>
      <c r="CC2" s="938"/>
      <c r="CD2" s="938"/>
      <c r="CE2" s="938"/>
      <c r="CF2" s="938"/>
      <c r="CG2" s="938"/>
      <c r="CH2" s="938"/>
      <c r="CI2" s="938"/>
      <c r="CJ2" s="938"/>
      <c r="CK2" s="938"/>
      <c r="CL2" s="938"/>
      <c r="CM2" s="938"/>
      <c r="CN2" s="938"/>
      <c r="CO2" s="938"/>
      <c r="CP2" s="938"/>
      <c r="CQ2" s="938"/>
      <c r="CR2" s="938"/>
      <c r="CS2" s="938"/>
      <c r="CT2" s="938"/>
      <c r="CU2" s="938"/>
      <c r="CV2" s="938"/>
      <c r="CW2" s="938"/>
      <c r="CX2" s="938"/>
      <c r="CY2" s="938"/>
      <c r="CZ2" s="938"/>
      <c r="DA2" s="938"/>
      <c r="DB2" s="938"/>
      <c r="DC2" s="938"/>
      <c r="DD2" s="938"/>
      <c r="DE2" s="938"/>
      <c r="DF2" s="938"/>
      <c r="DG2" s="938"/>
      <c r="DH2" s="938"/>
      <c r="DI2" s="938"/>
      <c r="DJ2" s="938"/>
      <c r="DK2" s="938"/>
      <c r="DL2" s="938"/>
      <c r="DM2" s="938"/>
      <c r="DN2" s="938"/>
      <c r="DO2" s="938"/>
      <c r="DP2" s="938"/>
      <c r="DQ2" s="938"/>
      <c r="DR2" s="938"/>
      <c r="DS2" s="938"/>
      <c r="DT2" s="938"/>
      <c r="DU2" s="938"/>
      <c r="DV2" s="938"/>
      <c r="DW2" s="938"/>
      <c r="DX2" s="938"/>
      <c r="DY2" s="938"/>
      <c r="DZ2" s="938"/>
      <c r="EA2" s="938"/>
      <c r="EB2" s="938"/>
      <c r="EC2" s="938"/>
      <c r="ED2" s="938"/>
      <c r="EE2" s="938"/>
      <c r="EF2" s="938"/>
      <c r="EG2" s="938"/>
      <c r="EH2" s="938"/>
      <c r="EI2" s="938"/>
      <c r="EJ2" s="938"/>
      <c r="EK2" s="938"/>
      <c r="EL2" s="938"/>
      <c r="EM2" s="938"/>
      <c r="EN2" s="938"/>
      <c r="EO2" s="938"/>
      <c r="EP2" s="938"/>
      <c r="EQ2" s="938"/>
      <c r="ER2" s="938"/>
      <c r="ES2" s="938"/>
      <c r="ET2" s="938"/>
      <c r="EU2" s="938"/>
      <c r="EV2" s="938"/>
      <c r="EW2" s="938"/>
      <c r="EX2" s="938"/>
      <c r="EY2" s="938"/>
      <c r="EZ2" s="938"/>
      <c r="FA2" s="938"/>
      <c r="FB2" s="938"/>
      <c r="FC2" s="938"/>
      <c r="FD2" s="938"/>
      <c r="FE2" s="938"/>
      <c r="FF2" s="938"/>
      <c r="FG2" s="938"/>
      <c r="FH2" s="938"/>
      <c r="FI2" s="938"/>
      <c r="FJ2" s="938"/>
      <c r="FK2" s="938"/>
      <c r="FL2" s="938"/>
      <c r="FM2" s="938"/>
      <c r="FN2" s="938"/>
      <c r="FO2" s="938"/>
      <c r="FP2" s="938"/>
      <c r="FQ2" s="938"/>
      <c r="FR2" s="938"/>
      <c r="FS2" s="938"/>
      <c r="FT2" s="938"/>
      <c r="FU2" s="938"/>
      <c r="FV2" s="938"/>
      <c r="FW2" s="938"/>
      <c r="FX2" s="938"/>
      <c r="FY2" s="938"/>
      <c r="FZ2" s="938"/>
      <c r="GA2" s="938"/>
      <c r="GB2" s="938"/>
      <c r="GC2" s="938"/>
      <c r="GD2" s="938"/>
      <c r="GE2" s="938"/>
      <c r="GF2" s="938"/>
      <c r="GG2" s="938"/>
      <c r="GH2" s="938"/>
      <c r="GI2" s="938"/>
      <c r="GJ2" s="938"/>
      <c r="GK2" s="938"/>
      <c r="GL2" s="938"/>
      <c r="GM2" s="938"/>
      <c r="GN2" s="938"/>
      <c r="GO2" s="938"/>
      <c r="GP2" s="938"/>
      <c r="GQ2" s="938"/>
      <c r="GR2" s="938"/>
      <c r="GS2" s="938"/>
      <c r="GT2" s="938"/>
      <c r="GU2" s="938"/>
      <c r="GV2" s="938"/>
      <c r="GW2" s="938"/>
      <c r="GX2" s="938"/>
      <c r="GY2" s="938"/>
      <c r="GZ2" s="938"/>
      <c r="HA2" s="938"/>
      <c r="HB2" s="938"/>
      <c r="HC2" s="938"/>
      <c r="HD2" s="938"/>
      <c r="HE2" s="938"/>
      <c r="HF2" s="938"/>
      <c r="HG2" s="938"/>
      <c r="HH2" s="938"/>
      <c r="HI2" s="938"/>
      <c r="HJ2" s="938"/>
      <c r="HK2" s="938"/>
      <c r="HL2" s="938"/>
      <c r="HM2" s="938"/>
      <c r="HN2" s="938"/>
      <c r="HO2" s="938"/>
      <c r="HP2" s="938"/>
      <c r="HQ2" s="938"/>
      <c r="HR2" s="938"/>
      <c r="HS2" s="938"/>
      <c r="HT2" s="938"/>
      <c r="HU2" s="938"/>
      <c r="HV2" s="938"/>
      <c r="HW2" s="938"/>
      <c r="HX2" s="938"/>
      <c r="HY2" s="938"/>
      <c r="HZ2" s="938"/>
      <c r="IA2" s="938"/>
      <c r="IB2" s="938"/>
      <c r="IC2" s="938"/>
      <c r="ID2" s="938"/>
      <c r="IE2" s="938"/>
      <c r="IF2" s="938"/>
      <c r="IG2" s="938"/>
      <c r="IH2" s="938"/>
      <c r="II2" s="938"/>
      <c r="IJ2" s="938"/>
      <c r="IK2" s="938"/>
      <c r="IL2" s="938"/>
      <c r="IM2" s="938"/>
      <c r="IN2" s="938"/>
      <c r="IO2" s="938"/>
      <c r="IP2" s="938"/>
      <c r="IQ2" s="938"/>
      <c r="IR2" s="938"/>
      <c r="IS2" s="938"/>
      <c r="IT2" s="938"/>
      <c r="IU2" s="938"/>
      <c r="IV2" s="938"/>
    </row>
    <row r="3" spans="1:256" ht="21.75" customHeight="1" x14ac:dyDescent="0.3">
      <c r="A3" s="937"/>
      <c r="B3" s="1952" t="s">
        <v>1304</v>
      </c>
      <c r="C3" s="1952"/>
      <c r="D3" s="1952"/>
      <c r="E3" s="1952"/>
      <c r="F3" s="1952"/>
      <c r="G3" s="1952"/>
      <c r="H3" s="1952"/>
      <c r="I3" s="1952"/>
      <c r="J3" s="1952"/>
      <c r="K3" s="1952"/>
      <c r="L3" s="1952"/>
      <c r="M3" s="1952"/>
      <c r="N3" s="1952"/>
      <c r="O3" s="1952"/>
      <c r="P3" s="1952"/>
      <c r="Q3" s="1952"/>
      <c r="R3" s="938"/>
      <c r="S3" s="938"/>
      <c r="T3" s="938"/>
      <c r="U3" s="938"/>
      <c r="V3" s="938"/>
      <c r="W3" s="938"/>
      <c r="X3" s="938"/>
      <c r="Y3" s="938"/>
      <c r="Z3" s="938"/>
      <c r="AA3" s="938"/>
      <c r="AB3" s="938"/>
      <c r="AC3" s="938"/>
      <c r="AD3" s="938"/>
      <c r="AE3" s="938"/>
      <c r="AF3" s="938"/>
      <c r="AG3" s="938"/>
      <c r="AH3" s="938"/>
      <c r="AI3" s="938"/>
      <c r="AJ3" s="938"/>
      <c r="AK3" s="938"/>
      <c r="AL3" s="938"/>
      <c r="AM3" s="938"/>
      <c r="AN3" s="938"/>
      <c r="AO3" s="938"/>
      <c r="AP3" s="938"/>
      <c r="AQ3" s="938"/>
      <c r="AR3" s="938"/>
      <c r="AS3" s="938"/>
      <c r="AT3" s="938"/>
      <c r="AU3" s="938"/>
      <c r="AV3" s="938"/>
      <c r="AW3" s="938"/>
      <c r="AX3" s="938"/>
      <c r="AY3" s="938"/>
      <c r="AZ3" s="938"/>
      <c r="BA3" s="938"/>
      <c r="BB3" s="938"/>
      <c r="BC3" s="938"/>
      <c r="BD3" s="938"/>
      <c r="BE3" s="938"/>
      <c r="BF3" s="938"/>
      <c r="BG3" s="938"/>
      <c r="BH3" s="938"/>
      <c r="BI3" s="938"/>
      <c r="BJ3" s="938"/>
      <c r="BK3" s="938"/>
      <c r="BL3" s="938"/>
      <c r="BM3" s="938"/>
      <c r="BN3" s="938"/>
      <c r="BO3" s="938"/>
      <c r="BP3" s="938"/>
      <c r="BQ3" s="938"/>
      <c r="BR3" s="938"/>
      <c r="BS3" s="938"/>
      <c r="BT3" s="938"/>
      <c r="BU3" s="938"/>
      <c r="BV3" s="938"/>
      <c r="BW3" s="938"/>
      <c r="BX3" s="938"/>
      <c r="BY3" s="938"/>
      <c r="BZ3" s="938"/>
      <c r="CA3" s="938"/>
      <c r="CB3" s="938"/>
      <c r="CC3" s="938"/>
      <c r="CD3" s="938"/>
      <c r="CE3" s="938"/>
      <c r="CF3" s="938"/>
      <c r="CG3" s="938"/>
      <c r="CH3" s="938"/>
      <c r="CI3" s="938"/>
      <c r="CJ3" s="938"/>
      <c r="CK3" s="938"/>
      <c r="CL3" s="938"/>
      <c r="CM3" s="938"/>
      <c r="CN3" s="938"/>
      <c r="CO3" s="938"/>
      <c r="CP3" s="938"/>
      <c r="CQ3" s="938"/>
      <c r="CR3" s="938"/>
      <c r="CS3" s="938"/>
      <c r="CT3" s="938"/>
      <c r="CU3" s="938"/>
      <c r="CV3" s="938"/>
      <c r="CW3" s="938"/>
      <c r="CX3" s="938"/>
      <c r="CY3" s="938"/>
      <c r="CZ3" s="938"/>
      <c r="DA3" s="938"/>
      <c r="DB3" s="938"/>
      <c r="DC3" s="938"/>
      <c r="DD3" s="938"/>
      <c r="DE3" s="938"/>
      <c r="DF3" s="938"/>
      <c r="DG3" s="938"/>
      <c r="DH3" s="938"/>
      <c r="DI3" s="938"/>
      <c r="DJ3" s="938"/>
      <c r="DK3" s="938"/>
      <c r="DL3" s="938"/>
      <c r="DM3" s="938"/>
      <c r="DN3" s="938"/>
      <c r="DO3" s="938"/>
      <c r="DP3" s="938"/>
      <c r="DQ3" s="938"/>
      <c r="DR3" s="938"/>
      <c r="DS3" s="938"/>
      <c r="DT3" s="938"/>
      <c r="DU3" s="938"/>
      <c r="DV3" s="938"/>
      <c r="DW3" s="938"/>
      <c r="DX3" s="938"/>
      <c r="DY3" s="938"/>
      <c r="DZ3" s="938"/>
      <c r="EA3" s="938"/>
      <c r="EB3" s="938"/>
      <c r="EC3" s="938"/>
      <c r="ED3" s="938"/>
      <c r="EE3" s="938"/>
      <c r="EF3" s="938"/>
      <c r="EG3" s="938"/>
      <c r="EH3" s="938"/>
      <c r="EI3" s="938"/>
      <c r="EJ3" s="938"/>
      <c r="EK3" s="938"/>
      <c r="EL3" s="938"/>
      <c r="EM3" s="938"/>
      <c r="EN3" s="938"/>
      <c r="EO3" s="938"/>
      <c r="EP3" s="938"/>
      <c r="EQ3" s="938"/>
      <c r="ER3" s="938"/>
      <c r="ES3" s="938"/>
      <c r="ET3" s="938"/>
      <c r="EU3" s="938"/>
      <c r="EV3" s="938"/>
      <c r="EW3" s="938"/>
      <c r="EX3" s="938"/>
      <c r="EY3" s="938"/>
      <c r="EZ3" s="938"/>
      <c r="FA3" s="938"/>
      <c r="FB3" s="938"/>
      <c r="FC3" s="938"/>
      <c r="FD3" s="938"/>
      <c r="FE3" s="938"/>
      <c r="FF3" s="938"/>
      <c r="FG3" s="938"/>
      <c r="FH3" s="938"/>
      <c r="FI3" s="938"/>
      <c r="FJ3" s="938"/>
      <c r="FK3" s="938"/>
      <c r="FL3" s="938"/>
      <c r="FM3" s="938"/>
      <c r="FN3" s="938"/>
      <c r="FO3" s="938"/>
      <c r="FP3" s="938"/>
      <c r="FQ3" s="938"/>
      <c r="FR3" s="938"/>
      <c r="FS3" s="938"/>
      <c r="FT3" s="938"/>
      <c r="FU3" s="938"/>
      <c r="FV3" s="938"/>
      <c r="FW3" s="938"/>
      <c r="FX3" s="938"/>
      <c r="FY3" s="938"/>
      <c r="FZ3" s="938"/>
      <c r="GA3" s="938"/>
      <c r="GB3" s="938"/>
      <c r="GC3" s="938"/>
      <c r="GD3" s="938"/>
      <c r="GE3" s="938"/>
      <c r="GF3" s="938"/>
      <c r="GG3" s="938"/>
      <c r="GH3" s="938"/>
      <c r="GI3" s="938"/>
      <c r="GJ3" s="938"/>
      <c r="GK3" s="938"/>
      <c r="GL3" s="938"/>
      <c r="GM3" s="938"/>
      <c r="GN3" s="938"/>
      <c r="GO3" s="938"/>
      <c r="GP3" s="938"/>
      <c r="GQ3" s="938"/>
      <c r="GR3" s="938"/>
      <c r="GS3" s="938"/>
      <c r="GT3" s="938"/>
      <c r="GU3" s="938"/>
      <c r="GV3" s="938"/>
      <c r="GW3" s="938"/>
      <c r="GX3" s="938"/>
      <c r="GY3" s="938"/>
      <c r="GZ3" s="938"/>
      <c r="HA3" s="938"/>
      <c r="HB3" s="938"/>
      <c r="HC3" s="938"/>
      <c r="HD3" s="938"/>
      <c r="HE3" s="938"/>
      <c r="HF3" s="938"/>
      <c r="HG3" s="938"/>
      <c r="HH3" s="938"/>
      <c r="HI3" s="938"/>
      <c r="HJ3" s="938"/>
      <c r="HK3" s="938"/>
      <c r="HL3" s="938"/>
      <c r="HM3" s="938"/>
      <c r="HN3" s="938"/>
      <c r="HO3" s="938"/>
      <c r="HP3" s="938"/>
      <c r="HQ3" s="938"/>
      <c r="HR3" s="938"/>
      <c r="HS3" s="938"/>
      <c r="HT3" s="938"/>
      <c r="HU3" s="938"/>
      <c r="HV3" s="938"/>
      <c r="HW3" s="938"/>
      <c r="HX3" s="938"/>
      <c r="HY3" s="938"/>
      <c r="HZ3" s="938"/>
      <c r="IA3" s="938"/>
      <c r="IB3" s="938"/>
      <c r="IC3" s="938"/>
      <c r="ID3" s="938"/>
      <c r="IE3" s="938"/>
      <c r="IF3" s="938"/>
      <c r="IG3" s="938"/>
      <c r="IH3" s="938"/>
      <c r="II3" s="938"/>
      <c r="IJ3" s="938"/>
      <c r="IK3" s="938"/>
      <c r="IL3" s="938"/>
      <c r="IM3" s="938"/>
      <c r="IN3" s="938"/>
      <c r="IO3" s="938"/>
      <c r="IP3" s="938"/>
      <c r="IQ3" s="938"/>
      <c r="IR3" s="938"/>
      <c r="IS3" s="938"/>
      <c r="IT3" s="938"/>
      <c r="IU3" s="938"/>
      <c r="IV3" s="938"/>
    </row>
    <row r="4" spans="1:256" x14ac:dyDescent="0.35">
      <c r="O4" s="1953" t="s">
        <v>0</v>
      </c>
      <c r="P4" s="1953"/>
      <c r="Q4" s="1953"/>
    </row>
    <row r="5" spans="1:256" thickBot="1" x14ac:dyDescent="0.35">
      <c r="B5" s="1954" t="s">
        <v>1</v>
      </c>
      <c r="C5" s="1954"/>
      <c r="D5" s="941" t="s">
        <v>3</v>
      </c>
      <c r="E5" s="941" t="s">
        <v>2</v>
      </c>
      <c r="F5" s="941" t="s">
        <v>4</v>
      </c>
      <c r="G5" s="941" t="s">
        <v>5</v>
      </c>
      <c r="H5" s="941" t="s">
        <v>16</v>
      </c>
      <c r="I5" s="941" t="s">
        <v>17</v>
      </c>
      <c r="J5" s="941" t="s">
        <v>18</v>
      </c>
      <c r="K5" s="941" t="s">
        <v>39</v>
      </c>
      <c r="L5" s="941" t="s">
        <v>31</v>
      </c>
      <c r="M5" s="941" t="s">
        <v>24</v>
      </c>
      <c r="N5" s="941" t="s">
        <v>40</v>
      </c>
      <c r="O5" s="941" t="s">
        <v>41</v>
      </c>
      <c r="P5" s="941" t="s">
        <v>169</v>
      </c>
      <c r="Q5" s="941" t="s">
        <v>170</v>
      </c>
      <c r="R5" s="941"/>
      <c r="S5" s="941"/>
      <c r="T5" s="941"/>
      <c r="U5" s="941"/>
      <c r="V5" s="941"/>
      <c r="W5" s="941"/>
      <c r="X5" s="941"/>
      <c r="Y5" s="941"/>
      <c r="Z5" s="941"/>
      <c r="AA5" s="941"/>
      <c r="AB5" s="941"/>
      <c r="AC5" s="941"/>
      <c r="AD5" s="941"/>
      <c r="AE5" s="941"/>
      <c r="AF5" s="941"/>
      <c r="AG5" s="941"/>
      <c r="AH5" s="941"/>
      <c r="AI5" s="941"/>
      <c r="AJ5" s="941"/>
      <c r="AK5" s="941"/>
      <c r="AL5" s="941"/>
      <c r="AM5" s="941"/>
      <c r="AN5" s="941"/>
      <c r="AO5" s="941"/>
      <c r="AP5" s="941"/>
      <c r="AQ5" s="941"/>
      <c r="AR5" s="941"/>
      <c r="AS5" s="941"/>
      <c r="AT5" s="941"/>
      <c r="AU5" s="941"/>
      <c r="AV5" s="941"/>
      <c r="AW5" s="941"/>
      <c r="AX5" s="941"/>
      <c r="AY5" s="941"/>
      <c r="AZ5" s="941"/>
      <c r="BA5" s="941"/>
      <c r="BB5" s="941"/>
      <c r="BC5" s="941"/>
      <c r="BD5" s="941"/>
      <c r="BE5" s="941"/>
      <c r="BF5" s="941"/>
      <c r="BG5" s="941"/>
      <c r="BH5" s="941"/>
      <c r="BI5" s="941"/>
      <c r="BJ5" s="941"/>
      <c r="BK5" s="941"/>
      <c r="BL5" s="941"/>
      <c r="BM5" s="941"/>
      <c r="BN5" s="941"/>
      <c r="BO5" s="941"/>
      <c r="BP5" s="941"/>
      <c r="BQ5" s="941"/>
      <c r="BR5" s="941"/>
      <c r="BS5" s="941"/>
      <c r="BT5" s="941"/>
      <c r="BU5" s="941"/>
      <c r="BV5" s="941"/>
      <c r="BW5" s="941"/>
      <c r="BX5" s="941"/>
      <c r="BY5" s="941"/>
      <c r="BZ5" s="941"/>
      <c r="CA5" s="941"/>
      <c r="CB5" s="941"/>
      <c r="CC5" s="941"/>
      <c r="CD5" s="941"/>
      <c r="CE5" s="941"/>
      <c r="CF5" s="941"/>
      <c r="CG5" s="941"/>
      <c r="CH5" s="941"/>
      <c r="CI5" s="941"/>
      <c r="CJ5" s="941"/>
      <c r="CK5" s="941"/>
      <c r="CL5" s="941"/>
      <c r="CM5" s="941"/>
      <c r="CN5" s="941"/>
      <c r="CO5" s="941"/>
      <c r="CP5" s="941"/>
      <c r="CQ5" s="941"/>
      <c r="CR5" s="941"/>
      <c r="CS5" s="941"/>
      <c r="CT5" s="941"/>
      <c r="CU5" s="941"/>
      <c r="CV5" s="941"/>
      <c r="CW5" s="941"/>
      <c r="CX5" s="941"/>
      <c r="CY5" s="941"/>
      <c r="CZ5" s="941"/>
      <c r="DA5" s="941"/>
      <c r="DB5" s="941"/>
      <c r="DC5" s="941"/>
      <c r="DD5" s="941"/>
      <c r="DE5" s="941"/>
      <c r="DF5" s="941"/>
      <c r="DG5" s="941"/>
      <c r="DH5" s="941"/>
      <c r="DI5" s="941"/>
      <c r="DJ5" s="941"/>
      <c r="DK5" s="941"/>
      <c r="DL5" s="941"/>
      <c r="DM5" s="941"/>
      <c r="DN5" s="941"/>
      <c r="DO5" s="941"/>
      <c r="DP5" s="941"/>
      <c r="DQ5" s="941"/>
      <c r="DR5" s="941"/>
      <c r="DS5" s="941"/>
      <c r="DT5" s="941"/>
      <c r="DU5" s="941"/>
      <c r="DV5" s="941"/>
      <c r="DW5" s="941"/>
      <c r="DX5" s="941"/>
      <c r="DY5" s="941"/>
      <c r="DZ5" s="941"/>
      <c r="EA5" s="941"/>
      <c r="EB5" s="941"/>
      <c r="EC5" s="941"/>
      <c r="ED5" s="941"/>
      <c r="EE5" s="941"/>
      <c r="EF5" s="941"/>
      <c r="EG5" s="941"/>
      <c r="EH5" s="941"/>
      <c r="EI5" s="941"/>
      <c r="EJ5" s="941"/>
      <c r="EK5" s="941"/>
      <c r="EL5" s="941"/>
      <c r="EM5" s="941"/>
      <c r="EN5" s="941"/>
      <c r="EO5" s="941"/>
      <c r="EP5" s="941"/>
      <c r="EQ5" s="941"/>
      <c r="ER5" s="941"/>
      <c r="ES5" s="941"/>
      <c r="ET5" s="941"/>
      <c r="EU5" s="941"/>
      <c r="EV5" s="941"/>
      <c r="EW5" s="941"/>
      <c r="EX5" s="941"/>
      <c r="EY5" s="941"/>
      <c r="EZ5" s="941"/>
      <c r="FA5" s="941"/>
      <c r="FB5" s="941"/>
      <c r="FC5" s="941"/>
      <c r="FD5" s="941"/>
      <c r="FE5" s="941"/>
      <c r="FF5" s="941"/>
      <c r="FG5" s="941"/>
      <c r="FH5" s="941"/>
      <c r="FI5" s="941"/>
      <c r="FJ5" s="941"/>
      <c r="FK5" s="941"/>
      <c r="FL5" s="941"/>
      <c r="FM5" s="941"/>
      <c r="FN5" s="941"/>
      <c r="FO5" s="941"/>
      <c r="FP5" s="941"/>
      <c r="FQ5" s="941"/>
      <c r="FR5" s="941"/>
      <c r="FS5" s="941"/>
      <c r="FT5" s="941"/>
      <c r="FU5" s="941"/>
      <c r="FV5" s="941"/>
      <c r="FW5" s="941"/>
      <c r="FX5" s="941"/>
      <c r="FY5" s="941"/>
      <c r="FZ5" s="941"/>
      <c r="GA5" s="941"/>
      <c r="GB5" s="941"/>
      <c r="GC5" s="941"/>
      <c r="GD5" s="941"/>
      <c r="GE5" s="941"/>
      <c r="GF5" s="941"/>
      <c r="GG5" s="941"/>
      <c r="GH5" s="941"/>
      <c r="GI5" s="941"/>
      <c r="GJ5" s="941"/>
      <c r="GK5" s="941"/>
      <c r="GL5" s="941"/>
      <c r="GM5" s="941"/>
      <c r="GN5" s="941"/>
      <c r="GO5" s="941"/>
      <c r="GP5" s="941"/>
      <c r="GQ5" s="941"/>
      <c r="GR5" s="941"/>
      <c r="GS5" s="941"/>
      <c r="GT5" s="941"/>
      <c r="GU5" s="941"/>
      <c r="GV5" s="941"/>
      <c r="GW5" s="941"/>
      <c r="GX5" s="941"/>
      <c r="GY5" s="941"/>
      <c r="GZ5" s="941"/>
      <c r="HA5" s="941"/>
      <c r="HB5" s="941"/>
      <c r="HC5" s="941"/>
      <c r="HD5" s="941"/>
      <c r="HE5" s="941"/>
      <c r="HF5" s="941"/>
      <c r="HG5" s="941"/>
      <c r="HH5" s="941"/>
      <c r="HI5" s="941"/>
      <c r="HJ5" s="941"/>
      <c r="HK5" s="941"/>
      <c r="HL5" s="941"/>
      <c r="HM5" s="941"/>
      <c r="HN5" s="941"/>
      <c r="HO5" s="941"/>
      <c r="HP5" s="941"/>
      <c r="HQ5" s="941"/>
      <c r="HR5" s="941"/>
      <c r="HS5" s="941"/>
      <c r="HT5" s="941"/>
      <c r="HU5" s="941"/>
      <c r="HV5" s="941"/>
      <c r="HW5" s="941"/>
      <c r="HX5" s="941"/>
      <c r="HY5" s="941"/>
      <c r="HZ5" s="941"/>
      <c r="IA5" s="941"/>
      <c r="IB5" s="941"/>
      <c r="IC5" s="941"/>
      <c r="ID5" s="941"/>
      <c r="IE5" s="941"/>
      <c r="IF5" s="941"/>
      <c r="IG5" s="941"/>
      <c r="IH5" s="941"/>
      <c r="II5" s="941"/>
      <c r="IJ5" s="941"/>
      <c r="IK5" s="941"/>
      <c r="IL5" s="941"/>
      <c r="IM5" s="941"/>
      <c r="IN5" s="941"/>
      <c r="IO5" s="941"/>
      <c r="IP5" s="941"/>
      <c r="IQ5" s="941"/>
      <c r="IR5" s="941"/>
      <c r="IS5" s="941"/>
      <c r="IT5" s="941"/>
      <c r="IU5" s="941"/>
      <c r="IV5" s="941"/>
    </row>
    <row r="6" spans="1:256" ht="30" customHeight="1" thickBot="1" x14ac:dyDescent="0.4">
      <c r="A6" s="1940"/>
      <c r="B6" s="1941" t="s">
        <v>737</v>
      </c>
      <c r="C6" s="1942"/>
      <c r="D6" s="1945" t="s">
        <v>738</v>
      </c>
      <c r="E6" s="1947" t="s">
        <v>739</v>
      </c>
      <c r="F6" s="942" t="s">
        <v>740</v>
      </c>
      <c r="G6" s="1945" t="s">
        <v>741</v>
      </c>
      <c r="H6" s="943" t="s">
        <v>742</v>
      </c>
      <c r="I6" s="943" t="s">
        <v>743</v>
      </c>
      <c r="J6" s="943" t="s">
        <v>744</v>
      </c>
      <c r="K6" s="943" t="s">
        <v>745</v>
      </c>
      <c r="L6" s="1945" t="s">
        <v>746</v>
      </c>
      <c r="M6" s="943" t="s">
        <v>747</v>
      </c>
      <c r="N6" s="943" t="s">
        <v>748</v>
      </c>
      <c r="O6" s="1949" t="s">
        <v>749</v>
      </c>
      <c r="P6" s="1950"/>
      <c r="Q6" s="1945" t="s">
        <v>134</v>
      </c>
      <c r="R6" s="918"/>
      <c r="S6" s="918"/>
      <c r="T6" s="918"/>
      <c r="U6" s="918"/>
      <c r="V6" s="918"/>
      <c r="W6" s="918"/>
      <c r="X6" s="918"/>
      <c r="Y6" s="918"/>
      <c r="Z6" s="918"/>
      <c r="AA6" s="918"/>
      <c r="AB6" s="918"/>
      <c r="AC6" s="918"/>
      <c r="AD6" s="918"/>
      <c r="AE6" s="918"/>
      <c r="AF6" s="918"/>
      <c r="AG6" s="918"/>
      <c r="AH6" s="918"/>
      <c r="AI6" s="918"/>
      <c r="AJ6" s="918"/>
      <c r="AK6" s="918"/>
      <c r="AL6" s="918"/>
      <c r="AM6" s="918"/>
      <c r="AN6" s="918"/>
      <c r="AO6" s="918"/>
      <c r="AP6" s="918"/>
      <c r="AQ6" s="918"/>
      <c r="AR6" s="918"/>
      <c r="AS6" s="918"/>
      <c r="AT6" s="918"/>
      <c r="AU6" s="918"/>
      <c r="AV6" s="918"/>
      <c r="AW6" s="918"/>
      <c r="AX6" s="918"/>
      <c r="AY6" s="918"/>
      <c r="AZ6" s="918"/>
      <c r="BA6" s="918"/>
      <c r="BB6" s="918"/>
      <c r="BC6" s="918"/>
      <c r="BD6" s="918"/>
      <c r="BE6" s="918"/>
      <c r="BF6" s="918"/>
      <c r="BG6" s="918"/>
      <c r="BH6" s="918"/>
      <c r="BI6" s="918"/>
      <c r="BJ6" s="918"/>
      <c r="BK6" s="918"/>
      <c r="BL6" s="918"/>
      <c r="BM6" s="918"/>
      <c r="BN6" s="918"/>
      <c r="BO6" s="918"/>
      <c r="BP6" s="918"/>
      <c r="BQ6" s="918"/>
      <c r="BR6" s="918"/>
      <c r="BS6" s="918"/>
      <c r="BT6" s="918"/>
      <c r="BU6" s="918"/>
      <c r="BV6" s="918"/>
      <c r="BW6" s="918"/>
      <c r="BX6" s="918"/>
      <c r="BY6" s="918"/>
      <c r="BZ6" s="918"/>
      <c r="CA6" s="918"/>
      <c r="CB6" s="918"/>
      <c r="CC6" s="918"/>
      <c r="CD6" s="918"/>
      <c r="CE6" s="918"/>
      <c r="CF6" s="918"/>
      <c r="CG6" s="918"/>
      <c r="CH6" s="918"/>
      <c r="CI6" s="918"/>
      <c r="CJ6" s="918"/>
      <c r="CK6" s="918"/>
      <c r="CL6" s="918"/>
      <c r="CM6" s="918"/>
      <c r="CN6" s="918"/>
      <c r="CO6" s="918"/>
      <c r="CP6" s="918"/>
      <c r="CQ6" s="918"/>
      <c r="CR6" s="918"/>
      <c r="CS6" s="918"/>
      <c r="CT6" s="918"/>
      <c r="CU6" s="918"/>
      <c r="CV6" s="918"/>
      <c r="CW6" s="918"/>
      <c r="CX6" s="918"/>
      <c r="CY6" s="918"/>
      <c r="CZ6" s="918"/>
      <c r="DA6" s="918"/>
      <c r="DB6" s="918"/>
      <c r="DC6" s="918"/>
      <c r="DD6" s="918"/>
      <c r="DE6" s="918"/>
      <c r="DF6" s="918"/>
      <c r="DG6" s="918"/>
      <c r="DH6" s="918"/>
      <c r="DI6" s="918"/>
      <c r="DJ6" s="918"/>
      <c r="DK6" s="918"/>
      <c r="DL6" s="918"/>
      <c r="DM6" s="918"/>
      <c r="DN6" s="918"/>
      <c r="DO6" s="918"/>
      <c r="DP6" s="918"/>
      <c r="DQ6" s="918"/>
      <c r="DR6" s="918"/>
      <c r="DS6" s="918"/>
      <c r="DT6" s="918"/>
      <c r="DU6" s="918"/>
      <c r="DV6" s="918"/>
      <c r="DW6" s="918"/>
      <c r="DX6" s="918"/>
      <c r="DY6" s="918"/>
      <c r="DZ6" s="918"/>
      <c r="EA6" s="918"/>
      <c r="EB6" s="918"/>
      <c r="EC6" s="918"/>
      <c r="ED6" s="918"/>
      <c r="EE6" s="918"/>
      <c r="EF6" s="918"/>
      <c r="EG6" s="918"/>
      <c r="EH6" s="918"/>
      <c r="EI6" s="918"/>
      <c r="EJ6" s="918"/>
      <c r="EK6" s="918"/>
      <c r="EL6" s="918"/>
      <c r="EM6" s="918"/>
      <c r="EN6" s="918"/>
      <c r="EO6" s="918"/>
      <c r="EP6" s="918"/>
      <c r="EQ6" s="918"/>
      <c r="ER6" s="918"/>
      <c r="ES6" s="918"/>
      <c r="ET6" s="918"/>
      <c r="EU6" s="918"/>
      <c r="EV6" s="918"/>
      <c r="EW6" s="918"/>
      <c r="EX6" s="918"/>
      <c r="EY6" s="918"/>
      <c r="EZ6" s="918"/>
      <c r="FA6" s="918"/>
      <c r="FB6" s="918"/>
      <c r="FC6" s="918"/>
      <c r="FD6" s="918"/>
      <c r="FE6" s="918"/>
      <c r="FF6" s="918"/>
      <c r="FG6" s="918"/>
      <c r="FH6" s="918"/>
      <c r="FI6" s="918"/>
      <c r="FJ6" s="918"/>
      <c r="FK6" s="918"/>
      <c r="FL6" s="918"/>
      <c r="FM6" s="918"/>
      <c r="FN6" s="918"/>
      <c r="FO6" s="918"/>
      <c r="FP6" s="918"/>
      <c r="FQ6" s="918"/>
      <c r="FR6" s="918"/>
      <c r="FS6" s="918"/>
      <c r="FT6" s="918"/>
      <c r="FU6" s="918"/>
      <c r="FV6" s="918"/>
      <c r="FW6" s="918"/>
      <c r="FX6" s="918"/>
      <c r="FY6" s="918"/>
      <c r="FZ6" s="918"/>
      <c r="GA6" s="918"/>
      <c r="GB6" s="918"/>
      <c r="GC6" s="918"/>
      <c r="GD6" s="918"/>
      <c r="GE6" s="918"/>
      <c r="GF6" s="918"/>
      <c r="GG6" s="918"/>
      <c r="GH6" s="918"/>
      <c r="GI6" s="918"/>
      <c r="GJ6" s="918"/>
      <c r="GK6" s="918"/>
      <c r="GL6" s="918"/>
      <c r="GM6" s="918"/>
      <c r="GN6" s="918"/>
      <c r="GO6" s="918"/>
      <c r="GP6" s="918"/>
      <c r="GQ6" s="918"/>
      <c r="GR6" s="918"/>
      <c r="GS6" s="918"/>
      <c r="GT6" s="918"/>
      <c r="GU6" s="918"/>
      <c r="GV6" s="918"/>
      <c r="GW6" s="918"/>
      <c r="GX6" s="918"/>
      <c r="GY6" s="918"/>
      <c r="GZ6" s="918"/>
      <c r="HA6" s="918"/>
      <c r="HB6" s="918"/>
      <c r="HC6" s="918"/>
      <c r="HD6" s="918"/>
      <c r="HE6" s="918"/>
      <c r="HF6" s="918"/>
      <c r="HG6" s="918"/>
      <c r="HH6" s="918"/>
      <c r="HI6" s="918"/>
      <c r="HJ6" s="918"/>
      <c r="HK6" s="918"/>
      <c r="HL6" s="918"/>
      <c r="HM6" s="918"/>
      <c r="HN6" s="918"/>
      <c r="HO6" s="918"/>
      <c r="HP6" s="918"/>
      <c r="HQ6" s="918"/>
      <c r="HR6" s="918"/>
      <c r="HS6" s="918"/>
      <c r="HT6" s="918"/>
      <c r="HU6" s="918"/>
      <c r="HV6" s="918"/>
      <c r="HW6" s="918"/>
      <c r="HX6" s="918"/>
      <c r="HY6" s="918"/>
      <c r="HZ6" s="918"/>
      <c r="IA6" s="918"/>
      <c r="IB6" s="918"/>
      <c r="IC6" s="918"/>
      <c r="ID6" s="918"/>
      <c r="IE6" s="918"/>
      <c r="IF6" s="918"/>
      <c r="IG6" s="918"/>
      <c r="IH6" s="918"/>
      <c r="II6" s="918"/>
      <c r="IJ6" s="918"/>
      <c r="IK6" s="918"/>
      <c r="IL6" s="918"/>
      <c r="IM6" s="918"/>
      <c r="IN6" s="918"/>
      <c r="IO6" s="918"/>
      <c r="IP6" s="918"/>
      <c r="IQ6" s="918"/>
      <c r="IR6" s="918"/>
      <c r="IS6" s="918"/>
      <c r="IT6" s="918"/>
      <c r="IU6" s="918"/>
      <c r="IV6" s="918"/>
    </row>
    <row r="7" spans="1:256" ht="30" customHeight="1" thickBot="1" x14ac:dyDescent="0.4">
      <c r="A7" s="1940"/>
      <c r="B7" s="1943"/>
      <c r="C7" s="1944"/>
      <c r="D7" s="1946"/>
      <c r="E7" s="1948"/>
      <c r="F7" s="944" t="s">
        <v>750</v>
      </c>
      <c r="G7" s="1946"/>
      <c r="H7" s="945" t="s">
        <v>751</v>
      </c>
      <c r="I7" s="945" t="s">
        <v>752</v>
      </c>
      <c r="J7" s="945" t="s">
        <v>753</v>
      </c>
      <c r="K7" s="945" t="s">
        <v>754</v>
      </c>
      <c r="L7" s="1946"/>
      <c r="M7" s="945" t="s">
        <v>755</v>
      </c>
      <c r="N7" s="945" t="s">
        <v>756</v>
      </c>
      <c r="O7" s="946" t="s">
        <v>757</v>
      </c>
      <c r="P7" s="946" t="s">
        <v>758</v>
      </c>
      <c r="Q7" s="1946"/>
      <c r="R7" s="918"/>
      <c r="S7" s="918"/>
      <c r="T7" s="918"/>
      <c r="U7" s="918"/>
      <c r="V7" s="918"/>
      <c r="W7" s="918"/>
      <c r="X7" s="918"/>
      <c r="Y7" s="918"/>
      <c r="Z7" s="918"/>
      <c r="AA7" s="918"/>
      <c r="AB7" s="918"/>
      <c r="AC7" s="918"/>
      <c r="AD7" s="918"/>
      <c r="AE7" s="918"/>
      <c r="AF7" s="918"/>
      <c r="AG7" s="918"/>
      <c r="AH7" s="918"/>
      <c r="AI7" s="918"/>
      <c r="AJ7" s="918"/>
      <c r="AK7" s="918"/>
      <c r="AL7" s="918"/>
      <c r="AM7" s="918"/>
      <c r="AN7" s="918"/>
      <c r="AO7" s="918"/>
      <c r="AP7" s="918"/>
      <c r="AQ7" s="918"/>
      <c r="AR7" s="918"/>
      <c r="AS7" s="918"/>
      <c r="AT7" s="918"/>
      <c r="AU7" s="918"/>
      <c r="AV7" s="918"/>
      <c r="AW7" s="918"/>
      <c r="AX7" s="918"/>
      <c r="AY7" s="918"/>
      <c r="AZ7" s="918"/>
      <c r="BA7" s="918"/>
      <c r="BB7" s="918"/>
      <c r="BC7" s="918"/>
      <c r="BD7" s="918"/>
      <c r="BE7" s="918"/>
      <c r="BF7" s="918"/>
      <c r="BG7" s="918"/>
      <c r="BH7" s="918"/>
      <c r="BI7" s="918"/>
      <c r="BJ7" s="918"/>
      <c r="BK7" s="918"/>
      <c r="BL7" s="918"/>
      <c r="BM7" s="918"/>
      <c r="BN7" s="918"/>
      <c r="BO7" s="918"/>
      <c r="BP7" s="918"/>
      <c r="BQ7" s="918"/>
      <c r="BR7" s="918"/>
      <c r="BS7" s="918"/>
      <c r="BT7" s="918"/>
      <c r="BU7" s="918"/>
      <c r="BV7" s="918"/>
      <c r="BW7" s="918"/>
      <c r="BX7" s="918"/>
      <c r="BY7" s="918"/>
      <c r="BZ7" s="918"/>
      <c r="CA7" s="918"/>
      <c r="CB7" s="918"/>
      <c r="CC7" s="918"/>
      <c r="CD7" s="918"/>
      <c r="CE7" s="918"/>
      <c r="CF7" s="918"/>
      <c r="CG7" s="918"/>
      <c r="CH7" s="918"/>
      <c r="CI7" s="918"/>
      <c r="CJ7" s="918"/>
      <c r="CK7" s="918"/>
      <c r="CL7" s="918"/>
      <c r="CM7" s="918"/>
      <c r="CN7" s="918"/>
      <c r="CO7" s="918"/>
      <c r="CP7" s="918"/>
      <c r="CQ7" s="918"/>
      <c r="CR7" s="918"/>
      <c r="CS7" s="918"/>
      <c r="CT7" s="918"/>
      <c r="CU7" s="918"/>
      <c r="CV7" s="918"/>
      <c r="CW7" s="918"/>
      <c r="CX7" s="918"/>
      <c r="CY7" s="918"/>
      <c r="CZ7" s="918"/>
      <c r="DA7" s="918"/>
      <c r="DB7" s="918"/>
      <c r="DC7" s="918"/>
      <c r="DD7" s="918"/>
      <c r="DE7" s="918"/>
      <c r="DF7" s="918"/>
      <c r="DG7" s="918"/>
      <c r="DH7" s="918"/>
      <c r="DI7" s="918"/>
      <c r="DJ7" s="918"/>
      <c r="DK7" s="918"/>
      <c r="DL7" s="918"/>
      <c r="DM7" s="918"/>
      <c r="DN7" s="918"/>
      <c r="DO7" s="918"/>
      <c r="DP7" s="918"/>
      <c r="DQ7" s="918"/>
      <c r="DR7" s="918"/>
      <c r="DS7" s="918"/>
      <c r="DT7" s="918"/>
      <c r="DU7" s="918"/>
      <c r="DV7" s="918"/>
      <c r="DW7" s="918"/>
      <c r="DX7" s="918"/>
      <c r="DY7" s="918"/>
      <c r="DZ7" s="918"/>
      <c r="EA7" s="918"/>
      <c r="EB7" s="918"/>
      <c r="EC7" s="918"/>
      <c r="ED7" s="918"/>
      <c r="EE7" s="918"/>
      <c r="EF7" s="918"/>
      <c r="EG7" s="918"/>
      <c r="EH7" s="918"/>
      <c r="EI7" s="918"/>
      <c r="EJ7" s="918"/>
      <c r="EK7" s="918"/>
      <c r="EL7" s="918"/>
      <c r="EM7" s="918"/>
      <c r="EN7" s="918"/>
      <c r="EO7" s="918"/>
      <c r="EP7" s="918"/>
      <c r="EQ7" s="918"/>
      <c r="ER7" s="918"/>
      <c r="ES7" s="918"/>
      <c r="ET7" s="918"/>
      <c r="EU7" s="918"/>
      <c r="EV7" s="918"/>
      <c r="EW7" s="918"/>
      <c r="EX7" s="918"/>
      <c r="EY7" s="918"/>
      <c r="EZ7" s="918"/>
      <c r="FA7" s="918"/>
      <c r="FB7" s="918"/>
      <c r="FC7" s="918"/>
      <c r="FD7" s="918"/>
      <c r="FE7" s="918"/>
      <c r="FF7" s="918"/>
      <c r="FG7" s="918"/>
      <c r="FH7" s="918"/>
      <c r="FI7" s="918"/>
      <c r="FJ7" s="918"/>
      <c r="FK7" s="918"/>
      <c r="FL7" s="918"/>
      <c r="FM7" s="918"/>
      <c r="FN7" s="918"/>
      <c r="FO7" s="918"/>
      <c r="FP7" s="918"/>
      <c r="FQ7" s="918"/>
      <c r="FR7" s="918"/>
      <c r="FS7" s="918"/>
      <c r="FT7" s="918"/>
      <c r="FU7" s="918"/>
      <c r="FV7" s="918"/>
      <c r="FW7" s="918"/>
      <c r="FX7" s="918"/>
      <c r="FY7" s="918"/>
      <c r="FZ7" s="918"/>
      <c r="GA7" s="918"/>
      <c r="GB7" s="918"/>
      <c r="GC7" s="918"/>
      <c r="GD7" s="918"/>
      <c r="GE7" s="918"/>
      <c r="GF7" s="918"/>
      <c r="GG7" s="918"/>
      <c r="GH7" s="918"/>
      <c r="GI7" s="918"/>
      <c r="GJ7" s="918"/>
      <c r="GK7" s="918"/>
      <c r="GL7" s="918"/>
      <c r="GM7" s="918"/>
      <c r="GN7" s="918"/>
      <c r="GO7" s="918"/>
      <c r="GP7" s="918"/>
      <c r="GQ7" s="918"/>
      <c r="GR7" s="918"/>
      <c r="GS7" s="918"/>
      <c r="GT7" s="918"/>
      <c r="GU7" s="918"/>
      <c r="GV7" s="918"/>
      <c r="GW7" s="918"/>
      <c r="GX7" s="918"/>
      <c r="GY7" s="918"/>
      <c r="GZ7" s="918"/>
      <c r="HA7" s="918"/>
      <c r="HB7" s="918"/>
      <c r="HC7" s="918"/>
      <c r="HD7" s="918"/>
      <c r="HE7" s="918"/>
      <c r="HF7" s="918"/>
      <c r="HG7" s="918"/>
      <c r="HH7" s="918"/>
      <c r="HI7" s="918"/>
      <c r="HJ7" s="918"/>
      <c r="HK7" s="918"/>
      <c r="HL7" s="918"/>
      <c r="HM7" s="918"/>
      <c r="HN7" s="918"/>
      <c r="HO7" s="918"/>
      <c r="HP7" s="918"/>
      <c r="HQ7" s="918"/>
      <c r="HR7" s="918"/>
      <c r="HS7" s="918"/>
      <c r="HT7" s="918"/>
      <c r="HU7" s="918"/>
      <c r="HV7" s="918"/>
      <c r="HW7" s="918"/>
      <c r="HX7" s="918"/>
      <c r="HY7" s="918"/>
      <c r="HZ7" s="918"/>
      <c r="IA7" s="918"/>
      <c r="IB7" s="918"/>
      <c r="IC7" s="918"/>
      <c r="ID7" s="918"/>
      <c r="IE7" s="918"/>
      <c r="IF7" s="918"/>
      <c r="IG7" s="918"/>
      <c r="IH7" s="918"/>
      <c r="II7" s="918"/>
      <c r="IJ7" s="918"/>
      <c r="IK7" s="918"/>
      <c r="IL7" s="918"/>
      <c r="IM7" s="918"/>
      <c r="IN7" s="918"/>
      <c r="IO7" s="918"/>
      <c r="IP7" s="918"/>
      <c r="IQ7" s="918"/>
      <c r="IR7" s="918"/>
      <c r="IS7" s="918"/>
      <c r="IT7" s="918"/>
      <c r="IU7" s="918"/>
      <c r="IV7" s="918"/>
    </row>
    <row r="8" spans="1:256" s="952" customFormat="1" ht="30" customHeight="1" x14ac:dyDescent="0.35">
      <c r="A8" s="947">
        <v>1</v>
      </c>
      <c r="B8" s="948" t="s">
        <v>759</v>
      </c>
      <c r="C8" s="949" t="s">
        <v>760</v>
      </c>
      <c r="D8" s="950"/>
      <c r="E8" s="950"/>
      <c r="F8" s="950"/>
      <c r="G8" s="950"/>
      <c r="H8" s="950"/>
      <c r="I8" s="950"/>
      <c r="J8" s="950"/>
      <c r="K8" s="950"/>
      <c r="L8" s="950"/>
      <c r="M8" s="950"/>
      <c r="N8" s="950"/>
      <c r="O8" s="950">
        <v>2000</v>
      </c>
      <c r="P8" s="950">
        <v>468</v>
      </c>
      <c r="Q8" s="951">
        <f>SUM(D8:P8)</f>
        <v>2468</v>
      </c>
      <c r="R8" s="949"/>
      <c r="S8" s="949"/>
      <c r="T8" s="949"/>
      <c r="U8" s="949"/>
      <c r="V8" s="949"/>
      <c r="W8" s="949"/>
      <c r="X8" s="949"/>
      <c r="Y8" s="949"/>
      <c r="Z8" s="949"/>
      <c r="AA8" s="949"/>
      <c r="AB8" s="949"/>
      <c r="AC8" s="949"/>
      <c r="AD8" s="949"/>
      <c r="AE8" s="949"/>
      <c r="AF8" s="949"/>
      <c r="AG8" s="949"/>
      <c r="AH8" s="949"/>
      <c r="AI8" s="949"/>
      <c r="AJ8" s="949"/>
      <c r="AK8" s="949"/>
      <c r="AL8" s="949"/>
      <c r="AM8" s="949"/>
      <c r="AN8" s="949"/>
      <c r="AO8" s="949"/>
      <c r="AP8" s="949"/>
      <c r="AQ8" s="949"/>
      <c r="AR8" s="949"/>
      <c r="AS8" s="949"/>
      <c r="AT8" s="949"/>
      <c r="AU8" s="949"/>
      <c r="AV8" s="949"/>
      <c r="AW8" s="949"/>
      <c r="AX8" s="949"/>
      <c r="AY8" s="949"/>
      <c r="AZ8" s="949"/>
      <c r="BA8" s="949"/>
      <c r="BB8" s="949"/>
      <c r="BC8" s="949"/>
      <c r="BD8" s="949"/>
      <c r="BE8" s="949"/>
      <c r="BF8" s="949"/>
      <c r="BG8" s="949"/>
      <c r="BH8" s="949"/>
      <c r="BI8" s="949"/>
      <c r="BJ8" s="949"/>
      <c r="BK8" s="949"/>
      <c r="BL8" s="949"/>
      <c r="BM8" s="949"/>
      <c r="BN8" s="949"/>
      <c r="BO8" s="949"/>
      <c r="BP8" s="949"/>
      <c r="BQ8" s="949"/>
      <c r="BR8" s="949"/>
      <c r="BS8" s="949"/>
      <c r="BT8" s="949"/>
      <c r="BU8" s="949"/>
      <c r="BV8" s="949"/>
      <c r="BW8" s="949"/>
      <c r="BX8" s="949"/>
      <c r="BY8" s="949"/>
      <c r="BZ8" s="949"/>
      <c r="CA8" s="949"/>
      <c r="CB8" s="949"/>
      <c r="CC8" s="949"/>
      <c r="CD8" s="949"/>
      <c r="CE8" s="949"/>
      <c r="CF8" s="949"/>
      <c r="CG8" s="949"/>
      <c r="CH8" s="949"/>
      <c r="CI8" s="949"/>
      <c r="CJ8" s="949"/>
      <c r="CK8" s="949"/>
      <c r="CL8" s="949"/>
      <c r="CM8" s="949"/>
      <c r="CN8" s="949"/>
      <c r="CO8" s="949"/>
      <c r="CP8" s="949"/>
      <c r="CQ8" s="949"/>
      <c r="CR8" s="949"/>
      <c r="CS8" s="949"/>
      <c r="CT8" s="949"/>
      <c r="CU8" s="949"/>
      <c r="CV8" s="949"/>
      <c r="CW8" s="949"/>
      <c r="CX8" s="949"/>
      <c r="CY8" s="949"/>
      <c r="CZ8" s="949"/>
      <c r="DA8" s="949"/>
      <c r="DB8" s="949"/>
      <c r="DC8" s="949"/>
      <c r="DD8" s="949"/>
      <c r="DE8" s="949"/>
      <c r="DF8" s="949"/>
      <c r="DG8" s="949"/>
      <c r="DH8" s="949"/>
      <c r="DI8" s="949"/>
      <c r="DJ8" s="949"/>
      <c r="DK8" s="949"/>
      <c r="DL8" s="949"/>
      <c r="DM8" s="949"/>
      <c r="DN8" s="949"/>
      <c r="DO8" s="949"/>
      <c r="DP8" s="949"/>
      <c r="DQ8" s="949"/>
      <c r="DR8" s="949"/>
      <c r="DS8" s="949"/>
      <c r="DT8" s="949"/>
      <c r="DU8" s="949"/>
      <c r="DV8" s="949"/>
      <c r="DW8" s="949"/>
      <c r="DX8" s="949"/>
      <c r="DY8" s="949"/>
      <c r="DZ8" s="949"/>
      <c r="EA8" s="949"/>
      <c r="EB8" s="949"/>
      <c r="EC8" s="949"/>
      <c r="ED8" s="949"/>
      <c r="EE8" s="949"/>
      <c r="EF8" s="949"/>
      <c r="EG8" s="949"/>
      <c r="EH8" s="949"/>
      <c r="EI8" s="949"/>
      <c r="EJ8" s="949"/>
      <c r="EK8" s="949"/>
      <c r="EL8" s="949"/>
      <c r="EM8" s="949"/>
      <c r="EN8" s="949"/>
      <c r="EO8" s="949"/>
      <c r="EP8" s="949"/>
      <c r="EQ8" s="949"/>
      <c r="ER8" s="949"/>
      <c r="ES8" s="949"/>
      <c r="ET8" s="949"/>
      <c r="EU8" s="949"/>
      <c r="EV8" s="949"/>
      <c r="EW8" s="949"/>
      <c r="EX8" s="949"/>
      <c r="EY8" s="949"/>
      <c r="EZ8" s="949"/>
      <c r="FA8" s="949"/>
      <c r="FB8" s="949"/>
      <c r="FC8" s="949"/>
      <c r="FD8" s="949"/>
      <c r="FE8" s="949"/>
      <c r="FF8" s="949"/>
      <c r="FG8" s="949"/>
      <c r="FH8" s="949"/>
      <c r="FI8" s="949"/>
      <c r="FJ8" s="949"/>
      <c r="FK8" s="949"/>
      <c r="FL8" s="949"/>
      <c r="FM8" s="949"/>
      <c r="FN8" s="949"/>
      <c r="FO8" s="949"/>
      <c r="FP8" s="949"/>
      <c r="FQ8" s="949"/>
      <c r="FR8" s="949"/>
      <c r="FS8" s="949"/>
      <c r="FT8" s="949"/>
      <c r="FU8" s="949"/>
      <c r="FV8" s="949"/>
      <c r="FW8" s="949"/>
      <c r="FX8" s="949"/>
      <c r="FY8" s="949"/>
      <c r="FZ8" s="949"/>
      <c r="GA8" s="949"/>
      <c r="GB8" s="949"/>
      <c r="GC8" s="949"/>
      <c r="GD8" s="949"/>
      <c r="GE8" s="949"/>
      <c r="GF8" s="949"/>
      <c r="GG8" s="949"/>
      <c r="GH8" s="949"/>
      <c r="GI8" s="949"/>
      <c r="GJ8" s="949"/>
      <c r="GK8" s="949"/>
      <c r="GL8" s="949"/>
      <c r="GM8" s="949"/>
      <c r="GN8" s="949"/>
      <c r="GO8" s="949"/>
      <c r="GP8" s="949"/>
      <c r="GQ8" s="949"/>
      <c r="GR8" s="949"/>
      <c r="GS8" s="949"/>
      <c r="GT8" s="949"/>
      <c r="GU8" s="949"/>
      <c r="GV8" s="949"/>
      <c r="GW8" s="949"/>
      <c r="GX8" s="949"/>
      <c r="GY8" s="949"/>
      <c r="GZ8" s="949"/>
      <c r="HA8" s="949"/>
      <c r="HB8" s="949"/>
      <c r="HC8" s="949"/>
      <c r="HD8" s="949"/>
      <c r="HE8" s="949"/>
      <c r="HF8" s="949"/>
      <c r="HG8" s="949"/>
      <c r="HH8" s="949"/>
      <c r="HI8" s="949"/>
      <c r="HJ8" s="949"/>
      <c r="HK8" s="949"/>
      <c r="HL8" s="949"/>
      <c r="HM8" s="949"/>
      <c r="HN8" s="949"/>
      <c r="HO8" s="949"/>
      <c r="HP8" s="949"/>
      <c r="HQ8" s="949"/>
      <c r="HR8" s="949"/>
      <c r="HS8" s="949"/>
      <c r="HT8" s="949"/>
      <c r="HU8" s="949"/>
      <c r="HV8" s="949"/>
      <c r="HW8" s="949"/>
      <c r="HX8" s="949"/>
      <c r="HY8" s="949"/>
      <c r="HZ8" s="949"/>
      <c r="IA8" s="949"/>
      <c r="IB8" s="949"/>
      <c r="IC8" s="949"/>
      <c r="ID8" s="949"/>
      <c r="IE8" s="949"/>
      <c r="IF8" s="949"/>
      <c r="IG8" s="949"/>
      <c r="IH8" s="949"/>
      <c r="II8" s="949"/>
      <c r="IJ8" s="949"/>
      <c r="IK8" s="949"/>
      <c r="IL8" s="949"/>
      <c r="IM8" s="949"/>
      <c r="IN8" s="949"/>
      <c r="IO8" s="949"/>
      <c r="IP8" s="949"/>
      <c r="IQ8" s="949"/>
      <c r="IR8" s="949"/>
      <c r="IS8" s="949"/>
      <c r="IT8" s="949"/>
      <c r="IU8" s="949"/>
      <c r="IV8" s="949"/>
    </row>
    <row r="9" spans="1:256" s="940" customFormat="1" ht="18" customHeight="1" x14ac:dyDescent="0.35">
      <c r="A9" s="1428"/>
      <c r="B9" s="956"/>
      <c r="C9" s="918" t="s">
        <v>1252</v>
      </c>
      <c r="D9" s="1453"/>
      <c r="E9" s="1453"/>
      <c r="F9" s="1453"/>
      <c r="G9" s="1453"/>
      <c r="H9" s="1453"/>
      <c r="I9" s="1453">
        <v>340</v>
      </c>
      <c r="J9" s="1453"/>
      <c r="K9" s="1453">
        <v>310</v>
      </c>
      <c r="L9" s="1453"/>
      <c r="M9" s="1453">
        <v>987</v>
      </c>
      <c r="N9" s="1453">
        <v>780</v>
      </c>
      <c r="O9" s="1453">
        <v>51</v>
      </c>
      <c r="P9" s="1453">
        <v>0</v>
      </c>
      <c r="Q9" s="827">
        <f>SUM(D9:P9)</f>
        <v>2468</v>
      </c>
      <c r="R9" s="918"/>
      <c r="S9" s="918"/>
      <c r="T9" s="918"/>
      <c r="U9" s="918"/>
      <c r="V9" s="918"/>
      <c r="W9" s="918"/>
      <c r="X9" s="918"/>
      <c r="Y9" s="918"/>
      <c r="Z9" s="918"/>
      <c r="AA9" s="918"/>
      <c r="AB9" s="918"/>
      <c r="AC9" s="918"/>
      <c r="AD9" s="918"/>
      <c r="AE9" s="918"/>
      <c r="AF9" s="918"/>
      <c r="AG9" s="918"/>
      <c r="AH9" s="918"/>
      <c r="AI9" s="918"/>
      <c r="AJ9" s="918"/>
      <c r="AK9" s="918"/>
      <c r="AL9" s="918"/>
      <c r="AM9" s="918"/>
      <c r="AN9" s="918"/>
      <c r="AO9" s="918"/>
      <c r="AP9" s="918"/>
      <c r="AQ9" s="918"/>
      <c r="AR9" s="918"/>
      <c r="AS9" s="918"/>
      <c r="AT9" s="918"/>
      <c r="AU9" s="918"/>
      <c r="AV9" s="918"/>
      <c r="AW9" s="918"/>
      <c r="AX9" s="918"/>
      <c r="AY9" s="918"/>
      <c r="AZ9" s="918"/>
      <c r="BA9" s="918"/>
      <c r="BB9" s="918"/>
      <c r="BC9" s="918"/>
      <c r="BD9" s="918"/>
      <c r="BE9" s="918"/>
      <c r="BF9" s="918"/>
      <c r="BG9" s="918"/>
      <c r="BH9" s="918"/>
      <c r="BI9" s="918"/>
      <c r="BJ9" s="918"/>
      <c r="BK9" s="918"/>
      <c r="BL9" s="918"/>
      <c r="BM9" s="918"/>
      <c r="BN9" s="918"/>
      <c r="BO9" s="918"/>
      <c r="BP9" s="918"/>
      <c r="BQ9" s="918"/>
      <c r="BR9" s="918"/>
      <c r="BS9" s="918"/>
      <c r="BT9" s="918"/>
      <c r="BU9" s="918"/>
      <c r="BV9" s="918"/>
      <c r="BW9" s="918"/>
      <c r="BX9" s="918"/>
      <c r="BY9" s="918"/>
      <c r="BZ9" s="918"/>
      <c r="CA9" s="918"/>
      <c r="CB9" s="918"/>
      <c r="CC9" s="918"/>
      <c r="CD9" s="918"/>
      <c r="CE9" s="918"/>
      <c r="CF9" s="918"/>
      <c r="CG9" s="918"/>
      <c r="CH9" s="918"/>
      <c r="CI9" s="918"/>
      <c r="CJ9" s="918"/>
      <c r="CK9" s="918"/>
      <c r="CL9" s="918"/>
      <c r="CM9" s="918"/>
      <c r="CN9" s="918"/>
      <c r="CO9" s="918"/>
      <c r="CP9" s="918"/>
      <c r="CQ9" s="918"/>
      <c r="CR9" s="918"/>
      <c r="CS9" s="918"/>
      <c r="CT9" s="918"/>
      <c r="CU9" s="918"/>
      <c r="CV9" s="918"/>
      <c r="CW9" s="918"/>
      <c r="CX9" s="918"/>
      <c r="CY9" s="918"/>
      <c r="CZ9" s="918"/>
      <c r="DA9" s="918"/>
      <c r="DB9" s="918"/>
      <c r="DC9" s="918"/>
      <c r="DD9" s="918"/>
      <c r="DE9" s="918"/>
      <c r="DF9" s="918"/>
      <c r="DG9" s="918"/>
      <c r="DH9" s="918"/>
      <c r="DI9" s="918"/>
      <c r="DJ9" s="918"/>
      <c r="DK9" s="918"/>
      <c r="DL9" s="918"/>
      <c r="DM9" s="918"/>
      <c r="DN9" s="918"/>
      <c r="DO9" s="918"/>
      <c r="DP9" s="918"/>
      <c r="DQ9" s="918"/>
      <c r="DR9" s="918"/>
      <c r="DS9" s="918"/>
      <c r="DT9" s="918"/>
      <c r="DU9" s="918"/>
      <c r="DV9" s="918"/>
      <c r="DW9" s="918"/>
      <c r="DX9" s="918"/>
      <c r="DY9" s="918"/>
      <c r="DZ9" s="918"/>
      <c r="EA9" s="918"/>
      <c r="EB9" s="918"/>
      <c r="EC9" s="918"/>
      <c r="ED9" s="918"/>
      <c r="EE9" s="918"/>
      <c r="EF9" s="918"/>
      <c r="EG9" s="918"/>
      <c r="EH9" s="918"/>
      <c r="EI9" s="918"/>
      <c r="EJ9" s="918"/>
      <c r="EK9" s="918"/>
      <c r="EL9" s="918"/>
      <c r="EM9" s="918"/>
      <c r="EN9" s="918"/>
      <c r="EO9" s="918"/>
      <c r="EP9" s="918"/>
      <c r="EQ9" s="918"/>
      <c r="ER9" s="918"/>
      <c r="ES9" s="918"/>
      <c r="ET9" s="918"/>
      <c r="EU9" s="918"/>
      <c r="EV9" s="918"/>
      <c r="EW9" s="918"/>
      <c r="EX9" s="918"/>
      <c r="EY9" s="918"/>
      <c r="EZ9" s="918"/>
      <c r="FA9" s="918"/>
      <c r="FB9" s="918"/>
      <c r="FC9" s="918"/>
      <c r="FD9" s="918"/>
      <c r="FE9" s="918"/>
      <c r="FF9" s="918"/>
      <c r="FG9" s="918"/>
      <c r="FH9" s="918"/>
      <c r="FI9" s="918"/>
      <c r="FJ9" s="918"/>
      <c r="FK9" s="918"/>
      <c r="FL9" s="918"/>
      <c r="FM9" s="918"/>
      <c r="FN9" s="918"/>
      <c r="FO9" s="918"/>
      <c r="FP9" s="918"/>
      <c r="FQ9" s="918"/>
      <c r="FR9" s="918"/>
      <c r="FS9" s="918"/>
      <c r="FT9" s="918"/>
      <c r="FU9" s="918"/>
      <c r="FV9" s="918"/>
      <c r="FW9" s="918"/>
      <c r="FX9" s="918"/>
      <c r="FY9" s="918"/>
      <c r="FZ9" s="918"/>
      <c r="GA9" s="918"/>
      <c r="GB9" s="918"/>
      <c r="GC9" s="918"/>
      <c r="GD9" s="918"/>
      <c r="GE9" s="918"/>
      <c r="GF9" s="918"/>
      <c r="GG9" s="918"/>
      <c r="GH9" s="918"/>
      <c r="GI9" s="918"/>
      <c r="GJ9" s="918"/>
      <c r="GK9" s="918"/>
      <c r="GL9" s="918"/>
      <c r="GM9" s="918"/>
      <c r="GN9" s="918"/>
      <c r="GO9" s="918"/>
      <c r="GP9" s="918"/>
      <c r="GQ9" s="918"/>
      <c r="GR9" s="918"/>
      <c r="GS9" s="918"/>
      <c r="GT9" s="918"/>
      <c r="GU9" s="918"/>
      <c r="GV9" s="918"/>
      <c r="GW9" s="918"/>
      <c r="GX9" s="918"/>
      <c r="GY9" s="918"/>
      <c r="GZ9" s="918"/>
      <c r="HA9" s="918"/>
      <c r="HB9" s="918"/>
      <c r="HC9" s="918"/>
      <c r="HD9" s="918"/>
      <c r="HE9" s="918"/>
      <c r="HF9" s="918"/>
      <c r="HG9" s="918"/>
      <c r="HH9" s="918"/>
      <c r="HI9" s="918"/>
      <c r="HJ9" s="918"/>
      <c r="HK9" s="918"/>
      <c r="HL9" s="918"/>
      <c r="HM9" s="918"/>
      <c r="HN9" s="918"/>
      <c r="HO9" s="918"/>
      <c r="HP9" s="918"/>
      <c r="HQ9" s="918"/>
      <c r="HR9" s="918"/>
      <c r="HS9" s="918"/>
      <c r="HT9" s="918"/>
      <c r="HU9" s="918"/>
      <c r="HV9" s="918"/>
      <c r="HW9" s="918"/>
      <c r="HX9" s="918"/>
      <c r="HY9" s="918"/>
      <c r="HZ9" s="918"/>
      <c r="IA9" s="918"/>
      <c r="IB9" s="918"/>
      <c r="IC9" s="918"/>
      <c r="ID9" s="918"/>
      <c r="IE9" s="918"/>
      <c r="IF9" s="918"/>
      <c r="IG9" s="918"/>
      <c r="IH9" s="918"/>
      <c r="II9" s="918"/>
      <c r="IJ9" s="918"/>
      <c r="IK9" s="918"/>
      <c r="IL9" s="918"/>
      <c r="IM9" s="918"/>
      <c r="IN9" s="918"/>
      <c r="IO9" s="918"/>
      <c r="IP9" s="918"/>
      <c r="IQ9" s="918"/>
      <c r="IR9" s="918"/>
      <c r="IS9" s="918"/>
      <c r="IT9" s="918"/>
      <c r="IU9" s="918"/>
      <c r="IV9" s="918"/>
    </row>
    <row r="10" spans="1:256" x14ac:dyDescent="0.35">
      <c r="A10" s="947">
        <v>2</v>
      </c>
      <c r="B10" s="953"/>
      <c r="C10" s="954" t="s">
        <v>733</v>
      </c>
      <c r="D10" s="187"/>
      <c r="E10" s="187"/>
      <c r="F10" s="187"/>
      <c r="G10" s="187"/>
      <c r="H10" s="187"/>
      <c r="I10" s="187"/>
      <c r="J10" s="187"/>
      <c r="K10" s="187"/>
      <c r="L10" s="187"/>
      <c r="M10" s="187"/>
      <c r="N10" s="187"/>
      <c r="O10" s="187"/>
      <c r="P10" s="187"/>
      <c r="Q10" s="955">
        <f t="shared" ref="Q10:Q54" si="0">SUM(D10:P10)</f>
        <v>0</v>
      </c>
      <c r="R10" s="954"/>
      <c r="S10" s="954"/>
      <c r="T10" s="954"/>
      <c r="U10" s="954"/>
      <c r="V10" s="954"/>
      <c r="W10" s="954"/>
      <c r="X10" s="954"/>
      <c r="Y10" s="954"/>
      <c r="Z10" s="954"/>
      <c r="AA10" s="954"/>
      <c r="AB10" s="954"/>
      <c r="AC10" s="954"/>
      <c r="AD10" s="954"/>
      <c r="AE10" s="954"/>
      <c r="AF10" s="954"/>
      <c r="AG10" s="954"/>
      <c r="AH10" s="954"/>
      <c r="AI10" s="954"/>
      <c r="AJ10" s="954"/>
      <c r="AK10" s="954"/>
      <c r="AL10" s="954"/>
      <c r="AM10" s="954"/>
      <c r="AN10" s="954"/>
      <c r="AO10" s="954"/>
      <c r="AP10" s="954"/>
      <c r="AQ10" s="954"/>
      <c r="AR10" s="954"/>
      <c r="AS10" s="954"/>
      <c r="AT10" s="954"/>
      <c r="AU10" s="954"/>
      <c r="AV10" s="954"/>
      <c r="AW10" s="954"/>
      <c r="AX10" s="954"/>
      <c r="AY10" s="954"/>
      <c r="AZ10" s="954"/>
      <c r="BA10" s="954"/>
      <c r="BB10" s="954"/>
      <c r="BC10" s="954"/>
      <c r="BD10" s="954"/>
      <c r="BE10" s="954"/>
      <c r="BF10" s="954"/>
      <c r="BG10" s="954"/>
      <c r="BH10" s="954"/>
      <c r="BI10" s="954"/>
      <c r="BJ10" s="954"/>
      <c r="BK10" s="954"/>
      <c r="BL10" s="954"/>
      <c r="BM10" s="954"/>
      <c r="BN10" s="954"/>
      <c r="BO10" s="954"/>
      <c r="BP10" s="954"/>
      <c r="BQ10" s="954"/>
      <c r="BR10" s="954"/>
      <c r="BS10" s="954"/>
      <c r="BT10" s="954"/>
      <c r="BU10" s="954"/>
      <c r="BV10" s="954"/>
      <c r="BW10" s="954"/>
      <c r="BX10" s="954"/>
      <c r="BY10" s="954"/>
      <c r="BZ10" s="954"/>
      <c r="CA10" s="954"/>
      <c r="CB10" s="954"/>
      <c r="CC10" s="954"/>
      <c r="CD10" s="954"/>
      <c r="CE10" s="954"/>
      <c r="CF10" s="954"/>
      <c r="CG10" s="954"/>
      <c r="CH10" s="954"/>
      <c r="CI10" s="954"/>
      <c r="CJ10" s="954"/>
      <c r="CK10" s="954"/>
      <c r="CL10" s="954"/>
      <c r="CM10" s="954"/>
      <c r="CN10" s="954"/>
      <c r="CO10" s="954"/>
      <c r="CP10" s="954"/>
      <c r="CQ10" s="954"/>
      <c r="CR10" s="954"/>
      <c r="CS10" s="954"/>
      <c r="CT10" s="954"/>
      <c r="CU10" s="954"/>
      <c r="CV10" s="954"/>
      <c r="CW10" s="954"/>
      <c r="CX10" s="954"/>
      <c r="CY10" s="954"/>
      <c r="CZ10" s="954"/>
      <c r="DA10" s="954"/>
      <c r="DB10" s="954"/>
      <c r="DC10" s="954"/>
      <c r="DD10" s="954"/>
      <c r="DE10" s="954"/>
      <c r="DF10" s="954"/>
      <c r="DG10" s="954"/>
      <c r="DH10" s="954"/>
      <c r="DI10" s="954"/>
      <c r="DJ10" s="954"/>
      <c r="DK10" s="954"/>
      <c r="DL10" s="954"/>
      <c r="DM10" s="954"/>
      <c r="DN10" s="954"/>
      <c r="DO10" s="954"/>
      <c r="DP10" s="954"/>
      <c r="DQ10" s="954"/>
      <c r="DR10" s="954"/>
      <c r="DS10" s="954"/>
      <c r="DT10" s="954"/>
      <c r="DU10" s="954"/>
      <c r="DV10" s="954"/>
      <c r="DW10" s="954"/>
      <c r="DX10" s="954"/>
      <c r="DY10" s="954"/>
      <c r="DZ10" s="954"/>
      <c r="EA10" s="954"/>
      <c r="EB10" s="954"/>
      <c r="EC10" s="954"/>
      <c r="ED10" s="954"/>
      <c r="EE10" s="954"/>
      <c r="EF10" s="954"/>
      <c r="EG10" s="954"/>
      <c r="EH10" s="954"/>
      <c r="EI10" s="954"/>
      <c r="EJ10" s="954"/>
      <c r="EK10" s="954"/>
      <c r="EL10" s="954"/>
      <c r="EM10" s="954"/>
      <c r="EN10" s="954"/>
      <c r="EO10" s="954"/>
      <c r="EP10" s="954"/>
      <c r="EQ10" s="954"/>
      <c r="ER10" s="954"/>
      <c r="ES10" s="954"/>
      <c r="ET10" s="954"/>
      <c r="EU10" s="954"/>
      <c r="EV10" s="954"/>
      <c r="EW10" s="954"/>
      <c r="EX10" s="954"/>
      <c r="EY10" s="954"/>
      <c r="EZ10" s="954"/>
      <c r="FA10" s="954"/>
      <c r="FB10" s="954"/>
      <c r="FC10" s="954"/>
      <c r="FD10" s="954"/>
      <c r="FE10" s="954"/>
      <c r="FF10" s="954"/>
      <c r="FG10" s="954"/>
      <c r="FH10" s="954"/>
      <c r="FI10" s="954"/>
      <c r="FJ10" s="954"/>
      <c r="FK10" s="954"/>
      <c r="FL10" s="954"/>
      <c r="FM10" s="954"/>
      <c r="FN10" s="954"/>
      <c r="FO10" s="954"/>
      <c r="FP10" s="954"/>
      <c r="FQ10" s="954"/>
      <c r="FR10" s="954"/>
      <c r="FS10" s="954"/>
      <c r="FT10" s="954"/>
      <c r="FU10" s="954"/>
      <c r="FV10" s="954"/>
      <c r="FW10" s="954"/>
      <c r="FX10" s="954"/>
      <c r="FY10" s="954"/>
      <c r="FZ10" s="954"/>
      <c r="GA10" s="954"/>
      <c r="GB10" s="954"/>
      <c r="GC10" s="954"/>
      <c r="GD10" s="954"/>
      <c r="GE10" s="954"/>
      <c r="GF10" s="954"/>
      <c r="GG10" s="954"/>
      <c r="GH10" s="954"/>
      <c r="GI10" s="954"/>
      <c r="GJ10" s="954"/>
      <c r="GK10" s="954"/>
      <c r="GL10" s="954"/>
      <c r="GM10" s="954"/>
      <c r="GN10" s="954"/>
      <c r="GO10" s="954"/>
      <c r="GP10" s="954"/>
      <c r="GQ10" s="954"/>
      <c r="GR10" s="954"/>
      <c r="GS10" s="954"/>
      <c r="GT10" s="954"/>
      <c r="GU10" s="954"/>
      <c r="GV10" s="954"/>
      <c r="GW10" s="954"/>
      <c r="GX10" s="954"/>
      <c r="GY10" s="954"/>
      <c r="GZ10" s="954"/>
      <c r="HA10" s="954"/>
      <c r="HB10" s="954"/>
      <c r="HC10" s="954"/>
      <c r="HD10" s="954"/>
      <c r="HE10" s="954"/>
      <c r="HF10" s="954"/>
      <c r="HG10" s="954"/>
      <c r="HH10" s="954"/>
      <c r="HI10" s="954"/>
      <c r="HJ10" s="954"/>
      <c r="HK10" s="954"/>
      <c r="HL10" s="954"/>
      <c r="HM10" s="954"/>
      <c r="HN10" s="954"/>
      <c r="HO10" s="954"/>
      <c r="HP10" s="954"/>
      <c r="HQ10" s="954"/>
      <c r="HR10" s="954"/>
      <c r="HS10" s="954"/>
      <c r="HT10" s="954"/>
      <c r="HU10" s="954"/>
      <c r="HV10" s="954"/>
      <c r="HW10" s="954"/>
      <c r="HX10" s="954"/>
      <c r="HY10" s="954"/>
      <c r="HZ10" s="954"/>
      <c r="IA10" s="954"/>
      <c r="IB10" s="954"/>
      <c r="IC10" s="954"/>
      <c r="ID10" s="954"/>
      <c r="IE10" s="954"/>
      <c r="IF10" s="954"/>
      <c r="IG10" s="954"/>
      <c r="IH10" s="954"/>
      <c r="II10" s="954"/>
      <c r="IJ10" s="954"/>
      <c r="IK10" s="954"/>
      <c r="IL10" s="954"/>
      <c r="IM10" s="954"/>
      <c r="IN10" s="954"/>
      <c r="IO10" s="954"/>
      <c r="IP10" s="954"/>
      <c r="IQ10" s="954"/>
      <c r="IR10" s="954"/>
      <c r="IS10" s="954"/>
      <c r="IT10" s="954"/>
      <c r="IU10" s="954"/>
      <c r="IV10" s="954"/>
    </row>
    <row r="11" spans="1:256" x14ac:dyDescent="0.35">
      <c r="A11" s="947">
        <v>3</v>
      </c>
      <c r="B11" s="956"/>
      <c r="C11" s="957" t="s">
        <v>1307</v>
      </c>
      <c r="D11" s="958">
        <f>SUM(D9:D10)</f>
        <v>0</v>
      </c>
      <c r="E11" s="958">
        <f t="shared" ref="E11:O11" si="1">SUM(E9:E10)</f>
        <v>0</v>
      </c>
      <c r="F11" s="958">
        <f t="shared" si="1"/>
        <v>0</v>
      </c>
      <c r="G11" s="958">
        <f t="shared" si="1"/>
        <v>0</v>
      </c>
      <c r="H11" s="958">
        <f t="shared" si="1"/>
        <v>0</v>
      </c>
      <c r="I11" s="958">
        <f t="shared" si="1"/>
        <v>340</v>
      </c>
      <c r="J11" s="958">
        <f t="shared" si="1"/>
        <v>0</v>
      </c>
      <c r="K11" s="958">
        <f t="shared" si="1"/>
        <v>310</v>
      </c>
      <c r="L11" s="958">
        <f t="shared" si="1"/>
        <v>0</v>
      </c>
      <c r="M11" s="958">
        <f t="shared" si="1"/>
        <v>987</v>
      </c>
      <c r="N11" s="958">
        <f t="shared" si="1"/>
        <v>780</v>
      </c>
      <c r="O11" s="958">
        <f t="shared" si="1"/>
        <v>51</v>
      </c>
      <c r="P11" s="958">
        <f t="shared" ref="P11" si="2">SUM(P9:P10)</f>
        <v>0</v>
      </c>
      <c r="Q11" s="1640">
        <f t="shared" ref="Q11" si="3">SUM(Q9:Q10)</f>
        <v>2468</v>
      </c>
      <c r="R11" s="940"/>
      <c r="S11" s="940"/>
      <c r="T11" s="940"/>
      <c r="U11" s="940"/>
      <c r="V11" s="940"/>
      <c r="W11" s="940"/>
      <c r="X11" s="940"/>
      <c r="Y11" s="940"/>
      <c r="Z11" s="940"/>
      <c r="AA11" s="940"/>
      <c r="AB11" s="940"/>
      <c r="AC11" s="940"/>
      <c r="AD11" s="940"/>
      <c r="AE11" s="940"/>
      <c r="AF11" s="940"/>
      <c r="AG11" s="940"/>
      <c r="AH11" s="940"/>
      <c r="AI11" s="940"/>
      <c r="AJ11" s="940"/>
      <c r="AK11" s="940"/>
      <c r="AL11" s="940"/>
      <c r="AM11" s="940"/>
      <c r="AN11" s="940"/>
      <c r="AO11" s="940"/>
      <c r="AP11" s="940"/>
      <c r="AQ11" s="940"/>
      <c r="AR11" s="940"/>
      <c r="AS11" s="940"/>
      <c r="AT11" s="940"/>
      <c r="AU11" s="940"/>
      <c r="AV11" s="940"/>
      <c r="AW11" s="940"/>
      <c r="AX11" s="940"/>
      <c r="AY11" s="940"/>
      <c r="AZ11" s="940"/>
      <c r="BA11" s="940"/>
      <c r="BB11" s="940"/>
      <c r="BC11" s="940"/>
      <c r="BD11" s="940"/>
      <c r="BE11" s="940"/>
      <c r="BF11" s="940"/>
      <c r="BG11" s="940"/>
      <c r="BH11" s="940"/>
      <c r="BI11" s="940"/>
      <c r="BJ11" s="940"/>
      <c r="BK11" s="940"/>
      <c r="BL11" s="940"/>
      <c r="BM11" s="940"/>
      <c r="BN11" s="940"/>
      <c r="BO11" s="940"/>
      <c r="BP11" s="940"/>
      <c r="BQ11" s="940"/>
      <c r="BR11" s="940"/>
      <c r="BS11" s="940"/>
      <c r="BT11" s="940"/>
      <c r="BU11" s="940"/>
      <c r="BV11" s="940"/>
      <c r="BW11" s="940"/>
      <c r="BX11" s="940"/>
      <c r="BY11" s="940"/>
      <c r="BZ11" s="940"/>
      <c r="CA11" s="940"/>
      <c r="CB11" s="940"/>
      <c r="CC11" s="940"/>
      <c r="CD11" s="940"/>
      <c r="CE11" s="940"/>
      <c r="CF11" s="940"/>
      <c r="CG11" s="940"/>
      <c r="CH11" s="940"/>
      <c r="CI11" s="940"/>
      <c r="CJ11" s="940"/>
      <c r="CK11" s="940"/>
      <c r="CL11" s="940"/>
      <c r="CM11" s="940"/>
      <c r="CN11" s="940"/>
      <c r="CO11" s="940"/>
      <c r="CP11" s="940"/>
      <c r="CQ11" s="940"/>
      <c r="CR11" s="940"/>
      <c r="CS11" s="940"/>
      <c r="CT11" s="940"/>
      <c r="CU11" s="940"/>
      <c r="CV11" s="940"/>
      <c r="CW11" s="940"/>
      <c r="CX11" s="940"/>
      <c r="CY11" s="940"/>
      <c r="CZ11" s="940"/>
      <c r="DA11" s="940"/>
      <c r="DB11" s="940"/>
      <c r="DC11" s="940"/>
      <c r="DD11" s="940"/>
      <c r="DE11" s="940"/>
      <c r="DF11" s="940"/>
      <c r="DG11" s="940"/>
      <c r="DH11" s="940"/>
      <c r="DI11" s="940"/>
      <c r="DJ11" s="940"/>
      <c r="DK11" s="940"/>
      <c r="DL11" s="940"/>
      <c r="DM11" s="940"/>
      <c r="DN11" s="940"/>
      <c r="DO11" s="940"/>
      <c r="DP11" s="940"/>
      <c r="DQ11" s="940"/>
      <c r="DR11" s="940"/>
      <c r="DS11" s="940"/>
      <c r="DT11" s="940"/>
      <c r="DU11" s="940"/>
      <c r="DV11" s="940"/>
      <c r="DW11" s="940"/>
      <c r="DX11" s="940"/>
      <c r="DY11" s="940"/>
      <c r="DZ11" s="940"/>
      <c r="EA11" s="940"/>
      <c r="EB11" s="940"/>
      <c r="EC11" s="940"/>
      <c r="ED11" s="940"/>
      <c r="EE11" s="940"/>
      <c r="EF11" s="940"/>
      <c r="EG11" s="940"/>
      <c r="EH11" s="940"/>
      <c r="EI11" s="940"/>
      <c r="EJ11" s="940"/>
      <c r="EK11" s="940"/>
      <c r="EL11" s="940"/>
      <c r="EM11" s="940"/>
      <c r="EN11" s="940"/>
      <c r="EO11" s="940"/>
      <c r="EP11" s="940"/>
      <c r="EQ11" s="940"/>
      <c r="ER11" s="940"/>
      <c r="ES11" s="940"/>
      <c r="ET11" s="940"/>
      <c r="EU11" s="940"/>
      <c r="EV11" s="940"/>
      <c r="EW11" s="940"/>
      <c r="EX11" s="940"/>
      <c r="EY11" s="940"/>
      <c r="EZ11" s="940"/>
      <c r="FA11" s="940"/>
      <c r="FB11" s="940"/>
      <c r="FC11" s="940"/>
      <c r="FD11" s="940"/>
      <c r="FE11" s="940"/>
      <c r="FF11" s="940"/>
      <c r="FG11" s="940"/>
      <c r="FH11" s="940"/>
      <c r="FI11" s="940"/>
      <c r="FJ11" s="940"/>
      <c r="FK11" s="940"/>
      <c r="FL11" s="940"/>
      <c r="FM11" s="940"/>
      <c r="FN11" s="940"/>
      <c r="FO11" s="940"/>
      <c r="FP11" s="940"/>
      <c r="FQ11" s="940"/>
      <c r="FR11" s="940"/>
      <c r="FS11" s="940"/>
      <c r="FT11" s="940"/>
      <c r="FU11" s="940"/>
      <c r="FV11" s="940"/>
      <c r="FW11" s="940"/>
      <c r="FX11" s="940"/>
      <c r="FY11" s="940"/>
      <c r="FZ11" s="940"/>
      <c r="GA11" s="940"/>
      <c r="GB11" s="940"/>
      <c r="GC11" s="940"/>
      <c r="GD11" s="940"/>
      <c r="GE11" s="940"/>
      <c r="GF11" s="940"/>
      <c r="GG11" s="940"/>
      <c r="GH11" s="940"/>
      <c r="GI11" s="940"/>
      <c r="GJ11" s="940"/>
      <c r="GK11" s="940"/>
      <c r="GL11" s="940"/>
      <c r="GM11" s="940"/>
      <c r="GN11" s="940"/>
      <c r="GO11" s="940"/>
      <c r="GP11" s="940"/>
      <c r="GQ11" s="940"/>
      <c r="GR11" s="940"/>
      <c r="GS11" s="940"/>
      <c r="GT11" s="940"/>
      <c r="GU11" s="940"/>
      <c r="GV11" s="940"/>
      <c r="GW11" s="940"/>
      <c r="GX11" s="940"/>
      <c r="GY11" s="940"/>
      <c r="GZ11" s="940"/>
      <c r="HA11" s="940"/>
      <c r="HB11" s="940"/>
      <c r="HC11" s="940"/>
      <c r="HD11" s="940"/>
      <c r="HE11" s="940"/>
      <c r="HF11" s="940"/>
      <c r="HG11" s="940"/>
      <c r="HH11" s="940"/>
      <c r="HI11" s="940"/>
      <c r="HJ11" s="940"/>
      <c r="HK11" s="940"/>
      <c r="HL11" s="940"/>
      <c r="HM11" s="940"/>
      <c r="HN11" s="940"/>
      <c r="HO11" s="940"/>
      <c r="HP11" s="940"/>
      <c r="HQ11" s="940"/>
      <c r="HR11" s="940"/>
      <c r="HS11" s="940"/>
      <c r="HT11" s="940"/>
      <c r="HU11" s="940"/>
      <c r="HV11" s="940"/>
      <c r="HW11" s="940"/>
      <c r="HX11" s="940"/>
      <c r="HY11" s="940"/>
      <c r="HZ11" s="940"/>
      <c r="IA11" s="940"/>
      <c r="IB11" s="940"/>
      <c r="IC11" s="940"/>
      <c r="ID11" s="940"/>
      <c r="IE11" s="940"/>
      <c r="IF11" s="940"/>
      <c r="IG11" s="940"/>
      <c r="IH11" s="940"/>
      <c r="II11" s="940"/>
      <c r="IJ11" s="940"/>
      <c r="IK11" s="940"/>
      <c r="IL11" s="940"/>
      <c r="IM11" s="940"/>
      <c r="IN11" s="940"/>
      <c r="IO11" s="940"/>
      <c r="IP11" s="940"/>
      <c r="IQ11" s="940"/>
      <c r="IR11" s="940"/>
      <c r="IS11" s="940"/>
      <c r="IT11" s="940"/>
      <c r="IU11" s="940"/>
      <c r="IV11" s="940"/>
    </row>
    <row r="12" spans="1:256" s="952" customFormat="1" ht="30" customHeight="1" x14ac:dyDescent="0.35">
      <c r="A12" s="947">
        <v>4</v>
      </c>
      <c r="B12" s="948" t="s">
        <v>142</v>
      </c>
      <c r="C12" s="949" t="s">
        <v>760</v>
      </c>
      <c r="D12" s="950"/>
      <c r="E12" s="950"/>
      <c r="F12" s="950"/>
      <c r="G12" s="950"/>
      <c r="H12" s="950"/>
      <c r="I12" s="950"/>
      <c r="J12" s="950"/>
      <c r="K12" s="950"/>
      <c r="L12" s="950"/>
      <c r="M12" s="950"/>
      <c r="N12" s="950"/>
      <c r="O12" s="950">
        <v>2000</v>
      </c>
      <c r="P12" s="950">
        <v>2054</v>
      </c>
      <c r="Q12" s="951">
        <f t="shared" si="0"/>
        <v>4054</v>
      </c>
      <c r="R12" s="949"/>
      <c r="S12" s="949"/>
      <c r="T12" s="949"/>
      <c r="U12" s="949"/>
      <c r="V12" s="949"/>
      <c r="W12" s="949"/>
      <c r="X12" s="949"/>
      <c r="Y12" s="949"/>
      <c r="Z12" s="949"/>
      <c r="AA12" s="949"/>
      <c r="AB12" s="949"/>
      <c r="AC12" s="949"/>
      <c r="AD12" s="949"/>
      <c r="AE12" s="949"/>
      <c r="AF12" s="949"/>
      <c r="AG12" s="949"/>
      <c r="AH12" s="949"/>
      <c r="AI12" s="949"/>
      <c r="AJ12" s="949"/>
      <c r="AK12" s="949"/>
      <c r="AL12" s="949"/>
      <c r="AM12" s="949"/>
      <c r="AN12" s="949"/>
      <c r="AO12" s="949"/>
      <c r="AP12" s="949"/>
      <c r="AQ12" s="949"/>
      <c r="AR12" s="949"/>
      <c r="AS12" s="949"/>
      <c r="AT12" s="949"/>
      <c r="AU12" s="949"/>
      <c r="AV12" s="949"/>
      <c r="AW12" s="949"/>
      <c r="AX12" s="949"/>
      <c r="AY12" s="949"/>
      <c r="AZ12" s="949"/>
      <c r="BA12" s="949"/>
      <c r="BB12" s="949"/>
      <c r="BC12" s="949"/>
      <c r="BD12" s="949"/>
      <c r="BE12" s="949"/>
      <c r="BF12" s="949"/>
      <c r="BG12" s="949"/>
      <c r="BH12" s="949"/>
      <c r="BI12" s="949"/>
      <c r="BJ12" s="949"/>
      <c r="BK12" s="949"/>
      <c r="BL12" s="949"/>
      <c r="BM12" s="949"/>
      <c r="BN12" s="949"/>
      <c r="BO12" s="949"/>
      <c r="BP12" s="949"/>
      <c r="BQ12" s="949"/>
      <c r="BR12" s="949"/>
      <c r="BS12" s="949"/>
      <c r="BT12" s="949"/>
      <c r="BU12" s="949"/>
      <c r="BV12" s="949"/>
      <c r="BW12" s="949"/>
      <c r="BX12" s="949"/>
      <c r="BY12" s="949"/>
      <c r="BZ12" s="949"/>
      <c r="CA12" s="949"/>
      <c r="CB12" s="949"/>
      <c r="CC12" s="949"/>
      <c r="CD12" s="949"/>
      <c r="CE12" s="949"/>
      <c r="CF12" s="949"/>
      <c r="CG12" s="949"/>
      <c r="CH12" s="949"/>
      <c r="CI12" s="949"/>
      <c r="CJ12" s="949"/>
      <c r="CK12" s="949"/>
      <c r="CL12" s="949"/>
      <c r="CM12" s="949"/>
      <c r="CN12" s="949"/>
      <c r="CO12" s="949"/>
      <c r="CP12" s="949"/>
      <c r="CQ12" s="949"/>
      <c r="CR12" s="949"/>
      <c r="CS12" s="949"/>
      <c r="CT12" s="949"/>
      <c r="CU12" s="949"/>
      <c r="CV12" s="949"/>
      <c r="CW12" s="949"/>
      <c r="CX12" s="949"/>
      <c r="CY12" s="949"/>
      <c r="CZ12" s="949"/>
      <c r="DA12" s="949"/>
      <c r="DB12" s="949"/>
      <c r="DC12" s="949"/>
      <c r="DD12" s="949"/>
      <c r="DE12" s="949"/>
      <c r="DF12" s="949"/>
      <c r="DG12" s="949"/>
      <c r="DH12" s="949"/>
      <c r="DI12" s="949"/>
      <c r="DJ12" s="949"/>
      <c r="DK12" s="949"/>
      <c r="DL12" s="949"/>
      <c r="DM12" s="949"/>
      <c r="DN12" s="949"/>
      <c r="DO12" s="949"/>
      <c r="DP12" s="949"/>
      <c r="DQ12" s="949"/>
      <c r="DR12" s="949"/>
      <c r="DS12" s="949"/>
      <c r="DT12" s="949"/>
      <c r="DU12" s="949"/>
      <c r="DV12" s="949"/>
      <c r="DW12" s="949"/>
      <c r="DX12" s="949"/>
      <c r="DY12" s="949"/>
      <c r="DZ12" s="949"/>
      <c r="EA12" s="949"/>
      <c r="EB12" s="949"/>
      <c r="EC12" s="949"/>
      <c r="ED12" s="949"/>
      <c r="EE12" s="949"/>
      <c r="EF12" s="949"/>
      <c r="EG12" s="949"/>
      <c r="EH12" s="949"/>
      <c r="EI12" s="949"/>
      <c r="EJ12" s="949"/>
      <c r="EK12" s="949"/>
      <c r="EL12" s="949"/>
      <c r="EM12" s="949"/>
      <c r="EN12" s="949"/>
      <c r="EO12" s="949"/>
      <c r="EP12" s="949"/>
      <c r="EQ12" s="949"/>
      <c r="ER12" s="949"/>
      <c r="ES12" s="949"/>
      <c r="ET12" s="949"/>
      <c r="EU12" s="949"/>
      <c r="EV12" s="949"/>
      <c r="EW12" s="949"/>
      <c r="EX12" s="949"/>
      <c r="EY12" s="949"/>
      <c r="EZ12" s="949"/>
      <c r="FA12" s="949"/>
      <c r="FB12" s="949"/>
      <c r="FC12" s="949"/>
      <c r="FD12" s="949"/>
      <c r="FE12" s="949"/>
      <c r="FF12" s="949"/>
      <c r="FG12" s="949"/>
      <c r="FH12" s="949"/>
      <c r="FI12" s="949"/>
      <c r="FJ12" s="949"/>
      <c r="FK12" s="949"/>
      <c r="FL12" s="949"/>
      <c r="FM12" s="949"/>
      <c r="FN12" s="949"/>
      <c r="FO12" s="949"/>
      <c r="FP12" s="949"/>
      <c r="FQ12" s="949"/>
      <c r="FR12" s="949"/>
      <c r="FS12" s="949"/>
      <c r="FT12" s="949"/>
      <c r="FU12" s="949"/>
      <c r="FV12" s="949"/>
      <c r="FW12" s="949"/>
      <c r="FX12" s="949"/>
      <c r="FY12" s="949"/>
      <c r="FZ12" s="949"/>
      <c r="GA12" s="949"/>
      <c r="GB12" s="949"/>
      <c r="GC12" s="949"/>
      <c r="GD12" s="949"/>
      <c r="GE12" s="949"/>
      <c r="GF12" s="949"/>
      <c r="GG12" s="949"/>
      <c r="GH12" s="949"/>
      <c r="GI12" s="949"/>
      <c r="GJ12" s="949"/>
      <c r="GK12" s="949"/>
      <c r="GL12" s="949"/>
      <c r="GM12" s="949"/>
      <c r="GN12" s="949"/>
      <c r="GO12" s="949"/>
      <c r="GP12" s="949"/>
      <c r="GQ12" s="949"/>
      <c r="GR12" s="949"/>
      <c r="GS12" s="949"/>
      <c r="GT12" s="949"/>
      <c r="GU12" s="949"/>
      <c r="GV12" s="949"/>
      <c r="GW12" s="949"/>
      <c r="GX12" s="949"/>
      <c r="GY12" s="949"/>
      <c r="GZ12" s="949"/>
      <c r="HA12" s="949"/>
      <c r="HB12" s="949"/>
      <c r="HC12" s="949"/>
      <c r="HD12" s="949"/>
      <c r="HE12" s="949"/>
      <c r="HF12" s="949"/>
      <c r="HG12" s="949"/>
      <c r="HH12" s="949"/>
      <c r="HI12" s="949"/>
      <c r="HJ12" s="949"/>
      <c r="HK12" s="949"/>
      <c r="HL12" s="949"/>
      <c r="HM12" s="949"/>
      <c r="HN12" s="949"/>
      <c r="HO12" s="949"/>
      <c r="HP12" s="949"/>
      <c r="HQ12" s="949"/>
      <c r="HR12" s="949"/>
      <c r="HS12" s="949"/>
      <c r="HT12" s="949"/>
      <c r="HU12" s="949"/>
      <c r="HV12" s="949"/>
      <c r="HW12" s="949"/>
      <c r="HX12" s="949"/>
      <c r="HY12" s="949"/>
      <c r="HZ12" s="949"/>
      <c r="IA12" s="949"/>
      <c r="IB12" s="949"/>
      <c r="IC12" s="949"/>
      <c r="ID12" s="949"/>
      <c r="IE12" s="949"/>
      <c r="IF12" s="949"/>
      <c r="IG12" s="949"/>
      <c r="IH12" s="949"/>
      <c r="II12" s="949"/>
      <c r="IJ12" s="949"/>
      <c r="IK12" s="949"/>
      <c r="IL12" s="949"/>
      <c r="IM12" s="949"/>
      <c r="IN12" s="949"/>
      <c r="IO12" s="949"/>
      <c r="IP12" s="949"/>
      <c r="IQ12" s="949"/>
      <c r="IR12" s="949"/>
      <c r="IS12" s="949"/>
      <c r="IT12" s="949"/>
      <c r="IU12" s="949"/>
      <c r="IV12" s="949"/>
    </row>
    <row r="13" spans="1:256" s="940" customFormat="1" ht="18" customHeight="1" x14ac:dyDescent="0.35">
      <c r="A13" s="1428"/>
      <c r="B13" s="956"/>
      <c r="C13" s="918" t="s">
        <v>1252</v>
      </c>
      <c r="D13" s="1453"/>
      <c r="E13" s="1453">
        <v>1534</v>
      </c>
      <c r="F13" s="1453"/>
      <c r="G13" s="1453">
        <v>400</v>
      </c>
      <c r="H13" s="1453"/>
      <c r="I13" s="1453"/>
      <c r="J13" s="1453"/>
      <c r="K13" s="1453"/>
      <c r="L13" s="1453"/>
      <c r="M13" s="1453">
        <v>1620</v>
      </c>
      <c r="N13" s="1453">
        <v>500</v>
      </c>
      <c r="O13" s="1453">
        <v>0</v>
      </c>
      <c r="P13" s="1453">
        <v>0</v>
      </c>
      <c r="Q13" s="827">
        <f t="shared" si="0"/>
        <v>4054</v>
      </c>
      <c r="R13" s="918"/>
      <c r="S13" s="918"/>
      <c r="T13" s="918"/>
      <c r="U13" s="918"/>
      <c r="V13" s="918"/>
      <c r="W13" s="918"/>
      <c r="X13" s="918"/>
      <c r="Y13" s="918"/>
      <c r="Z13" s="918"/>
      <c r="AA13" s="918"/>
      <c r="AB13" s="918"/>
      <c r="AC13" s="918"/>
      <c r="AD13" s="918"/>
      <c r="AE13" s="918"/>
      <c r="AF13" s="918"/>
      <c r="AG13" s="918"/>
      <c r="AH13" s="918"/>
      <c r="AI13" s="918"/>
      <c r="AJ13" s="918"/>
      <c r="AK13" s="918"/>
      <c r="AL13" s="918"/>
      <c r="AM13" s="918"/>
      <c r="AN13" s="918"/>
      <c r="AO13" s="918"/>
      <c r="AP13" s="918"/>
      <c r="AQ13" s="918"/>
      <c r="AR13" s="918"/>
      <c r="AS13" s="918"/>
      <c r="AT13" s="918"/>
      <c r="AU13" s="918"/>
      <c r="AV13" s="918"/>
      <c r="AW13" s="918"/>
      <c r="AX13" s="918"/>
      <c r="AY13" s="918"/>
      <c r="AZ13" s="918"/>
      <c r="BA13" s="918"/>
      <c r="BB13" s="918"/>
      <c r="BC13" s="918"/>
      <c r="BD13" s="918"/>
      <c r="BE13" s="918"/>
      <c r="BF13" s="918"/>
      <c r="BG13" s="918"/>
      <c r="BH13" s="918"/>
      <c r="BI13" s="918"/>
      <c r="BJ13" s="918"/>
      <c r="BK13" s="918"/>
      <c r="BL13" s="918"/>
      <c r="BM13" s="918"/>
      <c r="BN13" s="918"/>
      <c r="BO13" s="918"/>
      <c r="BP13" s="918"/>
      <c r="BQ13" s="918"/>
      <c r="BR13" s="918"/>
      <c r="BS13" s="918"/>
      <c r="BT13" s="918"/>
      <c r="BU13" s="918"/>
      <c r="BV13" s="918"/>
      <c r="BW13" s="918"/>
      <c r="BX13" s="918"/>
      <c r="BY13" s="918"/>
      <c r="BZ13" s="918"/>
      <c r="CA13" s="918"/>
      <c r="CB13" s="918"/>
      <c r="CC13" s="918"/>
      <c r="CD13" s="918"/>
      <c r="CE13" s="918"/>
      <c r="CF13" s="918"/>
      <c r="CG13" s="918"/>
      <c r="CH13" s="918"/>
      <c r="CI13" s="918"/>
      <c r="CJ13" s="918"/>
      <c r="CK13" s="918"/>
      <c r="CL13" s="918"/>
      <c r="CM13" s="918"/>
      <c r="CN13" s="918"/>
      <c r="CO13" s="918"/>
      <c r="CP13" s="918"/>
      <c r="CQ13" s="918"/>
      <c r="CR13" s="918"/>
      <c r="CS13" s="918"/>
      <c r="CT13" s="918"/>
      <c r="CU13" s="918"/>
      <c r="CV13" s="918"/>
      <c r="CW13" s="918"/>
      <c r="CX13" s="918"/>
      <c r="CY13" s="918"/>
      <c r="CZ13" s="918"/>
      <c r="DA13" s="918"/>
      <c r="DB13" s="918"/>
      <c r="DC13" s="918"/>
      <c r="DD13" s="918"/>
      <c r="DE13" s="918"/>
      <c r="DF13" s="918"/>
      <c r="DG13" s="918"/>
      <c r="DH13" s="918"/>
      <c r="DI13" s="918"/>
      <c r="DJ13" s="918"/>
      <c r="DK13" s="918"/>
      <c r="DL13" s="918"/>
      <c r="DM13" s="918"/>
      <c r="DN13" s="918"/>
      <c r="DO13" s="918"/>
      <c r="DP13" s="918"/>
      <c r="DQ13" s="918"/>
      <c r="DR13" s="918"/>
      <c r="DS13" s="918"/>
      <c r="DT13" s="918"/>
      <c r="DU13" s="918"/>
      <c r="DV13" s="918"/>
      <c r="DW13" s="918"/>
      <c r="DX13" s="918"/>
      <c r="DY13" s="918"/>
      <c r="DZ13" s="918"/>
      <c r="EA13" s="918"/>
      <c r="EB13" s="918"/>
      <c r="EC13" s="918"/>
      <c r="ED13" s="918"/>
      <c r="EE13" s="918"/>
      <c r="EF13" s="918"/>
      <c r="EG13" s="918"/>
      <c r="EH13" s="918"/>
      <c r="EI13" s="918"/>
      <c r="EJ13" s="918"/>
      <c r="EK13" s="918"/>
      <c r="EL13" s="918"/>
      <c r="EM13" s="918"/>
      <c r="EN13" s="918"/>
      <c r="EO13" s="918"/>
      <c r="EP13" s="918"/>
      <c r="EQ13" s="918"/>
      <c r="ER13" s="918"/>
      <c r="ES13" s="918"/>
      <c r="ET13" s="918"/>
      <c r="EU13" s="918"/>
      <c r="EV13" s="918"/>
      <c r="EW13" s="918"/>
      <c r="EX13" s="918"/>
      <c r="EY13" s="918"/>
      <c r="EZ13" s="918"/>
      <c r="FA13" s="918"/>
      <c r="FB13" s="918"/>
      <c r="FC13" s="918"/>
      <c r="FD13" s="918"/>
      <c r="FE13" s="918"/>
      <c r="FF13" s="918"/>
      <c r="FG13" s="918"/>
      <c r="FH13" s="918"/>
      <c r="FI13" s="918"/>
      <c r="FJ13" s="918"/>
      <c r="FK13" s="918"/>
      <c r="FL13" s="918"/>
      <c r="FM13" s="918"/>
      <c r="FN13" s="918"/>
      <c r="FO13" s="918"/>
      <c r="FP13" s="918"/>
      <c r="FQ13" s="918"/>
      <c r="FR13" s="918"/>
      <c r="FS13" s="918"/>
      <c r="FT13" s="918"/>
      <c r="FU13" s="918"/>
      <c r="FV13" s="918"/>
      <c r="FW13" s="918"/>
      <c r="FX13" s="918"/>
      <c r="FY13" s="918"/>
      <c r="FZ13" s="918"/>
      <c r="GA13" s="918"/>
      <c r="GB13" s="918"/>
      <c r="GC13" s="918"/>
      <c r="GD13" s="918"/>
      <c r="GE13" s="918"/>
      <c r="GF13" s="918"/>
      <c r="GG13" s="918"/>
      <c r="GH13" s="918"/>
      <c r="GI13" s="918"/>
      <c r="GJ13" s="918"/>
      <c r="GK13" s="918"/>
      <c r="GL13" s="918"/>
      <c r="GM13" s="918"/>
      <c r="GN13" s="918"/>
      <c r="GO13" s="918"/>
      <c r="GP13" s="918"/>
      <c r="GQ13" s="918"/>
      <c r="GR13" s="918"/>
      <c r="GS13" s="918"/>
      <c r="GT13" s="918"/>
      <c r="GU13" s="918"/>
      <c r="GV13" s="918"/>
      <c r="GW13" s="918"/>
      <c r="GX13" s="918"/>
      <c r="GY13" s="918"/>
      <c r="GZ13" s="918"/>
      <c r="HA13" s="918"/>
      <c r="HB13" s="918"/>
      <c r="HC13" s="918"/>
      <c r="HD13" s="918"/>
      <c r="HE13" s="918"/>
      <c r="HF13" s="918"/>
      <c r="HG13" s="918"/>
      <c r="HH13" s="918"/>
      <c r="HI13" s="918"/>
      <c r="HJ13" s="918"/>
      <c r="HK13" s="918"/>
      <c r="HL13" s="918"/>
      <c r="HM13" s="918"/>
      <c r="HN13" s="918"/>
      <c r="HO13" s="918"/>
      <c r="HP13" s="918"/>
      <c r="HQ13" s="918"/>
      <c r="HR13" s="918"/>
      <c r="HS13" s="918"/>
      <c r="HT13" s="918"/>
      <c r="HU13" s="918"/>
      <c r="HV13" s="918"/>
      <c r="HW13" s="918"/>
      <c r="HX13" s="918"/>
      <c r="HY13" s="918"/>
      <c r="HZ13" s="918"/>
      <c r="IA13" s="918"/>
      <c r="IB13" s="918"/>
      <c r="IC13" s="918"/>
      <c r="ID13" s="918"/>
      <c r="IE13" s="918"/>
      <c r="IF13" s="918"/>
      <c r="IG13" s="918"/>
      <c r="IH13" s="918"/>
      <c r="II13" s="918"/>
      <c r="IJ13" s="918"/>
      <c r="IK13" s="918"/>
      <c r="IL13" s="918"/>
      <c r="IM13" s="918"/>
      <c r="IN13" s="918"/>
      <c r="IO13" s="918"/>
      <c r="IP13" s="918"/>
      <c r="IQ13" s="918"/>
      <c r="IR13" s="918"/>
      <c r="IS13" s="918"/>
      <c r="IT13" s="918"/>
      <c r="IU13" s="918"/>
      <c r="IV13" s="918"/>
    </row>
    <row r="14" spans="1:256" x14ac:dyDescent="0.35">
      <c r="A14" s="947">
        <v>5</v>
      </c>
      <c r="B14" s="953"/>
      <c r="C14" s="954" t="s">
        <v>733</v>
      </c>
      <c r="D14" s="959"/>
      <c r="E14" s="187"/>
      <c r="F14" s="187"/>
      <c r="G14" s="187"/>
      <c r="H14" s="187"/>
      <c r="I14" s="187"/>
      <c r="J14" s="187"/>
      <c r="K14" s="187"/>
      <c r="L14" s="187"/>
      <c r="M14" s="187"/>
      <c r="N14" s="187"/>
      <c r="O14" s="187"/>
      <c r="P14" s="960"/>
      <c r="Q14" s="955">
        <f t="shared" si="0"/>
        <v>0</v>
      </c>
      <c r="R14" s="954"/>
      <c r="S14" s="954"/>
      <c r="T14" s="954"/>
      <c r="U14" s="954"/>
      <c r="V14" s="954"/>
      <c r="W14" s="954"/>
      <c r="X14" s="954"/>
      <c r="Y14" s="954"/>
      <c r="Z14" s="954"/>
      <c r="AA14" s="954"/>
      <c r="AB14" s="954"/>
      <c r="AC14" s="954"/>
      <c r="AD14" s="954"/>
      <c r="AE14" s="954"/>
      <c r="AF14" s="954"/>
      <c r="AG14" s="954"/>
      <c r="AH14" s="954"/>
      <c r="AI14" s="954"/>
      <c r="AJ14" s="954"/>
      <c r="AK14" s="954"/>
      <c r="AL14" s="954"/>
      <c r="AM14" s="954"/>
      <c r="AN14" s="954"/>
      <c r="AO14" s="954"/>
      <c r="AP14" s="954"/>
      <c r="AQ14" s="954"/>
      <c r="AR14" s="954"/>
      <c r="AS14" s="954"/>
      <c r="AT14" s="954"/>
      <c r="AU14" s="954"/>
      <c r="AV14" s="954"/>
      <c r="AW14" s="954"/>
      <c r="AX14" s="954"/>
      <c r="AY14" s="954"/>
      <c r="AZ14" s="954"/>
      <c r="BA14" s="954"/>
      <c r="BB14" s="954"/>
      <c r="BC14" s="954"/>
      <c r="BD14" s="954"/>
      <c r="BE14" s="954"/>
      <c r="BF14" s="954"/>
      <c r="BG14" s="954"/>
      <c r="BH14" s="954"/>
      <c r="BI14" s="954"/>
      <c r="BJ14" s="954"/>
      <c r="BK14" s="954"/>
      <c r="BL14" s="954"/>
      <c r="BM14" s="954"/>
      <c r="BN14" s="954"/>
      <c r="BO14" s="954"/>
      <c r="BP14" s="954"/>
      <c r="BQ14" s="954"/>
      <c r="BR14" s="954"/>
      <c r="BS14" s="954"/>
      <c r="BT14" s="954"/>
      <c r="BU14" s="954"/>
      <c r="BV14" s="954"/>
      <c r="BW14" s="954"/>
      <c r="BX14" s="954"/>
      <c r="BY14" s="954"/>
      <c r="BZ14" s="954"/>
      <c r="CA14" s="954"/>
      <c r="CB14" s="954"/>
      <c r="CC14" s="954"/>
      <c r="CD14" s="954"/>
      <c r="CE14" s="954"/>
      <c r="CF14" s="954"/>
      <c r="CG14" s="954"/>
      <c r="CH14" s="954"/>
      <c r="CI14" s="954"/>
      <c r="CJ14" s="954"/>
      <c r="CK14" s="954"/>
      <c r="CL14" s="954"/>
      <c r="CM14" s="954"/>
      <c r="CN14" s="954"/>
      <c r="CO14" s="954"/>
      <c r="CP14" s="954"/>
      <c r="CQ14" s="954"/>
      <c r="CR14" s="954"/>
      <c r="CS14" s="954"/>
      <c r="CT14" s="954"/>
      <c r="CU14" s="954"/>
      <c r="CV14" s="954"/>
      <c r="CW14" s="954"/>
      <c r="CX14" s="954"/>
      <c r="CY14" s="954"/>
      <c r="CZ14" s="954"/>
      <c r="DA14" s="954"/>
      <c r="DB14" s="954"/>
      <c r="DC14" s="954"/>
      <c r="DD14" s="954"/>
      <c r="DE14" s="954"/>
      <c r="DF14" s="954"/>
      <c r="DG14" s="954"/>
      <c r="DH14" s="954"/>
      <c r="DI14" s="954"/>
      <c r="DJ14" s="954"/>
      <c r="DK14" s="954"/>
      <c r="DL14" s="954"/>
      <c r="DM14" s="954"/>
      <c r="DN14" s="954"/>
      <c r="DO14" s="954"/>
      <c r="DP14" s="954"/>
      <c r="DQ14" s="954"/>
      <c r="DR14" s="954"/>
      <c r="DS14" s="954"/>
      <c r="DT14" s="954"/>
      <c r="DU14" s="954"/>
      <c r="DV14" s="954"/>
      <c r="DW14" s="954"/>
      <c r="DX14" s="954"/>
      <c r="DY14" s="954"/>
      <c r="DZ14" s="954"/>
      <c r="EA14" s="954"/>
      <c r="EB14" s="954"/>
      <c r="EC14" s="954"/>
      <c r="ED14" s="954"/>
      <c r="EE14" s="954"/>
      <c r="EF14" s="954"/>
      <c r="EG14" s="954"/>
      <c r="EH14" s="954"/>
      <c r="EI14" s="954"/>
      <c r="EJ14" s="954"/>
      <c r="EK14" s="954"/>
      <c r="EL14" s="954"/>
      <c r="EM14" s="954"/>
      <c r="EN14" s="954"/>
      <c r="EO14" s="954"/>
      <c r="EP14" s="954"/>
      <c r="EQ14" s="954"/>
      <c r="ER14" s="954"/>
      <c r="ES14" s="954"/>
      <c r="ET14" s="954"/>
      <c r="EU14" s="954"/>
      <c r="EV14" s="954"/>
      <c r="EW14" s="954"/>
      <c r="EX14" s="954"/>
      <c r="EY14" s="954"/>
      <c r="EZ14" s="954"/>
      <c r="FA14" s="954"/>
      <c r="FB14" s="954"/>
      <c r="FC14" s="954"/>
      <c r="FD14" s="954"/>
      <c r="FE14" s="954"/>
      <c r="FF14" s="954"/>
      <c r="FG14" s="954"/>
      <c r="FH14" s="954"/>
      <c r="FI14" s="954"/>
      <c r="FJ14" s="954"/>
      <c r="FK14" s="954"/>
      <c r="FL14" s="954"/>
      <c r="FM14" s="954"/>
      <c r="FN14" s="954"/>
      <c r="FO14" s="954"/>
      <c r="FP14" s="954"/>
      <c r="FQ14" s="954"/>
      <c r="FR14" s="954"/>
      <c r="FS14" s="954"/>
      <c r="FT14" s="954"/>
      <c r="FU14" s="954"/>
      <c r="FV14" s="954"/>
      <c r="FW14" s="954"/>
      <c r="FX14" s="954"/>
      <c r="FY14" s="954"/>
      <c r="FZ14" s="954"/>
      <c r="GA14" s="954"/>
      <c r="GB14" s="954"/>
      <c r="GC14" s="954"/>
      <c r="GD14" s="954"/>
      <c r="GE14" s="954"/>
      <c r="GF14" s="954"/>
      <c r="GG14" s="954"/>
      <c r="GH14" s="954"/>
      <c r="GI14" s="954"/>
      <c r="GJ14" s="954"/>
      <c r="GK14" s="954"/>
      <c r="GL14" s="954"/>
      <c r="GM14" s="954"/>
      <c r="GN14" s="954"/>
      <c r="GO14" s="954"/>
      <c r="GP14" s="954"/>
      <c r="GQ14" s="954"/>
      <c r="GR14" s="954"/>
      <c r="GS14" s="954"/>
      <c r="GT14" s="954"/>
      <c r="GU14" s="954"/>
      <c r="GV14" s="954"/>
      <c r="GW14" s="954"/>
      <c r="GX14" s="954"/>
      <c r="GY14" s="954"/>
      <c r="GZ14" s="954"/>
      <c r="HA14" s="954"/>
      <c r="HB14" s="954"/>
      <c r="HC14" s="954"/>
      <c r="HD14" s="954"/>
      <c r="HE14" s="954"/>
      <c r="HF14" s="954"/>
      <c r="HG14" s="954"/>
      <c r="HH14" s="954"/>
      <c r="HI14" s="954"/>
      <c r="HJ14" s="954"/>
      <c r="HK14" s="954"/>
      <c r="HL14" s="954"/>
      <c r="HM14" s="954"/>
      <c r="HN14" s="954"/>
      <c r="HO14" s="954"/>
      <c r="HP14" s="954"/>
      <c r="HQ14" s="954"/>
      <c r="HR14" s="954"/>
      <c r="HS14" s="954"/>
      <c r="HT14" s="954"/>
      <c r="HU14" s="954"/>
      <c r="HV14" s="954"/>
      <c r="HW14" s="954"/>
      <c r="HX14" s="954"/>
      <c r="HY14" s="954"/>
      <c r="HZ14" s="954"/>
      <c r="IA14" s="954"/>
      <c r="IB14" s="954"/>
      <c r="IC14" s="954"/>
      <c r="ID14" s="954"/>
      <c r="IE14" s="954"/>
      <c r="IF14" s="954"/>
      <c r="IG14" s="954"/>
      <c r="IH14" s="954"/>
      <c r="II14" s="954"/>
      <c r="IJ14" s="954"/>
      <c r="IK14" s="954"/>
      <c r="IL14" s="954"/>
      <c r="IM14" s="954"/>
      <c r="IN14" s="954"/>
      <c r="IO14" s="954"/>
      <c r="IP14" s="954"/>
      <c r="IQ14" s="954"/>
      <c r="IR14" s="954"/>
      <c r="IS14" s="954"/>
      <c r="IT14" s="954"/>
      <c r="IU14" s="954"/>
      <c r="IV14" s="954"/>
    </row>
    <row r="15" spans="1:256" x14ac:dyDescent="0.35">
      <c r="A15" s="947">
        <v>6</v>
      </c>
      <c r="B15" s="956"/>
      <c r="C15" s="957" t="s">
        <v>1307</v>
      </c>
      <c r="D15" s="958">
        <f>SUM(D13:D14)</f>
        <v>0</v>
      </c>
      <c r="E15" s="958">
        <f t="shared" ref="E15:Q15" si="4">SUM(E13:E14)</f>
        <v>1534</v>
      </c>
      <c r="F15" s="958">
        <f t="shared" si="4"/>
        <v>0</v>
      </c>
      <c r="G15" s="958">
        <f t="shared" si="4"/>
        <v>400</v>
      </c>
      <c r="H15" s="958">
        <f t="shared" si="4"/>
        <v>0</v>
      </c>
      <c r="I15" s="958">
        <f t="shared" si="4"/>
        <v>0</v>
      </c>
      <c r="J15" s="958">
        <f t="shared" si="4"/>
        <v>0</v>
      </c>
      <c r="K15" s="958">
        <f t="shared" si="4"/>
        <v>0</v>
      </c>
      <c r="L15" s="958">
        <f t="shared" si="4"/>
        <v>0</v>
      </c>
      <c r="M15" s="958">
        <f t="shared" si="4"/>
        <v>1620</v>
      </c>
      <c r="N15" s="958">
        <f t="shared" si="4"/>
        <v>500</v>
      </c>
      <c r="O15" s="958">
        <f t="shared" si="4"/>
        <v>0</v>
      </c>
      <c r="P15" s="958">
        <f t="shared" si="4"/>
        <v>0</v>
      </c>
      <c r="Q15" s="1640">
        <f t="shared" si="4"/>
        <v>4054</v>
      </c>
      <c r="R15" s="940"/>
      <c r="S15" s="940"/>
      <c r="T15" s="940"/>
      <c r="U15" s="940"/>
      <c r="V15" s="940"/>
      <c r="W15" s="940"/>
      <c r="X15" s="940"/>
      <c r="Y15" s="940"/>
      <c r="Z15" s="940"/>
      <c r="AA15" s="940"/>
      <c r="AB15" s="940"/>
      <c r="AC15" s="940"/>
      <c r="AD15" s="940"/>
      <c r="AE15" s="940"/>
      <c r="AF15" s="940"/>
      <c r="AG15" s="940"/>
      <c r="AH15" s="940"/>
      <c r="AI15" s="940"/>
      <c r="AJ15" s="940"/>
      <c r="AK15" s="940"/>
      <c r="AL15" s="940"/>
      <c r="AM15" s="940"/>
      <c r="AN15" s="940"/>
      <c r="AO15" s="940"/>
      <c r="AP15" s="940"/>
      <c r="AQ15" s="940"/>
      <c r="AR15" s="940"/>
      <c r="AS15" s="940"/>
      <c r="AT15" s="940"/>
      <c r="AU15" s="940"/>
      <c r="AV15" s="940"/>
      <c r="AW15" s="940"/>
      <c r="AX15" s="940"/>
      <c r="AY15" s="940"/>
      <c r="AZ15" s="940"/>
      <c r="BA15" s="940"/>
      <c r="BB15" s="940"/>
      <c r="BC15" s="940"/>
      <c r="BD15" s="940"/>
      <c r="BE15" s="940"/>
      <c r="BF15" s="940"/>
      <c r="BG15" s="940"/>
      <c r="BH15" s="940"/>
      <c r="BI15" s="940"/>
      <c r="BJ15" s="940"/>
      <c r="BK15" s="940"/>
      <c r="BL15" s="940"/>
      <c r="BM15" s="940"/>
      <c r="BN15" s="940"/>
      <c r="BO15" s="940"/>
      <c r="BP15" s="940"/>
      <c r="BQ15" s="940"/>
      <c r="BR15" s="940"/>
      <c r="BS15" s="940"/>
      <c r="BT15" s="940"/>
      <c r="BU15" s="940"/>
      <c r="BV15" s="940"/>
      <c r="BW15" s="940"/>
      <c r="BX15" s="940"/>
      <c r="BY15" s="940"/>
      <c r="BZ15" s="940"/>
      <c r="CA15" s="940"/>
      <c r="CB15" s="940"/>
      <c r="CC15" s="940"/>
      <c r="CD15" s="940"/>
      <c r="CE15" s="940"/>
      <c r="CF15" s="940"/>
      <c r="CG15" s="940"/>
      <c r="CH15" s="940"/>
      <c r="CI15" s="940"/>
      <c r="CJ15" s="940"/>
      <c r="CK15" s="940"/>
      <c r="CL15" s="940"/>
      <c r="CM15" s="940"/>
      <c r="CN15" s="940"/>
      <c r="CO15" s="940"/>
      <c r="CP15" s="940"/>
      <c r="CQ15" s="940"/>
      <c r="CR15" s="940"/>
      <c r="CS15" s="940"/>
      <c r="CT15" s="940"/>
      <c r="CU15" s="940"/>
      <c r="CV15" s="940"/>
      <c r="CW15" s="940"/>
      <c r="CX15" s="940"/>
      <c r="CY15" s="940"/>
      <c r="CZ15" s="940"/>
      <c r="DA15" s="940"/>
      <c r="DB15" s="940"/>
      <c r="DC15" s="940"/>
      <c r="DD15" s="940"/>
      <c r="DE15" s="940"/>
      <c r="DF15" s="940"/>
      <c r="DG15" s="940"/>
      <c r="DH15" s="940"/>
      <c r="DI15" s="940"/>
      <c r="DJ15" s="940"/>
      <c r="DK15" s="940"/>
      <c r="DL15" s="940"/>
      <c r="DM15" s="940"/>
      <c r="DN15" s="940"/>
      <c r="DO15" s="940"/>
      <c r="DP15" s="940"/>
      <c r="DQ15" s="940"/>
      <c r="DR15" s="940"/>
      <c r="DS15" s="940"/>
      <c r="DT15" s="940"/>
      <c r="DU15" s="940"/>
      <c r="DV15" s="940"/>
      <c r="DW15" s="940"/>
      <c r="DX15" s="940"/>
      <c r="DY15" s="940"/>
      <c r="DZ15" s="940"/>
      <c r="EA15" s="940"/>
      <c r="EB15" s="940"/>
      <c r="EC15" s="940"/>
      <c r="ED15" s="940"/>
      <c r="EE15" s="940"/>
      <c r="EF15" s="940"/>
      <c r="EG15" s="940"/>
      <c r="EH15" s="940"/>
      <c r="EI15" s="940"/>
      <c r="EJ15" s="940"/>
      <c r="EK15" s="940"/>
      <c r="EL15" s="940"/>
      <c r="EM15" s="940"/>
      <c r="EN15" s="940"/>
      <c r="EO15" s="940"/>
      <c r="EP15" s="940"/>
      <c r="EQ15" s="940"/>
      <c r="ER15" s="940"/>
      <c r="ES15" s="940"/>
      <c r="ET15" s="940"/>
      <c r="EU15" s="940"/>
      <c r="EV15" s="940"/>
      <c r="EW15" s="940"/>
      <c r="EX15" s="940"/>
      <c r="EY15" s="940"/>
      <c r="EZ15" s="940"/>
      <c r="FA15" s="940"/>
      <c r="FB15" s="940"/>
      <c r="FC15" s="940"/>
      <c r="FD15" s="940"/>
      <c r="FE15" s="940"/>
      <c r="FF15" s="940"/>
      <c r="FG15" s="940"/>
      <c r="FH15" s="940"/>
      <c r="FI15" s="940"/>
      <c r="FJ15" s="940"/>
      <c r="FK15" s="940"/>
      <c r="FL15" s="940"/>
      <c r="FM15" s="940"/>
      <c r="FN15" s="940"/>
      <c r="FO15" s="940"/>
      <c r="FP15" s="940"/>
      <c r="FQ15" s="940"/>
      <c r="FR15" s="940"/>
      <c r="FS15" s="940"/>
      <c r="FT15" s="940"/>
      <c r="FU15" s="940"/>
      <c r="FV15" s="940"/>
      <c r="FW15" s="940"/>
      <c r="FX15" s="940"/>
      <c r="FY15" s="940"/>
      <c r="FZ15" s="940"/>
      <c r="GA15" s="940"/>
      <c r="GB15" s="940"/>
      <c r="GC15" s="940"/>
      <c r="GD15" s="940"/>
      <c r="GE15" s="940"/>
      <c r="GF15" s="940"/>
      <c r="GG15" s="940"/>
      <c r="GH15" s="940"/>
      <c r="GI15" s="940"/>
      <c r="GJ15" s="940"/>
      <c r="GK15" s="940"/>
      <c r="GL15" s="940"/>
      <c r="GM15" s="940"/>
      <c r="GN15" s="940"/>
      <c r="GO15" s="940"/>
      <c r="GP15" s="940"/>
      <c r="GQ15" s="940"/>
      <c r="GR15" s="940"/>
      <c r="GS15" s="940"/>
      <c r="GT15" s="940"/>
      <c r="GU15" s="940"/>
      <c r="GV15" s="940"/>
      <c r="GW15" s="940"/>
      <c r="GX15" s="940"/>
      <c r="GY15" s="940"/>
      <c r="GZ15" s="940"/>
      <c r="HA15" s="940"/>
      <c r="HB15" s="940"/>
      <c r="HC15" s="940"/>
      <c r="HD15" s="940"/>
      <c r="HE15" s="940"/>
      <c r="HF15" s="940"/>
      <c r="HG15" s="940"/>
      <c r="HH15" s="940"/>
      <c r="HI15" s="940"/>
      <c r="HJ15" s="940"/>
      <c r="HK15" s="940"/>
      <c r="HL15" s="940"/>
      <c r="HM15" s="940"/>
      <c r="HN15" s="940"/>
      <c r="HO15" s="940"/>
      <c r="HP15" s="940"/>
      <c r="HQ15" s="940"/>
      <c r="HR15" s="940"/>
      <c r="HS15" s="940"/>
      <c r="HT15" s="940"/>
      <c r="HU15" s="940"/>
      <c r="HV15" s="940"/>
      <c r="HW15" s="940"/>
      <c r="HX15" s="940"/>
      <c r="HY15" s="940"/>
      <c r="HZ15" s="940"/>
      <c r="IA15" s="940"/>
      <c r="IB15" s="940"/>
      <c r="IC15" s="940"/>
      <c r="ID15" s="940"/>
      <c r="IE15" s="940"/>
      <c r="IF15" s="940"/>
      <c r="IG15" s="940"/>
      <c r="IH15" s="940"/>
      <c r="II15" s="940"/>
      <c r="IJ15" s="940"/>
      <c r="IK15" s="940"/>
      <c r="IL15" s="940"/>
      <c r="IM15" s="940"/>
      <c r="IN15" s="940"/>
      <c r="IO15" s="940"/>
      <c r="IP15" s="940"/>
      <c r="IQ15" s="940"/>
      <c r="IR15" s="940"/>
      <c r="IS15" s="940"/>
      <c r="IT15" s="940"/>
      <c r="IU15" s="940"/>
      <c r="IV15" s="940"/>
    </row>
    <row r="16" spans="1:256" s="952" customFormat="1" ht="30" customHeight="1" x14ac:dyDescent="0.35">
      <c r="A16" s="947">
        <v>7</v>
      </c>
      <c r="B16" s="948" t="s">
        <v>761</v>
      </c>
      <c r="C16" s="949" t="s">
        <v>760</v>
      </c>
      <c r="D16" s="950"/>
      <c r="E16" s="950"/>
      <c r="F16" s="950"/>
      <c r="G16" s="950"/>
      <c r="H16" s="950"/>
      <c r="I16" s="950"/>
      <c r="J16" s="950"/>
      <c r="K16" s="950"/>
      <c r="L16" s="950"/>
      <c r="M16" s="950"/>
      <c r="N16" s="950"/>
      <c r="O16" s="950">
        <v>2000</v>
      </c>
      <c r="P16" s="950">
        <v>651</v>
      </c>
      <c r="Q16" s="951">
        <f t="shared" si="0"/>
        <v>2651</v>
      </c>
      <c r="R16" s="949"/>
      <c r="S16" s="949"/>
      <c r="T16" s="949"/>
      <c r="U16" s="949"/>
      <c r="V16" s="949"/>
      <c r="W16" s="949"/>
      <c r="X16" s="949"/>
      <c r="Y16" s="949"/>
      <c r="Z16" s="949"/>
      <c r="AA16" s="949"/>
      <c r="AB16" s="949"/>
      <c r="AC16" s="949"/>
      <c r="AD16" s="949"/>
      <c r="AE16" s="949"/>
      <c r="AF16" s="949"/>
      <c r="AG16" s="949"/>
      <c r="AH16" s="949"/>
      <c r="AI16" s="949"/>
      <c r="AJ16" s="949"/>
      <c r="AK16" s="949"/>
      <c r="AL16" s="949"/>
      <c r="AM16" s="949"/>
      <c r="AN16" s="949"/>
      <c r="AO16" s="949"/>
      <c r="AP16" s="949"/>
      <c r="AQ16" s="949"/>
      <c r="AR16" s="949"/>
      <c r="AS16" s="949"/>
      <c r="AT16" s="949"/>
      <c r="AU16" s="949"/>
      <c r="AV16" s="949"/>
      <c r="AW16" s="949"/>
      <c r="AX16" s="949"/>
      <c r="AY16" s="949"/>
      <c r="AZ16" s="949"/>
      <c r="BA16" s="949"/>
      <c r="BB16" s="949"/>
      <c r="BC16" s="949"/>
      <c r="BD16" s="949"/>
      <c r="BE16" s="949"/>
      <c r="BF16" s="949"/>
      <c r="BG16" s="949"/>
      <c r="BH16" s="949"/>
      <c r="BI16" s="949"/>
      <c r="BJ16" s="949"/>
      <c r="BK16" s="949"/>
      <c r="BL16" s="949"/>
      <c r="BM16" s="949"/>
      <c r="BN16" s="949"/>
      <c r="BO16" s="949"/>
      <c r="BP16" s="949"/>
      <c r="BQ16" s="949"/>
      <c r="BR16" s="949"/>
      <c r="BS16" s="949"/>
      <c r="BT16" s="949"/>
      <c r="BU16" s="949"/>
      <c r="BV16" s="949"/>
      <c r="BW16" s="949"/>
      <c r="BX16" s="949"/>
      <c r="BY16" s="949"/>
      <c r="BZ16" s="949"/>
      <c r="CA16" s="949"/>
      <c r="CB16" s="949"/>
      <c r="CC16" s="949"/>
      <c r="CD16" s="949"/>
      <c r="CE16" s="949"/>
      <c r="CF16" s="949"/>
      <c r="CG16" s="949"/>
      <c r="CH16" s="949"/>
      <c r="CI16" s="949"/>
      <c r="CJ16" s="949"/>
      <c r="CK16" s="949"/>
      <c r="CL16" s="949"/>
      <c r="CM16" s="949"/>
      <c r="CN16" s="949"/>
      <c r="CO16" s="949"/>
      <c r="CP16" s="949"/>
      <c r="CQ16" s="949"/>
      <c r="CR16" s="949"/>
      <c r="CS16" s="949"/>
      <c r="CT16" s="949"/>
      <c r="CU16" s="949"/>
      <c r="CV16" s="949"/>
      <c r="CW16" s="949"/>
      <c r="CX16" s="949"/>
      <c r="CY16" s="949"/>
      <c r="CZ16" s="949"/>
      <c r="DA16" s="949"/>
      <c r="DB16" s="949"/>
      <c r="DC16" s="949"/>
      <c r="DD16" s="949"/>
      <c r="DE16" s="949"/>
      <c r="DF16" s="949"/>
      <c r="DG16" s="949"/>
      <c r="DH16" s="949"/>
      <c r="DI16" s="949"/>
      <c r="DJ16" s="949"/>
      <c r="DK16" s="949"/>
      <c r="DL16" s="949"/>
      <c r="DM16" s="949"/>
      <c r="DN16" s="949"/>
      <c r="DO16" s="949"/>
      <c r="DP16" s="949"/>
      <c r="DQ16" s="949"/>
      <c r="DR16" s="949"/>
      <c r="DS16" s="949"/>
      <c r="DT16" s="949"/>
      <c r="DU16" s="949"/>
      <c r="DV16" s="949"/>
      <c r="DW16" s="949"/>
      <c r="DX16" s="949"/>
      <c r="DY16" s="949"/>
      <c r="DZ16" s="949"/>
      <c r="EA16" s="949"/>
      <c r="EB16" s="949"/>
      <c r="EC16" s="949"/>
      <c r="ED16" s="949"/>
      <c r="EE16" s="949"/>
      <c r="EF16" s="949"/>
      <c r="EG16" s="949"/>
      <c r="EH16" s="949"/>
      <c r="EI16" s="949"/>
      <c r="EJ16" s="949"/>
      <c r="EK16" s="949"/>
      <c r="EL16" s="949"/>
      <c r="EM16" s="949"/>
      <c r="EN16" s="949"/>
      <c r="EO16" s="949"/>
      <c r="EP16" s="949"/>
      <c r="EQ16" s="949"/>
      <c r="ER16" s="949"/>
      <c r="ES16" s="949"/>
      <c r="ET16" s="949"/>
      <c r="EU16" s="949"/>
      <c r="EV16" s="949"/>
      <c r="EW16" s="949"/>
      <c r="EX16" s="949"/>
      <c r="EY16" s="949"/>
      <c r="EZ16" s="949"/>
      <c r="FA16" s="949"/>
      <c r="FB16" s="949"/>
      <c r="FC16" s="949"/>
      <c r="FD16" s="949"/>
      <c r="FE16" s="949"/>
      <c r="FF16" s="949"/>
      <c r="FG16" s="949"/>
      <c r="FH16" s="949"/>
      <c r="FI16" s="949"/>
      <c r="FJ16" s="949"/>
      <c r="FK16" s="949"/>
      <c r="FL16" s="949"/>
      <c r="FM16" s="949"/>
      <c r="FN16" s="949"/>
      <c r="FO16" s="949"/>
      <c r="FP16" s="949"/>
      <c r="FQ16" s="949"/>
      <c r="FR16" s="949"/>
      <c r="FS16" s="949"/>
      <c r="FT16" s="949"/>
      <c r="FU16" s="949"/>
      <c r="FV16" s="949"/>
      <c r="FW16" s="949"/>
      <c r="FX16" s="949"/>
      <c r="FY16" s="949"/>
      <c r="FZ16" s="949"/>
      <c r="GA16" s="949"/>
      <c r="GB16" s="949"/>
      <c r="GC16" s="949"/>
      <c r="GD16" s="949"/>
      <c r="GE16" s="949"/>
      <c r="GF16" s="949"/>
      <c r="GG16" s="949"/>
      <c r="GH16" s="949"/>
      <c r="GI16" s="949"/>
      <c r="GJ16" s="949"/>
      <c r="GK16" s="949"/>
      <c r="GL16" s="949"/>
      <c r="GM16" s="949"/>
      <c r="GN16" s="949"/>
      <c r="GO16" s="949"/>
      <c r="GP16" s="949"/>
      <c r="GQ16" s="949"/>
      <c r="GR16" s="949"/>
      <c r="GS16" s="949"/>
      <c r="GT16" s="949"/>
      <c r="GU16" s="949"/>
      <c r="GV16" s="949"/>
      <c r="GW16" s="949"/>
      <c r="GX16" s="949"/>
      <c r="GY16" s="949"/>
      <c r="GZ16" s="949"/>
      <c r="HA16" s="949"/>
      <c r="HB16" s="949"/>
      <c r="HC16" s="949"/>
      <c r="HD16" s="949"/>
      <c r="HE16" s="949"/>
      <c r="HF16" s="949"/>
      <c r="HG16" s="949"/>
      <c r="HH16" s="949"/>
      <c r="HI16" s="949"/>
      <c r="HJ16" s="949"/>
      <c r="HK16" s="949"/>
      <c r="HL16" s="949"/>
      <c r="HM16" s="949"/>
      <c r="HN16" s="949"/>
      <c r="HO16" s="949"/>
      <c r="HP16" s="949"/>
      <c r="HQ16" s="949"/>
      <c r="HR16" s="949"/>
      <c r="HS16" s="949"/>
      <c r="HT16" s="949"/>
      <c r="HU16" s="949"/>
      <c r="HV16" s="949"/>
      <c r="HW16" s="949"/>
      <c r="HX16" s="949"/>
      <c r="HY16" s="949"/>
      <c r="HZ16" s="949"/>
      <c r="IA16" s="949"/>
      <c r="IB16" s="949"/>
      <c r="IC16" s="949"/>
      <c r="ID16" s="949"/>
      <c r="IE16" s="949"/>
      <c r="IF16" s="949"/>
      <c r="IG16" s="949"/>
      <c r="IH16" s="949"/>
      <c r="II16" s="949"/>
      <c r="IJ16" s="949"/>
      <c r="IK16" s="949"/>
      <c r="IL16" s="949"/>
      <c r="IM16" s="949"/>
      <c r="IN16" s="949"/>
      <c r="IO16" s="949"/>
      <c r="IP16" s="949"/>
      <c r="IQ16" s="949"/>
      <c r="IR16" s="949"/>
      <c r="IS16" s="949"/>
      <c r="IT16" s="949"/>
      <c r="IU16" s="949"/>
      <c r="IV16" s="949"/>
    </row>
    <row r="17" spans="1:256" s="940" customFormat="1" ht="18" customHeight="1" x14ac:dyDescent="0.35">
      <c r="A17" s="1428"/>
      <c r="B17" s="956"/>
      <c r="C17" s="918" t="s">
        <v>1252</v>
      </c>
      <c r="D17" s="1453"/>
      <c r="E17" s="1453"/>
      <c r="F17" s="1453"/>
      <c r="G17" s="1453">
        <v>400</v>
      </c>
      <c r="H17" s="1453"/>
      <c r="I17" s="1453">
        <v>300</v>
      </c>
      <c r="J17" s="1453"/>
      <c r="K17" s="1453"/>
      <c r="L17" s="1453"/>
      <c r="M17" s="1453">
        <v>930</v>
      </c>
      <c r="N17" s="1453">
        <v>1020</v>
      </c>
      <c r="O17" s="1453">
        <v>1</v>
      </c>
      <c r="P17" s="1453">
        <v>0</v>
      </c>
      <c r="Q17" s="827">
        <f t="shared" si="0"/>
        <v>2651</v>
      </c>
      <c r="R17" s="918"/>
      <c r="S17" s="918"/>
      <c r="T17" s="918"/>
      <c r="U17" s="918"/>
      <c r="V17" s="918"/>
      <c r="W17" s="918"/>
      <c r="X17" s="918"/>
      <c r="Y17" s="918"/>
      <c r="Z17" s="918"/>
      <c r="AA17" s="918"/>
      <c r="AB17" s="918"/>
      <c r="AC17" s="918"/>
      <c r="AD17" s="918"/>
      <c r="AE17" s="918"/>
      <c r="AF17" s="918"/>
      <c r="AG17" s="918"/>
      <c r="AH17" s="918"/>
      <c r="AI17" s="918"/>
      <c r="AJ17" s="918"/>
      <c r="AK17" s="918"/>
      <c r="AL17" s="918"/>
      <c r="AM17" s="918"/>
      <c r="AN17" s="918"/>
      <c r="AO17" s="918"/>
      <c r="AP17" s="918"/>
      <c r="AQ17" s="918"/>
      <c r="AR17" s="918"/>
      <c r="AS17" s="918"/>
      <c r="AT17" s="918"/>
      <c r="AU17" s="918"/>
      <c r="AV17" s="918"/>
      <c r="AW17" s="918"/>
      <c r="AX17" s="918"/>
      <c r="AY17" s="918"/>
      <c r="AZ17" s="918"/>
      <c r="BA17" s="918"/>
      <c r="BB17" s="918"/>
      <c r="BC17" s="918"/>
      <c r="BD17" s="918"/>
      <c r="BE17" s="918"/>
      <c r="BF17" s="918"/>
      <c r="BG17" s="918"/>
      <c r="BH17" s="918"/>
      <c r="BI17" s="918"/>
      <c r="BJ17" s="918"/>
      <c r="BK17" s="918"/>
      <c r="BL17" s="918"/>
      <c r="BM17" s="918"/>
      <c r="BN17" s="918"/>
      <c r="BO17" s="918"/>
      <c r="BP17" s="918"/>
      <c r="BQ17" s="918"/>
      <c r="BR17" s="918"/>
      <c r="BS17" s="918"/>
      <c r="BT17" s="918"/>
      <c r="BU17" s="918"/>
      <c r="BV17" s="918"/>
      <c r="BW17" s="918"/>
      <c r="BX17" s="918"/>
      <c r="BY17" s="918"/>
      <c r="BZ17" s="918"/>
      <c r="CA17" s="918"/>
      <c r="CB17" s="918"/>
      <c r="CC17" s="918"/>
      <c r="CD17" s="918"/>
      <c r="CE17" s="918"/>
      <c r="CF17" s="918"/>
      <c r="CG17" s="918"/>
      <c r="CH17" s="918"/>
      <c r="CI17" s="918"/>
      <c r="CJ17" s="918"/>
      <c r="CK17" s="918"/>
      <c r="CL17" s="918"/>
      <c r="CM17" s="918"/>
      <c r="CN17" s="918"/>
      <c r="CO17" s="918"/>
      <c r="CP17" s="918"/>
      <c r="CQ17" s="918"/>
      <c r="CR17" s="918"/>
      <c r="CS17" s="918"/>
      <c r="CT17" s="918"/>
      <c r="CU17" s="918"/>
      <c r="CV17" s="918"/>
      <c r="CW17" s="918"/>
      <c r="CX17" s="918"/>
      <c r="CY17" s="918"/>
      <c r="CZ17" s="918"/>
      <c r="DA17" s="918"/>
      <c r="DB17" s="918"/>
      <c r="DC17" s="918"/>
      <c r="DD17" s="918"/>
      <c r="DE17" s="918"/>
      <c r="DF17" s="918"/>
      <c r="DG17" s="918"/>
      <c r="DH17" s="918"/>
      <c r="DI17" s="918"/>
      <c r="DJ17" s="918"/>
      <c r="DK17" s="918"/>
      <c r="DL17" s="918"/>
      <c r="DM17" s="918"/>
      <c r="DN17" s="918"/>
      <c r="DO17" s="918"/>
      <c r="DP17" s="918"/>
      <c r="DQ17" s="918"/>
      <c r="DR17" s="918"/>
      <c r="DS17" s="918"/>
      <c r="DT17" s="918"/>
      <c r="DU17" s="918"/>
      <c r="DV17" s="918"/>
      <c r="DW17" s="918"/>
      <c r="DX17" s="918"/>
      <c r="DY17" s="918"/>
      <c r="DZ17" s="918"/>
      <c r="EA17" s="918"/>
      <c r="EB17" s="918"/>
      <c r="EC17" s="918"/>
      <c r="ED17" s="918"/>
      <c r="EE17" s="918"/>
      <c r="EF17" s="918"/>
      <c r="EG17" s="918"/>
      <c r="EH17" s="918"/>
      <c r="EI17" s="918"/>
      <c r="EJ17" s="918"/>
      <c r="EK17" s="918"/>
      <c r="EL17" s="918"/>
      <c r="EM17" s="918"/>
      <c r="EN17" s="918"/>
      <c r="EO17" s="918"/>
      <c r="EP17" s="918"/>
      <c r="EQ17" s="918"/>
      <c r="ER17" s="918"/>
      <c r="ES17" s="918"/>
      <c r="ET17" s="918"/>
      <c r="EU17" s="918"/>
      <c r="EV17" s="918"/>
      <c r="EW17" s="918"/>
      <c r="EX17" s="918"/>
      <c r="EY17" s="918"/>
      <c r="EZ17" s="918"/>
      <c r="FA17" s="918"/>
      <c r="FB17" s="918"/>
      <c r="FC17" s="918"/>
      <c r="FD17" s="918"/>
      <c r="FE17" s="918"/>
      <c r="FF17" s="918"/>
      <c r="FG17" s="918"/>
      <c r="FH17" s="918"/>
      <c r="FI17" s="918"/>
      <c r="FJ17" s="918"/>
      <c r="FK17" s="918"/>
      <c r="FL17" s="918"/>
      <c r="FM17" s="918"/>
      <c r="FN17" s="918"/>
      <c r="FO17" s="918"/>
      <c r="FP17" s="918"/>
      <c r="FQ17" s="918"/>
      <c r="FR17" s="918"/>
      <c r="FS17" s="918"/>
      <c r="FT17" s="918"/>
      <c r="FU17" s="918"/>
      <c r="FV17" s="918"/>
      <c r="FW17" s="918"/>
      <c r="FX17" s="918"/>
      <c r="FY17" s="918"/>
      <c r="FZ17" s="918"/>
      <c r="GA17" s="918"/>
      <c r="GB17" s="918"/>
      <c r="GC17" s="918"/>
      <c r="GD17" s="918"/>
      <c r="GE17" s="918"/>
      <c r="GF17" s="918"/>
      <c r="GG17" s="918"/>
      <c r="GH17" s="918"/>
      <c r="GI17" s="918"/>
      <c r="GJ17" s="918"/>
      <c r="GK17" s="918"/>
      <c r="GL17" s="918"/>
      <c r="GM17" s="918"/>
      <c r="GN17" s="918"/>
      <c r="GO17" s="918"/>
      <c r="GP17" s="918"/>
      <c r="GQ17" s="918"/>
      <c r="GR17" s="918"/>
      <c r="GS17" s="918"/>
      <c r="GT17" s="918"/>
      <c r="GU17" s="918"/>
      <c r="GV17" s="918"/>
      <c r="GW17" s="918"/>
      <c r="GX17" s="918"/>
      <c r="GY17" s="918"/>
      <c r="GZ17" s="918"/>
      <c r="HA17" s="918"/>
      <c r="HB17" s="918"/>
      <c r="HC17" s="918"/>
      <c r="HD17" s="918"/>
      <c r="HE17" s="918"/>
      <c r="HF17" s="918"/>
      <c r="HG17" s="918"/>
      <c r="HH17" s="918"/>
      <c r="HI17" s="918"/>
      <c r="HJ17" s="918"/>
      <c r="HK17" s="918"/>
      <c r="HL17" s="918"/>
      <c r="HM17" s="918"/>
      <c r="HN17" s="918"/>
      <c r="HO17" s="918"/>
      <c r="HP17" s="918"/>
      <c r="HQ17" s="918"/>
      <c r="HR17" s="918"/>
      <c r="HS17" s="918"/>
      <c r="HT17" s="918"/>
      <c r="HU17" s="918"/>
      <c r="HV17" s="918"/>
      <c r="HW17" s="918"/>
      <c r="HX17" s="918"/>
      <c r="HY17" s="918"/>
      <c r="HZ17" s="918"/>
      <c r="IA17" s="918"/>
      <c r="IB17" s="918"/>
      <c r="IC17" s="918"/>
      <c r="ID17" s="918"/>
      <c r="IE17" s="918"/>
      <c r="IF17" s="918"/>
      <c r="IG17" s="918"/>
      <c r="IH17" s="918"/>
      <c r="II17" s="918"/>
      <c r="IJ17" s="918"/>
      <c r="IK17" s="918"/>
      <c r="IL17" s="918"/>
      <c r="IM17" s="918"/>
      <c r="IN17" s="918"/>
      <c r="IO17" s="918"/>
      <c r="IP17" s="918"/>
      <c r="IQ17" s="918"/>
      <c r="IR17" s="918"/>
      <c r="IS17" s="918"/>
      <c r="IT17" s="918"/>
      <c r="IU17" s="918"/>
      <c r="IV17" s="918"/>
    </row>
    <row r="18" spans="1:256" x14ac:dyDescent="0.35">
      <c r="A18" s="947">
        <v>8</v>
      </c>
      <c r="B18" s="953"/>
      <c r="C18" s="954" t="s">
        <v>733</v>
      </c>
      <c r="D18" s="187"/>
      <c r="E18" s="187"/>
      <c r="F18" s="187"/>
      <c r="G18" s="187"/>
      <c r="H18" s="187"/>
      <c r="I18" s="187"/>
      <c r="J18" s="187"/>
      <c r="K18" s="187"/>
      <c r="L18" s="187"/>
      <c r="M18" s="187"/>
      <c r="N18" s="187"/>
      <c r="O18" s="187"/>
      <c r="P18" s="960"/>
      <c r="Q18" s="955">
        <f t="shared" si="0"/>
        <v>0</v>
      </c>
      <c r="R18" s="954"/>
      <c r="S18" s="954"/>
      <c r="T18" s="954"/>
      <c r="U18" s="954"/>
      <c r="V18" s="954"/>
      <c r="W18" s="954"/>
      <c r="X18" s="954"/>
      <c r="Y18" s="954"/>
      <c r="Z18" s="954"/>
      <c r="AA18" s="954"/>
      <c r="AB18" s="954"/>
      <c r="AC18" s="954"/>
      <c r="AD18" s="954"/>
      <c r="AE18" s="954"/>
      <c r="AF18" s="954"/>
      <c r="AG18" s="954"/>
      <c r="AH18" s="954"/>
      <c r="AI18" s="954"/>
      <c r="AJ18" s="954"/>
      <c r="AK18" s="954"/>
      <c r="AL18" s="954"/>
      <c r="AM18" s="954"/>
      <c r="AN18" s="954"/>
      <c r="AO18" s="954"/>
      <c r="AP18" s="954"/>
      <c r="AQ18" s="954"/>
      <c r="AR18" s="954"/>
      <c r="AS18" s="954"/>
      <c r="AT18" s="954"/>
      <c r="AU18" s="954"/>
      <c r="AV18" s="954"/>
      <c r="AW18" s="954"/>
      <c r="AX18" s="954"/>
      <c r="AY18" s="954"/>
      <c r="AZ18" s="954"/>
      <c r="BA18" s="954"/>
      <c r="BB18" s="954"/>
      <c r="BC18" s="954"/>
      <c r="BD18" s="954"/>
      <c r="BE18" s="954"/>
      <c r="BF18" s="954"/>
      <c r="BG18" s="954"/>
      <c r="BH18" s="954"/>
      <c r="BI18" s="954"/>
      <c r="BJ18" s="954"/>
      <c r="BK18" s="954"/>
      <c r="BL18" s="954"/>
      <c r="BM18" s="954"/>
      <c r="BN18" s="954"/>
      <c r="BO18" s="954"/>
      <c r="BP18" s="954"/>
      <c r="BQ18" s="954"/>
      <c r="BR18" s="954"/>
      <c r="BS18" s="954"/>
      <c r="BT18" s="954"/>
      <c r="BU18" s="954"/>
      <c r="BV18" s="954"/>
      <c r="BW18" s="954"/>
      <c r="BX18" s="954"/>
      <c r="BY18" s="954"/>
      <c r="BZ18" s="954"/>
      <c r="CA18" s="954"/>
      <c r="CB18" s="954"/>
      <c r="CC18" s="954"/>
      <c r="CD18" s="954"/>
      <c r="CE18" s="954"/>
      <c r="CF18" s="954"/>
      <c r="CG18" s="954"/>
      <c r="CH18" s="954"/>
      <c r="CI18" s="954"/>
      <c r="CJ18" s="954"/>
      <c r="CK18" s="954"/>
      <c r="CL18" s="954"/>
      <c r="CM18" s="954"/>
      <c r="CN18" s="954"/>
      <c r="CO18" s="954"/>
      <c r="CP18" s="954"/>
      <c r="CQ18" s="954"/>
      <c r="CR18" s="954"/>
      <c r="CS18" s="954"/>
      <c r="CT18" s="954"/>
      <c r="CU18" s="954"/>
      <c r="CV18" s="954"/>
      <c r="CW18" s="954"/>
      <c r="CX18" s="954"/>
      <c r="CY18" s="954"/>
      <c r="CZ18" s="954"/>
      <c r="DA18" s="954"/>
      <c r="DB18" s="954"/>
      <c r="DC18" s="954"/>
      <c r="DD18" s="954"/>
      <c r="DE18" s="954"/>
      <c r="DF18" s="954"/>
      <c r="DG18" s="954"/>
      <c r="DH18" s="954"/>
      <c r="DI18" s="954"/>
      <c r="DJ18" s="954"/>
      <c r="DK18" s="954"/>
      <c r="DL18" s="954"/>
      <c r="DM18" s="954"/>
      <c r="DN18" s="954"/>
      <c r="DO18" s="954"/>
      <c r="DP18" s="954"/>
      <c r="DQ18" s="954"/>
      <c r="DR18" s="954"/>
      <c r="DS18" s="954"/>
      <c r="DT18" s="954"/>
      <c r="DU18" s="954"/>
      <c r="DV18" s="954"/>
      <c r="DW18" s="954"/>
      <c r="DX18" s="954"/>
      <c r="DY18" s="954"/>
      <c r="DZ18" s="954"/>
      <c r="EA18" s="954"/>
      <c r="EB18" s="954"/>
      <c r="EC18" s="954"/>
      <c r="ED18" s="954"/>
      <c r="EE18" s="954"/>
      <c r="EF18" s="954"/>
      <c r="EG18" s="954"/>
      <c r="EH18" s="954"/>
      <c r="EI18" s="954"/>
      <c r="EJ18" s="954"/>
      <c r="EK18" s="954"/>
      <c r="EL18" s="954"/>
      <c r="EM18" s="954"/>
      <c r="EN18" s="954"/>
      <c r="EO18" s="954"/>
      <c r="EP18" s="954"/>
      <c r="EQ18" s="954"/>
      <c r="ER18" s="954"/>
      <c r="ES18" s="954"/>
      <c r="ET18" s="954"/>
      <c r="EU18" s="954"/>
      <c r="EV18" s="954"/>
      <c r="EW18" s="954"/>
      <c r="EX18" s="954"/>
      <c r="EY18" s="954"/>
      <c r="EZ18" s="954"/>
      <c r="FA18" s="954"/>
      <c r="FB18" s="954"/>
      <c r="FC18" s="954"/>
      <c r="FD18" s="954"/>
      <c r="FE18" s="954"/>
      <c r="FF18" s="954"/>
      <c r="FG18" s="954"/>
      <c r="FH18" s="954"/>
      <c r="FI18" s="954"/>
      <c r="FJ18" s="954"/>
      <c r="FK18" s="954"/>
      <c r="FL18" s="954"/>
      <c r="FM18" s="954"/>
      <c r="FN18" s="954"/>
      <c r="FO18" s="954"/>
      <c r="FP18" s="954"/>
      <c r="FQ18" s="954"/>
      <c r="FR18" s="954"/>
      <c r="FS18" s="954"/>
      <c r="FT18" s="954"/>
      <c r="FU18" s="954"/>
      <c r="FV18" s="954"/>
      <c r="FW18" s="954"/>
      <c r="FX18" s="954"/>
      <c r="FY18" s="954"/>
      <c r="FZ18" s="954"/>
      <c r="GA18" s="954"/>
      <c r="GB18" s="954"/>
      <c r="GC18" s="954"/>
      <c r="GD18" s="954"/>
      <c r="GE18" s="954"/>
      <c r="GF18" s="954"/>
      <c r="GG18" s="954"/>
      <c r="GH18" s="954"/>
      <c r="GI18" s="954"/>
      <c r="GJ18" s="954"/>
      <c r="GK18" s="954"/>
      <c r="GL18" s="954"/>
      <c r="GM18" s="954"/>
      <c r="GN18" s="954"/>
      <c r="GO18" s="954"/>
      <c r="GP18" s="954"/>
      <c r="GQ18" s="954"/>
      <c r="GR18" s="954"/>
      <c r="GS18" s="954"/>
      <c r="GT18" s="954"/>
      <c r="GU18" s="954"/>
      <c r="GV18" s="954"/>
      <c r="GW18" s="954"/>
      <c r="GX18" s="954"/>
      <c r="GY18" s="954"/>
      <c r="GZ18" s="954"/>
      <c r="HA18" s="954"/>
      <c r="HB18" s="954"/>
      <c r="HC18" s="954"/>
      <c r="HD18" s="954"/>
      <c r="HE18" s="954"/>
      <c r="HF18" s="954"/>
      <c r="HG18" s="954"/>
      <c r="HH18" s="954"/>
      <c r="HI18" s="954"/>
      <c r="HJ18" s="954"/>
      <c r="HK18" s="954"/>
      <c r="HL18" s="954"/>
      <c r="HM18" s="954"/>
      <c r="HN18" s="954"/>
      <c r="HO18" s="954"/>
      <c r="HP18" s="954"/>
      <c r="HQ18" s="954"/>
      <c r="HR18" s="954"/>
      <c r="HS18" s="954"/>
      <c r="HT18" s="954"/>
      <c r="HU18" s="954"/>
      <c r="HV18" s="954"/>
      <c r="HW18" s="954"/>
      <c r="HX18" s="954"/>
      <c r="HY18" s="954"/>
      <c r="HZ18" s="954"/>
      <c r="IA18" s="954"/>
      <c r="IB18" s="954"/>
      <c r="IC18" s="954"/>
      <c r="ID18" s="954"/>
      <c r="IE18" s="954"/>
      <c r="IF18" s="954"/>
      <c r="IG18" s="954"/>
      <c r="IH18" s="954"/>
      <c r="II18" s="954"/>
      <c r="IJ18" s="954"/>
      <c r="IK18" s="954"/>
      <c r="IL18" s="954"/>
      <c r="IM18" s="954"/>
      <c r="IN18" s="954"/>
      <c r="IO18" s="954"/>
      <c r="IP18" s="954"/>
      <c r="IQ18" s="954"/>
      <c r="IR18" s="954"/>
      <c r="IS18" s="954"/>
      <c r="IT18" s="954"/>
      <c r="IU18" s="954"/>
      <c r="IV18" s="954"/>
    </row>
    <row r="19" spans="1:256" x14ac:dyDescent="0.35">
      <c r="A19" s="947">
        <v>9</v>
      </c>
      <c r="B19" s="956"/>
      <c r="C19" s="957" t="s">
        <v>1307</v>
      </c>
      <c r="D19" s="958">
        <f>SUM(D17:D18)</f>
        <v>0</v>
      </c>
      <c r="E19" s="958">
        <f t="shared" ref="E19:Q19" si="5">SUM(E17:E18)</f>
        <v>0</v>
      </c>
      <c r="F19" s="958">
        <f t="shared" si="5"/>
        <v>0</v>
      </c>
      <c r="G19" s="958">
        <f t="shared" si="5"/>
        <v>400</v>
      </c>
      <c r="H19" s="958">
        <f t="shared" si="5"/>
        <v>0</v>
      </c>
      <c r="I19" s="958">
        <f t="shared" si="5"/>
        <v>300</v>
      </c>
      <c r="J19" s="958">
        <f t="shared" si="5"/>
        <v>0</v>
      </c>
      <c r="K19" s="958">
        <f t="shared" si="5"/>
        <v>0</v>
      </c>
      <c r="L19" s="958">
        <f t="shared" si="5"/>
        <v>0</v>
      </c>
      <c r="M19" s="958">
        <f t="shared" si="5"/>
        <v>930</v>
      </c>
      <c r="N19" s="958">
        <f t="shared" si="5"/>
        <v>1020</v>
      </c>
      <c r="O19" s="958">
        <f t="shared" si="5"/>
        <v>1</v>
      </c>
      <c r="P19" s="958">
        <f t="shared" si="5"/>
        <v>0</v>
      </c>
      <c r="Q19" s="1640">
        <f t="shared" si="5"/>
        <v>2651</v>
      </c>
      <c r="R19" s="940"/>
      <c r="S19" s="940"/>
      <c r="T19" s="940"/>
      <c r="U19" s="940"/>
      <c r="V19" s="940"/>
      <c r="W19" s="940"/>
      <c r="X19" s="940"/>
      <c r="Y19" s="940"/>
      <c r="Z19" s="940"/>
      <c r="AA19" s="940"/>
      <c r="AB19" s="940"/>
      <c r="AC19" s="940"/>
      <c r="AD19" s="940"/>
      <c r="AE19" s="940"/>
      <c r="AF19" s="940"/>
      <c r="AG19" s="940"/>
      <c r="AH19" s="940"/>
      <c r="AI19" s="940"/>
      <c r="AJ19" s="940"/>
      <c r="AK19" s="940"/>
      <c r="AL19" s="940"/>
      <c r="AM19" s="940"/>
      <c r="AN19" s="940"/>
      <c r="AO19" s="940"/>
      <c r="AP19" s="940"/>
      <c r="AQ19" s="940"/>
      <c r="AR19" s="940"/>
      <c r="AS19" s="940"/>
      <c r="AT19" s="940"/>
      <c r="AU19" s="940"/>
      <c r="AV19" s="940"/>
      <c r="AW19" s="940"/>
      <c r="AX19" s="940"/>
      <c r="AY19" s="940"/>
      <c r="AZ19" s="940"/>
      <c r="BA19" s="940"/>
      <c r="BB19" s="940"/>
      <c r="BC19" s="940"/>
      <c r="BD19" s="940"/>
      <c r="BE19" s="940"/>
      <c r="BF19" s="940"/>
      <c r="BG19" s="940"/>
      <c r="BH19" s="940"/>
      <c r="BI19" s="940"/>
      <c r="BJ19" s="940"/>
      <c r="BK19" s="940"/>
      <c r="BL19" s="940"/>
      <c r="BM19" s="940"/>
      <c r="BN19" s="940"/>
      <c r="BO19" s="940"/>
      <c r="BP19" s="940"/>
      <c r="BQ19" s="940"/>
      <c r="BR19" s="940"/>
      <c r="BS19" s="940"/>
      <c r="BT19" s="940"/>
      <c r="BU19" s="940"/>
      <c r="BV19" s="940"/>
      <c r="BW19" s="940"/>
      <c r="BX19" s="940"/>
      <c r="BY19" s="940"/>
      <c r="BZ19" s="940"/>
      <c r="CA19" s="940"/>
      <c r="CB19" s="940"/>
      <c r="CC19" s="940"/>
      <c r="CD19" s="940"/>
      <c r="CE19" s="940"/>
      <c r="CF19" s="940"/>
      <c r="CG19" s="940"/>
      <c r="CH19" s="940"/>
      <c r="CI19" s="940"/>
      <c r="CJ19" s="940"/>
      <c r="CK19" s="940"/>
      <c r="CL19" s="940"/>
      <c r="CM19" s="940"/>
      <c r="CN19" s="940"/>
      <c r="CO19" s="940"/>
      <c r="CP19" s="940"/>
      <c r="CQ19" s="940"/>
      <c r="CR19" s="940"/>
      <c r="CS19" s="940"/>
      <c r="CT19" s="940"/>
      <c r="CU19" s="940"/>
      <c r="CV19" s="940"/>
      <c r="CW19" s="940"/>
      <c r="CX19" s="940"/>
      <c r="CY19" s="940"/>
      <c r="CZ19" s="940"/>
      <c r="DA19" s="940"/>
      <c r="DB19" s="940"/>
      <c r="DC19" s="940"/>
      <c r="DD19" s="940"/>
      <c r="DE19" s="940"/>
      <c r="DF19" s="940"/>
      <c r="DG19" s="940"/>
      <c r="DH19" s="940"/>
      <c r="DI19" s="940"/>
      <c r="DJ19" s="940"/>
      <c r="DK19" s="940"/>
      <c r="DL19" s="940"/>
      <c r="DM19" s="940"/>
      <c r="DN19" s="940"/>
      <c r="DO19" s="940"/>
      <c r="DP19" s="940"/>
      <c r="DQ19" s="940"/>
      <c r="DR19" s="940"/>
      <c r="DS19" s="940"/>
      <c r="DT19" s="940"/>
      <c r="DU19" s="940"/>
      <c r="DV19" s="940"/>
      <c r="DW19" s="940"/>
      <c r="DX19" s="940"/>
      <c r="DY19" s="940"/>
      <c r="DZ19" s="940"/>
      <c r="EA19" s="940"/>
      <c r="EB19" s="940"/>
      <c r="EC19" s="940"/>
      <c r="ED19" s="940"/>
      <c r="EE19" s="940"/>
      <c r="EF19" s="940"/>
      <c r="EG19" s="940"/>
      <c r="EH19" s="940"/>
      <c r="EI19" s="940"/>
      <c r="EJ19" s="940"/>
      <c r="EK19" s="940"/>
      <c r="EL19" s="940"/>
      <c r="EM19" s="940"/>
      <c r="EN19" s="940"/>
      <c r="EO19" s="940"/>
      <c r="EP19" s="940"/>
      <c r="EQ19" s="940"/>
      <c r="ER19" s="940"/>
      <c r="ES19" s="940"/>
      <c r="ET19" s="940"/>
      <c r="EU19" s="940"/>
      <c r="EV19" s="940"/>
      <c r="EW19" s="940"/>
      <c r="EX19" s="940"/>
      <c r="EY19" s="940"/>
      <c r="EZ19" s="940"/>
      <c r="FA19" s="940"/>
      <c r="FB19" s="940"/>
      <c r="FC19" s="940"/>
      <c r="FD19" s="940"/>
      <c r="FE19" s="940"/>
      <c r="FF19" s="940"/>
      <c r="FG19" s="940"/>
      <c r="FH19" s="940"/>
      <c r="FI19" s="940"/>
      <c r="FJ19" s="940"/>
      <c r="FK19" s="940"/>
      <c r="FL19" s="940"/>
      <c r="FM19" s="940"/>
      <c r="FN19" s="940"/>
      <c r="FO19" s="940"/>
      <c r="FP19" s="940"/>
      <c r="FQ19" s="940"/>
      <c r="FR19" s="940"/>
      <c r="FS19" s="940"/>
      <c r="FT19" s="940"/>
      <c r="FU19" s="940"/>
      <c r="FV19" s="940"/>
      <c r="FW19" s="940"/>
      <c r="FX19" s="940"/>
      <c r="FY19" s="940"/>
      <c r="FZ19" s="940"/>
      <c r="GA19" s="940"/>
      <c r="GB19" s="940"/>
      <c r="GC19" s="940"/>
      <c r="GD19" s="940"/>
      <c r="GE19" s="940"/>
      <c r="GF19" s="940"/>
      <c r="GG19" s="940"/>
      <c r="GH19" s="940"/>
      <c r="GI19" s="940"/>
      <c r="GJ19" s="940"/>
      <c r="GK19" s="940"/>
      <c r="GL19" s="940"/>
      <c r="GM19" s="940"/>
      <c r="GN19" s="940"/>
      <c r="GO19" s="940"/>
      <c r="GP19" s="940"/>
      <c r="GQ19" s="940"/>
      <c r="GR19" s="940"/>
      <c r="GS19" s="940"/>
      <c r="GT19" s="940"/>
      <c r="GU19" s="940"/>
      <c r="GV19" s="940"/>
      <c r="GW19" s="940"/>
      <c r="GX19" s="940"/>
      <c r="GY19" s="940"/>
      <c r="GZ19" s="940"/>
      <c r="HA19" s="940"/>
      <c r="HB19" s="940"/>
      <c r="HC19" s="940"/>
      <c r="HD19" s="940"/>
      <c r="HE19" s="940"/>
      <c r="HF19" s="940"/>
      <c r="HG19" s="940"/>
      <c r="HH19" s="940"/>
      <c r="HI19" s="940"/>
      <c r="HJ19" s="940"/>
      <c r="HK19" s="940"/>
      <c r="HL19" s="940"/>
      <c r="HM19" s="940"/>
      <c r="HN19" s="940"/>
      <c r="HO19" s="940"/>
      <c r="HP19" s="940"/>
      <c r="HQ19" s="940"/>
      <c r="HR19" s="940"/>
      <c r="HS19" s="940"/>
      <c r="HT19" s="940"/>
      <c r="HU19" s="940"/>
      <c r="HV19" s="940"/>
      <c r="HW19" s="940"/>
      <c r="HX19" s="940"/>
      <c r="HY19" s="940"/>
      <c r="HZ19" s="940"/>
      <c r="IA19" s="940"/>
      <c r="IB19" s="940"/>
      <c r="IC19" s="940"/>
      <c r="ID19" s="940"/>
      <c r="IE19" s="940"/>
      <c r="IF19" s="940"/>
      <c r="IG19" s="940"/>
      <c r="IH19" s="940"/>
      <c r="II19" s="940"/>
      <c r="IJ19" s="940"/>
      <c r="IK19" s="940"/>
      <c r="IL19" s="940"/>
      <c r="IM19" s="940"/>
      <c r="IN19" s="940"/>
      <c r="IO19" s="940"/>
      <c r="IP19" s="940"/>
      <c r="IQ19" s="940"/>
      <c r="IR19" s="940"/>
      <c r="IS19" s="940"/>
      <c r="IT19" s="940"/>
      <c r="IU19" s="940"/>
      <c r="IV19" s="940"/>
    </row>
    <row r="20" spans="1:256" s="952" customFormat="1" ht="30" customHeight="1" x14ac:dyDescent="0.35">
      <c r="A20" s="947">
        <v>10</v>
      </c>
      <c r="B20" s="948" t="s">
        <v>762</v>
      </c>
      <c r="C20" s="949" t="s">
        <v>760</v>
      </c>
      <c r="D20" s="950"/>
      <c r="E20" s="950"/>
      <c r="F20" s="950"/>
      <c r="G20" s="950"/>
      <c r="H20" s="950"/>
      <c r="I20" s="950"/>
      <c r="J20" s="950"/>
      <c r="K20" s="950"/>
      <c r="L20" s="950"/>
      <c r="M20" s="950"/>
      <c r="N20" s="950"/>
      <c r="O20" s="950">
        <v>2000</v>
      </c>
      <c r="P20" s="950">
        <v>2287</v>
      </c>
      <c r="Q20" s="951">
        <f>SUM(D20:P20)</f>
        <v>4287</v>
      </c>
      <c r="R20" s="949"/>
      <c r="S20" s="949"/>
      <c r="T20" s="949"/>
      <c r="U20" s="949"/>
      <c r="V20" s="949"/>
      <c r="W20" s="949"/>
      <c r="X20" s="949"/>
      <c r="Y20" s="949"/>
      <c r="Z20" s="949"/>
      <c r="AA20" s="949"/>
      <c r="AB20" s="949"/>
      <c r="AC20" s="949"/>
      <c r="AD20" s="949"/>
      <c r="AE20" s="949"/>
      <c r="AF20" s="949"/>
      <c r="AG20" s="949"/>
      <c r="AH20" s="949"/>
      <c r="AI20" s="949"/>
      <c r="AJ20" s="949"/>
      <c r="AK20" s="949"/>
      <c r="AL20" s="949"/>
      <c r="AM20" s="949"/>
      <c r="AN20" s="949"/>
      <c r="AO20" s="949"/>
      <c r="AP20" s="949"/>
      <c r="AQ20" s="949"/>
      <c r="AR20" s="949"/>
      <c r="AS20" s="949"/>
      <c r="AT20" s="949"/>
      <c r="AU20" s="949"/>
      <c r="AV20" s="949"/>
      <c r="AW20" s="949"/>
      <c r="AX20" s="949"/>
      <c r="AY20" s="949"/>
      <c r="AZ20" s="949"/>
      <c r="BA20" s="949"/>
      <c r="BB20" s="949"/>
      <c r="BC20" s="949"/>
      <c r="BD20" s="949"/>
      <c r="BE20" s="949"/>
      <c r="BF20" s="949"/>
      <c r="BG20" s="949"/>
      <c r="BH20" s="949"/>
      <c r="BI20" s="949"/>
      <c r="BJ20" s="949"/>
      <c r="BK20" s="949"/>
      <c r="BL20" s="949"/>
      <c r="BM20" s="949"/>
      <c r="BN20" s="949"/>
      <c r="BO20" s="949"/>
      <c r="BP20" s="949"/>
      <c r="BQ20" s="949"/>
      <c r="BR20" s="949"/>
      <c r="BS20" s="949"/>
      <c r="BT20" s="949"/>
      <c r="BU20" s="949"/>
      <c r="BV20" s="949"/>
      <c r="BW20" s="949"/>
      <c r="BX20" s="949"/>
      <c r="BY20" s="949"/>
      <c r="BZ20" s="949"/>
      <c r="CA20" s="949"/>
      <c r="CB20" s="949"/>
      <c r="CC20" s="949"/>
      <c r="CD20" s="949"/>
      <c r="CE20" s="949"/>
      <c r="CF20" s="949"/>
      <c r="CG20" s="949"/>
      <c r="CH20" s="949"/>
      <c r="CI20" s="949"/>
      <c r="CJ20" s="949"/>
      <c r="CK20" s="949"/>
      <c r="CL20" s="949"/>
      <c r="CM20" s="949"/>
      <c r="CN20" s="949"/>
      <c r="CO20" s="949"/>
      <c r="CP20" s="949"/>
      <c r="CQ20" s="949"/>
      <c r="CR20" s="949"/>
      <c r="CS20" s="949"/>
      <c r="CT20" s="949"/>
      <c r="CU20" s="949"/>
      <c r="CV20" s="949"/>
      <c r="CW20" s="949"/>
      <c r="CX20" s="949"/>
      <c r="CY20" s="949"/>
      <c r="CZ20" s="949"/>
      <c r="DA20" s="949"/>
      <c r="DB20" s="949"/>
      <c r="DC20" s="949"/>
      <c r="DD20" s="949"/>
      <c r="DE20" s="949"/>
      <c r="DF20" s="949"/>
      <c r="DG20" s="949"/>
      <c r="DH20" s="949"/>
      <c r="DI20" s="949"/>
      <c r="DJ20" s="949"/>
      <c r="DK20" s="949"/>
      <c r="DL20" s="949"/>
      <c r="DM20" s="949"/>
      <c r="DN20" s="949"/>
      <c r="DO20" s="949"/>
      <c r="DP20" s="949"/>
      <c r="DQ20" s="949"/>
      <c r="DR20" s="949"/>
      <c r="DS20" s="949"/>
      <c r="DT20" s="949"/>
      <c r="DU20" s="949"/>
      <c r="DV20" s="949"/>
      <c r="DW20" s="949"/>
      <c r="DX20" s="949"/>
      <c r="DY20" s="949"/>
      <c r="DZ20" s="949"/>
      <c r="EA20" s="949"/>
      <c r="EB20" s="949"/>
      <c r="EC20" s="949"/>
      <c r="ED20" s="949"/>
      <c r="EE20" s="949"/>
      <c r="EF20" s="949"/>
      <c r="EG20" s="949"/>
      <c r="EH20" s="949"/>
      <c r="EI20" s="949"/>
      <c r="EJ20" s="949"/>
      <c r="EK20" s="949"/>
      <c r="EL20" s="949"/>
      <c r="EM20" s="949"/>
      <c r="EN20" s="949"/>
      <c r="EO20" s="949"/>
      <c r="EP20" s="949"/>
      <c r="EQ20" s="949"/>
      <c r="ER20" s="949"/>
      <c r="ES20" s="949"/>
      <c r="ET20" s="949"/>
      <c r="EU20" s="949"/>
      <c r="EV20" s="949"/>
      <c r="EW20" s="949"/>
      <c r="EX20" s="949"/>
      <c r="EY20" s="949"/>
      <c r="EZ20" s="949"/>
      <c r="FA20" s="949"/>
      <c r="FB20" s="949"/>
      <c r="FC20" s="949"/>
      <c r="FD20" s="949"/>
      <c r="FE20" s="949"/>
      <c r="FF20" s="949"/>
      <c r="FG20" s="949"/>
      <c r="FH20" s="949"/>
      <c r="FI20" s="949"/>
      <c r="FJ20" s="949"/>
      <c r="FK20" s="949"/>
      <c r="FL20" s="949"/>
      <c r="FM20" s="949"/>
      <c r="FN20" s="949"/>
      <c r="FO20" s="949"/>
      <c r="FP20" s="949"/>
      <c r="FQ20" s="949"/>
      <c r="FR20" s="949"/>
      <c r="FS20" s="949"/>
      <c r="FT20" s="949"/>
      <c r="FU20" s="949"/>
      <c r="FV20" s="949"/>
      <c r="FW20" s="949"/>
      <c r="FX20" s="949"/>
      <c r="FY20" s="949"/>
      <c r="FZ20" s="949"/>
      <c r="GA20" s="949"/>
      <c r="GB20" s="949"/>
      <c r="GC20" s="949"/>
      <c r="GD20" s="949"/>
      <c r="GE20" s="949"/>
      <c r="GF20" s="949"/>
      <c r="GG20" s="949"/>
      <c r="GH20" s="949"/>
      <c r="GI20" s="949"/>
      <c r="GJ20" s="949"/>
      <c r="GK20" s="949"/>
      <c r="GL20" s="949"/>
      <c r="GM20" s="949"/>
      <c r="GN20" s="949"/>
      <c r="GO20" s="949"/>
      <c r="GP20" s="949"/>
      <c r="GQ20" s="949"/>
      <c r="GR20" s="949"/>
      <c r="GS20" s="949"/>
      <c r="GT20" s="949"/>
      <c r="GU20" s="949"/>
      <c r="GV20" s="949"/>
      <c r="GW20" s="949"/>
      <c r="GX20" s="949"/>
      <c r="GY20" s="949"/>
      <c r="GZ20" s="949"/>
      <c r="HA20" s="949"/>
      <c r="HB20" s="949"/>
      <c r="HC20" s="949"/>
      <c r="HD20" s="949"/>
      <c r="HE20" s="949"/>
      <c r="HF20" s="949"/>
      <c r="HG20" s="949"/>
      <c r="HH20" s="949"/>
      <c r="HI20" s="949"/>
      <c r="HJ20" s="949"/>
      <c r="HK20" s="949"/>
      <c r="HL20" s="949"/>
      <c r="HM20" s="949"/>
      <c r="HN20" s="949"/>
      <c r="HO20" s="949"/>
      <c r="HP20" s="949"/>
      <c r="HQ20" s="949"/>
      <c r="HR20" s="949"/>
      <c r="HS20" s="949"/>
      <c r="HT20" s="949"/>
      <c r="HU20" s="949"/>
      <c r="HV20" s="949"/>
      <c r="HW20" s="949"/>
      <c r="HX20" s="949"/>
      <c r="HY20" s="949"/>
      <c r="HZ20" s="949"/>
      <c r="IA20" s="949"/>
      <c r="IB20" s="949"/>
      <c r="IC20" s="949"/>
      <c r="ID20" s="949"/>
      <c r="IE20" s="949"/>
      <c r="IF20" s="949"/>
      <c r="IG20" s="949"/>
      <c r="IH20" s="949"/>
      <c r="II20" s="949"/>
      <c r="IJ20" s="949"/>
      <c r="IK20" s="949"/>
      <c r="IL20" s="949"/>
      <c r="IM20" s="949"/>
      <c r="IN20" s="949"/>
      <c r="IO20" s="949"/>
      <c r="IP20" s="949"/>
      <c r="IQ20" s="949"/>
      <c r="IR20" s="949"/>
      <c r="IS20" s="949"/>
      <c r="IT20" s="949"/>
      <c r="IU20" s="949"/>
      <c r="IV20" s="949"/>
    </row>
    <row r="21" spans="1:256" s="940" customFormat="1" ht="18" customHeight="1" x14ac:dyDescent="0.35">
      <c r="A21" s="1428"/>
      <c r="B21" s="956"/>
      <c r="C21" s="918" t="s">
        <v>1252</v>
      </c>
      <c r="D21" s="1453">
        <v>500</v>
      </c>
      <c r="E21" s="1453"/>
      <c r="F21" s="1453"/>
      <c r="G21" s="1453">
        <v>150</v>
      </c>
      <c r="H21" s="1453"/>
      <c r="I21" s="1453">
        <v>400</v>
      </c>
      <c r="J21" s="1453"/>
      <c r="K21" s="1453"/>
      <c r="L21" s="1453"/>
      <c r="M21" s="1453">
        <v>1500</v>
      </c>
      <c r="N21" s="1453">
        <v>1700</v>
      </c>
      <c r="O21" s="1453">
        <v>37</v>
      </c>
      <c r="P21" s="1453">
        <v>0</v>
      </c>
      <c r="Q21" s="827">
        <f>SUM(D21:P21)</f>
        <v>4287</v>
      </c>
      <c r="R21" s="918"/>
      <c r="S21" s="918"/>
      <c r="T21" s="918"/>
      <c r="U21" s="918"/>
      <c r="V21" s="918"/>
      <c r="W21" s="918"/>
      <c r="X21" s="918"/>
      <c r="Y21" s="918"/>
      <c r="Z21" s="918"/>
      <c r="AA21" s="918"/>
      <c r="AB21" s="918"/>
      <c r="AC21" s="918"/>
      <c r="AD21" s="918"/>
      <c r="AE21" s="918"/>
      <c r="AF21" s="918"/>
      <c r="AG21" s="918"/>
      <c r="AH21" s="918"/>
      <c r="AI21" s="918"/>
      <c r="AJ21" s="918"/>
      <c r="AK21" s="918"/>
      <c r="AL21" s="918"/>
      <c r="AM21" s="918"/>
      <c r="AN21" s="918"/>
      <c r="AO21" s="918"/>
      <c r="AP21" s="918"/>
      <c r="AQ21" s="918"/>
      <c r="AR21" s="918"/>
      <c r="AS21" s="918"/>
      <c r="AT21" s="918"/>
      <c r="AU21" s="918"/>
      <c r="AV21" s="918"/>
      <c r="AW21" s="918"/>
      <c r="AX21" s="918"/>
      <c r="AY21" s="918"/>
      <c r="AZ21" s="918"/>
      <c r="BA21" s="918"/>
      <c r="BB21" s="918"/>
      <c r="BC21" s="918"/>
      <c r="BD21" s="918"/>
      <c r="BE21" s="918"/>
      <c r="BF21" s="918"/>
      <c r="BG21" s="918"/>
      <c r="BH21" s="918"/>
      <c r="BI21" s="918"/>
      <c r="BJ21" s="918"/>
      <c r="BK21" s="918"/>
      <c r="BL21" s="918"/>
      <c r="BM21" s="918"/>
      <c r="BN21" s="918"/>
      <c r="BO21" s="918"/>
      <c r="BP21" s="918"/>
      <c r="BQ21" s="918"/>
      <c r="BR21" s="918"/>
      <c r="BS21" s="918"/>
      <c r="BT21" s="918"/>
      <c r="BU21" s="918"/>
      <c r="BV21" s="918"/>
      <c r="BW21" s="918"/>
      <c r="BX21" s="918"/>
      <c r="BY21" s="918"/>
      <c r="BZ21" s="918"/>
      <c r="CA21" s="918"/>
      <c r="CB21" s="918"/>
      <c r="CC21" s="918"/>
      <c r="CD21" s="918"/>
      <c r="CE21" s="918"/>
      <c r="CF21" s="918"/>
      <c r="CG21" s="918"/>
      <c r="CH21" s="918"/>
      <c r="CI21" s="918"/>
      <c r="CJ21" s="918"/>
      <c r="CK21" s="918"/>
      <c r="CL21" s="918"/>
      <c r="CM21" s="918"/>
      <c r="CN21" s="918"/>
      <c r="CO21" s="918"/>
      <c r="CP21" s="918"/>
      <c r="CQ21" s="918"/>
      <c r="CR21" s="918"/>
      <c r="CS21" s="918"/>
      <c r="CT21" s="918"/>
      <c r="CU21" s="918"/>
      <c r="CV21" s="918"/>
      <c r="CW21" s="918"/>
      <c r="CX21" s="918"/>
      <c r="CY21" s="918"/>
      <c r="CZ21" s="918"/>
      <c r="DA21" s="918"/>
      <c r="DB21" s="918"/>
      <c r="DC21" s="918"/>
      <c r="DD21" s="918"/>
      <c r="DE21" s="918"/>
      <c r="DF21" s="918"/>
      <c r="DG21" s="918"/>
      <c r="DH21" s="918"/>
      <c r="DI21" s="918"/>
      <c r="DJ21" s="918"/>
      <c r="DK21" s="918"/>
      <c r="DL21" s="918"/>
      <c r="DM21" s="918"/>
      <c r="DN21" s="918"/>
      <c r="DO21" s="918"/>
      <c r="DP21" s="918"/>
      <c r="DQ21" s="918"/>
      <c r="DR21" s="918"/>
      <c r="DS21" s="918"/>
      <c r="DT21" s="918"/>
      <c r="DU21" s="918"/>
      <c r="DV21" s="918"/>
      <c r="DW21" s="918"/>
      <c r="DX21" s="918"/>
      <c r="DY21" s="918"/>
      <c r="DZ21" s="918"/>
      <c r="EA21" s="918"/>
      <c r="EB21" s="918"/>
      <c r="EC21" s="918"/>
      <c r="ED21" s="918"/>
      <c r="EE21" s="918"/>
      <c r="EF21" s="918"/>
      <c r="EG21" s="918"/>
      <c r="EH21" s="918"/>
      <c r="EI21" s="918"/>
      <c r="EJ21" s="918"/>
      <c r="EK21" s="918"/>
      <c r="EL21" s="918"/>
      <c r="EM21" s="918"/>
      <c r="EN21" s="918"/>
      <c r="EO21" s="918"/>
      <c r="EP21" s="918"/>
      <c r="EQ21" s="918"/>
      <c r="ER21" s="918"/>
      <c r="ES21" s="918"/>
      <c r="ET21" s="918"/>
      <c r="EU21" s="918"/>
      <c r="EV21" s="918"/>
      <c r="EW21" s="918"/>
      <c r="EX21" s="918"/>
      <c r="EY21" s="918"/>
      <c r="EZ21" s="918"/>
      <c r="FA21" s="918"/>
      <c r="FB21" s="918"/>
      <c r="FC21" s="918"/>
      <c r="FD21" s="918"/>
      <c r="FE21" s="918"/>
      <c r="FF21" s="918"/>
      <c r="FG21" s="918"/>
      <c r="FH21" s="918"/>
      <c r="FI21" s="918"/>
      <c r="FJ21" s="918"/>
      <c r="FK21" s="918"/>
      <c r="FL21" s="918"/>
      <c r="FM21" s="918"/>
      <c r="FN21" s="918"/>
      <c r="FO21" s="918"/>
      <c r="FP21" s="918"/>
      <c r="FQ21" s="918"/>
      <c r="FR21" s="918"/>
      <c r="FS21" s="918"/>
      <c r="FT21" s="918"/>
      <c r="FU21" s="918"/>
      <c r="FV21" s="918"/>
      <c r="FW21" s="918"/>
      <c r="FX21" s="918"/>
      <c r="FY21" s="918"/>
      <c r="FZ21" s="918"/>
      <c r="GA21" s="918"/>
      <c r="GB21" s="918"/>
      <c r="GC21" s="918"/>
      <c r="GD21" s="918"/>
      <c r="GE21" s="918"/>
      <c r="GF21" s="918"/>
      <c r="GG21" s="918"/>
      <c r="GH21" s="918"/>
      <c r="GI21" s="918"/>
      <c r="GJ21" s="918"/>
      <c r="GK21" s="918"/>
      <c r="GL21" s="918"/>
      <c r="GM21" s="918"/>
      <c r="GN21" s="918"/>
      <c r="GO21" s="918"/>
      <c r="GP21" s="918"/>
      <c r="GQ21" s="918"/>
      <c r="GR21" s="918"/>
      <c r="GS21" s="918"/>
      <c r="GT21" s="918"/>
      <c r="GU21" s="918"/>
      <c r="GV21" s="918"/>
      <c r="GW21" s="918"/>
      <c r="GX21" s="918"/>
      <c r="GY21" s="918"/>
      <c r="GZ21" s="918"/>
      <c r="HA21" s="918"/>
      <c r="HB21" s="918"/>
      <c r="HC21" s="918"/>
      <c r="HD21" s="918"/>
      <c r="HE21" s="918"/>
      <c r="HF21" s="918"/>
      <c r="HG21" s="918"/>
      <c r="HH21" s="918"/>
      <c r="HI21" s="918"/>
      <c r="HJ21" s="918"/>
      <c r="HK21" s="918"/>
      <c r="HL21" s="918"/>
      <c r="HM21" s="918"/>
      <c r="HN21" s="918"/>
      <c r="HO21" s="918"/>
      <c r="HP21" s="918"/>
      <c r="HQ21" s="918"/>
      <c r="HR21" s="918"/>
      <c r="HS21" s="918"/>
      <c r="HT21" s="918"/>
      <c r="HU21" s="918"/>
      <c r="HV21" s="918"/>
      <c r="HW21" s="918"/>
      <c r="HX21" s="918"/>
      <c r="HY21" s="918"/>
      <c r="HZ21" s="918"/>
      <c r="IA21" s="918"/>
      <c r="IB21" s="918"/>
      <c r="IC21" s="918"/>
      <c r="ID21" s="918"/>
      <c r="IE21" s="918"/>
      <c r="IF21" s="918"/>
      <c r="IG21" s="918"/>
      <c r="IH21" s="918"/>
      <c r="II21" s="918"/>
      <c r="IJ21" s="918"/>
      <c r="IK21" s="918"/>
      <c r="IL21" s="918"/>
      <c r="IM21" s="918"/>
      <c r="IN21" s="918"/>
      <c r="IO21" s="918"/>
      <c r="IP21" s="918"/>
      <c r="IQ21" s="918"/>
      <c r="IR21" s="918"/>
      <c r="IS21" s="918"/>
      <c r="IT21" s="918"/>
      <c r="IU21" s="918"/>
      <c r="IV21" s="918"/>
    </row>
    <row r="22" spans="1:256" x14ac:dyDescent="0.35">
      <c r="A22" s="947">
        <v>11</v>
      </c>
      <c r="B22" s="953"/>
      <c r="C22" s="954" t="s">
        <v>733</v>
      </c>
      <c r="D22" s="187"/>
      <c r="E22" s="187"/>
      <c r="F22" s="187"/>
      <c r="G22" s="187"/>
      <c r="H22" s="187"/>
      <c r="I22" s="187"/>
      <c r="J22" s="187"/>
      <c r="K22" s="187"/>
      <c r="L22" s="187"/>
      <c r="M22" s="187"/>
      <c r="N22" s="187"/>
      <c r="O22" s="187"/>
      <c r="P22" s="960"/>
      <c r="Q22" s="955">
        <f t="shared" si="0"/>
        <v>0</v>
      </c>
      <c r="R22" s="954"/>
      <c r="S22" s="954"/>
      <c r="T22" s="954"/>
      <c r="U22" s="954"/>
      <c r="V22" s="954"/>
      <c r="W22" s="954"/>
      <c r="X22" s="954"/>
      <c r="Y22" s="954"/>
      <c r="Z22" s="954"/>
      <c r="AA22" s="954"/>
      <c r="AB22" s="954"/>
      <c r="AC22" s="954"/>
      <c r="AD22" s="954"/>
      <c r="AE22" s="954"/>
      <c r="AF22" s="954"/>
      <c r="AG22" s="954"/>
      <c r="AH22" s="954"/>
      <c r="AI22" s="954"/>
      <c r="AJ22" s="954"/>
      <c r="AK22" s="954"/>
      <c r="AL22" s="954"/>
      <c r="AM22" s="954"/>
      <c r="AN22" s="954"/>
      <c r="AO22" s="954"/>
      <c r="AP22" s="954"/>
      <c r="AQ22" s="954"/>
      <c r="AR22" s="954"/>
      <c r="AS22" s="954"/>
      <c r="AT22" s="954"/>
      <c r="AU22" s="954"/>
      <c r="AV22" s="954"/>
      <c r="AW22" s="954"/>
      <c r="AX22" s="954"/>
      <c r="AY22" s="954"/>
      <c r="AZ22" s="954"/>
      <c r="BA22" s="954"/>
      <c r="BB22" s="954"/>
      <c r="BC22" s="954"/>
      <c r="BD22" s="954"/>
      <c r="BE22" s="954"/>
      <c r="BF22" s="954"/>
      <c r="BG22" s="954"/>
      <c r="BH22" s="954"/>
      <c r="BI22" s="954"/>
      <c r="BJ22" s="954"/>
      <c r="BK22" s="954"/>
      <c r="BL22" s="954"/>
      <c r="BM22" s="954"/>
      <c r="BN22" s="954"/>
      <c r="BO22" s="954"/>
      <c r="BP22" s="954"/>
      <c r="BQ22" s="954"/>
      <c r="BR22" s="954"/>
      <c r="BS22" s="954"/>
      <c r="BT22" s="954"/>
      <c r="BU22" s="954"/>
      <c r="BV22" s="954"/>
      <c r="BW22" s="954"/>
      <c r="BX22" s="954"/>
      <c r="BY22" s="954"/>
      <c r="BZ22" s="954"/>
      <c r="CA22" s="954"/>
      <c r="CB22" s="954"/>
      <c r="CC22" s="954"/>
      <c r="CD22" s="954"/>
      <c r="CE22" s="954"/>
      <c r="CF22" s="954"/>
      <c r="CG22" s="954"/>
      <c r="CH22" s="954"/>
      <c r="CI22" s="954"/>
      <c r="CJ22" s="954"/>
      <c r="CK22" s="954"/>
      <c r="CL22" s="954"/>
      <c r="CM22" s="954"/>
      <c r="CN22" s="954"/>
      <c r="CO22" s="954"/>
      <c r="CP22" s="954"/>
      <c r="CQ22" s="954"/>
      <c r="CR22" s="954"/>
      <c r="CS22" s="954"/>
      <c r="CT22" s="954"/>
      <c r="CU22" s="954"/>
      <c r="CV22" s="954"/>
      <c r="CW22" s="954"/>
      <c r="CX22" s="954"/>
      <c r="CY22" s="954"/>
      <c r="CZ22" s="954"/>
      <c r="DA22" s="954"/>
      <c r="DB22" s="954"/>
      <c r="DC22" s="954"/>
      <c r="DD22" s="954"/>
      <c r="DE22" s="954"/>
      <c r="DF22" s="954"/>
      <c r="DG22" s="954"/>
      <c r="DH22" s="954"/>
      <c r="DI22" s="954"/>
      <c r="DJ22" s="954"/>
      <c r="DK22" s="954"/>
      <c r="DL22" s="954"/>
      <c r="DM22" s="954"/>
      <c r="DN22" s="954"/>
      <c r="DO22" s="954"/>
      <c r="DP22" s="954"/>
      <c r="DQ22" s="954"/>
      <c r="DR22" s="954"/>
      <c r="DS22" s="954"/>
      <c r="DT22" s="954"/>
      <c r="DU22" s="954"/>
      <c r="DV22" s="954"/>
      <c r="DW22" s="954"/>
      <c r="DX22" s="954"/>
      <c r="DY22" s="954"/>
      <c r="DZ22" s="954"/>
      <c r="EA22" s="954"/>
      <c r="EB22" s="954"/>
      <c r="EC22" s="954"/>
      <c r="ED22" s="954"/>
      <c r="EE22" s="954"/>
      <c r="EF22" s="954"/>
      <c r="EG22" s="954"/>
      <c r="EH22" s="954"/>
      <c r="EI22" s="954"/>
      <c r="EJ22" s="954"/>
      <c r="EK22" s="954"/>
      <c r="EL22" s="954"/>
      <c r="EM22" s="954"/>
      <c r="EN22" s="954"/>
      <c r="EO22" s="954"/>
      <c r="EP22" s="954"/>
      <c r="EQ22" s="954"/>
      <c r="ER22" s="954"/>
      <c r="ES22" s="954"/>
      <c r="ET22" s="954"/>
      <c r="EU22" s="954"/>
      <c r="EV22" s="954"/>
      <c r="EW22" s="954"/>
      <c r="EX22" s="954"/>
      <c r="EY22" s="954"/>
      <c r="EZ22" s="954"/>
      <c r="FA22" s="954"/>
      <c r="FB22" s="954"/>
      <c r="FC22" s="954"/>
      <c r="FD22" s="954"/>
      <c r="FE22" s="954"/>
      <c r="FF22" s="954"/>
      <c r="FG22" s="954"/>
      <c r="FH22" s="954"/>
      <c r="FI22" s="954"/>
      <c r="FJ22" s="954"/>
      <c r="FK22" s="954"/>
      <c r="FL22" s="954"/>
      <c r="FM22" s="954"/>
      <c r="FN22" s="954"/>
      <c r="FO22" s="954"/>
      <c r="FP22" s="954"/>
      <c r="FQ22" s="954"/>
      <c r="FR22" s="954"/>
      <c r="FS22" s="954"/>
      <c r="FT22" s="954"/>
      <c r="FU22" s="954"/>
      <c r="FV22" s="954"/>
      <c r="FW22" s="954"/>
      <c r="FX22" s="954"/>
      <c r="FY22" s="954"/>
      <c r="FZ22" s="954"/>
      <c r="GA22" s="954"/>
      <c r="GB22" s="954"/>
      <c r="GC22" s="954"/>
      <c r="GD22" s="954"/>
      <c r="GE22" s="954"/>
      <c r="GF22" s="954"/>
      <c r="GG22" s="954"/>
      <c r="GH22" s="954"/>
      <c r="GI22" s="954"/>
      <c r="GJ22" s="954"/>
      <c r="GK22" s="954"/>
      <c r="GL22" s="954"/>
      <c r="GM22" s="954"/>
      <c r="GN22" s="954"/>
      <c r="GO22" s="954"/>
      <c r="GP22" s="954"/>
      <c r="GQ22" s="954"/>
      <c r="GR22" s="954"/>
      <c r="GS22" s="954"/>
      <c r="GT22" s="954"/>
      <c r="GU22" s="954"/>
      <c r="GV22" s="954"/>
      <c r="GW22" s="954"/>
      <c r="GX22" s="954"/>
      <c r="GY22" s="954"/>
      <c r="GZ22" s="954"/>
      <c r="HA22" s="954"/>
      <c r="HB22" s="954"/>
      <c r="HC22" s="954"/>
      <c r="HD22" s="954"/>
      <c r="HE22" s="954"/>
      <c r="HF22" s="954"/>
      <c r="HG22" s="954"/>
      <c r="HH22" s="954"/>
      <c r="HI22" s="954"/>
      <c r="HJ22" s="954"/>
      <c r="HK22" s="954"/>
      <c r="HL22" s="954"/>
      <c r="HM22" s="954"/>
      <c r="HN22" s="954"/>
      <c r="HO22" s="954"/>
      <c r="HP22" s="954"/>
      <c r="HQ22" s="954"/>
      <c r="HR22" s="954"/>
      <c r="HS22" s="954"/>
      <c r="HT22" s="954"/>
      <c r="HU22" s="954"/>
      <c r="HV22" s="954"/>
      <c r="HW22" s="954"/>
      <c r="HX22" s="954"/>
      <c r="HY22" s="954"/>
      <c r="HZ22" s="954"/>
      <c r="IA22" s="954"/>
      <c r="IB22" s="954"/>
      <c r="IC22" s="954"/>
      <c r="ID22" s="954"/>
      <c r="IE22" s="954"/>
      <c r="IF22" s="954"/>
      <c r="IG22" s="954"/>
      <c r="IH22" s="954"/>
      <c r="II22" s="954"/>
      <c r="IJ22" s="954"/>
      <c r="IK22" s="954"/>
      <c r="IL22" s="954"/>
      <c r="IM22" s="954"/>
      <c r="IN22" s="954"/>
      <c r="IO22" s="954"/>
      <c r="IP22" s="954"/>
      <c r="IQ22" s="954"/>
      <c r="IR22" s="954"/>
      <c r="IS22" s="954"/>
      <c r="IT22" s="954"/>
      <c r="IU22" s="954"/>
      <c r="IV22" s="954"/>
    </row>
    <row r="23" spans="1:256" x14ac:dyDescent="0.35">
      <c r="A23" s="947">
        <v>12</v>
      </c>
      <c r="B23" s="956"/>
      <c r="C23" s="957" t="s">
        <v>1307</v>
      </c>
      <c r="D23" s="958">
        <f>SUM(D21:D22)</f>
        <v>500</v>
      </c>
      <c r="E23" s="958">
        <f t="shared" ref="E23:Q23" si="6">SUM(E21:E22)</f>
        <v>0</v>
      </c>
      <c r="F23" s="958">
        <f t="shared" si="6"/>
        <v>0</v>
      </c>
      <c r="G23" s="958">
        <f t="shared" si="6"/>
        <v>150</v>
      </c>
      <c r="H23" s="958">
        <f t="shared" si="6"/>
        <v>0</v>
      </c>
      <c r="I23" s="958">
        <f t="shared" si="6"/>
        <v>400</v>
      </c>
      <c r="J23" s="958">
        <f t="shared" si="6"/>
        <v>0</v>
      </c>
      <c r="K23" s="958">
        <f t="shared" si="6"/>
        <v>0</v>
      </c>
      <c r="L23" s="958">
        <f t="shared" si="6"/>
        <v>0</v>
      </c>
      <c r="M23" s="958">
        <f t="shared" si="6"/>
        <v>1500</v>
      </c>
      <c r="N23" s="958">
        <f t="shared" si="6"/>
        <v>1700</v>
      </c>
      <c r="O23" s="958">
        <f t="shared" si="6"/>
        <v>37</v>
      </c>
      <c r="P23" s="958">
        <f t="shared" si="6"/>
        <v>0</v>
      </c>
      <c r="Q23" s="1640">
        <f t="shared" si="6"/>
        <v>4287</v>
      </c>
      <c r="R23" s="940"/>
      <c r="S23" s="940"/>
      <c r="T23" s="940"/>
      <c r="U23" s="940"/>
      <c r="V23" s="940"/>
      <c r="W23" s="940"/>
      <c r="X23" s="940"/>
      <c r="Y23" s="940"/>
      <c r="Z23" s="940"/>
      <c r="AA23" s="940"/>
      <c r="AB23" s="940"/>
      <c r="AC23" s="940"/>
      <c r="AD23" s="940"/>
      <c r="AE23" s="940"/>
      <c r="AF23" s="940"/>
      <c r="AG23" s="940"/>
      <c r="AH23" s="940"/>
      <c r="AI23" s="940"/>
      <c r="AJ23" s="940"/>
      <c r="AK23" s="940"/>
      <c r="AL23" s="940"/>
      <c r="AM23" s="940"/>
      <c r="AN23" s="940"/>
      <c r="AO23" s="940"/>
      <c r="AP23" s="940"/>
      <c r="AQ23" s="940"/>
      <c r="AR23" s="940"/>
      <c r="AS23" s="940"/>
      <c r="AT23" s="940"/>
      <c r="AU23" s="940"/>
      <c r="AV23" s="940"/>
      <c r="AW23" s="940"/>
      <c r="AX23" s="940"/>
      <c r="AY23" s="940"/>
      <c r="AZ23" s="940"/>
      <c r="BA23" s="940"/>
      <c r="BB23" s="940"/>
      <c r="BC23" s="940"/>
      <c r="BD23" s="940"/>
      <c r="BE23" s="940"/>
      <c r="BF23" s="940"/>
      <c r="BG23" s="940"/>
      <c r="BH23" s="940"/>
      <c r="BI23" s="940"/>
      <c r="BJ23" s="940"/>
      <c r="BK23" s="940"/>
      <c r="BL23" s="940"/>
      <c r="BM23" s="940"/>
      <c r="BN23" s="940"/>
      <c r="BO23" s="940"/>
      <c r="BP23" s="940"/>
      <c r="BQ23" s="940"/>
      <c r="BR23" s="940"/>
      <c r="BS23" s="940"/>
      <c r="BT23" s="940"/>
      <c r="BU23" s="940"/>
      <c r="BV23" s="940"/>
      <c r="BW23" s="940"/>
      <c r="BX23" s="940"/>
      <c r="BY23" s="940"/>
      <c r="BZ23" s="940"/>
      <c r="CA23" s="940"/>
      <c r="CB23" s="940"/>
      <c r="CC23" s="940"/>
      <c r="CD23" s="940"/>
      <c r="CE23" s="940"/>
      <c r="CF23" s="940"/>
      <c r="CG23" s="940"/>
      <c r="CH23" s="940"/>
      <c r="CI23" s="940"/>
      <c r="CJ23" s="940"/>
      <c r="CK23" s="940"/>
      <c r="CL23" s="940"/>
      <c r="CM23" s="940"/>
      <c r="CN23" s="940"/>
      <c r="CO23" s="940"/>
      <c r="CP23" s="940"/>
      <c r="CQ23" s="940"/>
      <c r="CR23" s="940"/>
      <c r="CS23" s="940"/>
      <c r="CT23" s="940"/>
      <c r="CU23" s="940"/>
      <c r="CV23" s="940"/>
      <c r="CW23" s="940"/>
      <c r="CX23" s="940"/>
      <c r="CY23" s="940"/>
      <c r="CZ23" s="940"/>
      <c r="DA23" s="940"/>
      <c r="DB23" s="940"/>
      <c r="DC23" s="940"/>
      <c r="DD23" s="940"/>
      <c r="DE23" s="940"/>
      <c r="DF23" s="940"/>
      <c r="DG23" s="940"/>
      <c r="DH23" s="940"/>
      <c r="DI23" s="940"/>
      <c r="DJ23" s="940"/>
      <c r="DK23" s="940"/>
      <c r="DL23" s="940"/>
      <c r="DM23" s="940"/>
      <c r="DN23" s="940"/>
      <c r="DO23" s="940"/>
      <c r="DP23" s="940"/>
      <c r="DQ23" s="940"/>
      <c r="DR23" s="940"/>
      <c r="DS23" s="940"/>
      <c r="DT23" s="940"/>
      <c r="DU23" s="940"/>
      <c r="DV23" s="940"/>
      <c r="DW23" s="940"/>
      <c r="DX23" s="940"/>
      <c r="DY23" s="940"/>
      <c r="DZ23" s="940"/>
      <c r="EA23" s="940"/>
      <c r="EB23" s="940"/>
      <c r="EC23" s="940"/>
      <c r="ED23" s="940"/>
      <c r="EE23" s="940"/>
      <c r="EF23" s="940"/>
      <c r="EG23" s="940"/>
      <c r="EH23" s="940"/>
      <c r="EI23" s="940"/>
      <c r="EJ23" s="940"/>
      <c r="EK23" s="940"/>
      <c r="EL23" s="940"/>
      <c r="EM23" s="940"/>
      <c r="EN23" s="940"/>
      <c r="EO23" s="940"/>
      <c r="EP23" s="940"/>
      <c r="EQ23" s="940"/>
      <c r="ER23" s="940"/>
      <c r="ES23" s="940"/>
      <c r="ET23" s="940"/>
      <c r="EU23" s="940"/>
      <c r="EV23" s="940"/>
      <c r="EW23" s="940"/>
      <c r="EX23" s="940"/>
      <c r="EY23" s="940"/>
      <c r="EZ23" s="940"/>
      <c r="FA23" s="940"/>
      <c r="FB23" s="940"/>
      <c r="FC23" s="940"/>
      <c r="FD23" s="940"/>
      <c r="FE23" s="940"/>
      <c r="FF23" s="940"/>
      <c r="FG23" s="940"/>
      <c r="FH23" s="940"/>
      <c r="FI23" s="940"/>
      <c r="FJ23" s="940"/>
      <c r="FK23" s="940"/>
      <c r="FL23" s="940"/>
      <c r="FM23" s="940"/>
      <c r="FN23" s="940"/>
      <c r="FO23" s="940"/>
      <c r="FP23" s="940"/>
      <c r="FQ23" s="940"/>
      <c r="FR23" s="940"/>
      <c r="FS23" s="940"/>
      <c r="FT23" s="940"/>
      <c r="FU23" s="940"/>
      <c r="FV23" s="940"/>
      <c r="FW23" s="940"/>
      <c r="FX23" s="940"/>
      <c r="FY23" s="940"/>
      <c r="FZ23" s="940"/>
      <c r="GA23" s="940"/>
      <c r="GB23" s="940"/>
      <c r="GC23" s="940"/>
      <c r="GD23" s="940"/>
      <c r="GE23" s="940"/>
      <c r="GF23" s="940"/>
      <c r="GG23" s="940"/>
      <c r="GH23" s="940"/>
      <c r="GI23" s="940"/>
      <c r="GJ23" s="940"/>
      <c r="GK23" s="940"/>
      <c r="GL23" s="940"/>
      <c r="GM23" s="940"/>
      <c r="GN23" s="940"/>
      <c r="GO23" s="940"/>
      <c r="GP23" s="940"/>
      <c r="GQ23" s="940"/>
      <c r="GR23" s="940"/>
      <c r="GS23" s="940"/>
      <c r="GT23" s="940"/>
      <c r="GU23" s="940"/>
      <c r="GV23" s="940"/>
      <c r="GW23" s="940"/>
      <c r="GX23" s="940"/>
      <c r="GY23" s="940"/>
      <c r="GZ23" s="940"/>
      <c r="HA23" s="940"/>
      <c r="HB23" s="940"/>
      <c r="HC23" s="940"/>
      <c r="HD23" s="940"/>
      <c r="HE23" s="940"/>
      <c r="HF23" s="940"/>
      <c r="HG23" s="940"/>
      <c r="HH23" s="940"/>
      <c r="HI23" s="940"/>
      <c r="HJ23" s="940"/>
      <c r="HK23" s="940"/>
      <c r="HL23" s="940"/>
      <c r="HM23" s="940"/>
      <c r="HN23" s="940"/>
      <c r="HO23" s="940"/>
      <c r="HP23" s="940"/>
      <c r="HQ23" s="940"/>
      <c r="HR23" s="940"/>
      <c r="HS23" s="940"/>
      <c r="HT23" s="940"/>
      <c r="HU23" s="940"/>
      <c r="HV23" s="940"/>
      <c r="HW23" s="940"/>
      <c r="HX23" s="940"/>
      <c r="HY23" s="940"/>
      <c r="HZ23" s="940"/>
      <c r="IA23" s="940"/>
      <c r="IB23" s="940"/>
      <c r="IC23" s="940"/>
      <c r="ID23" s="940"/>
      <c r="IE23" s="940"/>
      <c r="IF23" s="940"/>
      <c r="IG23" s="940"/>
      <c r="IH23" s="940"/>
      <c r="II23" s="940"/>
      <c r="IJ23" s="940"/>
      <c r="IK23" s="940"/>
      <c r="IL23" s="940"/>
      <c r="IM23" s="940"/>
      <c r="IN23" s="940"/>
      <c r="IO23" s="940"/>
      <c r="IP23" s="940"/>
      <c r="IQ23" s="940"/>
      <c r="IR23" s="940"/>
      <c r="IS23" s="940"/>
      <c r="IT23" s="940"/>
      <c r="IU23" s="940"/>
      <c r="IV23" s="940"/>
    </row>
    <row r="24" spans="1:256" s="952" customFormat="1" ht="30" customHeight="1" x14ac:dyDescent="0.35">
      <c r="A24" s="947">
        <v>13</v>
      </c>
      <c r="B24" s="948" t="s">
        <v>763</v>
      </c>
      <c r="C24" s="949" t="s">
        <v>760</v>
      </c>
      <c r="D24" s="950"/>
      <c r="E24" s="950"/>
      <c r="F24" s="950"/>
      <c r="G24" s="950"/>
      <c r="H24" s="950"/>
      <c r="I24" s="950"/>
      <c r="J24" s="950"/>
      <c r="K24" s="950"/>
      <c r="L24" s="950"/>
      <c r="M24" s="950"/>
      <c r="N24" s="950"/>
      <c r="O24" s="950">
        <v>2000</v>
      </c>
      <c r="P24" s="950">
        <v>292</v>
      </c>
      <c r="Q24" s="951">
        <f t="shared" si="0"/>
        <v>2292</v>
      </c>
      <c r="R24" s="961"/>
      <c r="S24" s="949"/>
      <c r="T24" s="949"/>
      <c r="U24" s="949"/>
      <c r="V24" s="949"/>
      <c r="W24" s="949"/>
      <c r="X24" s="949"/>
      <c r="Y24" s="949"/>
      <c r="Z24" s="949"/>
      <c r="AA24" s="949"/>
      <c r="AB24" s="949"/>
      <c r="AC24" s="949"/>
      <c r="AD24" s="949"/>
      <c r="AE24" s="949"/>
      <c r="AF24" s="949"/>
      <c r="AG24" s="949"/>
      <c r="AH24" s="949"/>
      <c r="AI24" s="949"/>
      <c r="AJ24" s="949"/>
      <c r="AK24" s="949"/>
      <c r="AL24" s="949"/>
      <c r="AM24" s="949"/>
      <c r="AN24" s="949"/>
      <c r="AO24" s="949"/>
      <c r="AP24" s="949"/>
      <c r="AQ24" s="949"/>
      <c r="AR24" s="949"/>
      <c r="AS24" s="949"/>
      <c r="AT24" s="949"/>
      <c r="AU24" s="949"/>
      <c r="AV24" s="949"/>
      <c r="AW24" s="949"/>
      <c r="AX24" s="949"/>
      <c r="AY24" s="949"/>
      <c r="AZ24" s="949"/>
      <c r="BA24" s="949"/>
      <c r="BB24" s="949"/>
      <c r="BC24" s="949"/>
      <c r="BD24" s="949"/>
      <c r="BE24" s="949"/>
      <c r="BF24" s="949"/>
      <c r="BG24" s="949"/>
      <c r="BH24" s="949"/>
      <c r="BI24" s="949"/>
      <c r="BJ24" s="949"/>
      <c r="BK24" s="949"/>
      <c r="BL24" s="949"/>
      <c r="BM24" s="949"/>
      <c r="BN24" s="949"/>
      <c r="BO24" s="949"/>
      <c r="BP24" s="949"/>
      <c r="BQ24" s="949"/>
      <c r="BR24" s="949"/>
      <c r="BS24" s="949"/>
      <c r="BT24" s="949"/>
      <c r="BU24" s="949"/>
      <c r="BV24" s="949"/>
      <c r="BW24" s="949"/>
      <c r="BX24" s="949"/>
      <c r="BY24" s="949"/>
      <c r="BZ24" s="949"/>
      <c r="CA24" s="949"/>
      <c r="CB24" s="949"/>
      <c r="CC24" s="949"/>
      <c r="CD24" s="949"/>
      <c r="CE24" s="949"/>
      <c r="CF24" s="949"/>
      <c r="CG24" s="949"/>
      <c r="CH24" s="949"/>
      <c r="CI24" s="949"/>
      <c r="CJ24" s="949"/>
      <c r="CK24" s="949"/>
      <c r="CL24" s="949"/>
      <c r="CM24" s="949"/>
      <c r="CN24" s="949"/>
      <c r="CO24" s="949"/>
      <c r="CP24" s="949"/>
      <c r="CQ24" s="949"/>
      <c r="CR24" s="949"/>
      <c r="CS24" s="949"/>
      <c r="CT24" s="949"/>
      <c r="CU24" s="949"/>
      <c r="CV24" s="949"/>
      <c r="CW24" s="949"/>
      <c r="CX24" s="949"/>
      <c r="CY24" s="949"/>
      <c r="CZ24" s="949"/>
      <c r="DA24" s="949"/>
      <c r="DB24" s="949"/>
      <c r="DC24" s="949"/>
      <c r="DD24" s="949"/>
      <c r="DE24" s="949"/>
      <c r="DF24" s="949"/>
      <c r="DG24" s="949"/>
      <c r="DH24" s="949"/>
      <c r="DI24" s="949"/>
      <c r="DJ24" s="949"/>
      <c r="DK24" s="949"/>
      <c r="DL24" s="949"/>
      <c r="DM24" s="949"/>
      <c r="DN24" s="949"/>
      <c r="DO24" s="949"/>
      <c r="DP24" s="949"/>
      <c r="DQ24" s="949"/>
      <c r="DR24" s="949"/>
      <c r="DS24" s="949"/>
      <c r="DT24" s="949"/>
      <c r="DU24" s="949"/>
      <c r="DV24" s="949"/>
      <c r="DW24" s="949"/>
      <c r="DX24" s="949"/>
      <c r="DY24" s="949"/>
      <c r="DZ24" s="949"/>
      <c r="EA24" s="949"/>
      <c r="EB24" s="949"/>
      <c r="EC24" s="949"/>
      <c r="ED24" s="949"/>
      <c r="EE24" s="949"/>
      <c r="EF24" s="949"/>
      <c r="EG24" s="949"/>
      <c r="EH24" s="949"/>
      <c r="EI24" s="949"/>
      <c r="EJ24" s="949"/>
      <c r="EK24" s="949"/>
      <c r="EL24" s="949"/>
      <c r="EM24" s="949"/>
      <c r="EN24" s="949"/>
      <c r="EO24" s="949"/>
      <c r="EP24" s="949"/>
      <c r="EQ24" s="949"/>
      <c r="ER24" s="949"/>
      <c r="ES24" s="949"/>
      <c r="ET24" s="949"/>
      <c r="EU24" s="949"/>
      <c r="EV24" s="949"/>
      <c r="EW24" s="949"/>
      <c r="EX24" s="949"/>
      <c r="EY24" s="949"/>
      <c r="EZ24" s="949"/>
      <c r="FA24" s="949"/>
      <c r="FB24" s="949"/>
      <c r="FC24" s="949"/>
      <c r="FD24" s="949"/>
      <c r="FE24" s="949"/>
      <c r="FF24" s="949"/>
      <c r="FG24" s="949"/>
      <c r="FH24" s="949"/>
      <c r="FI24" s="949"/>
      <c r="FJ24" s="949"/>
      <c r="FK24" s="949"/>
      <c r="FL24" s="949"/>
      <c r="FM24" s="949"/>
      <c r="FN24" s="949"/>
      <c r="FO24" s="949"/>
      <c r="FP24" s="949"/>
      <c r="FQ24" s="949"/>
      <c r="FR24" s="949"/>
      <c r="FS24" s="949"/>
      <c r="FT24" s="949"/>
      <c r="FU24" s="949"/>
      <c r="FV24" s="949"/>
      <c r="FW24" s="949"/>
      <c r="FX24" s="949"/>
      <c r="FY24" s="949"/>
      <c r="FZ24" s="949"/>
      <c r="GA24" s="949"/>
      <c r="GB24" s="949"/>
      <c r="GC24" s="949"/>
      <c r="GD24" s="949"/>
      <c r="GE24" s="949"/>
      <c r="GF24" s="949"/>
      <c r="GG24" s="949"/>
      <c r="GH24" s="949"/>
      <c r="GI24" s="949"/>
      <c r="GJ24" s="949"/>
      <c r="GK24" s="949"/>
      <c r="GL24" s="949"/>
      <c r="GM24" s="949"/>
      <c r="GN24" s="949"/>
      <c r="GO24" s="949"/>
      <c r="GP24" s="949"/>
      <c r="GQ24" s="949"/>
      <c r="GR24" s="949"/>
      <c r="GS24" s="949"/>
      <c r="GT24" s="949"/>
      <c r="GU24" s="949"/>
      <c r="GV24" s="949"/>
      <c r="GW24" s="949"/>
      <c r="GX24" s="949"/>
      <c r="GY24" s="949"/>
      <c r="GZ24" s="949"/>
      <c r="HA24" s="949"/>
      <c r="HB24" s="949"/>
      <c r="HC24" s="949"/>
      <c r="HD24" s="949"/>
      <c r="HE24" s="949"/>
      <c r="HF24" s="949"/>
      <c r="HG24" s="949"/>
      <c r="HH24" s="949"/>
      <c r="HI24" s="949"/>
      <c r="HJ24" s="949"/>
      <c r="HK24" s="949"/>
      <c r="HL24" s="949"/>
      <c r="HM24" s="949"/>
      <c r="HN24" s="949"/>
      <c r="HO24" s="949"/>
      <c r="HP24" s="949"/>
      <c r="HQ24" s="949"/>
      <c r="HR24" s="949"/>
      <c r="HS24" s="949"/>
      <c r="HT24" s="949"/>
      <c r="HU24" s="949"/>
      <c r="HV24" s="949"/>
      <c r="HW24" s="949"/>
      <c r="HX24" s="949"/>
      <c r="HY24" s="949"/>
      <c r="HZ24" s="949"/>
      <c r="IA24" s="949"/>
      <c r="IB24" s="949"/>
      <c r="IC24" s="949"/>
      <c r="ID24" s="949"/>
      <c r="IE24" s="949"/>
      <c r="IF24" s="949"/>
      <c r="IG24" s="949"/>
      <c r="IH24" s="949"/>
      <c r="II24" s="949"/>
      <c r="IJ24" s="949"/>
      <c r="IK24" s="949"/>
      <c r="IL24" s="949"/>
      <c r="IM24" s="949"/>
      <c r="IN24" s="949"/>
      <c r="IO24" s="949"/>
      <c r="IP24" s="949"/>
      <c r="IQ24" s="949"/>
      <c r="IR24" s="949"/>
      <c r="IS24" s="949"/>
      <c r="IT24" s="949"/>
      <c r="IU24" s="949"/>
      <c r="IV24" s="949"/>
    </row>
    <row r="25" spans="1:256" s="940" customFormat="1" ht="18" customHeight="1" x14ac:dyDescent="0.35">
      <c r="A25" s="1428"/>
      <c r="B25" s="956"/>
      <c r="C25" s="918" t="s">
        <v>1252</v>
      </c>
      <c r="D25" s="1453"/>
      <c r="E25" s="1453"/>
      <c r="F25" s="1453"/>
      <c r="G25" s="1453">
        <v>200</v>
      </c>
      <c r="H25" s="1453"/>
      <c r="I25" s="1453">
        <v>50</v>
      </c>
      <c r="J25" s="1453"/>
      <c r="K25" s="1453"/>
      <c r="L25" s="1453"/>
      <c r="M25" s="1453">
        <v>355</v>
      </c>
      <c r="N25" s="1453">
        <v>1125</v>
      </c>
      <c r="O25" s="1453">
        <v>562</v>
      </c>
      <c r="P25" s="1453">
        <v>0</v>
      </c>
      <c r="Q25" s="827">
        <f t="shared" si="0"/>
        <v>2292</v>
      </c>
      <c r="R25" s="1454"/>
      <c r="S25" s="918"/>
      <c r="T25" s="918"/>
      <c r="U25" s="918"/>
      <c r="V25" s="918"/>
      <c r="W25" s="918"/>
      <c r="X25" s="918"/>
      <c r="Y25" s="918"/>
      <c r="Z25" s="918"/>
      <c r="AA25" s="918"/>
      <c r="AB25" s="918"/>
      <c r="AC25" s="918"/>
      <c r="AD25" s="918"/>
      <c r="AE25" s="918"/>
      <c r="AF25" s="918"/>
      <c r="AG25" s="918"/>
      <c r="AH25" s="918"/>
      <c r="AI25" s="918"/>
      <c r="AJ25" s="918"/>
      <c r="AK25" s="918"/>
      <c r="AL25" s="918"/>
      <c r="AM25" s="918"/>
      <c r="AN25" s="918"/>
      <c r="AO25" s="918"/>
      <c r="AP25" s="918"/>
      <c r="AQ25" s="918"/>
      <c r="AR25" s="918"/>
      <c r="AS25" s="918"/>
      <c r="AT25" s="918"/>
      <c r="AU25" s="918"/>
      <c r="AV25" s="918"/>
      <c r="AW25" s="918"/>
      <c r="AX25" s="918"/>
      <c r="AY25" s="918"/>
      <c r="AZ25" s="918"/>
      <c r="BA25" s="918"/>
      <c r="BB25" s="918"/>
      <c r="BC25" s="918"/>
      <c r="BD25" s="918"/>
      <c r="BE25" s="918"/>
      <c r="BF25" s="918"/>
      <c r="BG25" s="918"/>
      <c r="BH25" s="918"/>
      <c r="BI25" s="918"/>
      <c r="BJ25" s="918"/>
      <c r="BK25" s="918"/>
      <c r="BL25" s="918"/>
      <c r="BM25" s="918"/>
      <c r="BN25" s="918"/>
      <c r="BO25" s="918"/>
      <c r="BP25" s="918"/>
      <c r="BQ25" s="918"/>
      <c r="BR25" s="918"/>
      <c r="BS25" s="918"/>
      <c r="BT25" s="918"/>
      <c r="BU25" s="918"/>
      <c r="BV25" s="918"/>
      <c r="BW25" s="918"/>
      <c r="BX25" s="918"/>
      <c r="BY25" s="918"/>
      <c r="BZ25" s="918"/>
      <c r="CA25" s="918"/>
      <c r="CB25" s="918"/>
      <c r="CC25" s="918"/>
      <c r="CD25" s="918"/>
      <c r="CE25" s="918"/>
      <c r="CF25" s="918"/>
      <c r="CG25" s="918"/>
      <c r="CH25" s="918"/>
      <c r="CI25" s="918"/>
      <c r="CJ25" s="918"/>
      <c r="CK25" s="918"/>
      <c r="CL25" s="918"/>
      <c r="CM25" s="918"/>
      <c r="CN25" s="918"/>
      <c r="CO25" s="918"/>
      <c r="CP25" s="918"/>
      <c r="CQ25" s="918"/>
      <c r="CR25" s="918"/>
      <c r="CS25" s="918"/>
      <c r="CT25" s="918"/>
      <c r="CU25" s="918"/>
      <c r="CV25" s="918"/>
      <c r="CW25" s="918"/>
      <c r="CX25" s="918"/>
      <c r="CY25" s="918"/>
      <c r="CZ25" s="918"/>
      <c r="DA25" s="918"/>
      <c r="DB25" s="918"/>
      <c r="DC25" s="918"/>
      <c r="DD25" s="918"/>
      <c r="DE25" s="918"/>
      <c r="DF25" s="918"/>
      <c r="DG25" s="918"/>
      <c r="DH25" s="918"/>
      <c r="DI25" s="918"/>
      <c r="DJ25" s="918"/>
      <c r="DK25" s="918"/>
      <c r="DL25" s="918"/>
      <c r="DM25" s="918"/>
      <c r="DN25" s="918"/>
      <c r="DO25" s="918"/>
      <c r="DP25" s="918"/>
      <c r="DQ25" s="918"/>
      <c r="DR25" s="918"/>
      <c r="DS25" s="918"/>
      <c r="DT25" s="918"/>
      <c r="DU25" s="918"/>
      <c r="DV25" s="918"/>
      <c r="DW25" s="918"/>
      <c r="DX25" s="918"/>
      <c r="DY25" s="918"/>
      <c r="DZ25" s="918"/>
      <c r="EA25" s="918"/>
      <c r="EB25" s="918"/>
      <c r="EC25" s="918"/>
      <c r="ED25" s="918"/>
      <c r="EE25" s="918"/>
      <c r="EF25" s="918"/>
      <c r="EG25" s="918"/>
      <c r="EH25" s="918"/>
      <c r="EI25" s="918"/>
      <c r="EJ25" s="918"/>
      <c r="EK25" s="918"/>
      <c r="EL25" s="918"/>
      <c r="EM25" s="918"/>
      <c r="EN25" s="918"/>
      <c r="EO25" s="918"/>
      <c r="EP25" s="918"/>
      <c r="EQ25" s="918"/>
      <c r="ER25" s="918"/>
      <c r="ES25" s="918"/>
      <c r="ET25" s="918"/>
      <c r="EU25" s="918"/>
      <c r="EV25" s="918"/>
      <c r="EW25" s="918"/>
      <c r="EX25" s="918"/>
      <c r="EY25" s="918"/>
      <c r="EZ25" s="918"/>
      <c r="FA25" s="918"/>
      <c r="FB25" s="918"/>
      <c r="FC25" s="918"/>
      <c r="FD25" s="918"/>
      <c r="FE25" s="918"/>
      <c r="FF25" s="918"/>
      <c r="FG25" s="918"/>
      <c r="FH25" s="918"/>
      <c r="FI25" s="918"/>
      <c r="FJ25" s="918"/>
      <c r="FK25" s="918"/>
      <c r="FL25" s="918"/>
      <c r="FM25" s="918"/>
      <c r="FN25" s="918"/>
      <c r="FO25" s="918"/>
      <c r="FP25" s="918"/>
      <c r="FQ25" s="918"/>
      <c r="FR25" s="918"/>
      <c r="FS25" s="918"/>
      <c r="FT25" s="918"/>
      <c r="FU25" s="918"/>
      <c r="FV25" s="918"/>
      <c r="FW25" s="918"/>
      <c r="FX25" s="918"/>
      <c r="FY25" s="918"/>
      <c r="FZ25" s="918"/>
      <c r="GA25" s="918"/>
      <c r="GB25" s="918"/>
      <c r="GC25" s="918"/>
      <c r="GD25" s="918"/>
      <c r="GE25" s="918"/>
      <c r="GF25" s="918"/>
      <c r="GG25" s="918"/>
      <c r="GH25" s="918"/>
      <c r="GI25" s="918"/>
      <c r="GJ25" s="918"/>
      <c r="GK25" s="918"/>
      <c r="GL25" s="918"/>
      <c r="GM25" s="918"/>
      <c r="GN25" s="918"/>
      <c r="GO25" s="918"/>
      <c r="GP25" s="918"/>
      <c r="GQ25" s="918"/>
      <c r="GR25" s="918"/>
      <c r="GS25" s="918"/>
      <c r="GT25" s="918"/>
      <c r="GU25" s="918"/>
      <c r="GV25" s="918"/>
      <c r="GW25" s="918"/>
      <c r="GX25" s="918"/>
      <c r="GY25" s="918"/>
      <c r="GZ25" s="918"/>
      <c r="HA25" s="918"/>
      <c r="HB25" s="918"/>
      <c r="HC25" s="918"/>
      <c r="HD25" s="918"/>
      <c r="HE25" s="918"/>
      <c r="HF25" s="918"/>
      <c r="HG25" s="918"/>
      <c r="HH25" s="918"/>
      <c r="HI25" s="918"/>
      <c r="HJ25" s="918"/>
      <c r="HK25" s="918"/>
      <c r="HL25" s="918"/>
      <c r="HM25" s="918"/>
      <c r="HN25" s="918"/>
      <c r="HO25" s="918"/>
      <c r="HP25" s="918"/>
      <c r="HQ25" s="918"/>
      <c r="HR25" s="918"/>
      <c r="HS25" s="918"/>
      <c r="HT25" s="918"/>
      <c r="HU25" s="918"/>
      <c r="HV25" s="918"/>
      <c r="HW25" s="918"/>
      <c r="HX25" s="918"/>
      <c r="HY25" s="918"/>
      <c r="HZ25" s="918"/>
      <c r="IA25" s="918"/>
      <c r="IB25" s="918"/>
      <c r="IC25" s="918"/>
      <c r="ID25" s="918"/>
      <c r="IE25" s="918"/>
      <c r="IF25" s="918"/>
      <c r="IG25" s="918"/>
      <c r="IH25" s="918"/>
      <c r="II25" s="918"/>
      <c r="IJ25" s="918"/>
      <c r="IK25" s="918"/>
      <c r="IL25" s="918"/>
      <c r="IM25" s="918"/>
      <c r="IN25" s="918"/>
      <c r="IO25" s="918"/>
      <c r="IP25" s="918"/>
      <c r="IQ25" s="918"/>
      <c r="IR25" s="918"/>
      <c r="IS25" s="918"/>
      <c r="IT25" s="918"/>
      <c r="IU25" s="918"/>
      <c r="IV25" s="918"/>
    </row>
    <row r="26" spans="1:256" x14ac:dyDescent="0.35">
      <c r="A26" s="947">
        <v>14</v>
      </c>
      <c r="B26" s="953"/>
      <c r="C26" s="954" t="s">
        <v>733</v>
      </c>
      <c r="D26" s="187"/>
      <c r="E26" s="187"/>
      <c r="F26" s="187"/>
      <c r="G26" s="187">
        <v>110</v>
      </c>
      <c r="H26" s="187"/>
      <c r="I26" s="187"/>
      <c r="J26" s="187"/>
      <c r="K26" s="187"/>
      <c r="L26" s="187"/>
      <c r="M26" s="187">
        <v>200</v>
      </c>
      <c r="N26" s="187">
        <v>252</v>
      </c>
      <c r="O26" s="187">
        <v>-562</v>
      </c>
      <c r="P26" s="960"/>
      <c r="Q26" s="955">
        <f t="shared" si="0"/>
        <v>0</v>
      </c>
      <c r="R26" s="954"/>
      <c r="S26" s="954"/>
      <c r="T26" s="954"/>
      <c r="U26" s="954"/>
      <c r="V26" s="954"/>
      <c r="W26" s="954"/>
      <c r="X26" s="954"/>
      <c r="Y26" s="954"/>
      <c r="Z26" s="954"/>
      <c r="AA26" s="954"/>
      <c r="AB26" s="954"/>
      <c r="AC26" s="954"/>
      <c r="AD26" s="954"/>
      <c r="AE26" s="954"/>
      <c r="AF26" s="954"/>
      <c r="AG26" s="954"/>
      <c r="AH26" s="954"/>
      <c r="AI26" s="954"/>
      <c r="AJ26" s="954"/>
      <c r="AK26" s="954"/>
      <c r="AL26" s="954"/>
      <c r="AM26" s="954"/>
      <c r="AN26" s="954"/>
      <c r="AO26" s="954"/>
      <c r="AP26" s="954"/>
      <c r="AQ26" s="954"/>
      <c r="AR26" s="954"/>
      <c r="AS26" s="954"/>
      <c r="AT26" s="954"/>
      <c r="AU26" s="954"/>
      <c r="AV26" s="954"/>
      <c r="AW26" s="954"/>
      <c r="AX26" s="954"/>
      <c r="AY26" s="954"/>
      <c r="AZ26" s="954"/>
      <c r="BA26" s="954"/>
      <c r="BB26" s="954"/>
      <c r="BC26" s="954"/>
      <c r="BD26" s="954"/>
      <c r="BE26" s="954"/>
      <c r="BF26" s="954"/>
      <c r="BG26" s="954"/>
      <c r="BH26" s="954"/>
      <c r="BI26" s="954"/>
      <c r="BJ26" s="954"/>
      <c r="BK26" s="954"/>
      <c r="BL26" s="954"/>
      <c r="BM26" s="954"/>
      <c r="BN26" s="954"/>
      <c r="BO26" s="954"/>
      <c r="BP26" s="954"/>
      <c r="BQ26" s="954"/>
      <c r="BR26" s="954"/>
      <c r="BS26" s="954"/>
      <c r="BT26" s="954"/>
      <c r="BU26" s="954"/>
      <c r="BV26" s="954"/>
      <c r="BW26" s="954"/>
      <c r="BX26" s="954"/>
      <c r="BY26" s="954"/>
      <c r="BZ26" s="954"/>
      <c r="CA26" s="954"/>
      <c r="CB26" s="954"/>
      <c r="CC26" s="954"/>
      <c r="CD26" s="954"/>
      <c r="CE26" s="954"/>
      <c r="CF26" s="954"/>
      <c r="CG26" s="954"/>
      <c r="CH26" s="954"/>
      <c r="CI26" s="954"/>
      <c r="CJ26" s="954"/>
      <c r="CK26" s="954"/>
      <c r="CL26" s="954"/>
      <c r="CM26" s="954"/>
      <c r="CN26" s="954"/>
      <c r="CO26" s="954"/>
      <c r="CP26" s="954"/>
      <c r="CQ26" s="954"/>
      <c r="CR26" s="954"/>
      <c r="CS26" s="954"/>
      <c r="CT26" s="954"/>
      <c r="CU26" s="954"/>
      <c r="CV26" s="954"/>
      <c r="CW26" s="954"/>
      <c r="CX26" s="954"/>
      <c r="CY26" s="954"/>
      <c r="CZ26" s="954"/>
      <c r="DA26" s="954"/>
      <c r="DB26" s="954"/>
      <c r="DC26" s="954"/>
      <c r="DD26" s="954"/>
      <c r="DE26" s="954"/>
      <c r="DF26" s="954"/>
      <c r="DG26" s="954"/>
      <c r="DH26" s="954"/>
      <c r="DI26" s="954"/>
      <c r="DJ26" s="954"/>
      <c r="DK26" s="954"/>
      <c r="DL26" s="954"/>
      <c r="DM26" s="954"/>
      <c r="DN26" s="954"/>
      <c r="DO26" s="954"/>
      <c r="DP26" s="954"/>
      <c r="DQ26" s="954"/>
      <c r="DR26" s="954"/>
      <c r="DS26" s="954"/>
      <c r="DT26" s="954"/>
      <c r="DU26" s="954"/>
      <c r="DV26" s="954"/>
      <c r="DW26" s="954"/>
      <c r="DX26" s="954"/>
      <c r="DY26" s="954"/>
      <c r="DZ26" s="954"/>
      <c r="EA26" s="954"/>
      <c r="EB26" s="954"/>
      <c r="EC26" s="954"/>
      <c r="ED26" s="954"/>
      <c r="EE26" s="954"/>
      <c r="EF26" s="954"/>
      <c r="EG26" s="954"/>
      <c r="EH26" s="954"/>
      <c r="EI26" s="954"/>
      <c r="EJ26" s="954"/>
      <c r="EK26" s="954"/>
      <c r="EL26" s="954"/>
      <c r="EM26" s="954"/>
      <c r="EN26" s="954"/>
      <c r="EO26" s="954"/>
      <c r="EP26" s="954"/>
      <c r="EQ26" s="954"/>
      <c r="ER26" s="954"/>
      <c r="ES26" s="954"/>
      <c r="ET26" s="954"/>
      <c r="EU26" s="954"/>
      <c r="EV26" s="954"/>
      <c r="EW26" s="954"/>
      <c r="EX26" s="954"/>
      <c r="EY26" s="954"/>
      <c r="EZ26" s="954"/>
      <c r="FA26" s="954"/>
      <c r="FB26" s="954"/>
      <c r="FC26" s="954"/>
      <c r="FD26" s="954"/>
      <c r="FE26" s="954"/>
      <c r="FF26" s="954"/>
      <c r="FG26" s="954"/>
      <c r="FH26" s="954"/>
      <c r="FI26" s="954"/>
      <c r="FJ26" s="954"/>
      <c r="FK26" s="954"/>
      <c r="FL26" s="954"/>
      <c r="FM26" s="954"/>
      <c r="FN26" s="954"/>
      <c r="FO26" s="954"/>
      <c r="FP26" s="954"/>
      <c r="FQ26" s="954"/>
      <c r="FR26" s="954"/>
      <c r="FS26" s="954"/>
      <c r="FT26" s="954"/>
      <c r="FU26" s="954"/>
      <c r="FV26" s="954"/>
      <c r="FW26" s="954"/>
      <c r="FX26" s="954"/>
      <c r="FY26" s="954"/>
      <c r="FZ26" s="954"/>
      <c r="GA26" s="954"/>
      <c r="GB26" s="954"/>
      <c r="GC26" s="954"/>
      <c r="GD26" s="954"/>
      <c r="GE26" s="954"/>
      <c r="GF26" s="954"/>
      <c r="GG26" s="954"/>
      <c r="GH26" s="954"/>
      <c r="GI26" s="954"/>
      <c r="GJ26" s="954"/>
      <c r="GK26" s="954"/>
      <c r="GL26" s="954"/>
      <c r="GM26" s="954"/>
      <c r="GN26" s="954"/>
      <c r="GO26" s="954"/>
      <c r="GP26" s="954"/>
      <c r="GQ26" s="954"/>
      <c r="GR26" s="954"/>
      <c r="GS26" s="954"/>
      <c r="GT26" s="954"/>
      <c r="GU26" s="954"/>
      <c r="GV26" s="954"/>
      <c r="GW26" s="954"/>
      <c r="GX26" s="954"/>
      <c r="GY26" s="954"/>
      <c r="GZ26" s="954"/>
      <c r="HA26" s="954"/>
      <c r="HB26" s="954"/>
      <c r="HC26" s="954"/>
      <c r="HD26" s="954"/>
      <c r="HE26" s="954"/>
      <c r="HF26" s="954"/>
      <c r="HG26" s="954"/>
      <c r="HH26" s="954"/>
      <c r="HI26" s="954"/>
      <c r="HJ26" s="954"/>
      <c r="HK26" s="954"/>
      <c r="HL26" s="954"/>
      <c r="HM26" s="954"/>
      <c r="HN26" s="954"/>
      <c r="HO26" s="954"/>
      <c r="HP26" s="954"/>
      <c r="HQ26" s="954"/>
      <c r="HR26" s="954"/>
      <c r="HS26" s="954"/>
      <c r="HT26" s="954"/>
      <c r="HU26" s="954"/>
      <c r="HV26" s="954"/>
      <c r="HW26" s="954"/>
      <c r="HX26" s="954"/>
      <c r="HY26" s="954"/>
      <c r="HZ26" s="954"/>
      <c r="IA26" s="954"/>
      <c r="IB26" s="954"/>
      <c r="IC26" s="954"/>
      <c r="ID26" s="954"/>
      <c r="IE26" s="954"/>
      <c r="IF26" s="954"/>
      <c r="IG26" s="954"/>
      <c r="IH26" s="954"/>
      <c r="II26" s="954"/>
      <c r="IJ26" s="954"/>
      <c r="IK26" s="954"/>
      <c r="IL26" s="954"/>
      <c r="IM26" s="954"/>
      <c r="IN26" s="954"/>
      <c r="IO26" s="954"/>
      <c r="IP26" s="954"/>
      <c r="IQ26" s="954"/>
      <c r="IR26" s="954"/>
      <c r="IS26" s="954"/>
      <c r="IT26" s="954"/>
      <c r="IU26" s="954"/>
      <c r="IV26" s="954"/>
    </row>
    <row r="27" spans="1:256" x14ac:dyDescent="0.35">
      <c r="A27" s="947">
        <v>15</v>
      </c>
      <c r="B27" s="956"/>
      <c r="C27" s="957" t="s">
        <v>1307</v>
      </c>
      <c r="D27" s="962">
        <f>SUM(D25:D26)</f>
        <v>0</v>
      </c>
      <c r="E27" s="962">
        <f t="shared" ref="E27:Q27" si="7">SUM(E25:E26)</f>
        <v>0</v>
      </c>
      <c r="F27" s="962">
        <f t="shared" si="7"/>
        <v>0</v>
      </c>
      <c r="G27" s="962">
        <f t="shared" si="7"/>
        <v>310</v>
      </c>
      <c r="H27" s="962">
        <f t="shared" si="7"/>
        <v>0</v>
      </c>
      <c r="I27" s="962">
        <f t="shared" si="7"/>
        <v>50</v>
      </c>
      <c r="J27" s="962">
        <f t="shared" si="7"/>
        <v>0</v>
      </c>
      <c r="K27" s="962">
        <f t="shared" si="7"/>
        <v>0</v>
      </c>
      <c r="L27" s="962">
        <f t="shared" si="7"/>
        <v>0</v>
      </c>
      <c r="M27" s="962">
        <f t="shared" si="7"/>
        <v>555</v>
      </c>
      <c r="N27" s="962">
        <f t="shared" si="7"/>
        <v>1377</v>
      </c>
      <c r="O27" s="962">
        <f t="shared" si="7"/>
        <v>0</v>
      </c>
      <c r="P27" s="962">
        <f t="shared" si="7"/>
        <v>0</v>
      </c>
      <c r="Q27" s="1641">
        <f t="shared" si="7"/>
        <v>2292</v>
      </c>
      <c r="R27" s="940"/>
      <c r="S27" s="940"/>
      <c r="T27" s="940"/>
      <c r="U27" s="940"/>
      <c r="V27" s="940"/>
      <c r="W27" s="940"/>
      <c r="X27" s="940"/>
      <c r="Y27" s="940"/>
      <c r="Z27" s="940"/>
      <c r="AA27" s="940"/>
      <c r="AB27" s="940"/>
      <c r="AC27" s="940"/>
      <c r="AD27" s="940"/>
      <c r="AE27" s="940"/>
      <c r="AF27" s="940"/>
      <c r="AG27" s="940"/>
      <c r="AH27" s="940"/>
      <c r="AI27" s="940"/>
      <c r="AJ27" s="940"/>
      <c r="AK27" s="940"/>
      <c r="AL27" s="940"/>
      <c r="AM27" s="940"/>
      <c r="AN27" s="940"/>
      <c r="AO27" s="940"/>
      <c r="AP27" s="940"/>
      <c r="AQ27" s="940"/>
      <c r="AR27" s="940"/>
      <c r="AS27" s="940"/>
      <c r="AT27" s="940"/>
      <c r="AU27" s="940"/>
      <c r="AV27" s="940"/>
      <c r="AW27" s="940"/>
      <c r="AX27" s="940"/>
      <c r="AY27" s="940"/>
      <c r="AZ27" s="940"/>
      <c r="BA27" s="940"/>
      <c r="BB27" s="940"/>
      <c r="BC27" s="940"/>
      <c r="BD27" s="940"/>
      <c r="BE27" s="940"/>
      <c r="BF27" s="940"/>
      <c r="BG27" s="940"/>
      <c r="BH27" s="940"/>
      <c r="BI27" s="940"/>
      <c r="BJ27" s="940"/>
      <c r="BK27" s="940"/>
      <c r="BL27" s="940"/>
      <c r="BM27" s="940"/>
      <c r="BN27" s="940"/>
      <c r="BO27" s="940"/>
      <c r="BP27" s="940"/>
      <c r="BQ27" s="940"/>
      <c r="BR27" s="940"/>
      <c r="BS27" s="940"/>
      <c r="BT27" s="940"/>
      <c r="BU27" s="940"/>
      <c r="BV27" s="940"/>
      <c r="BW27" s="940"/>
      <c r="BX27" s="940"/>
      <c r="BY27" s="940"/>
      <c r="BZ27" s="940"/>
      <c r="CA27" s="940"/>
      <c r="CB27" s="940"/>
      <c r="CC27" s="940"/>
      <c r="CD27" s="940"/>
      <c r="CE27" s="940"/>
      <c r="CF27" s="940"/>
      <c r="CG27" s="940"/>
      <c r="CH27" s="940"/>
      <c r="CI27" s="940"/>
      <c r="CJ27" s="940"/>
      <c r="CK27" s="940"/>
      <c r="CL27" s="940"/>
      <c r="CM27" s="940"/>
      <c r="CN27" s="940"/>
      <c r="CO27" s="940"/>
      <c r="CP27" s="940"/>
      <c r="CQ27" s="940"/>
      <c r="CR27" s="940"/>
      <c r="CS27" s="940"/>
      <c r="CT27" s="940"/>
      <c r="CU27" s="940"/>
      <c r="CV27" s="940"/>
      <c r="CW27" s="940"/>
      <c r="CX27" s="940"/>
      <c r="CY27" s="940"/>
      <c r="CZ27" s="940"/>
      <c r="DA27" s="940"/>
      <c r="DB27" s="940"/>
      <c r="DC27" s="940"/>
      <c r="DD27" s="940"/>
      <c r="DE27" s="940"/>
      <c r="DF27" s="940"/>
      <c r="DG27" s="940"/>
      <c r="DH27" s="940"/>
      <c r="DI27" s="940"/>
      <c r="DJ27" s="940"/>
      <c r="DK27" s="940"/>
      <c r="DL27" s="940"/>
      <c r="DM27" s="940"/>
      <c r="DN27" s="940"/>
      <c r="DO27" s="940"/>
      <c r="DP27" s="940"/>
      <c r="DQ27" s="940"/>
      <c r="DR27" s="940"/>
      <c r="DS27" s="940"/>
      <c r="DT27" s="940"/>
      <c r="DU27" s="940"/>
      <c r="DV27" s="940"/>
      <c r="DW27" s="940"/>
      <c r="DX27" s="940"/>
      <c r="DY27" s="940"/>
      <c r="DZ27" s="940"/>
      <c r="EA27" s="940"/>
      <c r="EB27" s="940"/>
      <c r="EC27" s="940"/>
      <c r="ED27" s="940"/>
      <c r="EE27" s="940"/>
      <c r="EF27" s="940"/>
      <c r="EG27" s="940"/>
      <c r="EH27" s="940"/>
      <c r="EI27" s="940"/>
      <c r="EJ27" s="940"/>
      <c r="EK27" s="940"/>
      <c r="EL27" s="940"/>
      <c r="EM27" s="940"/>
      <c r="EN27" s="940"/>
      <c r="EO27" s="940"/>
      <c r="EP27" s="940"/>
      <c r="EQ27" s="940"/>
      <c r="ER27" s="940"/>
      <c r="ES27" s="940"/>
      <c r="ET27" s="940"/>
      <c r="EU27" s="940"/>
      <c r="EV27" s="940"/>
      <c r="EW27" s="940"/>
      <c r="EX27" s="940"/>
      <c r="EY27" s="940"/>
      <c r="EZ27" s="940"/>
      <c r="FA27" s="940"/>
      <c r="FB27" s="940"/>
      <c r="FC27" s="940"/>
      <c r="FD27" s="940"/>
      <c r="FE27" s="940"/>
      <c r="FF27" s="940"/>
      <c r="FG27" s="940"/>
      <c r="FH27" s="940"/>
      <c r="FI27" s="940"/>
      <c r="FJ27" s="940"/>
      <c r="FK27" s="940"/>
      <c r="FL27" s="940"/>
      <c r="FM27" s="940"/>
      <c r="FN27" s="940"/>
      <c r="FO27" s="940"/>
      <c r="FP27" s="940"/>
      <c r="FQ27" s="940"/>
      <c r="FR27" s="940"/>
      <c r="FS27" s="940"/>
      <c r="FT27" s="940"/>
      <c r="FU27" s="940"/>
      <c r="FV27" s="940"/>
      <c r="FW27" s="940"/>
      <c r="FX27" s="940"/>
      <c r="FY27" s="940"/>
      <c r="FZ27" s="940"/>
      <c r="GA27" s="940"/>
      <c r="GB27" s="940"/>
      <c r="GC27" s="940"/>
      <c r="GD27" s="940"/>
      <c r="GE27" s="940"/>
      <c r="GF27" s="940"/>
      <c r="GG27" s="940"/>
      <c r="GH27" s="940"/>
      <c r="GI27" s="940"/>
      <c r="GJ27" s="940"/>
      <c r="GK27" s="940"/>
      <c r="GL27" s="940"/>
      <c r="GM27" s="940"/>
      <c r="GN27" s="940"/>
      <c r="GO27" s="940"/>
      <c r="GP27" s="940"/>
      <c r="GQ27" s="940"/>
      <c r="GR27" s="940"/>
      <c r="GS27" s="940"/>
      <c r="GT27" s="940"/>
      <c r="GU27" s="940"/>
      <c r="GV27" s="940"/>
      <c r="GW27" s="940"/>
      <c r="GX27" s="940"/>
      <c r="GY27" s="940"/>
      <c r="GZ27" s="940"/>
      <c r="HA27" s="940"/>
      <c r="HB27" s="940"/>
      <c r="HC27" s="940"/>
      <c r="HD27" s="940"/>
      <c r="HE27" s="940"/>
      <c r="HF27" s="940"/>
      <c r="HG27" s="940"/>
      <c r="HH27" s="940"/>
      <c r="HI27" s="940"/>
      <c r="HJ27" s="940"/>
      <c r="HK27" s="940"/>
      <c r="HL27" s="940"/>
      <c r="HM27" s="940"/>
      <c r="HN27" s="940"/>
      <c r="HO27" s="940"/>
      <c r="HP27" s="940"/>
      <c r="HQ27" s="940"/>
      <c r="HR27" s="940"/>
      <c r="HS27" s="940"/>
      <c r="HT27" s="940"/>
      <c r="HU27" s="940"/>
      <c r="HV27" s="940"/>
      <c r="HW27" s="940"/>
      <c r="HX27" s="940"/>
      <c r="HY27" s="940"/>
      <c r="HZ27" s="940"/>
      <c r="IA27" s="940"/>
      <c r="IB27" s="940"/>
      <c r="IC27" s="940"/>
      <c r="ID27" s="940"/>
      <c r="IE27" s="940"/>
      <c r="IF27" s="940"/>
      <c r="IG27" s="940"/>
      <c r="IH27" s="940"/>
      <c r="II27" s="940"/>
      <c r="IJ27" s="940"/>
      <c r="IK27" s="940"/>
      <c r="IL27" s="940"/>
      <c r="IM27" s="940"/>
      <c r="IN27" s="940"/>
      <c r="IO27" s="940"/>
      <c r="IP27" s="940"/>
      <c r="IQ27" s="940"/>
      <c r="IR27" s="940"/>
      <c r="IS27" s="940"/>
      <c r="IT27" s="940"/>
      <c r="IU27" s="940"/>
      <c r="IV27" s="940"/>
    </row>
    <row r="28" spans="1:256" s="952" customFormat="1" ht="30" customHeight="1" x14ac:dyDescent="0.35">
      <c r="A28" s="947">
        <v>16</v>
      </c>
      <c r="B28" s="948" t="s">
        <v>764</v>
      </c>
      <c r="C28" s="949" t="s">
        <v>760</v>
      </c>
      <c r="D28" s="950">
        <v>900</v>
      </c>
      <c r="E28" s="950"/>
      <c r="F28" s="950"/>
      <c r="G28" s="950"/>
      <c r="H28" s="950"/>
      <c r="I28" s="950"/>
      <c r="J28" s="950"/>
      <c r="K28" s="950"/>
      <c r="L28" s="950"/>
      <c r="M28" s="950">
        <v>300</v>
      </c>
      <c r="N28" s="950"/>
      <c r="O28" s="950">
        <v>2000</v>
      </c>
      <c r="P28" s="950">
        <v>1163</v>
      </c>
      <c r="Q28" s="951">
        <f t="shared" si="0"/>
        <v>4363</v>
      </c>
      <c r="R28" s="949"/>
      <c r="S28" s="949"/>
      <c r="T28" s="949"/>
      <c r="U28" s="949"/>
      <c r="V28" s="949"/>
      <c r="W28" s="949"/>
      <c r="X28" s="949"/>
      <c r="Y28" s="949"/>
      <c r="Z28" s="949"/>
      <c r="AA28" s="949"/>
      <c r="AB28" s="949"/>
      <c r="AC28" s="949"/>
      <c r="AD28" s="949"/>
      <c r="AE28" s="949"/>
      <c r="AF28" s="949"/>
      <c r="AG28" s="949"/>
      <c r="AH28" s="949"/>
      <c r="AI28" s="949"/>
      <c r="AJ28" s="949"/>
      <c r="AK28" s="949"/>
      <c r="AL28" s="949"/>
      <c r="AM28" s="949"/>
      <c r="AN28" s="949"/>
      <c r="AO28" s="949"/>
      <c r="AP28" s="949"/>
      <c r="AQ28" s="949"/>
      <c r="AR28" s="949"/>
      <c r="AS28" s="949"/>
      <c r="AT28" s="949"/>
      <c r="AU28" s="949"/>
      <c r="AV28" s="949"/>
      <c r="AW28" s="949"/>
      <c r="AX28" s="949"/>
      <c r="AY28" s="949"/>
      <c r="AZ28" s="949"/>
      <c r="BA28" s="949"/>
      <c r="BB28" s="949"/>
      <c r="BC28" s="949"/>
      <c r="BD28" s="949"/>
      <c r="BE28" s="949"/>
      <c r="BF28" s="949"/>
      <c r="BG28" s="949"/>
      <c r="BH28" s="949"/>
      <c r="BI28" s="949"/>
      <c r="BJ28" s="949"/>
      <c r="BK28" s="949"/>
      <c r="BL28" s="949"/>
      <c r="BM28" s="949"/>
      <c r="BN28" s="949"/>
      <c r="BO28" s="949"/>
      <c r="BP28" s="949"/>
      <c r="BQ28" s="949"/>
      <c r="BR28" s="949"/>
      <c r="BS28" s="949"/>
      <c r="BT28" s="949"/>
      <c r="BU28" s="949"/>
      <c r="BV28" s="949"/>
      <c r="BW28" s="949"/>
      <c r="BX28" s="949"/>
      <c r="BY28" s="949"/>
      <c r="BZ28" s="949"/>
      <c r="CA28" s="949"/>
      <c r="CB28" s="949"/>
      <c r="CC28" s="949"/>
      <c r="CD28" s="949"/>
      <c r="CE28" s="949"/>
      <c r="CF28" s="949"/>
      <c r="CG28" s="949"/>
      <c r="CH28" s="949"/>
      <c r="CI28" s="949"/>
      <c r="CJ28" s="949"/>
      <c r="CK28" s="949"/>
      <c r="CL28" s="949"/>
      <c r="CM28" s="949"/>
      <c r="CN28" s="949"/>
      <c r="CO28" s="949"/>
      <c r="CP28" s="949"/>
      <c r="CQ28" s="949"/>
      <c r="CR28" s="949"/>
      <c r="CS28" s="949"/>
      <c r="CT28" s="949"/>
      <c r="CU28" s="949"/>
      <c r="CV28" s="949"/>
      <c r="CW28" s="949"/>
      <c r="CX28" s="949"/>
      <c r="CY28" s="949"/>
      <c r="CZ28" s="949"/>
      <c r="DA28" s="949"/>
      <c r="DB28" s="949"/>
      <c r="DC28" s="949"/>
      <c r="DD28" s="949"/>
      <c r="DE28" s="949"/>
      <c r="DF28" s="949"/>
      <c r="DG28" s="949"/>
      <c r="DH28" s="949"/>
      <c r="DI28" s="949"/>
      <c r="DJ28" s="949"/>
      <c r="DK28" s="949"/>
      <c r="DL28" s="949"/>
      <c r="DM28" s="949"/>
      <c r="DN28" s="949"/>
      <c r="DO28" s="949"/>
      <c r="DP28" s="949"/>
      <c r="DQ28" s="949"/>
      <c r="DR28" s="949"/>
      <c r="DS28" s="949"/>
      <c r="DT28" s="949"/>
      <c r="DU28" s="949"/>
      <c r="DV28" s="949"/>
      <c r="DW28" s="949"/>
      <c r="DX28" s="949"/>
      <c r="DY28" s="949"/>
      <c r="DZ28" s="949"/>
      <c r="EA28" s="949"/>
      <c r="EB28" s="949"/>
      <c r="EC28" s="949"/>
      <c r="ED28" s="949"/>
      <c r="EE28" s="949"/>
      <c r="EF28" s="949"/>
      <c r="EG28" s="949"/>
      <c r="EH28" s="949"/>
      <c r="EI28" s="949"/>
      <c r="EJ28" s="949"/>
      <c r="EK28" s="949"/>
      <c r="EL28" s="949"/>
      <c r="EM28" s="949"/>
      <c r="EN28" s="949"/>
      <c r="EO28" s="949"/>
      <c r="EP28" s="949"/>
      <c r="EQ28" s="949"/>
      <c r="ER28" s="949"/>
      <c r="ES28" s="949"/>
      <c r="ET28" s="949"/>
      <c r="EU28" s="949"/>
      <c r="EV28" s="949"/>
      <c r="EW28" s="949"/>
      <c r="EX28" s="949"/>
      <c r="EY28" s="949"/>
      <c r="EZ28" s="949"/>
      <c r="FA28" s="949"/>
      <c r="FB28" s="949"/>
      <c r="FC28" s="949"/>
      <c r="FD28" s="949"/>
      <c r="FE28" s="949"/>
      <c r="FF28" s="949"/>
      <c r="FG28" s="949"/>
      <c r="FH28" s="949"/>
      <c r="FI28" s="949"/>
      <c r="FJ28" s="949"/>
      <c r="FK28" s="949"/>
      <c r="FL28" s="949"/>
      <c r="FM28" s="949"/>
      <c r="FN28" s="949"/>
      <c r="FO28" s="949"/>
      <c r="FP28" s="949"/>
      <c r="FQ28" s="949"/>
      <c r="FR28" s="949"/>
      <c r="FS28" s="949"/>
      <c r="FT28" s="949"/>
      <c r="FU28" s="949"/>
      <c r="FV28" s="949"/>
      <c r="FW28" s="949"/>
      <c r="FX28" s="949"/>
      <c r="FY28" s="949"/>
      <c r="FZ28" s="949"/>
      <c r="GA28" s="949"/>
      <c r="GB28" s="949"/>
      <c r="GC28" s="949"/>
      <c r="GD28" s="949"/>
      <c r="GE28" s="949"/>
      <c r="GF28" s="949"/>
      <c r="GG28" s="949"/>
      <c r="GH28" s="949"/>
      <c r="GI28" s="949"/>
      <c r="GJ28" s="949"/>
      <c r="GK28" s="949"/>
      <c r="GL28" s="949"/>
      <c r="GM28" s="949"/>
      <c r="GN28" s="949"/>
      <c r="GO28" s="949"/>
      <c r="GP28" s="949"/>
      <c r="GQ28" s="949"/>
      <c r="GR28" s="949"/>
      <c r="GS28" s="949"/>
      <c r="GT28" s="949"/>
      <c r="GU28" s="949"/>
      <c r="GV28" s="949"/>
      <c r="GW28" s="949"/>
      <c r="GX28" s="949"/>
      <c r="GY28" s="949"/>
      <c r="GZ28" s="949"/>
      <c r="HA28" s="949"/>
      <c r="HB28" s="949"/>
      <c r="HC28" s="949"/>
      <c r="HD28" s="949"/>
      <c r="HE28" s="949"/>
      <c r="HF28" s="949"/>
      <c r="HG28" s="949"/>
      <c r="HH28" s="949"/>
      <c r="HI28" s="949"/>
      <c r="HJ28" s="949"/>
      <c r="HK28" s="949"/>
      <c r="HL28" s="949"/>
      <c r="HM28" s="949"/>
      <c r="HN28" s="949"/>
      <c r="HO28" s="949"/>
      <c r="HP28" s="949"/>
      <c r="HQ28" s="949"/>
      <c r="HR28" s="949"/>
      <c r="HS28" s="949"/>
      <c r="HT28" s="949"/>
      <c r="HU28" s="949"/>
      <c r="HV28" s="949"/>
      <c r="HW28" s="949"/>
      <c r="HX28" s="949"/>
      <c r="HY28" s="949"/>
      <c r="HZ28" s="949"/>
      <c r="IA28" s="949"/>
      <c r="IB28" s="949"/>
      <c r="IC28" s="949"/>
      <c r="ID28" s="949"/>
      <c r="IE28" s="949"/>
      <c r="IF28" s="949"/>
      <c r="IG28" s="949"/>
      <c r="IH28" s="949"/>
      <c r="II28" s="949"/>
      <c r="IJ28" s="949"/>
      <c r="IK28" s="949"/>
      <c r="IL28" s="949"/>
      <c r="IM28" s="949"/>
      <c r="IN28" s="949"/>
      <c r="IO28" s="949"/>
      <c r="IP28" s="949"/>
      <c r="IQ28" s="949"/>
      <c r="IR28" s="949"/>
      <c r="IS28" s="949"/>
      <c r="IT28" s="949"/>
      <c r="IU28" s="949"/>
      <c r="IV28" s="949"/>
    </row>
    <row r="29" spans="1:256" s="940" customFormat="1" ht="18" customHeight="1" x14ac:dyDescent="0.35">
      <c r="A29" s="1428"/>
      <c r="B29" s="956"/>
      <c r="C29" s="918" t="s">
        <v>1252</v>
      </c>
      <c r="D29" s="1453">
        <v>900</v>
      </c>
      <c r="E29" s="1453"/>
      <c r="F29" s="1453"/>
      <c r="G29" s="1453">
        <v>205</v>
      </c>
      <c r="H29" s="1453"/>
      <c r="I29" s="1453"/>
      <c r="J29" s="1453"/>
      <c r="K29" s="1453"/>
      <c r="L29" s="1453"/>
      <c r="M29" s="1453">
        <v>1471</v>
      </c>
      <c r="N29" s="1453">
        <v>150</v>
      </c>
      <c r="O29" s="1453">
        <v>1637</v>
      </c>
      <c r="P29" s="1453">
        <v>0</v>
      </c>
      <c r="Q29" s="827">
        <f t="shared" si="0"/>
        <v>4363</v>
      </c>
      <c r="R29" s="918"/>
      <c r="S29" s="918"/>
      <c r="T29" s="918"/>
      <c r="U29" s="918"/>
      <c r="V29" s="918"/>
      <c r="W29" s="918"/>
      <c r="X29" s="918"/>
      <c r="Y29" s="918"/>
      <c r="Z29" s="918"/>
      <c r="AA29" s="918"/>
      <c r="AB29" s="918"/>
      <c r="AC29" s="918"/>
      <c r="AD29" s="918"/>
      <c r="AE29" s="918"/>
      <c r="AF29" s="918"/>
      <c r="AG29" s="918"/>
      <c r="AH29" s="918"/>
      <c r="AI29" s="918"/>
      <c r="AJ29" s="918"/>
      <c r="AK29" s="918"/>
      <c r="AL29" s="918"/>
      <c r="AM29" s="918"/>
      <c r="AN29" s="918"/>
      <c r="AO29" s="918"/>
      <c r="AP29" s="918"/>
      <c r="AQ29" s="918"/>
      <c r="AR29" s="918"/>
      <c r="AS29" s="918"/>
      <c r="AT29" s="918"/>
      <c r="AU29" s="918"/>
      <c r="AV29" s="918"/>
      <c r="AW29" s="918"/>
      <c r="AX29" s="918"/>
      <c r="AY29" s="918"/>
      <c r="AZ29" s="918"/>
      <c r="BA29" s="918"/>
      <c r="BB29" s="918"/>
      <c r="BC29" s="918"/>
      <c r="BD29" s="918"/>
      <c r="BE29" s="918"/>
      <c r="BF29" s="918"/>
      <c r="BG29" s="918"/>
      <c r="BH29" s="918"/>
      <c r="BI29" s="918"/>
      <c r="BJ29" s="918"/>
      <c r="BK29" s="918"/>
      <c r="BL29" s="918"/>
      <c r="BM29" s="918"/>
      <c r="BN29" s="918"/>
      <c r="BO29" s="918"/>
      <c r="BP29" s="918"/>
      <c r="BQ29" s="918"/>
      <c r="BR29" s="918"/>
      <c r="BS29" s="918"/>
      <c r="BT29" s="918"/>
      <c r="BU29" s="918"/>
      <c r="BV29" s="918"/>
      <c r="BW29" s="918"/>
      <c r="BX29" s="918"/>
      <c r="BY29" s="918"/>
      <c r="BZ29" s="918"/>
      <c r="CA29" s="918"/>
      <c r="CB29" s="918"/>
      <c r="CC29" s="918"/>
      <c r="CD29" s="918"/>
      <c r="CE29" s="918"/>
      <c r="CF29" s="918"/>
      <c r="CG29" s="918"/>
      <c r="CH29" s="918"/>
      <c r="CI29" s="918"/>
      <c r="CJ29" s="918"/>
      <c r="CK29" s="918"/>
      <c r="CL29" s="918"/>
      <c r="CM29" s="918"/>
      <c r="CN29" s="918"/>
      <c r="CO29" s="918"/>
      <c r="CP29" s="918"/>
      <c r="CQ29" s="918"/>
      <c r="CR29" s="918"/>
      <c r="CS29" s="918"/>
      <c r="CT29" s="918"/>
      <c r="CU29" s="918"/>
      <c r="CV29" s="918"/>
      <c r="CW29" s="918"/>
      <c r="CX29" s="918"/>
      <c r="CY29" s="918"/>
      <c r="CZ29" s="918"/>
      <c r="DA29" s="918"/>
      <c r="DB29" s="918"/>
      <c r="DC29" s="918"/>
      <c r="DD29" s="918"/>
      <c r="DE29" s="918"/>
      <c r="DF29" s="918"/>
      <c r="DG29" s="918"/>
      <c r="DH29" s="918"/>
      <c r="DI29" s="918"/>
      <c r="DJ29" s="918"/>
      <c r="DK29" s="918"/>
      <c r="DL29" s="918"/>
      <c r="DM29" s="918"/>
      <c r="DN29" s="918"/>
      <c r="DO29" s="918"/>
      <c r="DP29" s="918"/>
      <c r="DQ29" s="918"/>
      <c r="DR29" s="918"/>
      <c r="DS29" s="918"/>
      <c r="DT29" s="918"/>
      <c r="DU29" s="918"/>
      <c r="DV29" s="918"/>
      <c r="DW29" s="918"/>
      <c r="DX29" s="918"/>
      <c r="DY29" s="918"/>
      <c r="DZ29" s="918"/>
      <c r="EA29" s="918"/>
      <c r="EB29" s="918"/>
      <c r="EC29" s="918"/>
      <c r="ED29" s="918"/>
      <c r="EE29" s="918"/>
      <c r="EF29" s="918"/>
      <c r="EG29" s="918"/>
      <c r="EH29" s="918"/>
      <c r="EI29" s="918"/>
      <c r="EJ29" s="918"/>
      <c r="EK29" s="918"/>
      <c r="EL29" s="918"/>
      <c r="EM29" s="918"/>
      <c r="EN29" s="918"/>
      <c r="EO29" s="918"/>
      <c r="EP29" s="918"/>
      <c r="EQ29" s="918"/>
      <c r="ER29" s="918"/>
      <c r="ES29" s="918"/>
      <c r="ET29" s="918"/>
      <c r="EU29" s="918"/>
      <c r="EV29" s="918"/>
      <c r="EW29" s="918"/>
      <c r="EX29" s="918"/>
      <c r="EY29" s="918"/>
      <c r="EZ29" s="918"/>
      <c r="FA29" s="918"/>
      <c r="FB29" s="918"/>
      <c r="FC29" s="918"/>
      <c r="FD29" s="918"/>
      <c r="FE29" s="918"/>
      <c r="FF29" s="918"/>
      <c r="FG29" s="918"/>
      <c r="FH29" s="918"/>
      <c r="FI29" s="918"/>
      <c r="FJ29" s="918"/>
      <c r="FK29" s="918"/>
      <c r="FL29" s="918"/>
      <c r="FM29" s="918"/>
      <c r="FN29" s="918"/>
      <c r="FO29" s="918"/>
      <c r="FP29" s="918"/>
      <c r="FQ29" s="918"/>
      <c r="FR29" s="918"/>
      <c r="FS29" s="918"/>
      <c r="FT29" s="918"/>
      <c r="FU29" s="918"/>
      <c r="FV29" s="918"/>
      <c r="FW29" s="918"/>
      <c r="FX29" s="918"/>
      <c r="FY29" s="918"/>
      <c r="FZ29" s="918"/>
      <c r="GA29" s="918"/>
      <c r="GB29" s="918"/>
      <c r="GC29" s="918"/>
      <c r="GD29" s="918"/>
      <c r="GE29" s="918"/>
      <c r="GF29" s="918"/>
      <c r="GG29" s="918"/>
      <c r="GH29" s="918"/>
      <c r="GI29" s="918"/>
      <c r="GJ29" s="918"/>
      <c r="GK29" s="918"/>
      <c r="GL29" s="918"/>
      <c r="GM29" s="918"/>
      <c r="GN29" s="918"/>
      <c r="GO29" s="918"/>
      <c r="GP29" s="918"/>
      <c r="GQ29" s="918"/>
      <c r="GR29" s="918"/>
      <c r="GS29" s="918"/>
      <c r="GT29" s="918"/>
      <c r="GU29" s="918"/>
      <c r="GV29" s="918"/>
      <c r="GW29" s="918"/>
      <c r="GX29" s="918"/>
      <c r="GY29" s="918"/>
      <c r="GZ29" s="918"/>
      <c r="HA29" s="918"/>
      <c r="HB29" s="918"/>
      <c r="HC29" s="918"/>
      <c r="HD29" s="918"/>
      <c r="HE29" s="918"/>
      <c r="HF29" s="918"/>
      <c r="HG29" s="918"/>
      <c r="HH29" s="918"/>
      <c r="HI29" s="918"/>
      <c r="HJ29" s="918"/>
      <c r="HK29" s="918"/>
      <c r="HL29" s="918"/>
      <c r="HM29" s="918"/>
      <c r="HN29" s="918"/>
      <c r="HO29" s="918"/>
      <c r="HP29" s="918"/>
      <c r="HQ29" s="918"/>
      <c r="HR29" s="918"/>
      <c r="HS29" s="918"/>
      <c r="HT29" s="918"/>
      <c r="HU29" s="918"/>
      <c r="HV29" s="918"/>
      <c r="HW29" s="918"/>
      <c r="HX29" s="918"/>
      <c r="HY29" s="918"/>
      <c r="HZ29" s="918"/>
      <c r="IA29" s="918"/>
      <c r="IB29" s="918"/>
      <c r="IC29" s="918"/>
      <c r="ID29" s="918"/>
      <c r="IE29" s="918"/>
      <c r="IF29" s="918"/>
      <c r="IG29" s="918"/>
      <c r="IH29" s="918"/>
      <c r="II29" s="918"/>
      <c r="IJ29" s="918"/>
      <c r="IK29" s="918"/>
      <c r="IL29" s="918"/>
      <c r="IM29" s="918"/>
      <c r="IN29" s="918"/>
      <c r="IO29" s="918"/>
      <c r="IP29" s="918"/>
      <c r="IQ29" s="918"/>
      <c r="IR29" s="918"/>
      <c r="IS29" s="918"/>
      <c r="IT29" s="918"/>
      <c r="IU29" s="918"/>
      <c r="IV29" s="918"/>
    </row>
    <row r="30" spans="1:256" x14ac:dyDescent="0.35">
      <c r="A30" s="947">
        <v>17</v>
      </c>
      <c r="B30" s="953"/>
      <c r="C30" s="954" t="s">
        <v>733</v>
      </c>
      <c r="D30" s="187">
        <v>1079</v>
      </c>
      <c r="E30" s="187"/>
      <c r="F30" s="187"/>
      <c r="G30" s="187"/>
      <c r="H30" s="187"/>
      <c r="I30" s="187">
        <v>35</v>
      </c>
      <c r="J30" s="187"/>
      <c r="K30" s="187"/>
      <c r="L30" s="187"/>
      <c r="M30" s="187">
        <v>329</v>
      </c>
      <c r="N30" s="187">
        <v>194</v>
      </c>
      <c r="O30" s="187">
        <v>-1637</v>
      </c>
      <c r="P30" s="960"/>
      <c r="Q30" s="955">
        <f t="shared" si="0"/>
        <v>0</v>
      </c>
      <c r="R30" s="954"/>
      <c r="S30" s="954"/>
      <c r="T30" s="954"/>
      <c r="U30" s="954"/>
      <c r="V30" s="954"/>
      <c r="W30" s="954"/>
      <c r="X30" s="954"/>
      <c r="Y30" s="954"/>
      <c r="Z30" s="954"/>
      <c r="AA30" s="954"/>
      <c r="AB30" s="954"/>
      <c r="AC30" s="954"/>
      <c r="AD30" s="954"/>
      <c r="AE30" s="954"/>
      <c r="AF30" s="954"/>
      <c r="AG30" s="954"/>
      <c r="AH30" s="954"/>
      <c r="AI30" s="954"/>
      <c r="AJ30" s="954"/>
      <c r="AK30" s="954"/>
      <c r="AL30" s="954"/>
      <c r="AM30" s="954"/>
      <c r="AN30" s="954"/>
      <c r="AO30" s="954"/>
      <c r="AP30" s="954"/>
      <c r="AQ30" s="954"/>
      <c r="AR30" s="954"/>
      <c r="AS30" s="954"/>
      <c r="AT30" s="954"/>
      <c r="AU30" s="954"/>
      <c r="AV30" s="954"/>
      <c r="AW30" s="954"/>
      <c r="AX30" s="954"/>
      <c r="AY30" s="954"/>
      <c r="AZ30" s="954"/>
      <c r="BA30" s="954"/>
      <c r="BB30" s="954"/>
      <c r="BC30" s="954"/>
      <c r="BD30" s="954"/>
      <c r="BE30" s="954"/>
      <c r="BF30" s="954"/>
      <c r="BG30" s="954"/>
      <c r="BH30" s="954"/>
      <c r="BI30" s="954"/>
      <c r="BJ30" s="954"/>
      <c r="BK30" s="954"/>
      <c r="BL30" s="954"/>
      <c r="BM30" s="954"/>
      <c r="BN30" s="954"/>
      <c r="BO30" s="954"/>
      <c r="BP30" s="954"/>
      <c r="BQ30" s="954"/>
      <c r="BR30" s="954"/>
      <c r="BS30" s="954"/>
      <c r="BT30" s="954"/>
      <c r="BU30" s="954"/>
      <c r="BV30" s="954"/>
      <c r="BW30" s="954"/>
      <c r="BX30" s="954"/>
      <c r="BY30" s="954"/>
      <c r="BZ30" s="954"/>
      <c r="CA30" s="954"/>
      <c r="CB30" s="954"/>
      <c r="CC30" s="954"/>
      <c r="CD30" s="954"/>
      <c r="CE30" s="954"/>
      <c r="CF30" s="954"/>
      <c r="CG30" s="954"/>
      <c r="CH30" s="954"/>
      <c r="CI30" s="954"/>
      <c r="CJ30" s="954"/>
      <c r="CK30" s="954"/>
      <c r="CL30" s="954"/>
      <c r="CM30" s="954"/>
      <c r="CN30" s="954"/>
      <c r="CO30" s="954"/>
      <c r="CP30" s="954"/>
      <c r="CQ30" s="954"/>
      <c r="CR30" s="954"/>
      <c r="CS30" s="954"/>
      <c r="CT30" s="954"/>
      <c r="CU30" s="954"/>
      <c r="CV30" s="954"/>
      <c r="CW30" s="954"/>
      <c r="CX30" s="954"/>
      <c r="CY30" s="954"/>
      <c r="CZ30" s="954"/>
      <c r="DA30" s="954"/>
      <c r="DB30" s="954"/>
      <c r="DC30" s="954"/>
      <c r="DD30" s="954"/>
      <c r="DE30" s="954"/>
      <c r="DF30" s="954"/>
      <c r="DG30" s="954"/>
      <c r="DH30" s="954"/>
      <c r="DI30" s="954"/>
      <c r="DJ30" s="954"/>
      <c r="DK30" s="954"/>
      <c r="DL30" s="954"/>
      <c r="DM30" s="954"/>
      <c r="DN30" s="954"/>
      <c r="DO30" s="954"/>
      <c r="DP30" s="954"/>
      <c r="DQ30" s="954"/>
      <c r="DR30" s="954"/>
      <c r="DS30" s="954"/>
      <c r="DT30" s="954"/>
      <c r="DU30" s="954"/>
      <c r="DV30" s="954"/>
      <c r="DW30" s="954"/>
      <c r="DX30" s="954"/>
      <c r="DY30" s="954"/>
      <c r="DZ30" s="954"/>
      <c r="EA30" s="954"/>
      <c r="EB30" s="954"/>
      <c r="EC30" s="954"/>
      <c r="ED30" s="954"/>
      <c r="EE30" s="954"/>
      <c r="EF30" s="954"/>
      <c r="EG30" s="954"/>
      <c r="EH30" s="954"/>
      <c r="EI30" s="954"/>
      <c r="EJ30" s="954"/>
      <c r="EK30" s="954"/>
      <c r="EL30" s="954"/>
      <c r="EM30" s="954"/>
      <c r="EN30" s="954"/>
      <c r="EO30" s="954"/>
      <c r="EP30" s="954"/>
      <c r="EQ30" s="954"/>
      <c r="ER30" s="954"/>
      <c r="ES30" s="954"/>
      <c r="ET30" s="954"/>
      <c r="EU30" s="954"/>
      <c r="EV30" s="954"/>
      <c r="EW30" s="954"/>
      <c r="EX30" s="954"/>
      <c r="EY30" s="954"/>
      <c r="EZ30" s="954"/>
      <c r="FA30" s="954"/>
      <c r="FB30" s="954"/>
      <c r="FC30" s="954"/>
      <c r="FD30" s="954"/>
      <c r="FE30" s="954"/>
      <c r="FF30" s="954"/>
      <c r="FG30" s="954"/>
      <c r="FH30" s="954"/>
      <c r="FI30" s="954"/>
      <c r="FJ30" s="954"/>
      <c r="FK30" s="954"/>
      <c r="FL30" s="954"/>
      <c r="FM30" s="954"/>
      <c r="FN30" s="954"/>
      <c r="FO30" s="954"/>
      <c r="FP30" s="954"/>
      <c r="FQ30" s="954"/>
      <c r="FR30" s="954"/>
      <c r="FS30" s="954"/>
      <c r="FT30" s="954"/>
      <c r="FU30" s="954"/>
      <c r="FV30" s="954"/>
      <c r="FW30" s="954"/>
      <c r="FX30" s="954"/>
      <c r="FY30" s="954"/>
      <c r="FZ30" s="954"/>
      <c r="GA30" s="954"/>
      <c r="GB30" s="954"/>
      <c r="GC30" s="954"/>
      <c r="GD30" s="954"/>
      <c r="GE30" s="954"/>
      <c r="GF30" s="954"/>
      <c r="GG30" s="954"/>
      <c r="GH30" s="954"/>
      <c r="GI30" s="954"/>
      <c r="GJ30" s="954"/>
      <c r="GK30" s="954"/>
      <c r="GL30" s="954"/>
      <c r="GM30" s="954"/>
      <c r="GN30" s="954"/>
      <c r="GO30" s="954"/>
      <c r="GP30" s="954"/>
      <c r="GQ30" s="954"/>
      <c r="GR30" s="954"/>
      <c r="GS30" s="954"/>
      <c r="GT30" s="954"/>
      <c r="GU30" s="954"/>
      <c r="GV30" s="954"/>
      <c r="GW30" s="954"/>
      <c r="GX30" s="954"/>
      <c r="GY30" s="954"/>
      <c r="GZ30" s="954"/>
      <c r="HA30" s="954"/>
      <c r="HB30" s="954"/>
      <c r="HC30" s="954"/>
      <c r="HD30" s="954"/>
      <c r="HE30" s="954"/>
      <c r="HF30" s="954"/>
      <c r="HG30" s="954"/>
      <c r="HH30" s="954"/>
      <c r="HI30" s="954"/>
      <c r="HJ30" s="954"/>
      <c r="HK30" s="954"/>
      <c r="HL30" s="954"/>
      <c r="HM30" s="954"/>
      <c r="HN30" s="954"/>
      <c r="HO30" s="954"/>
      <c r="HP30" s="954"/>
      <c r="HQ30" s="954"/>
      <c r="HR30" s="954"/>
      <c r="HS30" s="954"/>
      <c r="HT30" s="954"/>
      <c r="HU30" s="954"/>
      <c r="HV30" s="954"/>
      <c r="HW30" s="954"/>
      <c r="HX30" s="954"/>
      <c r="HY30" s="954"/>
      <c r="HZ30" s="954"/>
      <c r="IA30" s="954"/>
      <c r="IB30" s="954"/>
      <c r="IC30" s="954"/>
      <c r="ID30" s="954"/>
      <c r="IE30" s="954"/>
      <c r="IF30" s="954"/>
      <c r="IG30" s="954"/>
      <c r="IH30" s="954"/>
      <c r="II30" s="954"/>
      <c r="IJ30" s="954"/>
      <c r="IK30" s="954"/>
      <c r="IL30" s="954"/>
      <c r="IM30" s="954"/>
      <c r="IN30" s="954"/>
      <c r="IO30" s="954"/>
      <c r="IP30" s="954"/>
      <c r="IQ30" s="954"/>
      <c r="IR30" s="954"/>
      <c r="IS30" s="954"/>
      <c r="IT30" s="954"/>
      <c r="IU30" s="954"/>
      <c r="IV30" s="954"/>
    </row>
    <row r="31" spans="1:256" x14ac:dyDescent="0.35">
      <c r="A31" s="947">
        <v>18</v>
      </c>
      <c r="B31" s="956"/>
      <c r="C31" s="957" t="s">
        <v>1307</v>
      </c>
      <c r="D31" s="962">
        <f>SUM(D29:D30)</f>
        <v>1979</v>
      </c>
      <c r="E31" s="962">
        <f t="shared" ref="E31:Q31" si="8">SUM(E29:E30)</f>
        <v>0</v>
      </c>
      <c r="F31" s="962">
        <f t="shared" si="8"/>
        <v>0</v>
      </c>
      <c r="G31" s="962">
        <f t="shared" si="8"/>
        <v>205</v>
      </c>
      <c r="H31" s="962">
        <f t="shared" si="8"/>
        <v>0</v>
      </c>
      <c r="I31" s="962">
        <f t="shared" si="8"/>
        <v>35</v>
      </c>
      <c r="J31" s="962">
        <f t="shared" si="8"/>
        <v>0</v>
      </c>
      <c r="K31" s="962">
        <f t="shared" si="8"/>
        <v>0</v>
      </c>
      <c r="L31" s="962">
        <f t="shared" si="8"/>
        <v>0</v>
      </c>
      <c r="M31" s="962">
        <f t="shared" si="8"/>
        <v>1800</v>
      </c>
      <c r="N31" s="962">
        <f t="shared" si="8"/>
        <v>344</v>
      </c>
      <c r="O31" s="962">
        <f t="shared" si="8"/>
        <v>0</v>
      </c>
      <c r="P31" s="962">
        <f t="shared" si="8"/>
        <v>0</v>
      </c>
      <c r="Q31" s="1641">
        <f t="shared" si="8"/>
        <v>4363</v>
      </c>
      <c r="R31" s="940"/>
      <c r="S31" s="940"/>
      <c r="T31" s="940"/>
      <c r="U31" s="940"/>
      <c r="V31" s="940"/>
      <c r="W31" s="940"/>
      <c r="X31" s="940"/>
      <c r="Y31" s="940"/>
      <c r="Z31" s="940"/>
      <c r="AA31" s="940"/>
      <c r="AB31" s="940"/>
      <c r="AC31" s="940"/>
      <c r="AD31" s="940"/>
      <c r="AE31" s="940"/>
      <c r="AF31" s="940"/>
      <c r="AG31" s="940"/>
      <c r="AH31" s="940"/>
      <c r="AI31" s="940"/>
      <c r="AJ31" s="940"/>
      <c r="AK31" s="940"/>
      <c r="AL31" s="940"/>
      <c r="AM31" s="940"/>
      <c r="AN31" s="940"/>
      <c r="AO31" s="940"/>
      <c r="AP31" s="940"/>
      <c r="AQ31" s="940"/>
      <c r="AR31" s="940"/>
      <c r="AS31" s="940"/>
      <c r="AT31" s="940"/>
      <c r="AU31" s="940"/>
      <c r="AV31" s="940"/>
      <c r="AW31" s="940"/>
      <c r="AX31" s="940"/>
      <c r="AY31" s="940"/>
      <c r="AZ31" s="940"/>
      <c r="BA31" s="940"/>
      <c r="BB31" s="940"/>
      <c r="BC31" s="940"/>
      <c r="BD31" s="940"/>
      <c r="BE31" s="940"/>
      <c r="BF31" s="940"/>
      <c r="BG31" s="940"/>
      <c r="BH31" s="940"/>
      <c r="BI31" s="940"/>
      <c r="BJ31" s="940"/>
      <c r="BK31" s="940"/>
      <c r="BL31" s="940"/>
      <c r="BM31" s="940"/>
      <c r="BN31" s="940"/>
      <c r="BO31" s="940"/>
      <c r="BP31" s="940"/>
      <c r="BQ31" s="940"/>
      <c r="BR31" s="940"/>
      <c r="BS31" s="940"/>
      <c r="BT31" s="940"/>
      <c r="BU31" s="940"/>
      <c r="BV31" s="940"/>
      <c r="BW31" s="940"/>
      <c r="BX31" s="940"/>
      <c r="BY31" s="940"/>
      <c r="BZ31" s="940"/>
      <c r="CA31" s="940"/>
      <c r="CB31" s="940"/>
      <c r="CC31" s="940"/>
      <c r="CD31" s="940"/>
      <c r="CE31" s="940"/>
      <c r="CF31" s="940"/>
      <c r="CG31" s="940"/>
      <c r="CH31" s="940"/>
      <c r="CI31" s="940"/>
      <c r="CJ31" s="940"/>
      <c r="CK31" s="940"/>
      <c r="CL31" s="940"/>
      <c r="CM31" s="940"/>
      <c r="CN31" s="940"/>
      <c r="CO31" s="940"/>
      <c r="CP31" s="940"/>
      <c r="CQ31" s="940"/>
      <c r="CR31" s="940"/>
      <c r="CS31" s="940"/>
      <c r="CT31" s="940"/>
      <c r="CU31" s="940"/>
      <c r="CV31" s="940"/>
      <c r="CW31" s="940"/>
      <c r="CX31" s="940"/>
      <c r="CY31" s="940"/>
      <c r="CZ31" s="940"/>
      <c r="DA31" s="940"/>
      <c r="DB31" s="940"/>
      <c r="DC31" s="940"/>
      <c r="DD31" s="940"/>
      <c r="DE31" s="940"/>
      <c r="DF31" s="940"/>
      <c r="DG31" s="940"/>
      <c r="DH31" s="940"/>
      <c r="DI31" s="940"/>
      <c r="DJ31" s="940"/>
      <c r="DK31" s="940"/>
      <c r="DL31" s="940"/>
      <c r="DM31" s="940"/>
      <c r="DN31" s="940"/>
      <c r="DO31" s="940"/>
      <c r="DP31" s="940"/>
      <c r="DQ31" s="940"/>
      <c r="DR31" s="940"/>
      <c r="DS31" s="940"/>
      <c r="DT31" s="940"/>
      <c r="DU31" s="940"/>
      <c r="DV31" s="940"/>
      <c r="DW31" s="940"/>
      <c r="DX31" s="940"/>
      <c r="DY31" s="940"/>
      <c r="DZ31" s="940"/>
      <c r="EA31" s="940"/>
      <c r="EB31" s="940"/>
      <c r="EC31" s="940"/>
      <c r="ED31" s="940"/>
      <c r="EE31" s="940"/>
      <c r="EF31" s="940"/>
      <c r="EG31" s="940"/>
      <c r="EH31" s="940"/>
      <c r="EI31" s="940"/>
      <c r="EJ31" s="940"/>
      <c r="EK31" s="940"/>
      <c r="EL31" s="940"/>
      <c r="EM31" s="940"/>
      <c r="EN31" s="940"/>
      <c r="EO31" s="940"/>
      <c r="EP31" s="940"/>
      <c r="EQ31" s="940"/>
      <c r="ER31" s="940"/>
      <c r="ES31" s="940"/>
      <c r="ET31" s="940"/>
      <c r="EU31" s="940"/>
      <c r="EV31" s="940"/>
      <c r="EW31" s="940"/>
      <c r="EX31" s="940"/>
      <c r="EY31" s="940"/>
      <c r="EZ31" s="940"/>
      <c r="FA31" s="940"/>
      <c r="FB31" s="940"/>
      <c r="FC31" s="940"/>
      <c r="FD31" s="940"/>
      <c r="FE31" s="940"/>
      <c r="FF31" s="940"/>
      <c r="FG31" s="940"/>
      <c r="FH31" s="940"/>
      <c r="FI31" s="940"/>
      <c r="FJ31" s="940"/>
      <c r="FK31" s="940"/>
      <c r="FL31" s="940"/>
      <c r="FM31" s="940"/>
      <c r="FN31" s="940"/>
      <c r="FO31" s="940"/>
      <c r="FP31" s="940"/>
      <c r="FQ31" s="940"/>
      <c r="FR31" s="940"/>
      <c r="FS31" s="940"/>
      <c r="FT31" s="940"/>
      <c r="FU31" s="940"/>
      <c r="FV31" s="940"/>
      <c r="FW31" s="940"/>
      <c r="FX31" s="940"/>
      <c r="FY31" s="940"/>
      <c r="FZ31" s="940"/>
      <c r="GA31" s="940"/>
      <c r="GB31" s="940"/>
      <c r="GC31" s="940"/>
      <c r="GD31" s="940"/>
      <c r="GE31" s="940"/>
      <c r="GF31" s="940"/>
      <c r="GG31" s="940"/>
      <c r="GH31" s="940"/>
      <c r="GI31" s="940"/>
      <c r="GJ31" s="940"/>
      <c r="GK31" s="940"/>
      <c r="GL31" s="940"/>
      <c r="GM31" s="940"/>
      <c r="GN31" s="940"/>
      <c r="GO31" s="940"/>
      <c r="GP31" s="940"/>
      <c r="GQ31" s="940"/>
      <c r="GR31" s="940"/>
      <c r="GS31" s="940"/>
      <c r="GT31" s="940"/>
      <c r="GU31" s="940"/>
      <c r="GV31" s="940"/>
      <c r="GW31" s="940"/>
      <c r="GX31" s="940"/>
      <c r="GY31" s="940"/>
      <c r="GZ31" s="940"/>
      <c r="HA31" s="940"/>
      <c r="HB31" s="940"/>
      <c r="HC31" s="940"/>
      <c r="HD31" s="940"/>
      <c r="HE31" s="940"/>
      <c r="HF31" s="940"/>
      <c r="HG31" s="940"/>
      <c r="HH31" s="940"/>
      <c r="HI31" s="940"/>
      <c r="HJ31" s="940"/>
      <c r="HK31" s="940"/>
      <c r="HL31" s="940"/>
      <c r="HM31" s="940"/>
      <c r="HN31" s="940"/>
      <c r="HO31" s="940"/>
      <c r="HP31" s="940"/>
      <c r="HQ31" s="940"/>
      <c r="HR31" s="940"/>
      <c r="HS31" s="940"/>
      <c r="HT31" s="940"/>
      <c r="HU31" s="940"/>
      <c r="HV31" s="940"/>
      <c r="HW31" s="940"/>
      <c r="HX31" s="940"/>
      <c r="HY31" s="940"/>
      <c r="HZ31" s="940"/>
      <c r="IA31" s="940"/>
      <c r="IB31" s="940"/>
      <c r="IC31" s="940"/>
      <c r="ID31" s="940"/>
      <c r="IE31" s="940"/>
      <c r="IF31" s="940"/>
      <c r="IG31" s="940"/>
      <c r="IH31" s="940"/>
      <c r="II31" s="940"/>
      <c r="IJ31" s="940"/>
      <c r="IK31" s="940"/>
      <c r="IL31" s="940"/>
      <c r="IM31" s="940"/>
      <c r="IN31" s="940"/>
      <c r="IO31" s="940"/>
      <c r="IP31" s="940"/>
      <c r="IQ31" s="940"/>
      <c r="IR31" s="940"/>
      <c r="IS31" s="940"/>
      <c r="IT31" s="940"/>
      <c r="IU31" s="940"/>
      <c r="IV31" s="940"/>
    </row>
    <row r="32" spans="1:256" s="952" customFormat="1" ht="30" customHeight="1" x14ac:dyDescent="0.35">
      <c r="A32" s="947">
        <v>19</v>
      </c>
      <c r="B32" s="948" t="s">
        <v>765</v>
      </c>
      <c r="C32" s="949" t="s">
        <v>760</v>
      </c>
      <c r="D32" s="950"/>
      <c r="E32" s="950"/>
      <c r="F32" s="950"/>
      <c r="G32" s="950"/>
      <c r="H32" s="950"/>
      <c r="I32" s="950"/>
      <c r="J32" s="950"/>
      <c r="K32" s="950"/>
      <c r="L32" s="950"/>
      <c r="M32" s="950"/>
      <c r="N32" s="950"/>
      <c r="O32" s="950">
        <v>2000</v>
      </c>
      <c r="P32" s="950">
        <v>204</v>
      </c>
      <c r="Q32" s="951">
        <f t="shared" si="0"/>
        <v>2204</v>
      </c>
      <c r="R32" s="949"/>
      <c r="S32" s="949"/>
      <c r="T32" s="949"/>
      <c r="U32" s="949"/>
      <c r="V32" s="949"/>
      <c r="W32" s="949"/>
      <c r="X32" s="949"/>
      <c r="Y32" s="949"/>
      <c r="Z32" s="949"/>
      <c r="AA32" s="949"/>
      <c r="AB32" s="949"/>
      <c r="AC32" s="949"/>
      <c r="AD32" s="949"/>
      <c r="AE32" s="949"/>
      <c r="AF32" s="949"/>
      <c r="AG32" s="949"/>
      <c r="AH32" s="949"/>
      <c r="AI32" s="949"/>
      <c r="AJ32" s="949"/>
      <c r="AK32" s="949"/>
      <c r="AL32" s="949"/>
      <c r="AM32" s="949"/>
      <c r="AN32" s="949"/>
      <c r="AO32" s="949"/>
      <c r="AP32" s="949"/>
      <c r="AQ32" s="949"/>
      <c r="AR32" s="949"/>
      <c r="AS32" s="949"/>
      <c r="AT32" s="949"/>
      <c r="AU32" s="949"/>
      <c r="AV32" s="949"/>
      <c r="AW32" s="949"/>
      <c r="AX32" s="949"/>
      <c r="AY32" s="949"/>
      <c r="AZ32" s="949"/>
      <c r="BA32" s="949"/>
      <c r="BB32" s="949"/>
      <c r="BC32" s="949"/>
      <c r="BD32" s="949"/>
      <c r="BE32" s="949"/>
      <c r="BF32" s="949"/>
      <c r="BG32" s="949"/>
      <c r="BH32" s="949"/>
      <c r="BI32" s="949"/>
      <c r="BJ32" s="949"/>
      <c r="BK32" s="949"/>
      <c r="BL32" s="949"/>
      <c r="BM32" s="949"/>
      <c r="BN32" s="949"/>
      <c r="BO32" s="949"/>
      <c r="BP32" s="949"/>
      <c r="BQ32" s="949"/>
      <c r="BR32" s="949"/>
      <c r="BS32" s="949"/>
      <c r="BT32" s="949"/>
      <c r="BU32" s="949"/>
      <c r="BV32" s="949"/>
      <c r="BW32" s="949"/>
      <c r="BX32" s="949"/>
      <c r="BY32" s="949"/>
      <c r="BZ32" s="949"/>
      <c r="CA32" s="949"/>
      <c r="CB32" s="949"/>
      <c r="CC32" s="949"/>
      <c r="CD32" s="949"/>
      <c r="CE32" s="949"/>
      <c r="CF32" s="949"/>
      <c r="CG32" s="949"/>
      <c r="CH32" s="949"/>
      <c r="CI32" s="949"/>
      <c r="CJ32" s="949"/>
      <c r="CK32" s="949"/>
      <c r="CL32" s="949"/>
      <c r="CM32" s="949"/>
      <c r="CN32" s="949"/>
      <c r="CO32" s="949"/>
      <c r="CP32" s="949"/>
      <c r="CQ32" s="949"/>
      <c r="CR32" s="949"/>
      <c r="CS32" s="949"/>
      <c r="CT32" s="949"/>
      <c r="CU32" s="949"/>
      <c r="CV32" s="949"/>
      <c r="CW32" s="949"/>
      <c r="CX32" s="949"/>
      <c r="CY32" s="949"/>
      <c r="CZ32" s="949"/>
      <c r="DA32" s="949"/>
      <c r="DB32" s="949"/>
      <c r="DC32" s="949"/>
      <c r="DD32" s="949"/>
      <c r="DE32" s="949"/>
      <c r="DF32" s="949"/>
      <c r="DG32" s="949"/>
      <c r="DH32" s="949"/>
      <c r="DI32" s="949"/>
      <c r="DJ32" s="949"/>
      <c r="DK32" s="949"/>
      <c r="DL32" s="949"/>
      <c r="DM32" s="949"/>
      <c r="DN32" s="949"/>
      <c r="DO32" s="949"/>
      <c r="DP32" s="949"/>
      <c r="DQ32" s="949"/>
      <c r="DR32" s="949"/>
      <c r="DS32" s="949"/>
      <c r="DT32" s="949"/>
      <c r="DU32" s="949"/>
      <c r="DV32" s="949"/>
      <c r="DW32" s="949"/>
      <c r="DX32" s="949"/>
      <c r="DY32" s="949"/>
      <c r="DZ32" s="949"/>
      <c r="EA32" s="949"/>
      <c r="EB32" s="949"/>
      <c r="EC32" s="949"/>
      <c r="ED32" s="949"/>
      <c r="EE32" s="949"/>
      <c r="EF32" s="949"/>
      <c r="EG32" s="949"/>
      <c r="EH32" s="949"/>
      <c r="EI32" s="949"/>
      <c r="EJ32" s="949"/>
      <c r="EK32" s="949"/>
      <c r="EL32" s="949"/>
      <c r="EM32" s="949"/>
      <c r="EN32" s="949"/>
      <c r="EO32" s="949"/>
      <c r="EP32" s="949"/>
      <c r="EQ32" s="949"/>
      <c r="ER32" s="949"/>
      <c r="ES32" s="949"/>
      <c r="ET32" s="949"/>
      <c r="EU32" s="949"/>
      <c r="EV32" s="949"/>
      <c r="EW32" s="949"/>
      <c r="EX32" s="949"/>
      <c r="EY32" s="949"/>
      <c r="EZ32" s="949"/>
      <c r="FA32" s="949"/>
      <c r="FB32" s="949"/>
      <c r="FC32" s="949"/>
      <c r="FD32" s="949"/>
      <c r="FE32" s="949"/>
      <c r="FF32" s="949"/>
      <c r="FG32" s="949"/>
      <c r="FH32" s="949"/>
      <c r="FI32" s="949"/>
      <c r="FJ32" s="949"/>
      <c r="FK32" s="949"/>
      <c r="FL32" s="949"/>
      <c r="FM32" s="949"/>
      <c r="FN32" s="949"/>
      <c r="FO32" s="949"/>
      <c r="FP32" s="949"/>
      <c r="FQ32" s="949"/>
      <c r="FR32" s="949"/>
      <c r="FS32" s="949"/>
      <c r="FT32" s="949"/>
      <c r="FU32" s="949"/>
      <c r="FV32" s="949"/>
      <c r="FW32" s="949"/>
      <c r="FX32" s="949"/>
      <c r="FY32" s="949"/>
      <c r="FZ32" s="949"/>
      <c r="GA32" s="949"/>
      <c r="GB32" s="949"/>
      <c r="GC32" s="949"/>
      <c r="GD32" s="949"/>
      <c r="GE32" s="949"/>
      <c r="GF32" s="949"/>
      <c r="GG32" s="949"/>
      <c r="GH32" s="949"/>
      <c r="GI32" s="949"/>
      <c r="GJ32" s="949"/>
      <c r="GK32" s="949"/>
      <c r="GL32" s="949"/>
      <c r="GM32" s="949"/>
      <c r="GN32" s="949"/>
      <c r="GO32" s="949"/>
      <c r="GP32" s="949"/>
      <c r="GQ32" s="949"/>
      <c r="GR32" s="949"/>
      <c r="GS32" s="949"/>
      <c r="GT32" s="949"/>
      <c r="GU32" s="949"/>
      <c r="GV32" s="949"/>
      <c r="GW32" s="949"/>
      <c r="GX32" s="949"/>
      <c r="GY32" s="949"/>
      <c r="GZ32" s="949"/>
      <c r="HA32" s="949"/>
      <c r="HB32" s="949"/>
      <c r="HC32" s="949"/>
      <c r="HD32" s="949"/>
      <c r="HE32" s="949"/>
      <c r="HF32" s="949"/>
      <c r="HG32" s="949"/>
      <c r="HH32" s="949"/>
      <c r="HI32" s="949"/>
      <c r="HJ32" s="949"/>
      <c r="HK32" s="949"/>
      <c r="HL32" s="949"/>
      <c r="HM32" s="949"/>
      <c r="HN32" s="949"/>
      <c r="HO32" s="949"/>
      <c r="HP32" s="949"/>
      <c r="HQ32" s="949"/>
      <c r="HR32" s="949"/>
      <c r="HS32" s="949"/>
      <c r="HT32" s="949"/>
      <c r="HU32" s="949"/>
      <c r="HV32" s="949"/>
      <c r="HW32" s="949"/>
      <c r="HX32" s="949"/>
      <c r="HY32" s="949"/>
      <c r="HZ32" s="949"/>
      <c r="IA32" s="949"/>
      <c r="IB32" s="949"/>
      <c r="IC32" s="949"/>
      <c r="ID32" s="949"/>
      <c r="IE32" s="949"/>
      <c r="IF32" s="949"/>
      <c r="IG32" s="949"/>
      <c r="IH32" s="949"/>
      <c r="II32" s="949"/>
      <c r="IJ32" s="949"/>
      <c r="IK32" s="949"/>
      <c r="IL32" s="949"/>
      <c r="IM32" s="949"/>
      <c r="IN32" s="949"/>
      <c r="IO32" s="949"/>
      <c r="IP32" s="949"/>
      <c r="IQ32" s="949"/>
      <c r="IR32" s="949"/>
      <c r="IS32" s="949"/>
      <c r="IT32" s="949"/>
      <c r="IU32" s="949"/>
      <c r="IV32" s="949"/>
    </row>
    <row r="33" spans="1:256" s="940" customFormat="1" ht="18" customHeight="1" x14ac:dyDescent="0.35">
      <c r="A33" s="1428"/>
      <c r="B33" s="956"/>
      <c r="C33" s="918" t="s">
        <v>1252</v>
      </c>
      <c r="D33" s="1453">
        <v>67</v>
      </c>
      <c r="E33" s="1453"/>
      <c r="F33" s="1453"/>
      <c r="G33" s="1453">
        <v>160</v>
      </c>
      <c r="H33" s="1453"/>
      <c r="I33" s="1453">
        <v>150</v>
      </c>
      <c r="J33" s="1453"/>
      <c r="K33" s="1453"/>
      <c r="L33" s="1453"/>
      <c r="M33" s="1453">
        <v>881</v>
      </c>
      <c r="N33" s="1453">
        <v>946</v>
      </c>
      <c r="O33" s="1453">
        <v>0</v>
      </c>
      <c r="P33" s="1453">
        <v>0</v>
      </c>
      <c r="Q33" s="827">
        <f t="shared" si="0"/>
        <v>2204</v>
      </c>
      <c r="R33" s="918"/>
      <c r="S33" s="918"/>
      <c r="T33" s="918"/>
      <c r="U33" s="918"/>
      <c r="V33" s="918"/>
      <c r="W33" s="918"/>
      <c r="X33" s="918"/>
      <c r="Y33" s="918"/>
      <c r="Z33" s="918"/>
      <c r="AA33" s="918"/>
      <c r="AB33" s="918"/>
      <c r="AC33" s="918"/>
      <c r="AD33" s="918"/>
      <c r="AE33" s="918"/>
      <c r="AF33" s="918"/>
      <c r="AG33" s="918"/>
      <c r="AH33" s="918"/>
      <c r="AI33" s="918"/>
      <c r="AJ33" s="918"/>
      <c r="AK33" s="918"/>
      <c r="AL33" s="918"/>
      <c r="AM33" s="918"/>
      <c r="AN33" s="918"/>
      <c r="AO33" s="918"/>
      <c r="AP33" s="918"/>
      <c r="AQ33" s="918"/>
      <c r="AR33" s="918"/>
      <c r="AS33" s="918"/>
      <c r="AT33" s="918"/>
      <c r="AU33" s="918"/>
      <c r="AV33" s="918"/>
      <c r="AW33" s="918"/>
      <c r="AX33" s="918"/>
      <c r="AY33" s="918"/>
      <c r="AZ33" s="918"/>
      <c r="BA33" s="918"/>
      <c r="BB33" s="918"/>
      <c r="BC33" s="918"/>
      <c r="BD33" s="918"/>
      <c r="BE33" s="918"/>
      <c r="BF33" s="918"/>
      <c r="BG33" s="918"/>
      <c r="BH33" s="918"/>
      <c r="BI33" s="918"/>
      <c r="BJ33" s="918"/>
      <c r="BK33" s="918"/>
      <c r="BL33" s="918"/>
      <c r="BM33" s="918"/>
      <c r="BN33" s="918"/>
      <c r="BO33" s="918"/>
      <c r="BP33" s="918"/>
      <c r="BQ33" s="918"/>
      <c r="BR33" s="918"/>
      <c r="BS33" s="918"/>
      <c r="BT33" s="918"/>
      <c r="BU33" s="918"/>
      <c r="BV33" s="918"/>
      <c r="BW33" s="918"/>
      <c r="BX33" s="918"/>
      <c r="BY33" s="918"/>
      <c r="BZ33" s="918"/>
      <c r="CA33" s="918"/>
      <c r="CB33" s="918"/>
      <c r="CC33" s="918"/>
      <c r="CD33" s="918"/>
      <c r="CE33" s="918"/>
      <c r="CF33" s="918"/>
      <c r="CG33" s="918"/>
      <c r="CH33" s="918"/>
      <c r="CI33" s="918"/>
      <c r="CJ33" s="918"/>
      <c r="CK33" s="918"/>
      <c r="CL33" s="918"/>
      <c r="CM33" s="918"/>
      <c r="CN33" s="918"/>
      <c r="CO33" s="918"/>
      <c r="CP33" s="918"/>
      <c r="CQ33" s="918"/>
      <c r="CR33" s="918"/>
      <c r="CS33" s="918"/>
      <c r="CT33" s="918"/>
      <c r="CU33" s="918"/>
      <c r="CV33" s="918"/>
      <c r="CW33" s="918"/>
      <c r="CX33" s="918"/>
      <c r="CY33" s="918"/>
      <c r="CZ33" s="918"/>
      <c r="DA33" s="918"/>
      <c r="DB33" s="918"/>
      <c r="DC33" s="918"/>
      <c r="DD33" s="918"/>
      <c r="DE33" s="918"/>
      <c r="DF33" s="918"/>
      <c r="DG33" s="918"/>
      <c r="DH33" s="918"/>
      <c r="DI33" s="918"/>
      <c r="DJ33" s="918"/>
      <c r="DK33" s="918"/>
      <c r="DL33" s="918"/>
      <c r="DM33" s="918"/>
      <c r="DN33" s="918"/>
      <c r="DO33" s="918"/>
      <c r="DP33" s="918"/>
      <c r="DQ33" s="918"/>
      <c r="DR33" s="918"/>
      <c r="DS33" s="918"/>
      <c r="DT33" s="918"/>
      <c r="DU33" s="918"/>
      <c r="DV33" s="918"/>
      <c r="DW33" s="918"/>
      <c r="DX33" s="918"/>
      <c r="DY33" s="918"/>
      <c r="DZ33" s="918"/>
      <c r="EA33" s="918"/>
      <c r="EB33" s="918"/>
      <c r="EC33" s="918"/>
      <c r="ED33" s="918"/>
      <c r="EE33" s="918"/>
      <c r="EF33" s="918"/>
      <c r="EG33" s="918"/>
      <c r="EH33" s="918"/>
      <c r="EI33" s="918"/>
      <c r="EJ33" s="918"/>
      <c r="EK33" s="918"/>
      <c r="EL33" s="918"/>
      <c r="EM33" s="918"/>
      <c r="EN33" s="918"/>
      <c r="EO33" s="918"/>
      <c r="EP33" s="918"/>
      <c r="EQ33" s="918"/>
      <c r="ER33" s="918"/>
      <c r="ES33" s="918"/>
      <c r="ET33" s="918"/>
      <c r="EU33" s="918"/>
      <c r="EV33" s="918"/>
      <c r="EW33" s="918"/>
      <c r="EX33" s="918"/>
      <c r="EY33" s="918"/>
      <c r="EZ33" s="918"/>
      <c r="FA33" s="918"/>
      <c r="FB33" s="918"/>
      <c r="FC33" s="918"/>
      <c r="FD33" s="918"/>
      <c r="FE33" s="918"/>
      <c r="FF33" s="918"/>
      <c r="FG33" s="918"/>
      <c r="FH33" s="918"/>
      <c r="FI33" s="918"/>
      <c r="FJ33" s="918"/>
      <c r="FK33" s="918"/>
      <c r="FL33" s="918"/>
      <c r="FM33" s="918"/>
      <c r="FN33" s="918"/>
      <c r="FO33" s="918"/>
      <c r="FP33" s="918"/>
      <c r="FQ33" s="918"/>
      <c r="FR33" s="918"/>
      <c r="FS33" s="918"/>
      <c r="FT33" s="918"/>
      <c r="FU33" s="918"/>
      <c r="FV33" s="918"/>
      <c r="FW33" s="918"/>
      <c r="FX33" s="918"/>
      <c r="FY33" s="918"/>
      <c r="FZ33" s="918"/>
      <c r="GA33" s="918"/>
      <c r="GB33" s="918"/>
      <c r="GC33" s="918"/>
      <c r="GD33" s="918"/>
      <c r="GE33" s="918"/>
      <c r="GF33" s="918"/>
      <c r="GG33" s="918"/>
      <c r="GH33" s="918"/>
      <c r="GI33" s="918"/>
      <c r="GJ33" s="918"/>
      <c r="GK33" s="918"/>
      <c r="GL33" s="918"/>
      <c r="GM33" s="918"/>
      <c r="GN33" s="918"/>
      <c r="GO33" s="918"/>
      <c r="GP33" s="918"/>
      <c r="GQ33" s="918"/>
      <c r="GR33" s="918"/>
      <c r="GS33" s="918"/>
      <c r="GT33" s="918"/>
      <c r="GU33" s="918"/>
      <c r="GV33" s="918"/>
      <c r="GW33" s="918"/>
      <c r="GX33" s="918"/>
      <c r="GY33" s="918"/>
      <c r="GZ33" s="918"/>
      <c r="HA33" s="918"/>
      <c r="HB33" s="918"/>
      <c r="HC33" s="918"/>
      <c r="HD33" s="918"/>
      <c r="HE33" s="918"/>
      <c r="HF33" s="918"/>
      <c r="HG33" s="918"/>
      <c r="HH33" s="918"/>
      <c r="HI33" s="918"/>
      <c r="HJ33" s="918"/>
      <c r="HK33" s="918"/>
      <c r="HL33" s="918"/>
      <c r="HM33" s="918"/>
      <c r="HN33" s="918"/>
      <c r="HO33" s="918"/>
      <c r="HP33" s="918"/>
      <c r="HQ33" s="918"/>
      <c r="HR33" s="918"/>
      <c r="HS33" s="918"/>
      <c r="HT33" s="918"/>
      <c r="HU33" s="918"/>
      <c r="HV33" s="918"/>
      <c r="HW33" s="918"/>
      <c r="HX33" s="918"/>
      <c r="HY33" s="918"/>
      <c r="HZ33" s="918"/>
      <c r="IA33" s="918"/>
      <c r="IB33" s="918"/>
      <c r="IC33" s="918"/>
      <c r="ID33" s="918"/>
      <c r="IE33" s="918"/>
      <c r="IF33" s="918"/>
      <c r="IG33" s="918"/>
      <c r="IH33" s="918"/>
      <c r="II33" s="918"/>
      <c r="IJ33" s="918"/>
      <c r="IK33" s="918"/>
      <c r="IL33" s="918"/>
      <c r="IM33" s="918"/>
      <c r="IN33" s="918"/>
      <c r="IO33" s="918"/>
      <c r="IP33" s="918"/>
      <c r="IQ33" s="918"/>
      <c r="IR33" s="918"/>
      <c r="IS33" s="918"/>
      <c r="IT33" s="918"/>
      <c r="IU33" s="918"/>
      <c r="IV33" s="918"/>
    </row>
    <row r="34" spans="1:256" x14ac:dyDescent="0.35">
      <c r="A34" s="947">
        <v>20</v>
      </c>
      <c r="B34" s="953"/>
      <c r="C34" s="954" t="s">
        <v>733</v>
      </c>
      <c r="D34" s="187"/>
      <c r="E34" s="187"/>
      <c r="F34" s="187"/>
      <c r="G34" s="187"/>
      <c r="H34" s="187"/>
      <c r="I34" s="187"/>
      <c r="J34" s="187"/>
      <c r="K34" s="187"/>
      <c r="L34" s="187"/>
      <c r="M34" s="187"/>
      <c r="N34" s="187"/>
      <c r="O34" s="187"/>
      <c r="P34" s="960"/>
      <c r="Q34" s="955">
        <f t="shared" si="0"/>
        <v>0</v>
      </c>
      <c r="R34" s="954"/>
      <c r="S34" s="954"/>
      <c r="T34" s="954"/>
      <c r="U34" s="954"/>
      <c r="V34" s="954"/>
      <c r="W34" s="954"/>
      <c r="X34" s="954"/>
      <c r="Y34" s="954"/>
      <c r="Z34" s="954"/>
      <c r="AA34" s="954"/>
      <c r="AB34" s="954"/>
      <c r="AC34" s="954"/>
      <c r="AD34" s="954"/>
      <c r="AE34" s="954"/>
      <c r="AF34" s="954"/>
      <c r="AG34" s="954"/>
      <c r="AH34" s="954"/>
      <c r="AI34" s="954"/>
      <c r="AJ34" s="954"/>
      <c r="AK34" s="954"/>
      <c r="AL34" s="954"/>
      <c r="AM34" s="954"/>
      <c r="AN34" s="954"/>
      <c r="AO34" s="954"/>
      <c r="AP34" s="954"/>
      <c r="AQ34" s="954"/>
      <c r="AR34" s="954"/>
      <c r="AS34" s="954"/>
      <c r="AT34" s="954"/>
      <c r="AU34" s="954"/>
      <c r="AV34" s="954"/>
      <c r="AW34" s="954"/>
      <c r="AX34" s="954"/>
      <c r="AY34" s="954"/>
      <c r="AZ34" s="954"/>
      <c r="BA34" s="954"/>
      <c r="BB34" s="954"/>
      <c r="BC34" s="954"/>
      <c r="BD34" s="954"/>
      <c r="BE34" s="954"/>
      <c r="BF34" s="954"/>
      <c r="BG34" s="954"/>
      <c r="BH34" s="954"/>
      <c r="BI34" s="954"/>
      <c r="BJ34" s="954"/>
      <c r="BK34" s="954"/>
      <c r="BL34" s="954"/>
      <c r="BM34" s="954"/>
      <c r="BN34" s="954"/>
      <c r="BO34" s="954"/>
      <c r="BP34" s="954"/>
      <c r="BQ34" s="954"/>
      <c r="BR34" s="954"/>
      <c r="BS34" s="954"/>
      <c r="BT34" s="954"/>
      <c r="BU34" s="954"/>
      <c r="BV34" s="954"/>
      <c r="BW34" s="954"/>
      <c r="BX34" s="954"/>
      <c r="BY34" s="954"/>
      <c r="BZ34" s="954"/>
      <c r="CA34" s="954"/>
      <c r="CB34" s="954"/>
      <c r="CC34" s="954"/>
      <c r="CD34" s="954"/>
      <c r="CE34" s="954"/>
      <c r="CF34" s="954"/>
      <c r="CG34" s="954"/>
      <c r="CH34" s="954"/>
      <c r="CI34" s="954"/>
      <c r="CJ34" s="954"/>
      <c r="CK34" s="954"/>
      <c r="CL34" s="954"/>
      <c r="CM34" s="954"/>
      <c r="CN34" s="954"/>
      <c r="CO34" s="954"/>
      <c r="CP34" s="954"/>
      <c r="CQ34" s="954"/>
      <c r="CR34" s="954"/>
      <c r="CS34" s="954"/>
      <c r="CT34" s="954"/>
      <c r="CU34" s="954"/>
      <c r="CV34" s="954"/>
      <c r="CW34" s="954"/>
      <c r="CX34" s="954"/>
      <c r="CY34" s="954"/>
      <c r="CZ34" s="954"/>
      <c r="DA34" s="954"/>
      <c r="DB34" s="954"/>
      <c r="DC34" s="954"/>
      <c r="DD34" s="954"/>
      <c r="DE34" s="954"/>
      <c r="DF34" s="954"/>
      <c r="DG34" s="954"/>
      <c r="DH34" s="954"/>
      <c r="DI34" s="954"/>
      <c r="DJ34" s="954"/>
      <c r="DK34" s="954"/>
      <c r="DL34" s="954"/>
      <c r="DM34" s="954"/>
      <c r="DN34" s="954"/>
      <c r="DO34" s="954"/>
      <c r="DP34" s="954"/>
      <c r="DQ34" s="954"/>
      <c r="DR34" s="954"/>
      <c r="DS34" s="954"/>
      <c r="DT34" s="954"/>
      <c r="DU34" s="954"/>
      <c r="DV34" s="954"/>
      <c r="DW34" s="954"/>
      <c r="DX34" s="954"/>
      <c r="DY34" s="954"/>
      <c r="DZ34" s="954"/>
      <c r="EA34" s="954"/>
      <c r="EB34" s="954"/>
      <c r="EC34" s="954"/>
      <c r="ED34" s="954"/>
      <c r="EE34" s="954"/>
      <c r="EF34" s="954"/>
      <c r="EG34" s="954"/>
      <c r="EH34" s="954"/>
      <c r="EI34" s="954"/>
      <c r="EJ34" s="954"/>
      <c r="EK34" s="954"/>
      <c r="EL34" s="954"/>
      <c r="EM34" s="954"/>
      <c r="EN34" s="954"/>
      <c r="EO34" s="954"/>
      <c r="EP34" s="954"/>
      <c r="EQ34" s="954"/>
      <c r="ER34" s="954"/>
      <c r="ES34" s="954"/>
      <c r="ET34" s="954"/>
      <c r="EU34" s="954"/>
      <c r="EV34" s="954"/>
      <c r="EW34" s="954"/>
      <c r="EX34" s="954"/>
      <c r="EY34" s="954"/>
      <c r="EZ34" s="954"/>
      <c r="FA34" s="954"/>
      <c r="FB34" s="954"/>
      <c r="FC34" s="954"/>
      <c r="FD34" s="954"/>
      <c r="FE34" s="954"/>
      <c r="FF34" s="954"/>
      <c r="FG34" s="954"/>
      <c r="FH34" s="954"/>
      <c r="FI34" s="954"/>
      <c r="FJ34" s="954"/>
      <c r="FK34" s="954"/>
      <c r="FL34" s="954"/>
      <c r="FM34" s="954"/>
      <c r="FN34" s="954"/>
      <c r="FO34" s="954"/>
      <c r="FP34" s="954"/>
      <c r="FQ34" s="954"/>
      <c r="FR34" s="954"/>
      <c r="FS34" s="954"/>
      <c r="FT34" s="954"/>
      <c r="FU34" s="954"/>
      <c r="FV34" s="954"/>
      <c r="FW34" s="954"/>
      <c r="FX34" s="954"/>
      <c r="FY34" s="954"/>
      <c r="FZ34" s="954"/>
      <c r="GA34" s="954"/>
      <c r="GB34" s="954"/>
      <c r="GC34" s="954"/>
      <c r="GD34" s="954"/>
      <c r="GE34" s="954"/>
      <c r="GF34" s="954"/>
      <c r="GG34" s="954"/>
      <c r="GH34" s="954"/>
      <c r="GI34" s="954"/>
      <c r="GJ34" s="954"/>
      <c r="GK34" s="954"/>
      <c r="GL34" s="954"/>
      <c r="GM34" s="954"/>
      <c r="GN34" s="954"/>
      <c r="GO34" s="954"/>
      <c r="GP34" s="954"/>
      <c r="GQ34" s="954"/>
      <c r="GR34" s="954"/>
      <c r="GS34" s="954"/>
      <c r="GT34" s="954"/>
      <c r="GU34" s="954"/>
      <c r="GV34" s="954"/>
      <c r="GW34" s="954"/>
      <c r="GX34" s="954"/>
      <c r="GY34" s="954"/>
      <c r="GZ34" s="954"/>
      <c r="HA34" s="954"/>
      <c r="HB34" s="954"/>
      <c r="HC34" s="954"/>
      <c r="HD34" s="954"/>
      <c r="HE34" s="954"/>
      <c r="HF34" s="954"/>
      <c r="HG34" s="954"/>
      <c r="HH34" s="954"/>
      <c r="HI34" s="954"/>
      <c r="HJ34" s="954"/>
      <c r="HK34" s="954"/>
      <c r="HL34" s="954"/>
      <c r="HM34" s="954"/>
      <c r="HN34" s="954"/>
      <c r="HO34" s="954"/>
      <c r="HP34" s="954"/>
      <c r="HQ34" s="954"/>
      <c r="HR34" s="954"/>
      <c r="HS34" s="954"/>
      <c r="HT34" s="954"/>
      <c r="HU34" s="954"/>
      <c r="HV34" s="954"/>
      <c r="HW34" s="954"/>
      <c r="HX34" s="954"/>
      <c r="HY34" s="954"/>
      <c r="HZ34" s="954"/>
      <c r="IA34" s="954"/>
      <c r="IB34" s="954"/>
      <c r="IC34" s="954"/>
      <c r="ID34" s="954"/>
      <c r="IE34" s="954"/>
      <c r="IF34" s="954"/>
      <c r="IG34" s="954"/>
      <c r="IH34" s="954"/>
      <c r="II34" s="954"/>
      <c r="IJ34" s="954"/>
      <c r="IK34" s="954"/>
      <c r="IL34" s="954"/>
      <c r="IM34" s="954"/>
      <c r="IN34" s="954"/>
      <c r="IO34" s="954"/>
      <c r="IP34" s="954"/>
      <c r="IQ34" s="954"/>
      <c r="IR34" s="954"/>
      <c r="IS34" s="954"/>
      <c r="IT34" s="954"/>
      <c r="IU34" s="954"/>
      <c r="IV34" s="954"/>
    </row>
    <row r="35" spans="1:256" x14ac:dyDescent="0.35">
      <c r="A35" s="947">
        <v>21</v>
      </c>
      <c r="B35" s="956"/>
      <c r="C35" s="957" t="s">
        <v>1307</v>
      </c>
      <c r="D35" s="958">
        <f>SUM(D33:D34)</f>
        <v>67</v>
      </c>
      <c r="E35" s="958">
        <f t="shared" ref="E35:Q35" si="9">SUM(E33:E34)</f>
        <v>0</v>
      </c>
      <c r="F35" s="958">
        <f t="shared" si="9"/>
        <v>0</v>
      </c>
      <c r="G35" s="958">
        <f t="shared" si="9"/>
        <v>160</v>
      </c>
      <c r="H35" s="958">
        <f t="shared" si="9"/>
        <v>0</v>
      </c>
      <c r="I35" s="958">
        <f t="shared" si="9"/>
        <v>150</v>
      </c>
      <c r="J35" s="958">
        <f t="shared" si="9"/>
        <v>0</v>
      </c>
      <c r="K35" s="958">
        <f t="shared" si="9"/>
        <v>0</v>
      </c>
      <c r="L35" s="958">
        <f t="shared" si="9"/>
        <v>0</v>
      </c>
      <c r="M35" s="958">
        <f t="shared" si="9"/>
        <v>881</v>
      </c>
      <c r="N35" s="958">
        <f t="shared" si="9"/>
        <v>946</v>
      </c>
      <c r="O35" s="958">
        <f t="shared" si="9"/>
        <v>0</v>
      </c>
      <c r="P35" s="958">
        <f t="shared" si="9"/>
        <v>0</v>
      </c>
      <c r="Q35" s="1640">
        <f t="shared" si="9"/>
        <v>2204</v>
      </c>
      <c r="R35" s="940"/>
      <c r="S35" s="940"/>
      <c r="T35" s="940"/>
      <c r="U35" s="940"/>
      <c r="V35" s="940"/>
      <c r="W35" s="940"/>
      <c r="X35" s="940"/>
      <c r="Y35" s="940"/>
      <c r="Z35" s="940"/>
      <c r="AA35" s="940"/>
      <c r="AB35" s="940"/>
      <c r="AC35" s="940"/>
      <c r="AD35" s="940"/>
      <c r="AE35" s="940"/>
      <c r="AF35" s="940"/>
      <c r="AG35" s="940"/>
      <c r="AH35" s="940"/>
      <c r="AI35" s="940"/>
      <c r="AJ35" s="940"/>
      <c r="AK35" s="940"/>
      <c r="AL35" s="940"/>
      <c r="AM35" s="940"/>
      <c r="AN35" s="940"/>
      <c r="AO35" s="940"/>
      <c r="AP35" s="940"/>
      <c r="AQ35" s="940"/>
      <c r="AR35" s="940"/>
      <c r="AS35" s="940"/>
      <c r="AT35" s="940"/>
      <c r="AU35" s="940"/>
      <c r="AV35" s="940"/>
      <c r="AW35" s="940"/>
      <c r="AX35" s="940"/>
      <c r="AY35" s="940"/>
      <c r="AZ35" s="940"/>
      <c r="BA35" s="940"/>
      <c r="BB35" s="940"/>
      <c r="BC35" s="940"/>
      <c r="BD35" s="940"/>
      <c r="BE35" s="940"/>
      <c r="BF35" s="940"/>
      <c r="BG35" s="940"/>
      <c r="BH35" s="940"/>
      <c r="BI35" s="940"/>
      <c r="BJ35" s="940"/>
      <c r="BK35" s="940"/>
      <c r="BL35" s="940"/>
      <c r="BM35" s="940"/>
      <c r="BN35" s="940"/>
      <c r="BO35" s="940"/>
      <c r="BP35" s="940"/>
      <c r="BQ35" s="940"/>
      <c r="BR35" s="940"/>
      <c r="BS35" s="940"/>
      <c r="BT35" s="940"/>
      <c r="BU35" s="940"/>
      <c r="BV35" s="940"/>
      <c r="BW35" s="940"/>
      <c r="BX35" s="940"/>
      <c r="BY35" s="940"/>
      <c r="BZ35" s="940"/>
      <c r="CA35" s="940"/>
      <c r="CB35" s="940"/>
      <c r="CC35" s="940"/>
      <c r="CD35" s="940"/>
      <c r="CE35" s="940"/>
      <c r="CF35" s="940"/>
      <c r="CG35" s="940"/>
      <c r="CH35" s="940"/>
      <c r="CI35" s="940"/>
      <c r="CJ35" s="940"/>
      <c r="CK35" s="940"/>
      <c r="CL35" s="940"/>
      <c r="CM35" s="940"/>
      <c r="CN35" s="940"/>
      <c r="CO35" s="940"/>
      <c r="CP35" s="940"/>
      <c r="CQ35" s="940"/>
      <c r="CR35" s="940"/>
      <c r="CS35" s="940"/>
      <c r="CT35" s="940"/>
      <c r="CU35" s="940"/>
      <c r="CV35" s="940"/>
      <c r="CW35" s="940"/>
      <c r="CX35" s="940"/>
      <c r="CY35" s="940"/>
      <c r="CZ35" s="940"/>
      <c r="DA35" s="940"/>
      <c r="DB35" s="940"/>
      <c r="DC35" s="940"/>
      <c r="DD35" s="940"/>
      <c r="DE35" s="940"/>
      <c r="DF35" s="940"/>
      <c r="DG35" s="940"/>
      <c r="DH35" s="940"/>
      <c r="DI35" s="940"/>
      <c r="DJ35" s="940"/>
      <c r="DK35" s="940"/>
      <c r="DL35" s="940"/>
      <c r="DM35" s="940"/>
      <c r="DN35" s="940"/>
      <c r="DO35" s="940"/>
      <c r="DP35" s="940"/>
      <c r="DQ35" s="940"/>
      <c r="DR35" s="940"/>
      <c r="DS35" s="940"/>
      <c r="DT35" s="940"/>
      <c r="DU35" s="940"/>
      <c r="DV35" s="940"/>
      <c r="DW35" s="940"/>
      <c r="DX35" s="940"/>
      <c r="DY35" s="940"/>
      <c r="DZ35" s="940"/>
      <c r="EA35" s="940"/>
      <c r="EB35" s="940"/>
      <c r="EC35" s="940"/>
      <c r="ED35" s="940"/>
      <c r="EE35" s="940"/>
      <c r="EF35" s="940"/>
      <c r="EG35" s="940"/>
      <c r="EH35" s="940"/>
      <c r="EI35" s="940"/>
      <c r="EJ35" s="940"/>
      <c r="EK35" s="940"/>
      <c r="EL35" s="940"/>
      <c r="EM35" s="940"/>
      <c r="EN35" s="940"/>
      <c r="EO35" s="940"/>
      <c r="EP35" s="940"/>
      <c r="EQ35" s="940"/>
      <c r="ER35" s="940"/>
      <c r="ES35" s="940"/>
      <c r="ET35" s="940"/>
      <c r="EU35" s="940"/>
      <c r="EV35" s="940"/>
      <c r="EW35" s="940"/>
      <c r="EX35" s="940"/>
      <c r="EY35" s="940"/>
      <c r="EZ35" s="940"/>
      <c r="FA35" s="940"/>
      <c r="FB35" s="940"/>
      <c r="FC35" s="940"/>
      <c r="FD35" s="940"/>
      <c r="FE35" s="940"/>
      <c r="FF35" s="940"/>
      <c r="FG35" s="940"/>
      <c r="FH35" s="940"/>
      <c r="FI35" s="940"/>
      <c r="FJ35" s="940"/>
      <c r="FK35" s="940"/>
      <c r="FL35" s="940"/>
      <c r="FM35" s="940"/>
      <c r="FN35" s="940"/>
      <c r="FO35" s="940"/>
      <c r="FP35" s="940"/>
      <c r="FQ35" s="940"/>
      <c r="FR35" s="940"/>
      <c r="FS35" s="940"/>
      <c r="FT35" s="940"/>
      <c r="FU35" s="940"/>
      <c r="FV35" s="940"/>
      <c r="FW35" s="940"/>
      <c r="FX35" s="940"/>
      <c r="FY35" s="940"/>
      <c r="FZ35" s="940"/>
      <c r="GA35" s="940"/>
      <c r="GB35" s="940"/>
      <c r="GC35" s="940"/>
      <c r="GD35" s="940"/>
      <c r="GE35" s="940"/>
      <c r="GF35" s="940"/>
      <c r="GG35" s="940"/>
      <c r="GH35" s="940"/>
      <c r="GI35" s="940"/>
      <c r="GJ35" s="940"/>
      <c r="GK35" s="940"/>
      <c r="GL35" s="940"/>
      <c r="GM35" s="940"/>
      <c r="GN35" s="940"/>
      <c r="GO35" s="940"/>
      <c r="GP35" s="940"/>
      <c r="GQ35" s="940"/>
      <c r="GR35" s="940"/>
      <c r="GS35" s="940"/>
      <c r="GT35" s="940"/>
      <c r="GU35" s="940"/>
      <c r="GV35" s="940"/>
      <c r="GW35" s="940"/>
      <c r="GX35" s="940"/>
      <c r="GY35" s="940"/>
      <c r="GZ35" s="940"/>
      <c r="HA35" s="940"/>
      <c r="HB35" s="940"/>
      <c r="HC35" s="940"/>
      <c r="HD35" s="940"/>
      <c r="HE35" s="940"/>
      <c r="HF35" s="940"/>
      <c r="HG35" s="940"/>
      <c r="HH35" s="940"/>
      <c r="HI35" s="940"/>
      <c r="HJ35" s="940"/>
      <c r="HK35" s="940"/>
      <c r="HL35" s="940"/>
      <c r="HM35" s="940"/>
      <c r="HN35" s="940"/>
      <c r="HO35" s="940"/>
      <c r="HP35" s="940"/>
      <c r="HQ35" s="940"/>
      <c r="HR35" s="940"/>
      <c r="HS35" s="940"/>
      <c r="HT35" s="940"/>
      <c r="HU35" s="940"/>
      <c r="HV35" s="940"/>
      <c r="HW35" s="940"/>
      <c r="HX35" s="940"/>
      <c r="HY35" s="940"/>
      <c r="HZ35" s="940"/>
      <c r="IA35" s="940"/>
      <c r="IB35" s="940"/>
      <c r="IC35" s="940"/>
      <c r="ID35" s="940"/>
      <c r="IE35" s="940"/>
      <c r="IF35" s="940"/>
      <c r="IG35" s="940"/>
      <c r="IH35" s="940"/>
      <c r="II35" s="940"/>
      <c r="IJ35" s="940"/>
      <c r="IK35" s="940"/>
      <c r="IL35" s="940"/>
      <c r="IM35" s="940"/>
      <c r="IN35" s="940"/>
      <c r="IO35" s="940"/>
      <c r="IP35" s="940"/>
      <c r="IQ35" s="940"/>
      <c r="IR35" s="940"/>
      <c r="IS35" s="940"/>
      <c r="IT35" s="940"/>
      <c r="IU35" s="940"/>
      <c r="IV35" s="940"/>
    </row>
    <row r="36" spans="1:256" s="952" customFormat="1" ht="30" customHeight="1" x14ac:dyDescent="0.35">
      <c r="A36" s="947">
        <v>22</v>
      </c>
      <c r="B36" s="948" t="s">
        <v>766</v>
      </c>
      <c r="C36" s="949" t="s">
        <v>760</v>
      </c>
      <c r="D36" s="950"/>
      <c r="E36" s="950"/>
      <c r="F36" s="950"/>
      <c r="G36" s="950"/>
      <c r="H36" s="950"/>
      <c r="I36" s="950"/>
      <c r="J36" s="950"/>
      <c r="K36" s="950"/>
      <c r="L36" s="950"/>
      <c r="M36" s="950"/>
      <c r="N36" s="950"/>
      <c r="O36" s="950">
        <v>2000</v>
      </c>
      <c r="P36" s="950">
        <v>580</v>
      </c>
      <c r="Q36" s="951">
        <f>SUM(D36:P36)</f>
        <v>2580</v>
      </c>
      <c r="R36" s="949"/>
      <c r="S36" s="949"/>
      <c r="T36" s="949"/>
      <c r="U36" s="949"/>
      <c r="V36" s="949"/>
      <c r="W36" s="949"/>
      <c r="X36" s="949"/>
      <c r="Y36" s="949"/>
      <c r="Z36" s="949"/>
      <c r="AA36" s="949"/>
      <c r="AB36" s="949"/>
      <c r="AC36" s="949"/>
      <c r="AD36" s="949"/>
      <c r="AE36" s="949"/>
      <c r="AF36" s="949"/>
      <c r="AG36" s="949"/>
      <c r="AH36" s="949"/>
      <c r="AI36" s="949"/>
      <c r="AJ36" s="949"/>
      <c r="AK36" s="949"/>
      <c r="AL36" s="949"/>
      <c r="AM36" s="949"/>
      <c r="AN36" s="949"/>
      <c r="AO36" s="949"/>
      <c r="AP36" s="949"/>
      <c r="AQ36" s="949"/>
      <c r="AR36" s="949"/>
      <c r="AS36" s="949"/>
      <c r="AT36" s="949"/>
      <c r="AU36" s="949"/>
      <c r="AV36" s="949"/>
      <c r="AW36" s="949"/>
      <c r="AX36" s="949"/>
      <c r="AY36" s="949"/>
      <c r="AZ36" s="949"/>
      <c r="BA36" s="949"/>
      <c r="BB36" s="949"/>
      <c r="BC36" s="949"/>
      <c r="BD36" s="949"/>
      <c r="BE36" s="949"/>
      <c r="BF36" s="949"/>
      <c r="BG36" s="949"/>
      <c r="BH36" s="949"/>
      <c r="BI36" s="949"/>
      <c r="BJ36" s="949"/>
      <c r="BK36" s="949"/>
      <c r="BL36" s="949"/>
      <c r="BM36" s="949"/>
      <c r="BN36" s="949"/>
      <c r="BO36" s="949"/>
      <c r="BP36" s="949"/>
      <c r="BQ36" s="949"/>
      <c r="BR36" s="949"/>
      <c r="BS36" s="949"/>
      <c r="BT36" s="949"/>
      <c r="BU36" s="949"/>
      <c r="BV36" s="949"/>
      <c r="BW36" s="949"/>
      <c r="BX36" s="949"/>
      <c r="BY36" s="949"/>
      <c r="BZ36" s="949"/>
      <c r="CA36" s="949"/>
      <c r="CB36" s="949"/>
      <c r="CC36" s="949"/>
      <c r="CD36" s="949"/>
      <c r="CE36" s="949"/>
      <c r="CF36" s="949"/>
      <c r="CG36" s="949"/>
      <c r="CH36" s="949"/>
      <c r="CI36" s="949"/>
      <c r="CJ36" s="949"/>
      <c r="CK36" s="949"/>
      <c r="CL36" s="949"/>
      <c r="CM36" s="949"/>
      <c r="CN36" s="949"/>
      <c r="CO36" s="949"/>
      <c r="CP36" s="949"/>
      <c r="CQ36" s="949"/>
      <c r="CR36" s="949"/>
      <c r="CS36" s="949"/>
      <c r="CT36" s="949"/>
      <c r="CU36" s="949"/>
      <c r="CV36" s="949"/>
      <c r="CW36" s="949"/>
      <c r="CX36" s="949"/>
      <c r="CY36" s="949"/>
      <c r="CZ36" s="949"/>
      <c r="DA36" s="949"/>
      <c r="DB36" s="949"/>
      <c r="DC36" s="949"/>
      <c r="DD36" s="949"/>
      <c r="DE36" s="949"/>
      <c r="DF36" s="949"/>
      <c r="DG36" s="949"/>
      <c r="DH36" s="949"/>
      <c r="DI36" s="949"/>
      <c r="DJ36" s="949"/>
      <c r="DK36" s="949"/>
      <c r="DL36" s="949"/>
      <c r="DM36" s="949"/>
      <c r="DN36" s="949"/>
      <c r="DO36" s="949"/>
      <c r="DP36" s="949"/>
      <c r="DQ36" s="949"/>
      <c r="DR36" s="949"/>
      <c r="DS36" s="949"/>
      <c r="DT36" s="949"/>
      <c r="DU36" s="949"/>
      <c r="DV36" s="949"/>
      <c r="DW36" s="949"/>
      <c r="DX36" s="949"/>
      <c r="DY36" s="949"/>
      <c r="DZ36" s="949"/>
      <c r="EA36" s="949"/>
      <c r="EB36" s="949"/>
      <c r="EC36" s="949"/>
      <c r="ED36" s="949"/>
      <c r="EE36" s="949"/>
      <c r="EF36" s="949"/>
      <c r="EG36" s="949"/>
      <c r="EH36" s="949"/>
      <c r="EI36" s="949"/>
      <c r="EJ36" s="949"/>
      <c r="EK36" s="949"/>
      <c r="EL36" s="949"/>
      <c r="EM36" s="949"/>
      <c r="EN36" s="949"/>
      <c r="EO36" s="949"/>
      <c r="EP36" s="949"/>
      <c r="EQ36" s="949"/>
      <c r="ER36" s="949"/>
      <c r="ES36" s="949"/>
      <c r="ET36" s="949"/>
      <c r="EU36" s="949"/>
      <c r="EV36" s="949"/>
      <c r="EW36" s="949"/>
      <c r="EX36" s="949"/>
      <c r="EY36" s="949"/>
      <c r="EZ36" s="949"/>
      <c r="FA36" s="949"/>
      <c r="FB36" s="949"/>
      <c r="FC36" s="949"/>
      <c r="FD36" s="949"/>
      <c r="FE36" s="949"/>
      <c r="FF36" s="949"/>
      <c r="FG36" s="949"/>
      <c r="FH36" s="949"/>
      <c r="FI36" s="949"/>
      <c r="FJ36" s="949"/>
      <c r="FK36" s="949"/>
      <c r="FL36" s="949"/>
      <c r="FM36" s="949"/>
      <c r="FN36" s="949"/>
      <c r="FO36" s="949"/>
      <c r="FP36" s="949"/>
      <c r="FQ36" s="949"/>
      <c r="FR36" s="949"/>
      <c r="FS36" s="949"/>
      <c r="FT36" s="949"/>
      <c r="FU36" s="949"/>
      <c r="FV36" s="949"/>
      <c r="FW36" s="949"/>
      <c r="FX36" s="949"/>
      <c r="FY36" s="949"/>
      <c r="FZ36" s="949"/>
      <c r="GA36" s="949"/>
      <c r="GB36" s="949"/>
      <c r="GC36" s="949"/>
      <c r="GD36" s="949"/>
      <c r="GE36" s="949"/>
      <c r="GF36" s="949"/>
      <c r="GG36" s="949"/>
      <c r="GH36" s="949"/>
      <c r="GI36" s="949"/>
      <c r="GJ36" s="949"/>
      <c r="GK36" s="949"/>
      <c r="GL36" s="949"/>
      <c r="GM36" s="949"/>
      <c r="GN36" s="949"/>
      <c r="GO36" s="949"/>
      <c r="GP36" s="949"/>
      <c r="GQ36" s="949"/>
      <c r="GR36" s="949"/>
      <c r="GS36" s="949"/>
      <c r="GT36" s="949"/>
      <c r="GU36" s="949"/>
      <c r="GV36" s="949"/>
      <c r="GW36" s="949"/>
      <c r="GX36" s="949"/>
      <c r="GY36" s="949"/>
      <c r="GZ36" s="949"/>
      <c r="HA36" s="949"/>
      <c r="HB36" s="949"/>
      <c r="HC36" s="949"/>
      <c r="HD36" s="949"/>
      <c r="HE36" s="949"/>
      <c r="HF36" s="949"/>
      <c r="HG36" s="949"/>
      <c r="HH36" s="949"/>
      <c r="HI36" s="949"/>
      <c r="HJ36" s="949"/>
      <c r="HK36" s="949"/>
      <c r="HL36" s="949"/>
      <c r="HM36" s="949"/>
      <c r="HN36" s="949"/>
      <c r="HO36" s="949"/>
      <c r="HP36" s="949"/>
      <c r="HQ36" s="949"/>
      <c r="HR36" s="949"/>
      <c r="HS36" s="949"/>
      <c r="HT36" s="949"/>
      <c r="HU36" s="949"/>
      <c r="HV36" s="949"/>
      <c r="HW36" s="949"/>
      <c r="HX36" s="949"/>
      <c r="HY36" s="949"/>
      <c r="HZ36" s="949"/>
      <c r="IA36" s="949"/>
      <c r="IB36" s="949"/>
      <c r="IC36" s="949"/>
      <c r="ID36" s="949"/>
      <c r="IE36" s="949"/>
      <c r="IF36" s="949"/>
      <c r="IG36" s="949"/>
      <c r="IH36" s="949"/>
      <c r="II36" s="949"/>
      <c r="IJ36" s="949"/>
      <c r="IK36" s="949"/>
      <c r="IL36" s="949"/>
      <c r="IM36" s="949"/>
      <c r="IN36" s="949"/>
      <c r="IO36" s="949"/>
      <c r="IP36" s="949"/>
      <c r="IQ36" s="949"/>
      <c r="IR36" s="949"/>
      <c r="IS36" s="949"/>
      <c r="IT36" s="949"/>
      <c r="IU36" s="949"/>
      <c r="IV36" s="949"/>
    </row>
    <row r="37" spans="1:256" s="940" customFormat="1" ht="18" customHeight="1" x14ac:dyDescent="0.35">
      <c r="A37" s="1428"/>
      <c r="B37" s="956"/>
      <c r="C37" s="918" t="s">
        <v>1252</v>
      </c>
      <c r="D37" s="1453">
        <v>686</v>
      </c>
      <c r="E37" s="1453"/>
      <c r="F37" s="1453"/>
      <c r="G37" s="1453">
        <v>370</v>
      </c>
      <c r="H37" s="1453"/>
      <c r="I37" s="1453">
        <v>300</v>
      </c>
      <c r="J37" s="1453"/>
      <c r="K37" s="1453"/>
      <c r="L37" s="1453"/>
      <c r="M37" s="1453">
        <v>878</v>
      </c>
      <c r="N37" s="1453">
        <v>200</v>
      </c>
      <c r="O37" s="1453">
        <v>146</v>
      </c>
      <c r="P37" s="1453">
        <v>0</v>
      </c>
      <c r="Q37" s="827">
        <f>SUM(D37:P37)</f>
        <v>2580</v>
      </c>
      <c r="R37" s="918"/>
      <c r="S37" s="918"/>
      <c r="T37" s="918"/>
      <c r="U37" s="918"/>
      <c r="V37" s="918"/>
      <c r="W37" s="918"/>
      <c r="X37" s="918"/>
      <c r="Y37" s="918"/>
      <c r="Z37" s="918"/>
      <c r="AA37" s="918"/>
      <c r="AB37" s="918"/>
      <c r="AC37" s="918"/>
      <c r="AD37" s="918"/>
      <c r="AE37" s="918"/>
      <c r="AF37" s="918"/>
      <c r="AG37" s="918"/>
      <c r="AH37" s="918"/>
      <c r="AI37" s="918"/>
      <c r="AJ37" s="918"/>
      <c r="AK37" s="918"/>
      <c r="AL37" s="918"/>
      <c r="AM37" s="918"/>
      <c r="AN37" s="918"/>
      <c r="AO37" s="918"/>
      <c r="AP37" s="918"/>
      <c r="AQ37" s="918"/>
      <c r="AR37" s="918"/>
      <c r="AS37" s="918"/>
      <c r="AT37" s="918"/>
      <c r="AU37" s="918"/>
      <c r="AV37" s="918"/>
      <c r="AW37" s="918"/>
      <c r="AX37" s="918"/>
      <c r="AY37" s="918"/>
      <c r="AZ37" s="918"/>
      <c r="BA37" s="918"/>
      <c r="BB37" s="918"/>
      <c r="BC37" s="918"/>
      <c r="BD37" s="918"/>
      <c r="BE37" s="918"/>
      <c r="BF37" s="918"/>
      <c r="BG37" s="918"/>
      <c r="BH37" s="918"/>
      <c r="BI37" s="918"/>
      <c r="BJ37" s="918"/>
      <c r="BK37" s="918"/>
      <c r="BL37" s="918"/>
      <c r="BM37" s="918"/>
      <c r="BN37" s="918"/>
      <c r="BO37" s="918"/>
      <c r="BP37" s="918"/>
      <c r="BQ37" s="918"/>
      <c r="BR37" s="918"/>
      <c r="BS37" s="918"/>
      <c r="BT37" s="918"/>
      <c r="BU37" s="918"/>
      <c r="BV37" s="918"/>
      <c r="BW37" s="918"/>
      <c r="BX37" s="918"/>
      <c r="BY37" s="918"/>
      <c r="BZ37" s="918"/>
      <c r="CA37" s="918"/>
      <c r="CB37" s="918"/>
      <c r="CC37" s="918"/>
      <c r="CD37" s="918"/>
      <c r="CE37" s="918"/>
      <c r="CF37" s="918"/>
      <c r="CG37" s="918"/>
      <c r="CH37" s="918"/>
      <c r="CI37" s="918"/>
      <c r="CJ37" s="918"/>
      <c r="CK37" s="918"/>
      <c r="CL37" s="918"/>
      <c r="CM37" s="918"/>
      <c r="CN37" s="918"/>
      <c r="CO37" s="918"/>
      <c r="CP37" s="918"/>
      <c r="CQ37" s="918"/>
      <c r="CR37" s="918"/>
      <c r="CS37" s="918"/>
      <c r="CT37" s="918"/>
      <c r="CU37" s="918"/>
      <c r="CV37" s="918"/>
      <c r="CW37" s="918"/>
      <c r="CX37" s="918"/>
      <c r="CY37" s="918"/>
      <c r="CZ37" s="918"/>
      <c r="DA37" s="918"/>
      <c r="DB37" s="918"/>
      <c r="DC37" s="918"/>
      <c r="DD37" s="918"/>
      <c r="DE37" s="918"/>
      <c r="DF37" s="918"/>
      <c r="DG37" s="918"/>
      <c r="DH37" s="918"/>
      <c r="DI37" s="918"/>
      <c r="DJ37" s="918"/>
      <c r="DK37" s="918"/>
      <c r="DL37" s="918"/>
      <c r="DM37" s="918"/>
      <c r="DN37" s="918"/>
      <c r="DO37" s="918"/>
      <c r="DP37" s="918"/>
      <c r="DQ37" s="918"/>
      <c r="DR37" s="918"/>
      <c r="DS37" s="918"/>
      <c r="DT37" s="918"/>
      <c r="DU37" s="918"/>
      <c r="DV37" s="918"/>
      <c r="DW37" s="918"/>
      <c r="DX37" s="918"/>
      <c r="DY37" s="918"/>
      <c r="DZ37" s="918"/>
      <c r="EA37" s="918"/>
      <c r="EB37" s="918"/>
      <c r="EC37" s="918"/>
      <c r="ED37" s="918"/>
      <c r="EE37" s="918"/>
      <c r="EF37" s="918"/>
      <c r="EG37" s="918"/>
      <c r="EH37" s="918"/>
      <c r="EI37" s="918"/>
      <c r="EJ37" s="918"/>
      <c r="EK37" s="918"/>
      <c r="EL37" s="918"/>
      <c r="EM37" s="918"/>
      <c r="EN37" s="918"/>
      <c r="EO37" s="918"/>
      <c r="EP37" s="918"/>
      <c r="EQ37" s="918"/>
      <c r="ER37" s="918"/>
      <c r="ES37" s="918"/>
      <c r="ET37" s="918"/>
      <c r="EU37" s="918"/>
      <c r="EV37" s="918"/>
      <c r="EW37" s="918"/>
      <c r="EX37" s="918"/>
      <c r="EY37" s="918"/>
      <c r="EZ37" s="918"/>
      <c r="FA37" s="918"/>
      <c r="FB37" s="918"/>
      <c r="FC37" s="918"/>
      <c r="FD37" s="918"/>
      <c r="FE37" s="918"/>
      <c r="FF37" s="918"/>
      <c r="FG37" s="918"/>
      <c r="FH37" s="918"/>
      <c r="FI37" s="918"/>
      <c r="FJ37" s="918"/>
      <c r="FK37" s="918"/>
      <c r="FL37" s="918"/>
      <c r="FM37" s="918"/>
      <c r="FN37" s="918"/>
      <c r="FO37" s="918"/>
      <c r="FP37" s="918"/>
      <c r="FQ37" s="918"/>
      <c r="FR37" s="918"/>
      <c r="FS37" s="918"/>
      <c r="FT37" s="918"/>
      <c r="FU37" s="918"/>
      <c r="FV37" s="918"/>
      <c r="FW37" s="918"/>
      <c r="FX37" s="918"/>
      <c r="FY37" s="918"/>
      <c r="FZ37" s="918"/>
      <c r="GA37" s="918"/>
      <c r="GB37" s="918"/>
      <c r="GC37" s="918"/>
      <c r="GD37" s="918"/>
      <c r="GE37" s="918"/>
      <c r="GF37" s="918"/>
      <c r="GG37" s="918"/>
      <c r="GH37" s="918"/>
      <c r="GI37" s="918"/>
      <c r="GJ37" s="918"/>
      <c r="GK37" s="918"/>
      <c r="GL37" s="918"/>
      <c r="GM37" s="918"/>
      <c r="GN37" s="918"/>
      <c r="GO37" s="918"/>
      <c r="GP37" s="918"/>
      <c r="GQ37" s="918"/>
      <c r="GR37" s="918"/>
      <c r="GS37" s="918"/>
      <c r="GT37" s="918"/>
      <c r="GU37" s="918"/>
      <c r="GV37" s="918"/>
      <c r="GW37" s="918"/>
      <c r="GX37" s="918"/>
      <c r="GY37" s="918"/>
      <c r="GZ37" s="918"/>
      <c r="HA37" s="918"/>
      <c r="HB37" s="918"/>
      <c r="HC37" s="918"/>
      <c r="HD37" s="918"/>
      <c r="HE37" s="918"/>
      <c r="HF37" s="918"/>
      <c r="HG37" s="918"/>
      <c r="HH37" s="918"/>
      <c r="HI37" s="918"/>
      <c r="HJ37" s="918"/>
      <c r="HK37" s="918"/>
      <c r="HL37" s="918"/>
      <c r="HM37" s="918"/>
      <c r="HN37" s="918"/>
      <c r="HO37" s="918"/>
      <c r="HP37" s="918"/>
      <c r="HQ37" s="918"/>
      <c r="HR37" s="918"/>
      <c r="HS37" s="918"/>
      <c r="HT37" s="918"/>
      <c r="HU37" s="918"/>
      <c r="HV37" s="918"/>
      <c r="HW37" s="918"/>
      <c r="HX37" s="918"/>
      <c r="HY37" s="918"/>
      <c r="HZ37" s="918"/>
      <c r="IA37" s="918"/>
      <c r="IB37" s="918"/>
      <c r="IC37" s="918"/>
      <c r="ID37" s="918"/>
      <c r="IE37" s="918"/>
      <c r="IF37" s="918"/>
      <c r="IG37" s="918"/>
      <c r="IH37" s="918"/>
      <c r="II37" s="918"/>
      <c r="IJ37" s="918"/>
      <c r="IK37" s="918"/>
      <c r="IL37" s="918"/>
      <c r="IM37" s="918"/>
      <c r="IN37" s="918"/>
      <c r="IO37" s="918"/>
      <c r="IP37" s="918"/>
      <c r="IQ37" s="918"/>
      <c r="IR37" s="918"/>
      <c r="IS37" s="918"/>
      <c r="IT37" s="918"/>
      <c r="IU37" s="918"/>
      <c r="IV37" s="918"/>
    </row>
    <row r="38" spans="1:256" x14ac:dyDescent="0.35">
      <c r="A38" s="947">
        <v>23</v>
      </c>
      <c r="B38" s="953"/>
      <c r="C38" s="954" t="s">
        <v>733</v>
      </c>
      <c r="D38" s="187">
        <f>-74+96</f>
        <v>22</v>
      </c>
      <c r="E38" s="187"/>
      <c r="F38" s="187"/>
      <c r="G38" s="187">
        <v>73</v>
      </c>
      <c r="H38" s="187"/>
      <c r="I38" s="187">
        <v>-52</v>
      </c>
      <c r="J38" s="187"/>
      <c r="K38" s="187"/>
      <c r="L38" s="187"/>
      <c r="M38" s="187">
        <v>70</v>
      </c>
      <c r="N38" s="187">
        <v>33</v>
      </c>
      <c r="O38" s="187">
        <v>-146</v>
      </c>
      <c r="P38" s="960"/>
      <c r="Q38" s="955">
        <f t="shared" si="0"/>
        <v>0</v>
      </c>
      <c r="R38" s="954"/>
      <c r="S38" s="954"/>
      <c r="T38" s="954"/>
      <c r="U38" s="954"/>
      <c r="V38" s="954"/>
      <c r="W38" s="954"/>
      <c r="X38" s="954"/>
      <c r="Y38" s="954"/>
      <c r="Z38" s="954"/>
      <c r="AA38" s="954"/>
      <c r="AB38" s="954"/>
      <c r="AC38" s="954"/>
      <c r="AD38" s="954"/>
      <c r="AE38" s="954"/>
      <c r="AF38" s="954"/>
      <c r="AG38" s="954"/>
      <c r="AH38" s="954"/>
      <c r="AI38" s="954"/>
      <c r="AJ38" s="954"/>
      <c r="AK38" s="954"/>
      <c r="AL38" s="954"/>
      <c r="AM38" s="954"/>
      <c r="AN38" s="954"/>
      <c r="AO38" s="954"/>
      <c r="AP38" s="954"/>
      <c r="AQ38" s="954"/>
      <c r="AR38" s="954"/>
      <c r="AS38" s="954"/>
      <c r="AT38" s="954"/>
      <c r="AU38" s="954"/>
      <c r="AV38" s="954"/>
      <c r="AW38" s="954"/>
      <c r="AX38" s="954"/>
      <c r="AY38" s="954"/>
      <c r="AZ38" s="954"/>
      <c r="BA38" s="954"/>
      <c r="BB38" s="954"/>
      <c r="BC38" s="954"/>
      <c r="BD38" s="954"/>
      <c r="BE38" s="954"/>
      <c r="BF38" s="954"/>
      <c r="BG38" s="954"/>
      <c r="BH38" s="954"/>
      <c r="BI38" s="954"/>
      <c r="BJ38" s="954"/>
      <c r="BK38" s="954"/>
      <c r="BL38" s="954"/>
      <c r="BM38" s="954"/>
      <c r="BN38" s="954"/>
      <c r="BO38" s="954"/>
      <c r="BP38" s="954"/>
      <c r="BQ38" s="954"/>
      <c r="BR38" s="954"/>
      <c r="BS38" s="954"/>
      <c r="BT38" s="954"/>
      <c r="BU38" s="954"/>
      <c r="BV38" s="954"/>
      <c r="BW38" s="954"/>
      <c r="BX38" s="954"/>
      <c r="BY38" s="954"/>
      <c r="BZ38" s="954"/>
      <c r="CA38" s="954"/>
      <c r="CB38" s="954"/>
      <c r="CC38" s="954"/>
      <c r="CD38" s="954"/>
      <c r="CE38" s="954"/>
      <c r="CF38" s="954"/>
      <c r="CG38" s="954"/>
      <c r="CH38" s="954"/>
      <c r="CI38" s="954"/>
      <c r="CJ38" s="954"/>
      <c r="CK38" s="954"/>
      <c r="CL38" s="954"/>
      <c r="CM38" s="954"/>
      <c r="CN38" s="954"/>
      <c r="CO38" s="954"/>
      <c r="CP38" s="954"/>
      <c r="CQ38" s="954"/>
      <c r="CR38" s="954"/>
      <c r="CS38" s="954"/>
      <c r="CT38" s="954"/>
      <c r="CU38" s="954"/>
      <c r="CV38" s="954"/>
      <c r="CW38" s="954"/>
      <c r="CX38" s="954"/>
      <c r="CY38" s="954"/>
      <c r="CZ38" s="954"/>
      <c r="DA38" s="954"/>
      <c r="DB38" s="954"/>
      <c r="DC38" s="954"/>
      <c r="DD38" s="954"/>
      <c r="DE38" s="954"/>
      <c r="DF38" s="954"/>
      <c r="DG38" s="954"/>
      <c r="DH38" s="954"/>
      <c r="DI38" s="954"/>
      <c r="DJ38" s="954"/>
      <c r="DK38" s="954"/>
      <c r="DL38" s="954"/>
      <c r="DM38" s="954"/>
      <c r="DN38" s="954"/>
      <c r="DO38" s="954"/>
      <c r="DP38" s="954"/>
      <c r="DQ38" s="954"/>
      <c r="DR38" s="954"/>
      <c r="DS38" s="954"/>
      <c r="DT38" s="954"/>
      <c r="DU38" s="954"/>
      <c r="DV38" s="954"/>
      <c r="DW38" s="954"/>
      <c r="DX38" s="954"/>
      <c r="DY38" s="954"/>
      <c r="DZ38" s="954"/>
      <c r="EA38" s="954"/>
      <c r="EB38" s="954"/>
      <c r="EC38" s="954"/>
      <c r="ED38" s="954"/>
      <c r="EE38" s="954"/>
      <c r="EF38" s="954"/>
      <c r="EG38" s="954"/>
      <c r="EH38" s="954"/>
      <c r="EI38" s="954"/>
      <c r="EJ38" s="954"/>
      <c r="EK38" s="954"/>
      <c r="EL38" s="954"/>
      <c r="EM38" s="954"/>
      <c r="EN38" s="954"/>
      <c r="EO38" s="954"/>
      <c r="EP38" s="954"/>
      <c r="EQ38" s="954"/>
      <c r="ER38" s="954"/>
      <c r="ES38" s="954"/>
      <c r="ET38" s="954"/>
      <c r="EU38" s="954"/>
      <c r="EV38" s="954"/>
      <c r="EW38" s="954"/>
      <c r="EX38" s="954"/>
      <c r="EY38" s="954"/>
      <c r="EZ38" s="954"/>
      <c r="FA38" s="954"/>
      <c r="FB38" s="954"/>
      <c r="FC38" s="954"/>
      <c r="FD38" s="954"/>
      <c r="FE38" s="954"/>
      <c r="FF38" s="954"/>
      <c r="FG38" s="954"/>
      <c r="FH38" s="954"/>
      <c r="FI38" s="954"/>
      <c r="FJ38" s="954"/>
      <c r="FK38" s="954"/>
      <c r="FL38" s="954"/>
      <c r="FM38" s="954"/>
      <c r="FN38" s="954"/>
      <c r="FO38" s="954"/>
      <c r="FP38" s="954"/>
      <c r="FQ38" s="954"/>
      <c r="FR38" s="954"/>
      <c r="FS38" s="954"/>
      <c r="FT38" s="954"/>
      <c r="FU38" s="954"/>
      <c r="FV38" s="954"/>
      <c r="FW38" s="954"/>
      <c r="FX38" s="954"/>
      <c r="FY38" s="954"/>
      <c r="FZ38" s="954"/>
      <c r="GA38" s="954"/>
      <c r="GB38" s="954"/>
      <c r="GC38" s="954"/>
      <c r="GD38" s="954"/>
      <c r="GE38" s="954"/>
      <c r="GF38" s="954"/>
      <c r="GG38" s="954"/>
      <c r="GH38" s="954"/>
      <c r="GI38" s="954"/>
      <c r="GJ38" s="954"/>
      <c r="GK38" s="954"/>
      <c r="GL38" s="954"/>
      <c r="GM38" s="954"/>
      <c r="GN38" s="954"/>
      <c r="GO38" s="954"/>
      <c r="GP38" s="954"/>
      <c r="GQ38" s="954"/>
      <c r="GR38" s="954"/>
      <c r="GS38" s="954"/>
      <c r="GT38" s="954"/>
      <c r="GU38" s="954"/>
      <c r="GV38" s="954"/>
      <c r="GW38" s="954"/>
      <c r="GX38" s="954"/>
      <c r="GY38" s="954"/>
      <c r="GZ38" s="954"/>
      <c r="HA38" s="954"/>
      <c r="HB38" s="954"/>
      <c r="HC38" s="954"/>
      <c r="HD38" s="954"/>
      <c r="HE38" s="954"/>
      <c r="HF38" s="954"/>
      <c r="HG38" s="954"/>
      <c r="HH38" s="954"/>
      <c r="HI38" s="954"/>
      <c r="HJ38" s="954"/>
      <c r="HK38" s="954"/>
      <c r="HL38" s="954"/>
      <c r="HM38" s="954"/>
      <c r="HN38" s="954"/>
      <c r="HO38" s="954"/>
      <c r="HP38" s="954"/>
      <c r="HQ38" s="954"/>
      <c r="HR38" s="954"/>
      <c r="HS38" s="954"/>
      <c r="HT38" s="954"/>
      <c r="HU38" s="954"/>
      <c r="HV38" s="954"/>
      <c r="HW38" s="954"/>
      <c r="HX38" s="954"/>
      <c r="HY38" s="954"/>
      <c r="HZ38" s="954"/>
      <c r="IA38" s="954"/>
      <c r="IB38" s="954"/>
      <c r="IC38" s="954"/>
      <c r="ID38" s="954"/>
      <c r="IE38" s="954"/>
      <c r="IF38" s="954"/>
      <c r="IG38" s="954"/>
      <c r="IH38" s="954"/>
      <c r="II38" s="954"/>
      <c r="IJ38" s="954"/>
      <c r="IK38" s="954"/>
      <c r="IL38" s="954"/>
      <c r="IM38" s="954"/>
      <c r="IN38" s="954"/>
      <c r="IO38" s="954"/>
      <c r="IP38" s="954"/>
      <c r="IQ38" s="954"/>
      <c r="IR38" s="954"/>
      <c r="IS38" s="954"/>
      <c r="IT38" s="954"/>
      <c r="IU38" s="954"/>
      <c r="IV38" s="954"/>
    </row>
    <row r="39" spans="1:256" x14ac:dyDescent="0.35">
      <c r="A39" s="947">
        <v>24</v>
      </c>
      <c r="B39" s="956"/>
      <c r="C39" s="957" t="s">
        <v>1307</v>
      </c>
      <c r="D39" s="958">
        <f>SUM(D37:D38)</f>
        <v>708</v>
      </c>
      <c r="E39" s="958">
        <f t="shared" ref="E39:Q39" si="10">SUM(E37:E38)</f>
        <v>0</v>
      </c>
      <c r="F39" s="958">
        <f t="shared" si="10"/>
        <v>0</v>
      </c>
      <c r="G39" s="958">
        <f t="shared" si="10"/>
        <v>443</v>
      </c>
      <c r="H39" s="958">
        <f t="shared" si="10"/>
        <v>0</v>
      </c>
      <c r="I39" s="958">
        <f t="shared" si="10"/>
        <v>248</v>
      </c>
      <c r="J39" s="958">
        <f t="shared" si="10"/>
        <v>0</v>
      </c>
      <c r="K39" s="958">
        <f t="shared" si="10"/>
        <v>0</v>
      </c>
      <c r="L39" s="958">
        <f t="shared" si="10"/>
        <v>0</v>
      </c>
      <c r="M39" s="958">
        <f t="shared" si="10"/>
        <v>948</v>
      </c>
      <c r="N39" s="958">
        <f t="shared" si="10"/>
        <v>233</v>
      </c>
      <c r="O39" s="958">
        <f t="shared" si="10"/>
        <v>0</v>
      </c>
      <c r="P39" s="958">
        <f t="shared" si="10"/>
        <v>0</v>
      </c>
      <c r="Q39" s="1640">
        <f t="shared" si="10"/>
        <v>2580</v>
      </c>
      <c r="R39" s="940"/>
      <c r="S39" s="940"/>
      <c r="T39" s="940"/>
      <c r="U39" s="940"/>
      <c r="V39" s="940"/>
      <c r="W39" s="940"/>
      <c r="X39" s="940"/>
      <c r="Y39" s="940"/>
      <c r="Z39" s="940"/>
      <c r="AA39" s="940"/>
      <c r="AB39" s="940"/>
      <c r="AC39" s="940"/>
      <c r="AD39" s="940"/>
      <c r="AE39" s="940"/>
      <c r="AF39" s="940"/>
      <c r="AG39" s="940"/>
      <c r="AH39" s="940"/>
      <c r="AI39" s="940"/>
      <c r="AJ39" s="940"/>
      <c r="AK39" s="940"/>
      <c r="AL39" s="940"/>
      <c r="AM39" s="940"/>
      <c r="AN39" s="940"/>
      <c r="AO39" s="940"/>
      <c r="AP39" s="940"/>
      <c r="AQ39" s="940"/>
      <c r="AR39" s="940"/>
      <c r="AS39" s="940"/>
      <c r="AT39" s="940"/>
      <c r="AU39" s="940"/>
      <c r="AV39" s="940"/>
      <c r="AW39" s="940"/>
      <c r="AX39" s="940"/>
      <c r="AY39" s="940"/>
      <c r="AZ39" s="940"/>
      <c r="BA39" s="940"/>
      <c r="BB39" s="940"/>
      <c r="BC39" s="940"/>
      <c r="BD39" s="940"/>
      <c r="BE39" s="940"/>
      <c r="BF39" s="940"/>
      <c r="BG39" s="940"/>
      <c r="BH39" s="940"/>
      <c r="BI39" s="940"/>
      <c r="BJ39" s="940"/>
      <c r="BK39" s="940"/>
      <c r="BL39" s="940"/>
      <c r="BM39" s="940"/>
      <c r="BN39" s="940"/>
      <c r="BO39" s="940"/>
      <c r="BP39" s="940"/>
      <c r="BQ39" s="940"/>
      <c r="BR39" s="940"/>
      <c r="BS39" s="940"/>
      <c r="BT39" s="940"/>
      <c r="BU39" s="940"/>
      <c r="BV39" s="940"/>
      <c r="BW39" s="940"/>
      <c r="BX39" s="940"/>
      <c r="BY39" s="940"/>
      <c r="BZ39" s="940"/>
      <c r="CA39" s="940"/>
      <c r="CB39" s="940"/>
      <c r="CC39" s="940"/>
      <c r="CD39" s="940"/>
      <c r="CE39" s="940"/>
      <c r="CF39" s="940"/>
      <c r="CG39" s="940"/>
      <c r="CH39" s="940"/>
      <c r="CI39" s="940"/>
      <c r="CJ39" s="940"/>
      <c r="CK39" s="940"/>
      <c r="CL39" s="940"/>
      <c r="CM39" s="940"/>
      <c r="CN39" s="940"/>
      <c r="CO39" s="940"/>
      <c r="CP39" s="940"/>
      <c r="CQ39" s="940"/>
      <c r="CR39" s="940"/>
      <c r="CS39" s="940"/>
      <c r="CT39" s="940"/>
      <c r="CU39" s="940"/>
      <c r="CV39" s="940"/>
      <c r="CW39" s="940"/>
      <c r="CX39" s="940"/>
      <c r="CY39" s="940"/>
      <c r="CZ39" s="940"/>
      <c r="DA39" s="940"/>
      <c r="DB39" s="940"/>
      <c r="DC39" s="940"/>
      <c r="DD39" s="940"/>
      <c r="DE39" s="940"/>
      <c r="DF39" s="940"/>
      <c r="DG39" s="940"/>
      <c r="DH39" s="940"/>
      <c r="DI39" s="940"/>
      <c r="DJ39" s="940"/>
      <c r="DK39" s="940"/>
      <c r="DL39" s="940"/>
      <c r="DM39" s="940"/>
      <c r="DN39" s="940"/>
      <c r="DO39" s="940"/>
      <c r="DP39" s="940"/>
      <c r="DQ39" s="940"/>
      <c r="DR39" s="940"/>
      <c r="DS39" s="940"/>
      <c r="DT39" s="940"/>
      <c r="DU39" s="940"/>
      <c r="DV39" s="940"/>
      <c r="DW39" s="940"/>
      <c r="DX39" s="940"/>
      <c r="DY39" s="940"/>
      <c r="DZ39" s="940"/>
      <c r="EA39" s="940"/>
      <c r="EB39" s="940"/>
      <c r="EC39" s="940"/>
      <c r="ED39" s="940"/>
      <c r="EE39" s="940"/>
      <c r="EF39" s="940"/>
      <c r="EG39" s="940"/>
      <c r="EH39" s="940"/>
      <c r="EI39" s="940"/>
      <c r="EJ39" s="940"/>
      <c r="EK39" s="940"/>
      <c r="EL39" s="940"/>
      <c r="EM39" s="940"/>
      <c r="EN39" s="940"/>
      <c r="EO39" s="940"/>
      <c r="EP39" s="940"/>
      <c r="EQ39" s="940"/>
      <c r="ER39" s="940"/>
      <c r="ES39" s="940"/>
      <c r="ET39" s="940"/>
      <c r="EU39" s="940"/>
      <c r="EV39" s="940"/>
      <c r="EW39" s="940"/>
      <c r="EX39" s="940"/>
      <c r="EY39" s="940"/>
      <c r="EZ39" s="940"/>
      <c r="FA39" s="940"/>
      <c r="FB39" s="940"/>
      <c r="FC39" s="940"/>
      <c r="FD39" s="940"/>
      <c r="FE39" s="940"/>
      <c r="FF39" s="940"/>
      <c r="FG39" s="940"/>
      <c r="FH39" s="940"/>
      <c r="FI39" s="940"/>
      <c r="FJ39" s="940"/>
      <c r="FK39" s="940"/>
      <c r="FL39" s="940"/>
      <c r="FM39" s="940"/>
      <c r="FN39" s="940"/>
      <c r="FO39" s="940"/>
      <c r="FP39" s="940"/>
      <c r="FQ39" s="940"/>
      <c r="FR39" s="940"/>
      <c r="FS39" s="940"/>
      <c r="FT39" s="940"/>
      <c r="FU39" s="940"/>
      <c r="FV39" s="940"/>
      <c r="FW39" s="940"/>
      <c r="FX39" s="940"/>
      <c r="FY39" s="940"/>
      <c r="FZ39" s="940"/>
      <c r="GA39" s="940"/>
      <c r="GB39" s="940"/>
      <c r="GC39" s="940"/>
      <c r="GD39" s="940"/>
      <c r="GE39" s="940"/>
      <c r="GF39" s="940"/>
      <c r="GG39" s="940"/>
      <c r="GH39" s="940"/>
      <c r="GI39" s="940"/>
      <c r="GJ39" s="940"/>
      <c r="GK39" s="940"/>
      <c r="GL39" s="940"/>
      <c r="GM39" s="940"/>
      <c r="GN39" s="940"/>
      <c r="GO39" s="940"/>
      <c r="GP39" s="940"/>
      <c r="GQ39" s="940"/>
      <c r="GR39" s="940"/>
      <c r="GS39" s="940"/>
      <c r="GT39" s="940"/>
      <c r="GU39" s="940"/>
      <c r="GV39" s="940"/>
      <c r="GW39" s="940"/>
      <c r="GX39" s="940"/>
      <c r="GY39" s="940"/>
      <c r="GZ39" s="940"/>
      <c r="HA39" s="940"/>
      <c r="HB39" s="940"/>
      <c r="HC39" s="940"/>
      <c r="HD39" s="940"/>
      <c r="HE39" s="940"/>
      <c r="HF39" s="940"/>
      <c r="HG39" s="940"/>
      <c r="HH39" s="940"/>
      <c r="HI39" s="940"/>
      <c r="HJ39" s="940"/>
      <c r="HK39" s="940"/>
      <c r="HL39" s="940"/>
      <c r="HM39" s="940"/>
      <c r="HN39" s="940"/>
      <c r="HO39" s="940"/>
      <c r="HP39" s="940"/>
      <c r="HQ39" s="940"/>
      <c r="HR39" s="940"/>
      <c r="HS39" s="940"/>
      <c r="HT39" s="940"/>
      <c r="HU39" s="940"/>
      <c r="HV39" s="940"/>
      <c r="HW39" s="940"/>
      <c r="HX39" s="940"/>
      <c r="HY39" s="940"/>
      <c r="HZ39" s="940"/>
      <c r="IA39" s="940"/>
      <c r="IB39" s="940"/>
      <c r="IC39" s="940"/>
      <c r="ID39" s="940"/>
      <c r="IE39" s="940"/>
      <c r="IF39" s="940"/>
      <c r="IG39" s="940"/>
      <c r="IH39" s="940"/>
      <c r="II39" s="940"/>
      <c r="IJ39" s="940"/>
      <c r="IK39" s="940"/>
      <c r="IL39" s="940"/>
      <c r="IM39" s="940"/>
      <c r="IN39" s="940"/>
      <c r="IO39" s="940"/>
      <c r="IP39" s="940"/>
      <c r="IQ39" s="940"/>
      <c r="IR39" s="940"/>
      <c r="IS39" s="940"/>
      <c r="IT39" s="940"/>
      <c r="IU39" s="940"/>
      <c r="IV39" s="940"/>
    </row>
    <row r="40" spans="1:256" s="952" customFormat="1" ht="30" customHeight="1" x14ac:dyDescent="0.35">
      <c r="A40" s="947">
        <v>25</v>
      </c>
      <c r="B40" s="948" t="s">
        <v>767</v>
      </c>
      <c r="C40" s="949" t="s">
        <v>760</v>
      </c>
      <c r="D40" s="950"/>
      <c r="E40" s="950"/>
      <c r="F40" s="950"/>
      <c r="G40" s="950"/>
      <c r="H40" s="950"/>
      <c r="I40" s="950"/>
      <c r="J40" s="950"/>
      <c r="K40" s="950"/>
      <c r="L40" s="950"/>
      <c r="M40" s="950"/>
      <c r="N40" s="950"/>
      <c r="O40" s="950">
        <v>2000</v>
      </c>
      <c r="P40" s="950">
        <v>795</v>
      </c>
      <c r="Q40" s="951">
        <f t="shared" si="0"/>
        <v>2795</v>
      </c>
      <c r="R40" s="949"/>
      <c r="S40" s="949"/>
      <c r="T40" s="949"/>
      <c r="U40" s="949"/>
      <c r="V40" s="949"/>
      <c r="W40" s="949"/>
      <c r="X40" s="949"/>
      <c r="Y40" s="949"/>
      <c r="Z40" s="949"/>
      <c r="AA40" s="949"/>
      <c r="AB40" s="949"/>
      <c r="AC40" s="949"/>
      <c r="AD40" s="949"/>
      <c r="AE40" s="949"/>
      <c r="AF40" s="949"/>
      <c r="AG40" s="949"/>
      <c r="AH40" s="949"/>
      <c r="AI40" s="949"/>
      <c r="AJ40" s="949"/>
      <c r="AK40" s="949"/>
      <c r="AL40" s="949"/>
      <c r="AM40" s="949"/>
      <c r="AN40" s="949"/>
      <c r="AO40" s="949"/>
      <c r="AP40" s="949"/>
      <c r="AQ40" s="949"/>
      <c r="AR40" s="949"/>
      <c r="AS40" s="949"/>
      <c r="AT40" s="949"/>
      <c r="AU40" s="949"/>
      <c r="AV40" s="949"/>
      <c r="AW40" s="949"/>
      <c r="AX40" s="949"/>
      <c r="AY40" s="949"/>
      <c r="AZ40" s="949"/>
      <c r="BA40" s="949"/>
      <c r="BB40" s="949"/>
      <c r="BC40" s="949"/>
      <c r="BD40" s="949"/>
      <c r="BE40" s="949"/>
      <c r="BF40" s="949"/>
      <c r="BG40" s="949"/>
      <c r="BH40" s="949"/>
      <c r="BI40" s="949"/>
      <c r="BJ40" s="949"/>
      <c r="BK40" s="949"/>
      <c r="BL40" s="949"/>
      <c r="BM40" s="949"/>
      <c r="BN40" s="949"/>
      <c r="BO40" s="949"/>
      <c r="BP40" s="949"/>
      <c r="BQ40" s="949"/>
      <c r="BR40" s="949"/>
      <c r="BS40" s="949"/>
      <c r="BT40" s="949"/>
      <c r="BU40" s="949"/>
      <c r="BV40" s="949"/>
      <c r="BW40" s="949"/>
      <c r="BX40" s="949"/>
      <c r="BY40" s="949"/>
      <c r="BZ40" s="949"/>
      <c r="CA40" s="949"/>
      <c r="CB40" s="949"/>
      <c r="CC40" s="949"/>
      <c r="CD40" s="949"/>
      <c r="CE40" s="949"/>
      <c r="CF40" s="949"/>
      <c r="CG40" s="949"/>
      <c r="CH40" s="949"/>
      <c r="CI40" s="949"/>
      <c r="CJ40" s="949"/>
      <c r="CK40" s="949"/>
      <c r="CL40" s="949"/>
      <c r="CM40" s="949"/>
      <c r="CN40" s="949"/>
      <c r="CO40" s="949"/>
      <c r="CP40" s="949"/>
      <c r="CQ40" s="949"/>
      <c r="CR40" s="949"/>
      <c r="CS40" s="949"/>
      <c r="CT40" s="949"/>
      <c r="CU40" s="949"/>
      <c r="CV40" s="949"/>
      <c r="CW40" s="949"/>
      <c r="CX40" s="949"/>
      <c r="CY40" s="949"/>
      <c r="CZ40" s="949"/>
      <c r="DA40" s="949"/>
      <c r="DB40" s="949"/>
      <c r="DC40" s="949"/>
      <c r="DD40" s="949"/>
      <c r="DE40" s="949"/>
      <c r="DF40" s="949"/>
      <c r="DG40" s="949"/>
      <c r="DH40" s="949"/>
      <c r="DI40" s="949"/>
      <c r="DJ40" s="949"/>
      <c r="DK40" s="949"/>
      <c r="DL40" s="949"/>
      <c r="DM40" s="949"/>
      <c r="DN40" s="949"/>
      <c r="DO40" s="949"/>
      <c r="DP40" s="949"/>
      <c r="DQ40" s="949"/>
      <c r="DR40" s="949"/>
      <c r="DS40" s="949"/>
      <c r="DT40" s="949"/>
      <c r="DU40" s="949"/>
      <c r="DV40" s="949"/>
      <c r="DW40" s="949"/>
      <c r="DX40" s="949"/>
      <c r="DY40" s="949"/>
      <c r="DZ40" s="949"/>
      <c r="EA40" s="949"/>
      <c r="EB40" s="949"/>
      <c r="EC40" s="949"/>
      <c r="ED40" s="949"/>
      <c r="EE40" s="949"/>
      <c r="EF40" s="949"/>
      <c r="EG40" s="949"/>
      <c r="EH40" s="949"/>
      <c r="EI40" s="949"/>
      <c r="EJ40" s="949"/>
      <c r="EK40" s="949"/>
      <c r="EL40" s="949"/>
      <c r="EM40" s="949"/>
      <c r="EN40" s="949"/>
      <c r="EO40" s="949"/>
      <c r="EP40" s="949"/>
      <c r="EQ40" s="949"/>
      <c r="ER40" s="949"/>
      <c r="ES40" s="949"/>
      <c r="ET40" s="949"/>
      <c r="EU40" s="949"/>
      <c r="EV40" s="949"/>
      <c r="EW40" s="949"/>
      <c r="EX40" s="949"/>
      <c r="EY40" s="949"/>
      <c r="EZ40" s="949"/>
      <c r="FA40" s="949"/>
      <c r="FB40" s="949"/>
      <c r="FC40" s="949"/>
      <c r="FD40" s="949"/>
      <c r="FE40" s="949"/>
      <c r="FF40" s="949"/>
      <c r="FG40" s="949"/>
      <c r="FH40" s="949"/>
      <c r="FI40" s="949"/>
      <c r="FJ40" s="949"/>
      <c r="FK40" s="949"/>
      <c r="FL40" s="949"/>
      <c r="FM40" s="949"/>
      <c r="FN40" s="949"/>
      <c r="FO40" s="949"/>
      <c r="FP40" s="949"/>
      <c r="FQ40" s="949"/>
      <c r="FR40" s="949"/>
      <c r="FS40" s="949"/>
      <c r="FT40" s="949"/>
      <c r="FU40" s="949"/>
      <c r="FV40" s="949"/>
      <c r="FW40" s="949"/>
      <c r="FX40" s="949"/>
      <c r="FY40" s="949"/>
      <c r="FZ40" s="949"/>
      <c r="GA40" s="949"/>
      <c r="GB40" s="949"/>
      <c r="GC40" s="949"/>
      <c r="GD40" s="949"/>
      <c r="GE40" s="949"/>
      <c r="GF40" s="949"/>
      <c r="GG40" s="949"/>
      <c r="GH40" s="949"/>
      <c r="GI40" s="949"/>
      <c r="GJ40" s="949"/>
      <c r="GK40" s="949"/>
      <c r="GL40" s="949"/>
      <c r="GM40" s="949"/>
      <c r="GN40" s="949"/>
      <c r="GO40" s="949"/>
      <c r="GP40" s="949"/>
      <c r="GQ40" s="949"/>
      <c r="GR40" s="949"/>
      <c r="GS40" s="949"/>
      <c r="GT40" s="949"/>
      <c r="GU40" s="949"/>
      <c r="GV40" s="949"/>
      <c r="GW40" s="949"/>
      <c r="GX40" s="949"/>
      <c r="GY40" s="949"/>
      <c r="GZ40" s="949"/>
      <c r="HA40" s="949"/>
      <c r="HB40" s="949"/>
      <c r="HC40" s="949"/>
      <c r="HD40" s="949"/>
      <c r="HE40" s="949"/>
      <c r="HF40" s="949"/>
      <c r="HG40" s="949"/>
      <c r="HH40" s="949"/>
      <c r="HI40" s="949"/>
      <c r="HJ40" s="949"/>
      <c r="HK40" s="949"/>
      <c r="HL40" s="949"/>
      <c r="HM40" s="949"/>
      <c r="HN40" s="949"/>
      <c r="HO40" s="949"/>
      <c r="HP40" s="949"/>
      <c r="HQ40" s="949"/>
      <c r="HR40" s="949"/>
      <c r="HS40" s="949"/>
      <c r="HT40" s="949"/>
      <c r="HU40" s="949"/>
      <c r="HV40" s="949"/>
      <c r="HW40" s="949"/>
      <c r="HX40" s="949"/>
      <c r="HY40" s="949"/>
      <c r="HZ40" s="949"/>
      <c r="IA40" s="949"/>
      <c r="IB40" s="949"/>
      <c r="IC40" s="949"/>
      <c r="ID40" s="949"/>
      <c r="IE40" s="949"/>
      <c r="IF40" s="949"/>
      <c r="IG40" s="949"/>
      <c r="IH40" s="949"/>
      <c r="II40" s="949"/>
      <c r="IJ40" s="949"/>
      <c r="IK40" s="949"/>
      <c r="IL40" s="949"/>
      <c r="IM40" s="949"/>
      <c r="IN40" s="949"/>
      <c r="IO40" s="949"/>
      <c r="IP40" s="949"/>
      <c r="IQ40" s="949"/>
      <c r="IR40" s="949"/>
      <c r="IS40" s="949"/>
      <c r="IT40" s="949"/>
      <c r="IU40" s="949"/>
      <c r="IV40" s="949"/>
    </row>
    <row r="41" spans="1:256" s="940" customFormat="1" ht="18" customHeight="1" x14ac:dyDescent="0.35">
      <c r="A41" s="1455"/>
      <c r="B41" s="956"/>
      <c r="C41" s="918" t="s">
        <v>1252</v>
      </c>
      <c r="D41" s="1453"/>
      <c r="E41" s="1453">
        <v>1025</v>
      </c>
      <c r="F41" s="1453"/>
      <c r="G41" s="1453">
        <v>180</v>
      </c>
      <c r="H41" s="1453"/>
      <c r="I41" s="1453"/>
      <c r="J41" s="1453"/>
      <c r="K41" s="1453"/>
      <c r="L41" s="1453"/>
      <c r="M41" s="1453">
        <v>1110</v>
      </c>
      <c r="N41" s="1453">
        <v>480</v>
      </c>
      <c r="O41" s="1453">
        <v>0</v>
      </c>
      <c r="P41" s="1453">
        <v>0</v>
      </c>
      <c r="Q41" s="827">
        <f t="shared" si="0"/>
        <v>2795</v>
      </c>
      <c r="R41" s="918"/>
      <c r="S41" s="918"/>
      <c r="T41" s="918"/>
      <c r="U41" s="918"/>
      <c r="V41" s="918"/>
      <c r="W41" s="918"/>
      <c r="X41" s="918"/>
      <c r="Y41" s="918"/>
      <c r="Z41" s="918"/>
      <c r="AA41" s="918"/>
      <c r="AB41" s="918"/>
      <c r="AC41" s="918"/>
      <c r="AD41" s="918"/>
      <c r="AE41" s="918"/>
      <c r="AF41" s="918"/>
      <c r="AG41" s="918"/>
      <c r="AH41" s="918"/>
      <c r="AI41" s="918"/>
      <c r="AJ41" s="918"/>
      <c r="AK41" s="918"/>
      <c r="AL41" s="918"/>
      <c r="AM41" s="918"/>
      <c r="AN41" s="918"/>
      <c r="AO41" s="918"/>
      <c r="AP41" s="918"/>
      <c r="AQ41" s="918"/>
      <c r="AR41" s="918"/>
      <c r="AS41" s="918"/>
      <c r="AT41" s="918"/>
      <c r="AU41" s="918"/>
      <c r="AV41" s="918"/>
      <c r="AW41" s="918"/>
      <c r="AX41" s="918"/>
      <c r="AY41" s="918"/>
      <c r="AZ41" s="918"/>
      <c r="BA41" s="918"/>
      <c r="BB41" s="918"/>
      <c r="BC41" s="918"/>
      <c r="BD41" s="918"/>
      <c r="BE41" s="918"/>
      <c r="BF41" s="918"/>
      <c r="BG41" s="918"/>
      <c r="BH41" s="918"/>
      <c r="BI41" s="918"/>
      <c r="BJ41" s="918"/>
      <c r="BK41" s="918"/>
      <c r="BL41" s="918"/>
      <c r="BM41" s="918"/>
      <c r="BN41" s="918"/>
      <c r="BO41" s="918"/>
      <c r="BP41" s="918"/>
      <c r="BQ41" s="918"/>
      <c r="BR41" s="918"/>
      <c r="BS41" s="918"/>
      <c r="BT41" s="918"/>
      <c r="BU41" s="918"/>
      <c r="BV41" s="918"/>
      <c r="BW41" s="918"/>
      <c r="BX41" s="918"/>
      <c r="BY41" s="918"/>
      <c r="BZ41" s="918"/>
      <c r="CA41" s="918"/>
      <c r="CB41" s="918"/>
      <c r="CC41" s="918"/>
      <c r="CD41" s="918"/>
      <c r="CE41" s="918"/>
      <c r="CF41" s="918"/>
      <c r="CG41" s="918"/>
      <c r="CH41" s="918"/>
      <c r="CI41" s="918"/>
      <c r="CJ41" s="918"/>
      <c r="CK41" s="918"/>
      <c r="CL41" s="918"/>
      <c r="CM41" s="918"/>
      <c r="CN41" s="918"/>
      <c r="CO41" s="918"/>
      <c r="CP41" s="918"/>
      <c r="CQ41" s="918"/>
      <c r="CR41" s="918"/>
      <c r="CS41" s="918"/>
      <c r="CT41" s="918"/>
      <c r="CU41" s="918"/>
      <c r="CV41" s="918"/>
      <c r="CW41" s="918"/>
      <c r="CX41" s="918"/>
      <c r="CY41" s="918"/>
      <c r="CZ41" s="918"/>
      <c r="DA41" s="918"/>
      <c r="DB41" s="918"/>
      <c r="DC41" s="918"/>
      <c r="DD41" s="918"/>
      <c r="DE41" s="918"/>
      <c r="DF41" s="918"/>
      <c r="DG41" s="918"/>
      <c r="DH41" s="918"/>
      <c r="DI41" s="918"/>
      <c r="DJ41" s="918"/>
      <c r="DK41" s="918"/>
      <c r="DL41" s="918"/>
      <c r="DM41" s="918"/>
      <c r="DN41" s="918"/>
      <c r="DO41" s="918"/>
      <c r="DP41" s="918"/>
      <c r="DQ41" s="918"/>
      <c r="DR41" s="918"/>
      <c r="DS41" s="918"/>
      <c r="DT41" s="918"/>
      <c r="DU41" s="918"/>
      <c r="DV41" s="918"/>
      <c r="DW41" s="918"/>
      <c r="DX41" s="918"/>
      <c r="DY41" s="918"/>
      <c r="DZ41" s="918"/>
      <c r="EA41" s="918"/>
      <c r="EB41" s="918"/>
      <c r="EC41" s="918"/>
      <c r="ED41" s="918"/>
      <c r="EE41" s="918"/>
      <c r="EF41" s="918"/>
      <c r="EG41" s="918"/>
      <c r="EH41" s="918"/>
      <c r="EI41" s="918"/>
      <c r="EJ41" s="918"/>
      <c r="EK41" s="918"/>
      <c r="EL41" s="918"/>
      <c r="EM41" s="918"/>
      <c r="EN41" s="918"/>
      <c r="EO41" s="918"/>
      <c r="EP41" s="918"/>
      <c r="EQ41" s="918"/>
      <c r="ER41" s="918"/>
      <c r="ES41" s="918"/>
      <c r="ET41" s="918"/>
      <c r="EU41" s="918"/>
      <c r="EV41" s="918"/>
      <c r="EW41" s="918"/>
      <c r="EX41" s="918"/>
      <c r="EY41" s="918"/>
      <c r="EZ41" s="918"/>
      <c r="FA41" s="918"/>
      <c r="FB41" s="918"/>
      <c r="FC41" s="918"/>
      <c r="FD41" s="918"/>
      <c r="FE41" s="918"/>
      <c r="FF41" s="918"/>
      <c r="FG41" s="918"/>
      <c r="FH41" s="918"/>
      <c r="FI41" s="918"/>
      <c r="FJ41" s="918"/>
      <c r="FK41" s="918"/>
      <c r="FL41" s="918"/>
      <c r="FM41" s="918"/>
      <c r="FN41" s="918"/>
      <c r="FO41" s="918"/>
      <c r="FP41" s="918"/>
      <c r="FQ41" s="918"/>
      <c r="FR41" s="918"/>
      <c r="FS41" s="918"/>
      <c r="FT41" s="918"/>
      <c r="FU41" s="918"/>
      <c r="FV41" s="918"/>
      <c r="FW41" s="918"/>
      <c r="FX41" s="918"/>
      <c r="FY41" s="918"/>
      <c r="FZ41" s="918"/>
      <c r="GA41" s="918"/>
      <c r="GB41" s="918"/>
      <c r="GC41" s="918"/>
      <c r="GD41" s="918"/>
      <c r="GE41" s="918"/>
      <c r="GF41" s="918"/>
      <c r="GG41" s="918"/>
      <c r="GH41" s="918"/>
      <c r="GI41" s="918"/>
      <c r="GJ41" s="918"/>
      <c r="GK41" s="918"/>
      <c r="GL41" s="918"/>
      <c r="GM41" s="918"/>
      <c r="GN41" s="918"/>
      <c r="GO41" s="918"/>
      <c r="GP41" s="918"/>
      <c r="GQ41" s="918"/>
      <c r="GR41" s="918"/>
      <c r="GS41" s="918"/>
      <c r="GT41" s="918"/>
      <c r="GU41" s="918"/>
      <c r="GV41" s="918"/>
      <c r="GW41" s="918"/>
      <c r="GX41" s="918"/>
      <c r="GY41" s="918"/>
      <c r="GZ41" s="918"/>
      <c r="HA41" s="918"/>
      <c r="HB41" s="918"/>
      <c r="HC41" s="918"/>
      <c r="HD41" s="918"/>
      <c r="HE41" s="918"/>
      <c r="HF41" s="918"/>
      <c r="HG41" s="918"/>
      <c r="HH41" s="918"/>
      <c r="HI41" s="918"/>
      <c r="HJ41" s="918"/>
      <c r="HK41" s="918"/>
      <c r="HL41" s="918"/>
      <c r="HM41" s="918"/>
      <c r="HN41" s="918"/>
      <c r="HO41" s="918"/>
      <c r="HP41" s="918"/>
      <c r="HQ41" s="918"/>
      <c r="HR41" s="918"/>
      <c r="HS41" s="918"/>
      <c r="HT41" s="918"/>
      <c r="HU41" s="918"/>
      <c r="HV41" s="918"/>
      <c r="HW41" s="918"/>
      <c r="HX41" s="918"/>
      <c r="HY41" s="918"/>
      <c r="HZ41" s="918"/>
      <c r="IA41" s="918"/>
      <c r="IB41" s="918"/>
      <c r="IC41" s="918"/>
      <c r="ID41" s="918"/>
      <c r="IE41" s="918"/>
      <c r="IF41" s="918"/>
      <c r="IG41" s="918"/>
      <c r="IH41" s="918"/>
      <c r="II41" s="918"/>
      <c r="IJ41" s="918"/>
      <c r="IK41" s="918"/>
      <c r="IL41" s="918"/>
      <c r="IM41" s="918"/>
      <c r="IN41" s="918"/>
      <c r="IO41" s="918"/>
      <c r="IP41" s="918"/>
      <c r="IQ41" s="918"/>
      <c r="IR41" s="918"/>
      <c r="IS41" s="918"/>
      <c r="IT41" s="918"/>
      <c r="IU41" s="918"/>
      <c r="IV41" s="918"/>
    </row>
    <row r="42" spans="1:256" x14ac:dyDescent="0.35">
      <c r="A42" s="947">
        <v>26</v>
      </c>
      <c r="B42" s="953"/>
      <c r="C42" s="954" t="s">
        <v>733</v>
      </c>
      <c r="D42" s="187"/>
      <c r="E42" s="187"/>
      <c r="F42" s="187"/>
      <c r="G42" s="187"/>
      <c r="H42" s="187"/>
      <c r="I42" s="187"/>
      <c r="J42" s="187"/>
      <c r="K42" s="187"/>
      <c r="L42" s="187"/>
      <c r="M42" s="187"/>
      <c r="N42" s="187"/>
      <c r="O42" s="187"/>
      <c r="P42" s="960"/>
      <c r="Q42" s="955">
        <f t="shared" si="0"/>
        <v>0</v>
      </c>
      <c r="R42" s="954"/>
      <c r="S42" s="954"/>
      <c r="T42" s="954"/>
      <c r="U42" s="954"/>
      <c r="V42" s="954"/>
      <c r="W42" s="954"/>
      <c r="X42" s="954"/>
      <c r="Y42" s="954"/>
      <c r="Z42" s="954"/>
      <c r="AA42" s="954"/>
      <c r="AB42" s="954"/>
      <c r="AC42" s="954"/>
      <c r="AD42" s="954"/>
      <c r="AE42" s="954"/>
      <c r="AF42" s="954"/>
      <c r="AG42" s="954"/>
      <c r="AH42" s="954"/>
      <c r="AI42" s="954"/>
      <c r="AJ42" s="954"/>
      <c r="AK42" s="954"/>
      <c r="AL42" s="954"/>
      <c r="AM42" s="954"/>
      <c r="AN42" s="954"/>
      <c r="AO42" s="954"/>
      <c r="AP42" s="954"/>
      <c r="AQ42" s="954"/>
      <c r="AR42" s="954"/>
      <c r="AS42" s="954"/>
      <c r="AT42" s="954"/>
      <c r="AU42" s="954"/>
      <c r="AV42" s="954"/>
      <c r="AW42" s="954"/>
      <c r="AX42" s="954"/>
      <c r="AY42" s="954"/>
      <c r="AZ42" s="954"/>
      <c r="BA42" s="954"/>
      <c r="BB42" s="954"/>
      <c r="BC42" s="954"/>
      <c r="BD42" s="954"/>
      <c r="BE42" s="954"/>
      <c r="BF42" s="954"/>
      <c r="BG42" s="954"/>
      <c r="BH42" s="954"/>
      <c r="BI42" s="954"/>
      <c r="BJ42" s="954"/>
      <c r="BK42" s="954"/>
      <c r="BL42" s="954"/>
      <c r="BM42" s="954"/>
      <c r="BN42" s="954"/>
      <c r="BO42" s="954"/>
      <c r="BP42" s="954"/>
      <c r="BQ42" s="954"/>
      <c r="BR42" s="954"/>
      <c r="BS42" s="954"/>
      <c r="BT42" s="954"/>
      <c r="BU42" s="954"/>
      <c r="BV42" s="954"/>
      <c r="BW42" s="954"/>
      <c r="BX42" s="954"/>
      <c r="BY42" s="954"/>
      <c r="BZ42" s="954"/>
      <c r="CA42" s="954"/>
      <c r="CB42" s="954"/>
      <c r="CC42" s="954"/>
      <c r="CD42" s="954"/>
      <c r="CE42" s="954"/>
      <c r="CF42" s="954"/>
      <c r="CG42" s="954"/>
      <c r="CH42" s="954"/>
      <c r="CI42" s="954"/>
      <c r="CJ42" s="954"/>
      <c r="CK42" s="954"/>
      <c r="CL42" s="954"/>
      <c r="CM42" s="954"/>
      <c r="CN42" s="954"/>
      <c r="CO42" s="954"/>
      <c r="CP42" s="954"/>
      <c r="CQ42" s="954"/>
      <c r="CR42" s="954"/>
      <c r="CS42" s="954"/>
      <c r="CT42" s="954"/>
      <c r="CU42" s="954"/>
      <c r="CV42" s="954"/>
      <c r="CW42" s="954"/>
      <c r="CX42" s="954"/>
      <c r="CY42" s="954"/>
      <c r="CZ42" s="954"/>
      <c r="DA42" s="954"/>
      <c r="DB42" s="954"/>
      <c r="DC42" s="954"/>
      <c r="DD42" s="954"/>
      <c r="DE42" s="954"/>
      <c r="DF42" s="954"/>
      <c r="DG42" s="954"/>
      <c r="DH42" s="954"/>
      <c r="DI42" s="954"/>
      <c r="DJ42" s="954"/>
      <c r="DK42" s="954"/>
      <c r="DL42" s="954"/>
      <c r="DM42" s="954"/>
      <c r="DN42" s="954"/>
      <c r="DO42" s="954"/>
      <c r="DP42" s="954"/>
      <c r="DQ42" s="954"/>
      <c r="DR42" s="954"/>
      <c r="DS42" s="954"/>
      <c r="DT42" s="954"/>
      <c r="DU42" s="954"/>
      <c r="DV42" s="954"/>
      <c r="DW42" s="954"/>
      <c r="DX42" s="954"/>
      <c r="DY42" s="954"/>
      <c r="DZ42" s="954"/>
      <c r="EA42" s="954"/>
      <c r="EB42" s="954"/>
      <c r="EC42" s="954"/>
      <c r="ED42" s="954"/>
      <c r="EE42" s="954"/>
      <c r="EF42" s="954"/>
      <c r="EG42" s="954"/>
      <c r="EH42" s="954"/>
      <c r="EI42" s="954"/>
      <c r="EJ42" s="954"/>
      <c r="EK42" s="954"/>
      <c r="EL42" s="954"/>
      <c r="EM42" s="954"/>
      <c r="EN42" s="954"/>
      <c r="EO42" s="954"/>
      <c r="EP42" s="954"/>
      <c r="EQ42" s="954"/>
      <c r="ER42" s="954"/>
      <c r="ES42" s="954"/>
      <c r="ET42" s="954"/>
      <c r="EU42" s="954"/>
      <c r="EV42" s="954"/>
      <c r="EW42" s="954"/>
      <c r="EX42" s="954"/>
      <c r="EY42" s="954"/>
      <c r="EZ42" s="954"/>
      <c r="FA42" s="954"/>
      <c r="FB42" s="954"/>
      <c r="FC42" s="954"/>
      <c r="FD42" s="954"/>
      <c r="FE42" s="954"/>
      <c r="FF42" s="954"/>
      <c r="FG42" s="954"/>
      <c r="FH42" s="954"/>
      <c r="FI42" s="954"/>
      <c r="FJ42" s="954"/>
      <c r="FK42" s="954"/>
      <c r="FL42" s="954"/>
      <c r="FM42" s="954"/>
      <c r="FN42" s="954"/>
      <c r="FO42" s="954"/>
      <c r="FP42" s="954"/>
      <c r="FQ42" s="954"/>
      <c r="FR42" s="954"/>
      <c r="FS42" s="954"/>
      <c r="FT42" s="954"/>
      <c r="FU42" s="954"/>
      <c r="FV42" s="954"/>
      <c r="FW42" s="954"/>
      <c r="FX42" s="954"/>
      <c r="FY42" s="954"/>
      <c r="FZ42" s="954"/>
      <c r="GA42" s="954"/>
      <c r="GB42" s="954"/>
      <c r="GC42" s="954"/>
      <c r="GD42" s="954"/>
      <c r="GE42" s="954"/>
      <c r="GF42" s="954"/>
      <c r="GG42" s="954"/>
      <c r="GH42" s="954"/>
      <c r="GI42" s="954"/>
      <c r="GJ42" s="954"/>
      <c r="GK42" s="954"/>
      <c r="GL42" s="954"/>
      <c r="GM42" s="954"/>
      <c r="GN42" s="954"/>
      <c r="GO42" s="954"/>
      <c r="GP42" s="954"/>
      <c r="GQ42" s="954"/>
      <c r="GR42" s="954"/>
      <c r="GS42" s="954"/>
      <c r="GT42" s="954"/>
      <c r="GU42" s="954"/>
      <c r="GV42" s="954"/>
      <c r="GW42" s="954"/>
      <c r="GX42" s="954"/>
      <c r="GY42" s="954"/>
      <c r="GZ42" s="954"/>
      <c r="HA42" s="954"/>
      <c r="HB42" s="954"/>
      <c r="HC42" s="954"/>
      <c r="HD42" s="954"/>
      <c r="HE42" s="954"/>
      <c r="HF42" s="954"/>
      <c r="HG42" s="954"/>
      <c r="HH42" s="954"/>
      <c r="HI42" s="954"/>
      <c r="HJ42" s="954"/>
      <c r="HK42" s="954"/>
      <c r="HL42" s="954"/>
      <c r="HM42" s="954"/>
      <c r="HN42" s="954"/>
      <c r="HO42" s="954"/>
      <c r="HP42" s="954"/>
      <c r="HQ42" s="954"/>
      <c r="HR42" s="954"/>
      <c r="HS42" s="954"/>
      <c r="HT42" s="954"/>
      <c r="HU42" s="954"/>
      <c r="HV42" s="954"/>
      <c r="HW42" s="954"/>
      <c r="HX42" s="954"/>
      <c r="HY42" s="954"/>
      <c r="HZ42" s="954"/>
      <c r="IA42" s="954"/>
      <c r="IB42" s="954"/>
      <c r="IC42" s="954"/>
      <c r="ID42" s="954"/>
      <c r="IE42" s="954"/>
      <c r="IF42" s="954"/>
      <c r="IG42" s="954"/>
      <c r="IH42" s="954"/>
      <c r="II42" s="954"/>
      <c r="IJ42" s="954"/>
      <c r="IK42" s="954"/>
      <c r="IL42" s="954"/>
      <c r="IM42" s="954"/>
      <c r="IN42" s="954"/>
      <c r="IO42" s="954"/>
      <c r="IP42" s="954"/>
      <c r="IQ42" s="954"/>
      <c r="IR42" s="954"/>
      <c r="IS42" s="954"/>
      <c r="IT42" s="954"/>
      <c r="IU42" s="954"/>
      <c r="IV42" s="954"/>
    </row>
    <row r="43" spans="1:256" x14ac:dyDescent="0.35">
      <c r="A43" s="947">
        <v>27</v>
      </c>
      <c r="B43" s="956"/>
      <c r="C43" s="957" t="s">
        <v>1307</v>
      </c>
      <c r="D43" s="958">
        <f>SUM(D41:D42)</f>
        <v>0</v>
      </c>
      <c r="E43" s="958">
        <f t="shared" ref="E43:Q43" si="11">SUM(E41:E42)</f>
        <v>1025</v>
      </c>
      <c r="F43" s="958">
        <f t="shared" si="11"/>
        <v>0</v>
      </c>
      <c r="G43" s="958">
        <f t="shared" si="11"/>
        <v>180</v>
      </c>
      <c r="H43" s="958">
        <f t="shared" si="11"/>
        <v>0</v>
      </c>
      <c r="I43" s="958">
        <f t="shared" si="11"/>
        <v>0</v>
      </c>
      <c r="J43" s="958">
        <f t="shared" si="11"/>
        <v>0</v>
      </c>
      <c r="K43" s="958">
        <f t="shared" si="11"/>
        <v>0</v>
      </c>
      <c r="L43" s="958">
        <f t="shared" si="11"/>
        <v>0</v>
      </c>
      <c r="M43" s="958">
        <f t="shared" si="11"/>
        <v>1110</v>
      </c>
      <c r="N43" s="958">
        <f t="shared" si="11"/>
        <v>480</v>
      </c>
      <c r="O43" s="958">
        <f t="shared" si="11"/>
        <v>0</v>
      </c>
      <c r="P43" s="958">
        <f t="shared" si="11"/>
        <v>0</v>
      </c>
      <c r="Q43" s="1640">
        <f t="shared" si="11"/>
        <v>2795</v>
      </c>
      <c r="R43" s="940"/>
      <c r="S43" s="940"/>
      <c r="T43" s="940"/>
      <c r="U43" s="940"/>
      <c r="V43" s="940"/>
      <c r="W43" s="940"/>
      <c r="X43" s="940"/>
      <c r="Y43" s="940"/>
      <c r="Z43" s="940"/>
      <c r="AA43" s="940"/>
      <c r="AB43" s="940"/>
      <c r="AC43" s="940"/>
      <c r="AD43" s="940"/>
      <c r="AE43" s="940"/>
      <c r="AF43" s="940"/>
      <c r="AG43" s="940"/>
      <c r="AH43" s="940"/>
      <c r="AI43" s="940"/>
      <c r="AJ43" s="940"/>
      <c r="AK43" s="940"/>
      <c r="AL43" s="940"/>
      <c r="AM43" s="940"/>
      <c r="AN43" s="940"/>
      <c r="AO43" s="940"/>
      <c r="AP43" s="940"/>
      <c r="AQ43" s="940"/>
      <c r="AR43" s="940"/>
      <c r="AS43" s="940"/>
      <c r="AT43" s="940"/>
      <c r="AU43" s="940"/>
      <c r="AV43" s="940"/>
      <c r="AW43" s="940"/>
      <c r="AX43" s="940"/>
      <c r="AY43" s="940"/>
      <c r="AZ43" s="940"/>
      <c r="BA43" s="940"/>
      <c r="BB43" s="940"/>
      <c r="BC43" s="940"/>
      <c r="BD43" s="940"/>
      <c r="BE43" s="940"/>
      <c r="BF43" s="940"/>
      <c r="BG43" s="940"/>
      <c r="BH43" s="940"/>
      <c r="BI43" s="940"/>
      <c r="BJ43" s="940"/>
      <c r="BK43" s="940"/>
      <c r="BL43" s="940"/>
      <c r="BM43" s="940"/>
      <c r="BN43" s="940"/>
      <c r="BO43" s="940"/>
      <c r="BP43" s="940"/>
      <c r="BQ43" s="940"/>
      <c r="BR43" s="940"/>
      <c r="BS43" s="940"/>
      <c r="BT43" s="940"/>
      <c r="BU43" s="940"/>
      <c r="BV43" s="940"/>
      <c r="BW43" s="940"/>
      <c r="BX43" s="940"/>
      <c r="BY43" s="940"/>
      <c r="BZ43" s="940"/>
      <c r="CA43" s="940"/>
      <c r="CB43" s="940"/>
      <c r="CC43" s="940"/>
      <c r="CD43" s="940"/>
      <c r="CE43" s="940"/>
      <c r="CF43" s="940"/>
      <c r="CG43" s="940"/>
      <c r="CH43" s="940"/>
      <c r="CI43" s="940"/>
      <c r="CJ43" s="940"/>
      <c r="CK43" s="940"/>
      <c r="CL43" s="940"/>
      <c r="CM43" s="940"/>
      <c r="CN43" s="940"/>
      <c r="CO43" s="940"/>
      <c r="CP43" s="940"/>
      <c r="CQ43" s="940"/>
      <c r="CR43" s="940"/>
      <c r="CS43" s="940"/>
      <c r="CT43" s="940"/>
      <c r="CU43" s="940"/>
      <c r="CV43" s="940"/>
      <c r="CW43" s="940"/>
      <c r="CX43" s="940"/>
      <c r="CY43" s="940"/>
      <c r="CZ43" s="940"/>
      <c r="DA43" s="940"/>
      <c r="DB43" s="940"/>
      <c r="DC43" s="940"/>
      <c r="DD43" s="940"/>
      <c r="DE43" s="940"/>
      <c r="DF43" s="940"/>
      <c r="DG43" s="940"/>
      <c r="DH43" s="940"/>
      <c r="DI43" s="940"/>
      <c r="DJ43" s="940"/>
      <c r="DK43" s="940"/>
      <c r="DL43" s="940"/>
      <c r="DM43" s="940"/>
      <c r="DN43" s="940"/>
      <c r="DO43" s="940"/>
      <c r="DP43" s="940"/>
      <c r="DQ43" s="940"/>
      <c r="DR43" s="940"/>
      <c r="DS43" s="940"/>
      <c r="DT43" s="940"/>
      <c r="DU43" s="940"/>
      <c r="DV43" s="940"/>
      <c r="DW43" s="940"/>
      <c r="DX43" s="940"/>
      <c r="DY43" s="940"/>
      <c r="DZ43" s="940"/>
      <c r="EA43" s="940"/>
      <c r="EB43" s="940"/>
      <c r="EC43" s="940"/>
      <c r="ED43" s="940"/>
      <c r="EE43" s="940"/>
      <c r="EF43" s="940"/>
      <c r="EG43" s="940"/>
      <c r="EH43" s="940"/>
      <c r="EI43" s="940"/>
      <c r="EJ43" s="940"/>
      <c r="EK43" s="940"/>
      <c r="EL43" s="940"/>
      <c r="EM43" s="940"/>
      <c r="EN43" s="940"/>
      <c r="EO43" s="940"/>
      <c r="EP43" s="940"/>
      <c r="EQ43" s="940"/>
      <c r="ER43" s="940"/>
      <c r="ES43" s="940"/>
      <c r="ET43" s="940"/>
      <c r="EU43" s="940"/>
      <c r="EV43" s="940"/>
      <c r="EW43" s="940"/>
      <c r="EX43" s="940"/>
      <c r="EY43" s="940"/>
      <c r="EZ43" s="940"/>
      <c r="FA43" s="940"/>
      <c r="FB43" s="940"/>
      <c r="FC43" s="940"/>
      <c r="FD43" s="940"/>
      <c r="FE43" s="940"/>
      <c r="FF43" s="940"/>
      <c r="FG43" s="940"/>
      <c r="FH43" s="940"/>
      <c r="FI43" s="940"/>
      <c r="FJ43" s="940"/>
      <c r="FK43" s="940"/>
      <c r="FL43" s="940"/>
      <c r="FM43" s="940"/>
      <c r="FN43" s="940"/>
      <c r="FO43" s="940"/>
      <c r="FP43" s="940"/>
      <c r="FQ43" s="940"/>
      <c r="FR43" s="940"/>
      <c r="FS43" s="940"/>
      <c r="FT43" s="940"/>
      <c r="FU43" s="940"/>
      <c r="FV43" s="940"/>
      <c r="FW43" s="940"/>
      <c r="FX43" s="940"/>
      <c r="FY43" s="940"/>
      <c r="FZ43" s="940"/>
      <c r="GA43" s="940"/>
      <c r="GB43" s="940"/>
      <c r="GC43" s="940"/>
      <c r="GD43" s="940"/>
      <c r="GE43" s="940"/>
      <c r="GF43" s="940"/>
      <c r="GG43" s="940"/>
      <c r="GH43" s="940"/>
      <c r="GI43" s="940"/>
      <c r="GJ43" s="940"/>
      <c r="GK43" s="940"/>
      <c r="GL43" s="940"/>
      <c r="GM43" s="940"/>
      <c r="GN43" s="940"/>
      <c r="GO43" s="940"/>
      <c r="GP43" s="940"/>
      <c r="GQ43" s="940"/>
      <c r="GR43" s="940"/>
      <c r="GS43" s="940"/>
      <c r="GT43" s="940"/>
      <c r="GU43" s="940"/>
      <c r="GV43" s="940"/>
      <c r="GW43" s="940"/>
      <c r="GX43" s="940"/>
      <c r="GY43" s="940"/>
      <c r="GZ43" s="940"/>
      <c r="HA43" s="940"/>
      <c r="HB43" s="940"/>
      <c r="HC43" s="940"/>
      <c r="HD43" s="940"/>
      <c r="HE43" s="940"/>
      <c r="HF43" s="940"/>
      <c r="HG43" s="940"/>
      <c r="HH43" s="940"/>
      <c r="HI43" s="940"/>
      <c r="HJ43" s="940"/>
      <c r="HK43" s="940"/>
      <c r="HL43" s="940"/>
      <c r="HM43" s="940"/>
      <c r="HN43" s="940"/>
      <c r="HO43" s="940"/>
      <c r="HP43" s="940"/>
      <c r="HQ43" s="940"/>
      <c r="HR43" s="940"/>
      <c r="HS43" s="940"/>
      <c r="HT43" s="940"/>
      <c r="HU43" s="940"/>
      <c r="HV43" s="940"/>
      <c r="HW43" s="940"/>
      <c r="HX43" s="940"/>
      <c r="HY43" s="940"/>
      <c r="HZ43" s="940"/>
      <c r="IA43" s="940"/>
      <c r="IB43" s="940"/>
      <c r="IC43" s="940"/>
      <c r="ID43" s="940"/>
      <c r="IE43" s="940"/>
      <c r="IF43" s="940"/>
      <c r="IG43" s="940"/>
      <c r="IH43" s="940"/>
      <c r="II43" s="940"/>
      <c r="IJ43" s="940"/>
      <c r="IK43" s="940"/>
      <c r="IL43" s="940"/>
      <c r="IM43" s="940"/>
      <c r="IN43" s="940"/>
      <c r="IO43" s="940"/>
      <c r="IP43" s="940"/>
      <c r="IQ43" s="940"/>
      <c r="IR43" s="940"/>
      <c r="IS43" s="940"/>
      <c r="IT43" s="940"/>
      <c r="IU43" s="940"/>
      <c r="IV43" s="940"/>
    </row>
    <row r="44" spans="1:256" s="952" customFormat="1" ht="30" customHeight="1" x14ac:dyDescent="0.35">
      <c r="A44" s="947">
        <v>28</v>
      </c>
      <c r="B44" s="948" t="s">
        <v>768</v>
      </c>
      <c r="C44" s="949" t="s">
        <v>760</v>
      </c>
      <c r="D44" s="950"/>
      <c r="E44" s="950"/>
      <c r="F44" s="950"/>
      <c r="G44" s="950"/>
      <c r="H44" s="950"/>
      <c r="I44" s="950"/>
      <c r="J44" s="950"/>
      <c r="K44" s="950"/>
      <c r="L44" s="950"/>
      <c r="M44" s="950"/>
      <c r="N44" s="950"/>
      <c r="O44" s="950">
        <v>2000</v>
      </c>
      <c r="P44" s="950">
        <v>1985</v>
      </c>
      <c r="Q44" s="951">
        <f t="shared" si="0"/>
        <v>3985</v>
      </c>
      <c r="R44" s="949"/>
      <c r="S44" s="949"/>
      <c r="T44" s="949"/>
      <c r="U44" s="949"/>
      <c r="V44" s="949"/>
      <c r="W44" s="949"/>
      <c r="X44" s="949"/>
      <c r="Y44" s="949"/>
      <c r="Z44" s="949"/>
      <c r="AA44" s="949"/>
      <c r="AB44" s="949"/>
      <c r="AC44" s="949"/>
      <c r="AD44" s="949"/>
      <c r="AE44" s="949"/>
      <c r="AF44" s="949"/>
      <c r="AG44" s="949"/>
      <c r="AH44" s="949"/>
      <c r="AI44" s="949"/>
      <c r="AJ44" s="949"/>
      <c r="AK44" s="949"/>
      <c r="AL44" s="949"/>
      <c r="AM44" s="949"/>
      <c r="AN44" s="949"/>
      <c r="AO44" s="949"/>
      <c r="AP44" s="949"/>
      <c r="AQ44" s="949"/>
      <c r="AR44" s="949"/>
      <c r="AS44" s="949"/>
      <c r="AT44" s="949"/>
      <c r="AU44" s="949"/>
      <c r="AV44" s="949"/>
      <c r="AW44" s="949"/>
      <c r="AX44" s="949"/>
      <c r="AY44" s="949"/>
      <c r="AZ44" s="949"/>
      <c r="BA44" s="949"/>
      <c r="BB44" s="949"/>
      <c r="BC44" s="949"/>
      <c r="BD44" s="949"/>
      <c r="BE44" s="949"/>
      <c r="BF44" s="949"/>
      <c r="BG44" s="949"/>
      <c r="BH44" s="949"/>
      <c r="BI44" s="949"/>
      <c r="BJ44" s="949"/>
      <c r="BK44" s="949"/>
      <c r="BL44" s="949"/>
      <c r="BM44" s="949"/>
      <c r="BN44" s="949"/>
      <c r="BO44" s="949"/>
      <c r="BP44" s="949"/>
      <c r="BQ44" s="949"/>
      <c r="BR44" s="949"/>
      <c r="BS44" s="949"/>
      <c r="BT44" s="949"/>
      <c r="BU44" s="949"/>
      <c r="BV44" s="949"/>
      <c r="BW44" s="949"/>
      <c r="BX44" s="949"/>
      <c r="BY44" s="949"/>
      <c r="BZ44" s="949"/>
      <c r="CA44" s="949"/>
      <c r="CB44" s="949"/>
      <c r="CC44" s="949"/>
      <c r="CD44" s="949"/>
      <c r="CE44" s="949"/>
      <c r="CF44" s="949"/>
      <c r="CG44" s="949"/>
      <c r="CH44" s="949"/>
      <c r="CI44" s="949"/>
      <c r="CJ44" s="949"/>
      <c r="CK44" s="949"/>
      <c r="CL44" s="949"/>
      <c r="CM44" s="949"/>
      <c r="CN44" s="949"/>
      <c r="CO44" s="949"/>
      <c r="CP44" s="949"/>
      <c r="CQ44" s="949"/>
      <c r="CR44" s="949"/>
      <c r="CS44" s="949"/>
      <c r="CT44" s="949"/>
      <c r="CU44" s="949"/>
      <c r="CV44" s="949"/>
      <c r="CW44" s="949"/>
      <c r="CX44" s="949"/>
      <c r="CY44" s="949"/>
      <c r="CZ44" s="949"/>
      <c r="DA44" s="949"/>
      <c r="DB44" s="949"/>
      <c r="DC44" s="949"/>
      <c r="DD44" s="949"/>
      <c r="DE44" s="949"/>
      <c r="DF44" s="949"/>
      <c r="DG44" s="949"/>
      <c r="DH44" s="949"/>
      <c r="DI44" s="949"/>
      <c r="DJ44" s="949"/>
      <c r="DK44" s="949"/>
      <c r="DL44" s="949"/>
      <c r="DM44" s="949"/>
      <c r="DN44" s="949"/>
      <c r="DO44" s="949"/>
      <c r="DP44" s="949"/>
      <c r="DQ44" s="949"/>
      <c r="DR44" s="949"/>
      <c r="DS44" s="949"/>
      <c r="DT44" s="949"/>
      <c r="DU44" s="949"/>
      <c r="DV44" s="949"/>
      <c r="DW44" s="949"/>
      <c r="DX44" s="949"/>
      <c r="DY44" s="949"/>
      <c r="DZ44" s="949"/>
      <c r="EA44" s="949"/>
      <c r="EB44" s="949"/>
      <c r="EC44" s="949"/>
      <c r="ED44" s="949"/>
      <c r="EE44" s="949"/>
      <c r="EF44" s="949"/>
      <c r="EG44" s="949"/>
      <c r="EH44" s="949"/>
      <c r="EI44" s="949"/>
      <c r="EJ44" s="949"/>
      <c r="EK44" s="949"/>
      <c r="EL44" s="949"/>
      <c r="EM44" s="949"/>
      <c r="EN44" s="949"/>
      <c r="EO44" s="949"/>
      <c r="EP44" s="949"/>
      <c r="EQ44" s="949"/>
      <c r="ER44" s="949"/>
      <c r="ES44" s="949"/>
      <c r="ET44" s="949"/>
      <c r="EU44" s="949"/>
      <c r="EV44" s="949"/>
      <c r="EW44" s="949"/>
      <c r="EX44" s="949"/>
      <c r="EY44" s="949"/>
      <c r="EZ44" s="949"/>
      <c r="FA44" s="949"/>
      <c r="FB44" s="949"/>
      <c r="FC44" s="949"/>
      <c r="FD44" s="949"/>
      <c r="FE44" s="949"/>
      <c r="FF44" s="949"/>
      <c r="FG44" s="949"/>
      <c r="FH44" s="949"/>
      <c r="FI44" s="949"/>
      <c r="FJ44" s="949"/>
      <c r="FK44" s="949"/>
      <c r="FL44" s="949"/>
      <c r="FM44" s="949"/>
      <c r="FN44" s="949"/>
      <c r="FO44" s="949"/>
      <c r="FP44" s="949"/>
      <c r="FQ44" s="949"/>
      <c r="FR44" s="949"/>
      <c r="FS44" s="949"/>
      <c r="FT44" s="949"/>
      <c r="FU44" s="949"/>
      <c r="FV44" s="949"/>
      <c r="FW44" s="949"/>
      <c r="FX44" s="949"/>
      <c r="FY44" s="949"/>
      <c r="FZ44" s="949"/>
      <c r="GA44" s="949"/>
      <c r="GB44" s="949"/>
      <c r="GC44" s="949"/>
      <c r="GD44" s="949"/>
      <c r="GE44" s="949"/>
      <c r="GF44" s="949"/>
      <c r="GG44" s="949"/>
      <c r="GH44" s="949"/>
      <c r="GI44" s="949"/>
      <c r="GJ44" s="949"/>
      <c r="GK44" s="949"/>
      <c r="GL44" s="949"/>
      <c r="GM44" s="949"/>
      <c r="GN44" s="949"/>
      <c r="GO44" s="949"/>
      <c r="GP44" s="949"/>
      <c r="GQ44" s="949"/>
      <c r="GR44" s="949"/>
      <c r="GS44" s="949"/>
      <c r="GT44" s="949"/>
      <c r="GU44" s="949"/>
      <c r="GV44" s="949"/>
      <c r="GW44" s="949"/>
      <c r="GX44" s="949"/>
      <c r="GY44" s="949"/>
      <c r="GZ44" s="949"/>
      <c r="HA44" s="949"/>
      <c r="HB44" s="949"/>
      <c r="HC44" s="949"/>
      <c r="HD44" s="949"/>
      <c r="HE44" s="949"/>
      <c r="HF44" s="949"/>
      <c r="HG44" s="949"/>
      <c r="HH44" s="949"/>
      <c r="HI44" s="949"/>
      <c r="HJ44" s="949"/>
      <c r="HK44" s="949"/>
      <c r="HL44" s="949"/>
      <c r="HM44" s="949"/>
      <c r="HN44" s="949"/>
      <c r="HO44" s="949"/>
      <c r="HP44" s="949"/>
      <c r="HQ44" s="949"/>
      <c r="HR44" s="949"/>
      <c r="HS44" s="949"/>
      <c r="HT44" s="949"/>
      <c r="HU44" s="949"/>
      <c r="HV44" s="949"/>
      <c r="HW44" s="949"/>
      <c r="HX44" s="949"/>
      <c r="HY44" s="949"/>
      <c r="HZ44" s="949"/>
      <c r="IA44" s="949"/>
      <c r="IB44" s="949"/>
      <c r="IC44" s="949"/>
      <c r="ID44" s="949"/>
      <c r="IE44" s="949"/>
      <c r="IF44" s="949"/>
      <c r="IG44" s="949"/>
      <c r="IH44" s="949"/>
      <c r="II44" s="949"/>
      <c r="IJ44" s="949"/>
      <c r="IK44" s="949"/>
      <c r="IL44" s="949"/>
      <c r="IM44" s="949"/>
      <c r="IN44" s="949"/>
      <c r="IO44" s="949"/>
      <c r="IP44" s="949"/>
      <c r="IQ44" s="949"/>
      <c r="IR44" s="949"/>
      <c r="IS44" s="949"/>
      <c r="IT44" s="949"/>
      <c r="IU44" s="949"/>
      <c r="IV44" s="949"/>
    </row>
    <row r="45" spans="1:256" s="940" customFormat="1" ht="18" customHeight="1" x14ac:dyDescent="0.35">
      <c r="A45" s="1428"/>
      <c r="B45" s="956"/>
      <c r="C45" s="918" t="s">
        <v>1252</v>
      </c>
      <c r="D45" s="1453">
        <v>1835</v>
      </c>
      <c r="E45" s="1453"/>
      <c r="F45" s="1453"/>
      <c r="G45" s="1453">
        <v>220</v>
      </c>
      <c r="H45" s="1453"/>
      <c r="I45" s="1453">
        <v>600</v>
      </c>
      <c r="J45" s="1453"/>
      <c r="K45" s="1453"/>
      <c r="L45" s="1453"/>
      <c r="M45" s="1453">
        <v>375</v>
      </c>
      <c r="N45" s="1453">
        <v>850</v>
      </c>
      <c r="O45" s="1453">
        <v>105</v>
      </c>
      <c r="P45" s="1453">
        <v>0</v>
      </c>
      <c r="Q45" s="827">
        <f t="shared" si="0"/>
        <v>3985</v>
      </c>
      <c r="R45" s="918"/>
      <c r="S45" s="918"/>
      <c r="T45" s="918"/>
      <c r="U45" s="918"/>
      <c r="V45" s="918"/>
      <c r="W45" s="918"/>
      <c r="X45" s="918"/>
      <c r="Y45" s="918"/>
      <c r="Z45" s="918"/>
      <c r="AA45" s="918"/>
      <c r="AB45" s="918"/>
      <c r="AC45" s="918"/>
      <c r="AD45" s="918"/>
      <c r="AE45" s="918"/>
      <c r="AF45" s="918"/>
      <c r="AG45" s="918"/>
      <c r="AH45" s="918"/>
      <c r="AI45" s="918"/>
      <c r="AJ45" s="918"/>
      <c r="AK45" s="918"/>
      <c r="AL45" s="918"/>
      <c r="AM45" s="918"/>
      <c r="AN45" s="918"/>
      <c r="AO45" s="918"/>
      <c r="AP45" s="918"/>
      <c r="AQ45" s="918"/>
      <c r="AR45" s="918"/>
      <c r="AS45" s="918"/>
      <c r="AT45" s="918"/>
      <c r="AU45" s="918"/>
      <c r="AV45" s="918"/>
      <c r="AW45" s="918"/>
      <c r="AX45" s="918"/>
      <c r="AY45" s="918"/>
      <c r="AZ45" s="918"/>
      <c r="BA45" s="918"/>
      <c r="BB45" s="918"/>
      <c r="BC45" s="918"/>
      <c r="BD45" s="918"/>
      <c r="BE45" s="918"/>
      <c r="BF45" s="918"/>
      <c r="BG45" s="918"/>
      <c r="BH45" s="918"/>
      <c r="BI45" s="918"/>
      <c r="BJ45" s="918"/>
      <c r="BK45" s="918"/>
      <c r="BL45" s="918"/>
      <c r="BM45" s="918"/>
      <c r="BN45" s="918"/>
      <c r="BO45" s="918"/>
      <c r="BP45" s="918"/>
      <c r="BQ45" s="918"/>
      <c r="BR45" s="918"/>
      <c r="BS45" s="918"/>
      <c r="BT45" s="918"/>
      <c r="BU45" s="918"/>
      <c r="BV45" s="918"/>
      <c r="BW45" s="918"/>
      <c r="BX45" s="918"/>
      <c r="BY45" s="918"/>
      <c r="BZ45" s="918"/>
      <c r="CA45" s="918"/>
      <c r="CB45" s="918"/>
      <c r="CC45" s="918"/>
      <c r="CD45" s="918"/>
      <c r="CE45" s="918"/>
      <c r="CF45" s="918"/>
      <c r="CG45" s="918"/>
      <c r="CH45" s="918"/>
      <c r="CI45" s="918"/>
      <c r="CJ45" s="918"/>
      <c r="CK45" s="918"/>
      <c r="CL45" s="918"/>
      <c r="CM45" s="918"/>
      <c r="CN45" s="918"/>
      <c r="CO45" s="918"/>
      <c r="CP45" s="918"/>
      <c r="CQ45" s="918"/>
      <c r="CR45" s="918"/>
      <c r="CS45" s="918"/>
      <c r="CT45" s="918"/>
      <c r="CU45" s="918"/>
      <c r="CV45" s="918"/>
      <c r="CW45" s="918"/>
      <c r="CX45" s="918"/>
      <c r="CY45" s="918"/>
      <c r="CZ45" s="918"/>
      <c r="DA45" s="918"/>
      <c r="DB45" s="918"/>
      <c r="DC45" s="918"/>
      <c r="DD45" s="918"/>
      <c r="DE45" s="918"/>
      <c r="DF45" s="918"/>
      <c r="DG45" s="918"/>
      <c r="DH45" s="918"/>
      <c r="DI45" s="918"/>
      <c r="DJ45" s="918"/>
      <c r="DK45" s="918"/>
      <c r="DL45" s="918"/>
      <c r="DM45" s="918"/>
      <c r="DN45" s="918"/>
      <c r="DO45" s="918"/>
      <c r="DP45" s="918"/>
      <c r="DQ45" s="918"/>
      <c r="DR45" s="918"/>
      <c r="DS45" s="918"/>
      <c r="DT45" s="918"/>
      <c r="DU45" s="918"/>
      <c r="DV45" s="918"/>
      <c r="DW45" s="918"/>
      <c r="DX45" s="918"/>
      <c r="DY45" s="918"/>
      <c r="DZ45" s="918"/>
      <c r="EA45" s="918"/>
      <c r="EB45" s="918"/>
      <c r="EC45" s="918"/>
      <c r="ED45" s="918"/>
      <c r="EE45" s="918"/>
      <c r="EF45" s="918"/>
      <c r="EG45" s="918"/>
      <c r="EH45" s="918"/>
      <c r="EI45" s="918"/>
      <c r="EJ45" s="918"/>
      <c r="EK45" s="918"/>
      <c r="EL45" s="918"/>
      <c r="EM45" s="918"/>
      <c r="EN45" s="918"/>
      <c r="EO45" s="918"/>
      <c r="EP45" s="918"/>
      <c r="EQ45" s="918"/>
      <c r="ER45" s="918"/>
      <c r="ES45" s="918"/>
      <c r="ET45" s="918"/>
      <c r="EU45" s="918"/>
      <c r="EV45" s="918"/>
      <c r="EW45" s="918"/>
      <c r="EX45" s="918"/>
      <c r="EY45" s="918"/>
      <c r="EZ45" s="918"/>
      <c r="FA45" s="918"/>
      <c r="FB45" s="918"/>
      <c r="FC45" s="918"/>
      <c r="FD45" s="918"/>
      <c r="FE45" s="918"/>
      <c r="FF45" s="918"/>
      <c r="FG45" s="918"/>
      <c r="FH45" s="918"/>
      <c r="FI45" s="918"/>
      <c r="FJ45" s="918"/>
      <c r="FK45" s="918"/>
      <c r="FL45" s="918"/>
      <c r="FM45" s="918"/>
      <c r="FN45" s="918"/>
      <c r="FO45" s="918"/>
      <c r="FP45" s="918"/>
      <c r="FQ45" s="918"/>
      <c r="FR45" s="918"/>
      <c r="FS45" s="918"/>
      <c r="FT45" s="918"/>
      <c r="FU45" s="918"/>
      <c r="FV45" s="918"/>
      <c r="FW45" s="918"/>
      <c r="FX45" s="918"/>
      <c r="FY45" s="918"/>
      <c r="FZ45" s="918"/>
      <c r="GA45" s="918"/>
      <c r="GB45" s="918"/>
      <c r="GC45" s="918"/>
      <c r="GD45" s="918"/>
      <c r="GE45" s="918"/>
      <c r="GF45" s="918"/>
      <c r="GG45" s="918"/>
      <c r="GH45" s="918"/>
      <c r="GI45" s="918"/>
      <c r="GJ45" s="918"/>
      <c r="GK45" s="918"/>
      <c r="GL45" s="918"/>
      <c r="GM45" s="918"/>
      <c r="GN45" s="918"/>
      <c r="GO45" s="918"/>
      <c r="GP45" s="918"/>
      <c r="GQ45" s="918"/>
      <c r="GR45" s="918"/>
      <c r="GS45" s="918"/>
      <c r="GT45" s="918"/>
      <c r="GU45" s="918"/>
      <c r="GV45" s="918"/>
      <c r="GW45" s="918"/>
      <c r="GX45" s="918"/>
      <c r="GY45" s="918"/>
      <c r="GZ45" s="918"/>
      <c r="HA45" s="918"/>
      <c r="HB45" s="918"/>
      <c r="HC45" s="918"/>
      <c r="HD45" s="918"/>
      <c r="HE45" s="918"/>
      <c r="HF45" s="918"/>
      <c r="HG45" s="918"/>
      <c r="HH45" s="918"/>
      <c r="HI45" s="918"/>
      <c r="HJ45" s="918"/>
      <c r="HK45" s="918"/>
      <c r="HL45" s="918"/>
      <c r="HM45" s="918"/>
      <c r="HN45" s="918"/>
      <c r="HO45" s="918"/>
      <c r="HP45" s="918"/>
      <c r="HQ45" s="918"/>
      <c r="HR45" s="918"/>
      <c r="HS45" s="918"/>
      <c r="HT45" s="918"/>
      <c r="HU45" s="918"/>
      <c r="HV45" s="918"/>
      <c r="HW45" s="918"/>
      <c r="HX45" s="918"/>
      <c r="HY45" s="918"/>
      <c r="HZ45" s="918"/>
      <c r="IA45" s="918"/>
      <c r="IB45" s="918"/>
      <c r="IC45" s="918"/>
      <c r="ID45" s="918"/>
      <c r="IE45" s="918"/>
      <c r="IF45" s="918"/>
      <c r="IG45" s="918"/>
      <c r="IH45" s="918"/>
      <c r="II45" s="918"/>
      <c r="IJ45" s="918"/>
      <c r="IK45" s="918"/>
      <c r="IL45" s="918"/>
      <c r="IM45" s="918"/>
      <c r="IN45" s="918"/>
      <c r="IO45" s="918"/>
      <c r="IP45" s="918"/>
      <c r="IQ45" s="918"/>
      <c r="IR45" s="918"/>
      <c r="IS45" s="918"/>
      <c r="IT45" s="918"/>
      <c r="IU45" s="918"/>
      <c r="IV45" s="918"/>
    </row>
    <row r="46" spans="1:256" x14ac:dyDescent="0.35">
      <c r="A46" s="947">
        <v>29</v>
      </c>
      <c r="B46" s="953"/>
      <c r="C46" s="954" t="s">
        <v>733</v>
      </c>
      <c r="D46" s="187"/>
      <c r="E46" s="187"/>
      <c r="F46" s="187"/>
      <c r="G46" s="187"/>
      <c r="H46" s="187"/>
      <c r="I46" s="187">
        <v>30</v>
      </c>
      <c r="J46" s="187"/>
      <c r="K46" s="187"/>
      <c r="L46" s="187"/>
      <c r="M46" s="187"/>
      <c r="N46" s="187"/>
      <c r="O46" s="187">
        <v>-30</v>
      </c>
      <c r="P46" s="960"/>
      <c r="Q46" s="955">
        <f t="shared" si="0"/>
        <v>0</v>
      </c>
      <c r="R46" s="954"/>
      <c r="S46" s="954"/>
      <c r="T46" s="954"/>
      <c r="U46" s="954"/>
      <c r="V46" s="954"/>
      <c r="W46" s="954"/>
      <c r="X46" s="954"/>
      <c r="Y46" s="954"/>
      <c r="Z46" s="954"/>
      <c r="AA46" s="954"/>
      <c r="AB46" s="954"/>
      <c r="AC46" s="954"/>
      <c r="AD46" s="954"/>
      <c r="AE46" s="954"/>
      <c r="AF46" s="954"/>
      <c r="AG46" s="954"/>
      <c r="AH46" s="954"/>
      <c r="AI46" s="954"/>
      <c r="AJ46" s="954"/>
      <c r="AK46" s="954"/>
      <c r="AL46" s="954"/>
      <c r="AM46" s="954"/>
      <c r="AN46" s="954"/>
      <c r="AO46" s="954"/>
      <c r="AP46" s="954"/>
      <c r="AQ46" s="954"/>
      <c r="AR46" s="954"/>
      <c r="AS46" s="954"/>
      <c r="AT46" s="954"/>
      <c r="AU46" s="954"/>
      <c r="AV46" s="954"/>
      <c r="AW46" s="954"/>
      <c r="AX46" s="954"/>
      <c r="AY46" s="954"/>
      <c r="AZ46" s="954"/>
      <c r="BA46" s="954"/>
      <c r="BB46" s="954"/>
      <c r="BC46" s="954"/>
      <c r="BD46" s="954"/>
      <c r="BE46" s="954"/>
      <c r="BF46" s="954"/>
      <c r="BG46" s="954"/>
      <c r="BH46" s="954"/>
      <c r="BI46" s="954"/>
      <c r="BJ46" s="954"/>
      <c r="BK46" s="954"/>
      <c r="BL46" s="954"/>
      <c r="BM46" s="954"/>
      <c r="BN46" s="954"/>
      <c r="BO46" s="954"/>
      <c r="BP46" s="954"/>
      <c r="BQ46" s="954"/>
      <c r="BR46" s="954"/>
      <c r="BS46" s="954"/>
      <c r="BT46" s="954"/>
      <c r="BU46" s="954"/>
      <c r="BV46" s="954"/>
      <c r="BW46" s="954"/>
      <c r="BX46" s="954"/>
      <c r="BY46" s="954"/>
      <c r="BZ46" s="954"/>
      <c r="CA46" s="954"/>
      <c r="CB46" s="954"/>
      <c r="CC46" s="954"/>
      <c r="CD46" s="954"/>
      <c r="CE46" s="954"/>
      <c r="CF46" s="954"/>
      <c r="CG46" s="954"/>
      <c r="CH46" s="954"/>
      <c r="CI46" s="954"/>
      <c r="CJ46" s="954"/>
      <c r="CK46" s="954"/>
      <c r="CL46" s="954"/>
      <c r="CM46" s="954"/>
      <c r="CN46" s="954"/>
      <c r="CO46" s="954"/>
      <c r="CP46" s="954"/>
      <c r="CQ46" s="954"/>
      <c r="CR46" s="954"/>
      <c r="CS46" s="954"/>
      <c r="CT46" s="954"/>
      <c r="CU46" s="954"/>
      <c r="CV46" s="954"/>
      <c r="CW46" s="954"/>
      <c r="CX46" s="954"/>
      <c r="CY46" s="954"/>
      <c r="CZ46" s="954"/>
      <c r="DA46" s="954"/>
      <c r="DB46" s="954"/>
      <c r="DC46" s="954"/>
      <c r="DD46" s="954"/>
      <c r="DE46" s="954"/>
      <c r="DF46" s="954"/>
      <c r="DG46" s="954"/>
      <c r="DH46" s="954"/>
      <c r="DI46" s="954"/>
      <c r="DJ46" s="954"/>
      <c r="DK46" s="954"/>
      <c r="DL46" s="954"/>
      <c r="DM46" s="954"/>
      <c r="DN46" s="954"/>
      <c r="DO46" s="954"/>
      <c r="DP46" s="954"/>
      <c r="DQ46" s="954"/>
      <c r="DR46" s="954"/>
      <c r="DS46" s="954"/>
      <c r="DT46" s="954"/>
      <c r="DU46" s="954"/>
      <c r="DV46" s="954"/>
      <c r="DW46" s="954"/>
      <c r="DX46" s="954"/>
      <c r="DY46" s="954"/>
      <c r="DZ46" s="954"/>
      <c r="EA46" s="954"/>
      <c r="EB46" s="954"/>
      <c r="EC46" s="954"/>
      <c r="ED46" s="954"/>
      <c r="EE46" s="954"/>
      <c r="EF46" s="954"/>
      <c r="EG46" s="954"/>
      <c r="EH46" s="954"/>
      <c r="EI46" s="954"/>
      <c r="EJ46" s="954"/>
      <c r="EK46" s="954"/>
      <c r="EL46" s="954"/>
      <c r="EM46" s="954"/>
      <c r="EN46" s="954"/>
      <c r="EO46" s="954"/>
      <c r="EP46" s="954"/>
      <c r="EQ46" s="954"/>
      <c r="ER46" s="954"/>
      <c r="ES46" s="954"/>
      <c r="ET46" s="954"/>
      <c r="EU46" s="954"/>
      <c r="EV46" s="954"/>
      <c r="EW46" s="954"/>
      <c r="EX46" s="954"/>
      <c r="EY46" s="954"/>
      <c r="EZ46" s="954"/>
      <c r="FA46" s="954"/>
      <c r="FB46" s="954"/>
      <c r="FC46" s="954"/>
      <c r="FD46" s="954"/>
      <c r="FE46" s="954"/>
      <c r="FF46" s="954"/>
      <c r="FG46" s="954"/>
      <c r="FH46" s="954"/>
      <c r="FI46" s="954"/>
      <c r="FJ46" s="954"/>
      <c r="FK46" s="954"/>
      <c r="FL46" s="954"/>
      <c r="FM46" s="954"/>
      <c r="FN46" s="954"/>
      <c r="FO46" s="954"/>
      <c r="FP46" s="954"/>
      <c r="FQ46" s="954"/>
      <c r="FR46" s="954"/>
      <c r="FS46" s="954"/>
      <c r="FT46" s="954"/>
      <c r="FU46" s="954"/>
      <c r="FV46" s="954"/>
      <c r="FW46" s="954"/>
      <c r="FX46" s="954"/>
      <c r="FY46" s="954"/>
      <c r="FZ46" s="954"/>
      <c r="GA46" s="954"/>
      <c r="GB46" s="954"/>
      <c r="GC46" s="954"/>
      <c r="GD46" s="954"/>
      <c r="GE46" s="954"/>
      <c r="GF46" s="954"/>
      <c r="GG46" s="954"/>
      <c r="GH46" s="954"/>
      <c r="GI46" s="954"/>
      <c r="GJ46" s="954"/>
      <c r="GK46" s="954"/>
      <c r="GL46" s="954"/>
      <c r="GM46" s="954"/>
      <c r="GN46" s="954"/>
      <c r="GO46" s="954"/>
      <c r="GP46" s="954"/>
      <c r="GQ46" s="954"/>
      <c r="GR46" s="954"/>
      <c r="GS46" s="954"/>
      <c r="GT46" s="954"/>
      <c r="GU46" s="954"/>
      <c r="GV46" s="954"/>
      <c r="GW46" s="954"/>
      <c r="GX46" s="954"/>
      <c r="GY46" s="954"/>
      <c r="GZ46" s="954"/>
      <c r="HA46" s="954"/>
      <c r="HB46" s="954"/>
      <c r="HC46" s="954"/>
      <c r="HD46" s="954"/>
      <c r="HE46" s="954"/>
      <c r="HF46" s="954"/>
      <c r="HG46" s="954"/>
      <c r="HH46" s="954"/>
      <c r="HI46" s="954"/>
      <c r="HJ46" s="954"/>
      <c r="HK46" s="954"/>
      <c r="HL46" s="954"/>
      <c r="HM46" s="954"/>
      <c r="HN46" s="954"/>
      <c r="HO46" s="954"/>
      <c r="HP46" s="954"/>
      <c r="HQ46" s="954"/>
      <c r="HR46" s="954"/>
      <c r="HS46" s="954"/>
      <c r="HT46" s="954"/>
      <c r="HU46" s="954"/>
      <c r="HV46" s="954"/>
      <c r="HW46" s="954"/>
      <c r="HX46" s="954"/>
      <c r="HY46" s="954"/>
      <c r="HZ46" s="954"/>
      <c r="IA46" s="954"/>
      <c r="IB46" s="954"/>
      <c r="IC46" s="954"/>
      <c r="ID46" s="954"/>
      <c r="IE46" s="954"/>
      <c r="IF46" s="954"/>
      <c r="IG46" s="954"/>
      <c r="IH46" s="954"/>
      <c r="II46" s="954"/>
      <c r="IJ46" s="954"/>
      <c r="IK46" s="954"/>
      <c r="IL46" s="954"/>
      <c r="IM46" s="954"/>
      <c r="IN46" s="954"/>
      <c r="IO46" s="954"/>
      <c r="IP46" s="954"/>
      <c r="IQ46" s="954"/>
      <c r="IR46" s="954"/>
      <c r="IS46" s="954"/>
      <c r="IT46" s="954"/>
      <c r="IU46" s="954"/>
      <c r="IV46" s="954"/>
    </row>
    <row r="47" spans="1:256" x14ac:dyDescent="0.35">
      <c r="A47" s="947">
        <v>30</v>
      </c>
      <c r="B47" s="956"/>
      <c r="C47" s="957" t="s">
        <v>1307</v>
      </c>
      <c r="D47" s="962">
        <f>SUM(D45:D46)</f>
        <v>1835</v>
      </c>
      <c r="E47" s="962">
        <f t="shared" ref="E47:Q47" si="12">SUM(E45:E46)</f>
        <v>0</v>
      </c>
      <c r="F47" s="962">
        <f t="shared" si="12"/>
        <v>0</v>
      </c>
      <c r="G47" s="962">
        <f t="shared" si="12"/>
        <v>220</v>
      </c>
      <c r="H47" s="962">
        <f t="shared" si="12"/>
        <v>0</v>
      </c>
      <c r="I47" s="962">
        <f t="shared" si="12"/>
        <v>630</v>
      </c>
      <c r="J47" s="962">
        <f t="shared" si="12"/>
        <v>0</v>
      </c>
      <c r="K47" s="962">
        <f t="shared" si="12"/>
        <v>0</v>
      </c>
      <c r="L47" s="962">
        <f t="shared" si="12"/>
        <v>0</v>
      </c>
      <c r="M47" s="962">
        <f t="shared" si="12"/>
        <v>375</v>
      </c>
      <c r="N47" s="962">
        <f t="shared" si="12"/>
        <v>850</v>
      </c>
      <c r="O47" s="962">
        <f t="shared" si="12"/>
        <v>75</v>
      </c>
      <c r="P47" s="962">
        <f t="shared" si="12"/>
        <v>0</v>
      </c>
      <c r="Q47" s="1641">
        <f t="shared" si="12"/>
        <v>3985</v>
      </c>
      <c r="R47" s="940"/>
      <c r="S47" s="940"/>
      <c r="T47" s="940"/>
      <c r="U47" s="940"/>
      <c r="V47" s="940"/>
      <c r="W47" s="940"/>
      <c r="X47" s="940"/>
      <c r="Y47" s="940"/>
      <c r="Z47" s="940"/>
      <c r="AA47" s="940"/>
      <c r="AB47" s="940"/>
      <c r="AC47" s="940"/>
      <c r="AD47" s="940"/>
      <c r="AE47" s="940"/>
      <c r="AF47" s="940"/>
      <c r="AG47" s="940"/>
      <c r="AH47" s="940"/>
      <c r="AI47" s="940"/>
      <c r="AJ47" s="940"/>
      <c r="AK47" s="940"/>
      <c r="AL47" s="940"/>
      <c r="AM47" s="940"/>
      <c r="AN47" s="940"/>
      <c r="AO47" s="940"/>
      <c r="AP47" s="940"/>
      <c r="AQ47" s="940"/>
      <c r="AR47" s="940"/>
      <c r="AS47" s="940"/>
      <c r="AT47" s="940"/>
      <c r="AU47" s="940"/>
      <c r="AV47" s="940"/>
      <c r="AW47" s="940"/>
      <c r="AX47" s="940"/>
      <c r="AY47" s="940"/>
      <c r="AZ47" s="940"/>
      <c r="BA47" s="940"/>
      <c r="BB47" s="940"/>
      <c r="BC47" s="940"/>
      <c r="BD47" s="940"/>
      <c r="BE47" s="940"/>
      <c r="BF47" s="940"/>
      <c r="BG47" s="940"/>
      <c r="BH47" s="940"/>
      <c r="BI47" s="940"/>
      <c r="BJ47" s="940"/>
      <c r="BK47" s="940"/>
      <c r="BL47" s="940"/>
      <c r="BM47" s="940"/>
      <c r="BN47" s="940"/>
      <c r="BO47" s="940"/>
      <c r="BP47" s="940"/>
      <c r="BQ47" s="940"/>
      <c r="BR47" s="940"/>
      <c r="BS47" s="940"/>
      <c r="BT47" s="940"/>
      <c r="BU47" s="940"/>
      <c r="BV47" s="940"/>
      <c r="BW47" s="940"/>
      <c r="BX47" s="940"/>
      <c r="BY47" s="940"/>
      <c r="BZ47" s="940"/>
      <c r="CA47" s="940"/>
      <c r="CB47" s="940"/>
      <c r="CC47" s="940"/>
      <c r="CD47" s="940"/>
      <c r="CE47" s="940"/>
      <c r="CF47" s="940"/>
      <c r="CG47" s="940"/>
      <c r="CH47" s="940"/>
      <c r="CI47" s="940"/>
      <c r="CJ47" s="940"/>
      <c r="CK47" s="940"/>
      <c r="CL47" s="940"/>
      <c r="CM47" s="940"/>
      <c r="CN47" s="940"/>
      <c r="CO47" s="940"/>
      <c r="CP47" s="940"/>
      <c r="CQ47" s="940"/>
      <c r="CR47" s="940"/>
      <c r="CS47" s="940"/>
      <c r="CT47" s="940"/>
      <c r="CU47" s="940"/>
      <c r="CV47" s="940"/>
      <c r="CW47" s="940"/>
      <c r="CX47" s="940"/>
      <c r="CY47" s="940"/>
      <c r="CZ47" s="940"/>
      <c r="DA47" s="940"/>
      <c r="DB47" s="940"/>
      <c r="DC47" s="940"/>
      <c r="DD47" s="940"/>
      <c r="DE47" s="940"/>
      <c r="DF47" s="940"/>
      <c r="DG47" s="940"/>
      <c r="DH47" s="940"/>
      <c r="DI47" s="940"/>
      <c r="DJ47" s="940"/>
      <c r="DK47" s="940"/>
      <c r="DL47" s="940"/>
      <c r="DM47" s="940"/>
      <c r="DN47" s="940"/>
      <c r="DO47" s="940"/>
      <c r="DP47" s="940"/>
      <c r="DQ47" s="940"/>
      <c r="DR47" s="940"/>
      <c r="DS47" s="940"/>
      <c r="DT47" s="940"/>
      <c r="DU47" s="940"/>
      <c r="DV47" s="940"/>
      <c r="DW47" s="940"/>
      <c r="DX47" s="940"/>
      <c r="DY47" s="940"/>
      <c r="DZ47" s="940"/>
      <c r="EA47" s="940"/>
      <c r="EB47" s="940"/>
      <c r="EC47" s="940"/>
      <c r="ED47" s="940"/>
      <c r="EE47" s="940"/>
      <c r="EF47" s="940"/>
      <c r="EG47" s="940"/>
      <c r="EH47" s="940"/>
      <c r="EI47" s="940"/>
      <c r="EJ47" s="940"/>
      <c r="EK47" s="940"/>
      <c r="EL47" s="940"/>
      <c r="EM47" s="940"/>
      <c r="EN47" s="940"/>
      <c r="EO47" s="940"/>
      <c r="EP47" s="940"/>
      <c r="EQ47" s="940"/>
      <c r="ER47" s="940"/>
      <c r="ES47" s="940"/>
      <c r="ET47" s="940"/>
      <c r="EU47" s="940"/>
      <c r="EV47" s="940"/>
      <c r="EW47" s="940"/>
      <c r="EX47" s="940"/>
      <c r="EY47" s="940"/>
      <c r="EZ47" s="940"/>
      <c r="FA47" s="940"/>
      <c r="FB47" s="940"/>
      <c r="FC47" s="940"/>
      <c r="FD47" s="940"/>
      <c r="FE47" s="940"/>
      <c r="FF47" s="940"/>
      <c r="FG47" s="940"/>
      <c r="FH47" s="940"/>
      <c r="FI47" s="940"/>
      <c r="FJ47" s="940"/>
      <c r="FK47" s="940"/>
      <c r="FL47" s="940"/>
      <c r="FM47" s="940"/>
      <c r="FN47" s="940"/>
      <c r="FO47" s="940"/>
      <c r="FP47" s="940"/>
      <c r="FQ47" s="940"/>
      <c r="FR47" s="940"/>
      <c r="FS47" s="940"/>
      <c r="FT47" s="940"/>
      <c r="FU47" s="940"/>
      <c r="FV47" s="940"/>
      <c r="FW47" s="940"/>
      <c r="FX47" s="940"/>
      <c r="FY47" s="940"/>
      <c r="FZ47" s="940"/>
      <c r="GA47" s="940"/>
      <c r="GB47" s="940"/>
      <c r="GC47" s="940"/>
      <c r="GD47" s="940"/>
      <c r="GE47" s="940"/>
      <c r="GF47" s="940"/>
      <c r="GG47" s="940"/>
      <c r="GH47" s="940"/>
      <c r="GI47" s="940"/>
      <c r="GJ47" s="940"/>
      <c r="GK47" s="940"/>
      <c r="GL47" s="940"/>
      <c r="GM47" s="940"/>
      <c r="GN47" s="940"/>
      <c r="GO47" s="940"/>
      <c r="GP47" s="940"/>
      <c r="GQ47" s="940"/>
      <c r="GR47" s="940"/>
      <c r="GS47" s="940"/>
      <c r="GT47" s="940"/>
      <c r="GU47" s="940"/>
      <c r="GV47" s="940"/>
      <c r="GW47" s="940"/>
      <c r="GX47" s="940"/>
      <c r="GY47" s="940"/>
      <c r="GZ47" s="940"/>
      <c r="HA47" s="940"/>
      <c r="HB47" s="940"/>
      <c r="HC47" s="940"/>
      <c r="HD47" s="940"/>
      <c r="HE47" s="940"/>
      <c r="HF47" s="940"/>
      <c r="HG47" s="940"/>
      <c r="HH47" s="940"/>
      <c r="HI47" s="940"/>
      <c r="HJ47" s="940"/>
      <c r="HK47" s="940"/>
      <c r="HL47" s="940"/>
      <c r="HM47" s="940"/>
      <c r="HN47" s="940"/>
      <c r="HO47" s="940"/>
      <c r="HP47" s="940"/>
      <c r="HQ47" s="940"/>
      <c r="HR47" s="940"/>
      <c r="HS47" s="940"/>
      <c r="HT47" s="940"/>
      <c r="HU47" s="940"/>
      <c r="HV47" s="940"/>
      <c r="HW47" s="940"/>
      <c r="HX47" s="940"/>
      <c r="HY47" s="940"/>
      <c r="HZ47" s="940"/>
      <c r="IA47" s="940"/>
      <c r="IB47" s="940"/>
      <c r="IC47" s="940"/>
      <c r="ID47" s="940"/>
      <c r="IE47" s="940"/>
      <c r="IF47" s="940"/>
      <c r="IG47" s="940"/>
      <c r="IH47" s="940"/>
      <c r="II47" s="940"/>
      <c r="IJ47" s="940"/>
      <c r="IK47" s="940"/>
      <c r="IL47" s="940"/>
      <c r="IM47" s="940"/>
      <c r="IN47" s="940"/>
      <c r="IO47" s="940"/>
      <c r="IP47" s="940"/>
      <c r="IQ47" s="940"/>
      <c r="IR47" s="940"/>
      <c r="IS47" s="940"/>
      <c r="IT47" s="940"/>
      <c r="IU47" s="940"/>
      <c r="IV47" s="940"/>
    </row>
    <row r="48" spans="1:256" s="952" customFormat="1" ht="30" customHeight="1" x14ac:dyDescent="0.35">
      <c r="A48" s="947">
        <v>31</v>
      </c>
      <c r="B48" s="948" t="s">
        <v>769</v>
      </c>
      <c r="C48" s="949" t="s">
        <v>760</v>
      </c>
      <c r="D48" s="950"/>
      <c r="E48" s="950">
        <v>272</v>
      </c>
      <c r="F48" s="950"/>
      <c r="G48" s="950"/>
      <c r="H48" s="950"/>
      <c r="I48" s="950"/>
      <c r="J48" s="950"/>
      <c r="K48" s="950"/>
      <c r="L48" s="950"/>
      <c r="M48" s="950"/>
      <c r="N48" s="950"/>
      <c r="O48" s="950">
        <v>2000</v>
      </c>
      <c r="P48" s="950">
        <v>1254</v>
      </c>
      <c r="Q48" s="951">
        <f t="shared" si="0"/>
        <v>3526</v>
      </c>
      <c r="R48" s="949"/>
      <c r="S48" s="949"/>
      <c r="T48" s="949"/>
      <c r="U48" s="949"/>
      <c r="V48" s="949"/>
      <c r="W48" s="949"/>
      <c r="X48" s="949"/>
      <c r="Y48" s="949"/>
      <c r="Z48" s="949"/>
      <c r="AA48" s="949"/>
      <c r="AB48" s="949"/>
      <c r="AC48" s="949"/>
      <c r="AD48" s="949"/>
      <c r="AE48" s="949"/>
      <c r="AF48" s="949"/>
      <c r="AG48" s="949"/>
      <c r="AH48" s="949"/>
      <c r="AI48" s="949"/>
      <c r="AJ48" s="949"/>
      <c r="AK48" s="949"/>
      <c r="AL48" s="949"/>
      <c r="AM48" s="949"/>
      <c r="AN48" s="949"/>
      <c r="AO48" s="949"/>
      <c r="AP48" s="949"/>
      <c r="AQ48" s="949"/>
      <c r="AR48" s="949"/>
      <c r="AS48" s="949"/>
      <c r="AT48" s="949"/>
      <c r="AU48" s="949"/>
      <c r="AV48" s="949"/>
      <c r="AW48" s="949"/>
      <c r="AX48" s="949"/>
      <c r="AY48" s="949"/>
      <c r="AZ48" s="949"/>
      <c r="BA48" s="949"/>
      <c r="BB48" s="949"/>
      <c r="BC48" s="949"/>
      <c r="BD48" s="949"/>
      <c r="BE48" s="949"/>
      <c r="BF48" s="949"/>
      <c r="BG48" s="949"/>
      <c r="BH48" s="949"/>
      <c r="BI48" s="949"/>
      <c r="BJ48" s="949"/>
      <c r="BK48" s="949"/>
      <c r="BL48" s="949"/>
      <c r="BM48" s="949"/>
      <c r="BN48" s="949"/>
      <c r="BO48" s="949"/>
      <c r="BP48" s="949"/>
      <c r="BQ48" s="949"/>
      <c r="BR48" s="949"/>
      <c r="BS48" s="949"/>
      <c r="BT48" s="949"/>
      <c r="BU48" s="949"/>
      <c r="BV48" s="949"/>
      <c r="BW48" s="949"/>
      <c r="BX48" s="949"/>
      <c r="BY48" s="949"/>
      <c r="BZ48" s="949"/>
      <c r="CA48" s="949"/>
      <c r="CB48" s="949"/>
      <c r="CC48" s="949"/>
      <c r="CD48" s="949"/>
      <c r="CE48" s="949"/>
      <c r="CF48" s="949"/>
      <c r="CG48" s="949"/>
      <c r="CH48" s="949"/>
      <c r="CI48" s="949"/>
      <c r="CJ48" s="949"/>
      <c r="CK48" s="949"/>
      <c r="CL48" s="949"/>
      <c r="CM48" s="949"/>
      <c r="CN48" s="949"/>
      <c r="CO48" s="949"/>
      <c r="CP48" s="949"/>
      <c r="CQ48" s="949"/>
      <c r="CR48" s="949"/>
      <c r="CS48" s="949"/>
      <c r="CT48" s="949"/>
      <c r="CU48" s="949"/>
      <c r="CV48" s="949"/>
      <c r="CW48" s="949"/>
      <c r="CX48" s="949"/>
      <c r="CY48" s="949"/>
      <c r="CZ48" s="949"/>
      <c r="DA48" s="949"/>
      <c r="DB48" s="949"/>
      <c r="DC48" s="949"/>
      <c r="DD48" s="949"/>
      <c r="DE48" s="949"/>
      <c r="DF48" s="949"/>
      <c r="DG48" s="949"/>
      <c r="DH48" s="949"/>
      <c r="DI48" s="949"/>
      <c r="DJ48" s="949"/>
      <c r="DK48" s="949"/>
      <c r="DL48" s="949"/>
      <c r="DM48" s="949"/>
      <c r="DN48" s="949"/>
      <c r="DO48" s="949"/>
      <c r="DP48" s="949"/>
      <c r="DQ48" s="949"/>
      <c r="DR48" s="949"/>
      <c r="DS48" s="949"/>
      <c r="DT48" s="949"/>
      <c r="DU48" s="949"/>
      <c r="DV48" s="949"/>
      <c r="DW48" s="949"/>
      <c r="DX48" s="949"/>
      <c r="DY48" s="949"/>
      <c r="DZ48" s="949"/>
      <c r="EA48" s="949"/>
      <c r="EB48" s="949"/>
      <c r="EC48" s="949"/>
      <c r="ED48" s="949"/>
      <c r="EE48" s="949"/>
      <c r="EF48" s="949"/>
      <c r="EG48" s="949"/>
      <c r="EH48" s="949"/>
      <c r="EI48" s="949"/>
      <c r="EJ48" s="949"/>
      <c r="EK48" s="949"/>
      <c r="EL48" s="949"/>
      <c r="EM48" s="949"/>
      <c r="EN48" s="949"/>
      <c r="EO48" s="949"/>
      <c r="EP48" s="949"/>
      <c r="EQ48" s="949"/>
      <c r="ER48" s="949"/>
      <c r="ES48" s="949"/>
      <c r="ET48" s="949"/>
      <c r="EU48" s="949"/>
      <c r="EV48" s="949"/>
      <c r="EW48" s="949"/>
      <c r="EX48" s="949"/>
      <c r="EY48" s="949"/>
      <c r="EZ48" s="949"/>
      <c r="FA48" s="949"/>
      <c r="FB48" s="949"/>
      <c r="FC48" s="949"/>
      <c r="FD48" s="949"/>
      <c r="FE48" s="949"/>
      <c r="FF48" s="949"/>
      <c r="FG48" s="949"/>
      <c r="FH48" s="949"/>
      <c r="FI48" s="949"/>
      <c r="FJ48" s="949"/>
      <c r="FK48" s="949"/>
      <c r="FL48" s="949"/>
      <c r="FM48" s="949"/>
      <c r="FN48" s="949"/>
      <c r="FO48" s="949"/>
      <c r="FP48" s="949"/>
      <c r="FQ48" s="949"/>
      <c r="FR48" s="949"/>
      <c r="FS48" s="949"/>
      <c r="FT48" s="949"/>
      <c r="FU48" s="949"/>
      <c r="FV48" s="949"/>
      <c r="FW48" s="949"/>
      <c r="FX48" s="949"/>
      <c r="FY48" s="949"/>
      <c r="FZ48" s="949"/>
      <c r="GA48" s="949"/>
      <c r="GB48" s="949"/>
      <c r="GC48" s="949"/>
      <c r="GD48" s="949"/>
      <c r="GE48" s="949"/>
      <c r="GF48" s="949"/>
      <c r="GG48" s="949"/>
      <c r="GH48" s="949"/>
      <c r="GI48" s="949"/>
      <c r="GJ48" s="949"/>
      <c r="GK48" s="949"/>
      <c r="GL48" s="949"/>
      <c r="GM48" s="949"/>
      <c r="GN48" s="949"/>
      <c r="GO48" s="949"/>
      <c r="GP48" s="949"/>
      <c r="GQ48" s="949"/>
      <c r="GR48" s="949"/>
      <c r="GS48" s="949"/>
      <c r="GT48" s="949"/>
      <c r="GU48" s="949"/>
      <c r="GV48" s="949"/>
      <c r="GW48" s="949"/>
      <c r="GX48" s="949"/>
      <c r="GY48" s="949"/>
      <c r="GZ48" s="949"/>
      <c r="HA48" s="949"/>
      <c r="HB48" s="949"/>
      <c r="HC48" s="949"/>
      <c r="HD48" s="949"/>
      <c r="HE48" s="949"/>
      <c r="HF48" s="949"/>
      <c r="HG48" s="949"/>
      <c r="HH48" s="949"/>
      <c r="HI48" s="949"/>
      <c r="HJ48" s="949"/>
      <c r="HK48" s="949"/>
      <c r="HL48" s="949"/>
      <c r="HM48" s="949"/>
      <c r="HN48" s="949"/>
      <c r="HO48" s="949"/>
      <c r="HP48" s="949"/>
      <c r="HQ48" s="949"/>
      <c r="HR48" s="949"/>
      <c r="HS48" s="949"/>
      <c r="HT48" s="949"/>
      <c r="HU48" s="949"/>
      <c r="HV48" s="949"/>
      <c r="HW48" s="949"/>
      <c r="HX48" s="949"/>
      <c r="HY48" s="949"/>
      <c r="HZ48" s="949"/>
      <c r="IA48" s="949"/>
      <c r="IB48" s="949"/>
      <c r="IC48" s="949"/>
      <c r="ID48" s="949"/>
      <c r="IE48" s="949"/>
      <c r="IF48" s="949"/>
      <c r="IG48" s="949"/>
      <c r="IH48" s="949"/>
      <c r="II48" s="949"/>
      <c r="IJ48" s="949"/>
      <c r="IK48" s="949"/>
      <c r="IL48" s="949"/>
      <c r="IM48" s="949"/>
      <c r="IN48" s="949"/>
      <c r="IO48" s="949"/>
      <c r="IP48" s="949"/>
      <c r="IQ48" s="949"/>
      <c r="IR48" s="949"/>
      <c r="IS48" s="949"/>
      <c r="IT48" s="949"/>
      <c r="IU48" s="949"/>
      <c r="IV48" s="949"/>
    </row>
    <row r="49" spans="1:256" s="940" customFormat="1" ht="18" customHeight="1" x14ac:dyDescent="0.35">
      <c r="A49" s="1428"/>
      <c r="B49" s="956"/>
      <c r="C49" s="918" t="s">
        <v>1252</v>
      </c>
      <c r="D49" s="1453"/>
      <c r="E49" s="1453">
        <v>272</v>
      </c>
      <c r="F49" s="1453">
        <v>600</v>
      </c>
      <c r="G49" s="1453">
        <v>150</v>
      </c>
      <c r="H49" s="1453">
        <v>25</v>
      </c>
      <c r="I49" s="1453">
        <v>100</v>
      </c>
      <c r="J49" s="1453"/>
      <c r="K49" s="1453"/>
      <c r="L49" s="1453"/>
      <c r="M49" s="1453">
        <v>1120</v>
      </c>
      <c r="N49" s="1453">
        <v>325</v>
      </c>
      <c r="O49" s="1453">
        <v>934</v>
      </c>
      <c r="P49" s="1453">
        <v>0</v>
      </c>
      <c r="Q49" s="827">
        <f t="shared" si="0"/>
        <v>3526</v>
      </c>
      <c r="R49" s="918"/>
      <c r="S49" s="918"/>
      <c r="T49" s="918"/>
      <c r="U49" s="918"/>
      <c r="V49" s="918"/>
      <c r="W49" s="918"/>
      <c r="X49" s="918"/>
      <c r="Y49" s="918"/>
      <c r="Z49" s="918"/>
      <c r="AA49" s="918"/>
      <c r="AB49" s="918"/>
      <c r="AC49" s="918"/>
      <c r="AD49" s="918"/>
      <c r="AE49" s="918"/>
      <c r="AF49" s="918"/>
      <c r="AG49" s="918"/>
      <c r="AH49" s="918"/>
      <c r="AI49" s="918"/>
      <c r="AJ49" s="918"/>
      <c r="AK49" s="918"/>
      <c r="AL49" s="918"/>
      <c r="AM49" s="918"/>
      <c r="AN49" s="918"/>
      <c r="AO49" s="918"/>
      <c r="AP49" s="918"/>
      <c r="AQ49" s="918"/>
      <c r="AR49" s="918"/>
      <c r="AS49" s="918"/>
      <c r="AT49" s="918"/>
      <c r="AU49" s="918"/>
      <c r="AV49" s="918"/>
      <c r="AW49" s="918"/>
      <c r="AX49" s="918"/>
      <c r="AY49" s="918"/>
      <c r="AZ49" s="918"/>
      <c r="BA49" s="918"/>
      <c r="BB49" s="918"/>
      <c r="BC49" s="918"/>
      <c r="BD49" s="918"/>
      <c r="BE49" s="918"/>
      <c r="BF49" s="918"/>
      <c r="BG49" s="918"/>
      <c r="BH49" s="918"/>
      <c r="BI49" s="918"/>
      <c r="BJ49" s="918"/>
      <c r="BK49" s="918"/>
      <c r="BL49" s="918"/>
      <c r="BM49" s="918"/>
      <c r="BN49" s="918"/>
      <c r="BO49" s="918"/>
      <c r="BP49" s="918"/>
      <c r="BQ49" s="918"/>
      <c r="BR49" s="918"/>
      <c r="BS49" s="918"/>
      <c r="BT49" s="918"/>
      <c r="BU49" s="918"/>
      <c r="BV49" s="918"/>
      <c r="BW49" s="918"/>
      <c r="BX49" s="918"/>
      <c r="BY49" s="918"/>
      <c r="BZ49" s="918"/>
      <c r="CA49" s="918"/>
      <c r="CB49" s="918"/>
      <c r="CC49" s="918"/>
      <c r="CD49" s="918"/>
      <c r="CE49" s="918"/>
      <c r="CF49" s="918"/>
      <c r="CG49" s="918"/>
      <c r="CH49" s="918"/>
      <c r="CI49" s="918"/>
      <c r="CJ49" s="918"/>
      <c r="CK49" s="918"/>
      <c r="CL49" s="918"/>
      <c r="CM49" s="918"/>
      <c r="CN49" s="918"/>
      <c r="CO49" s="918"/>
      <c r="CP49" s="918"/>
      <c r="CQ49" s="918"/>
      <c r="CR49" s="918"/>
      <c r="CS49" s="918"/>
      <c r="CT49" s="918"/>
      <c r="CU49" s="918"/>
      <c r="CV49" s="918"/>
      <c r="CW49" s="918"/>
      <c r="CX49" s="918"/>
      <c r="CY49" s="918"/>
      <c r="CZ49" s="918"/>
      <c r="DA49" s="918"/>
      <c r="DB49" s="918"/>
      <c r="DC49" s="918"/>
      <c r="DD49" s="918"/>
      <c r="DE49" s="918"/>
      <c r="DF49" s="918"/>
      <c r="DG49" s="918"/>
      <c r="DH49" s="918"/>
      <c r="DI49" s="918"/>
      <c r="DJ49" s="918"/>
      <c r="DK49" s="918"/>
      <c r="DL49" s="918"/>
      <c r="DM49" s="918"/>
      <c r="DN49" s="918"/>
      <c r="DO49" s="918"/>
      <c r="DP49" s="918"/>
      <c r="DQ49" s="918"/>
      <c r="DR49" s="918"/>
      <c r="DS49" s="918"/>
      <c r="DT49" s="918"/>
      <c r="DU49" s="918"/>
      <c r="DV49" s="918"/>
      <c r="DW49" s="918"/>
      <c r="DX49" s="918"/>
      <c r="DY49" s="918"/>
      <c r="DZ49" s="918"/>
      <c r="EA49" s="918"/>
      <c r="EB49" s="918"/>
      <c r="EC49" s="918"/>
      <c r="ED49" s="918"/>
      <c r="EE49" s="918"/>
      <c r="EF49" s="918"/>
      <c r="EG49" s="918"/>
      <c r="EH49" s="918"/>
      <c r="EI49" s="918"/>
      <c r="EJ49" s="918"/>
      <c r="EK49" s="918"/>
      <c r="EL49" s="918"/>
      <c r="EM49" s="918"/>
      <c r="EN49" s="918"/>
      <c r="EO49" s="918"/>
      <c r="EP49" s="918"/>
      <c r="EQ49" s="918"/>
      <c r="ER49" s="918"/>
      <c r="ES49" s="918"/>
      <c r="ET49" s="918"/>
      <c r="EU49" s="918"/>
      <c r="EV49" s="918"/>
      <c r="EW49" s="918"/>
      <c r="EX49" s="918"/>
      <c r="EY49" s="918"/>
      <c r="EZ49" s="918"/>
      <c r="FA49" s="918"/>
      <c r="FB49" s="918"/>
      <c r="FC49" s="918"/>
      <c r="FD49" s="918"/>
      <c r="FE49" s="918"/>
      <c r="FF49" s="918"/>
      <c r="FG49" s="918"/>
      <c r="FH49" s="918"/>
      <c r="FI49" s="918"/>
      <c r="FJ49" s="918"/>
      <c r="FK49" s="918"/>
      <c r="FL49" s="918"/>
      <c r="FM49" s="918"/>
      <c r="FN49" s="918"/>
      <c r="FO49" s="918"/>
      <c r="FP49" s="918"/>
      <c r="FQ49" s="918"/>
      <c r="FR49" s="918"/>
      <c r="FS49" s="918"/>
      <c r="FT49" s="918"/>
      <c r="FU49" s="918"/>
      <c r="FV49" s="918"/>
      <c r="FW49" s="918"/>
      <c r="FX49" s="918"/>
      <c r="FY49" s="918"/>
      <c r="FZ49" s="918"/>
      <c r="GA49" s="918"/>
      <c r="GB49" s="918"/>
      <c r="GC49" s="918"/>
      <c r="GD49" s="918"/>
      <c r="GE49" s="918"/>
      <c r="GF49" s="918"/>
      <c r="GG49" s="918"/>
      <c r="GH49" s="918"/>
      <c r="GI49" s="918"/>
      <c r="GJ49" s="918"/>
      <c r="GK49" s="918"/>
      <c r="GL49" s="918"/>
      <c r="GM49" s="918"/>
      <c r="GN49" s="918"/>
      <c r="GO49" s="918"/>
      <c r="GP49" s="918"/>
      <c r="GQ49" s="918"/>
      <c r="GR49" s="918"/>
      <c r="GS49" s="918"/>
      <c r="GT49" s="918"/>
      <c r="GU49" s="918"/>
      <c r="GV49" s="918"/>
      <c r="GW49" s="918"/>
      <c r="GX49" s="918"/>
      <c r="GY49" s="918"/>
      <c r="GZ49" s="918"/>
      <c r="HA49" s="918"/>
      <c r="HB49" s="918"/>
      <c r="HC49" s="918"/>
      <c r="HD49" s="918"/>
      <c r="HE49" s="918"/>
      <c r="HF49" s="918"/>
      <c r="HG49" s="918"/>
      <c r="HH49" s="918"/>
      <c r="HI49" s="918"/>
      <c r="HJ49" s="918"/>
      <c r="HK49" s="918"/>
      <c r="HL49" s="918"/>
      <c r="HM49" s="918"/>
      <c r="HN49" s="918"/>
      <c r="HO49" s="918"/>
      <c r="HP49" s="918"/>
      <c r="HQ49" s="918"/>
      <c r="HR49" s="918"/>
      <c r="HS49" s="918"/>
      <c r="HT49" s="918"/>
      <c r="HU49" s="918"/>
      <c r="HV49" s="918"/>
      <c r="HW49" s="918"/>
      <c r="HX49" s="918"/>
      <c r="HY49" s="918"/>
      <c r="HZ49" s="918"/>
      <c r="IA49" s="918"/>
      <c r="IB49" s="918"/>
      <c r="IC49" s="918"/>
      <c r="ID49" s="918"/>
      <c r="IE49" s="918"/>
      <c r="IF49" s="918"/>
      <c r="IG49" s="918"/>
      <c r="IH49" s="918"/>
      <c r="II49" s="918"/>
      <c r="IJ49" s="918"/>
      <c r="IK49" s="918"/>
      <c r="IL49" s="918"/>
      <c r="IM49" s="918"/>
      <c r="IN49" s="918"/>
      <c r="IO49" s="918"/>
      <c r="IP49" s="918"/>
      <c r="IQ49" s="918"/>
      <c r="IR49" s="918"/>
      <c r="IS49" s="918"/>
      <c r="IT49" s="918"/>
      <c r="IU49" s="918"/>
      <c r="IV49" s="918"/>
    </row>
    <row r="50" spans="1:256" x14ac:dyDescent="0.35">
      <c r="A50" s="947">
        <v>32</v>
      </c>
      <c r="B50" s="953"/>
      <c r="C50" s="954" t="s">
        <v>733</v>
      </c>
      <c r="D50" s="187"/>
      <c r="E50" s="187"/>
      <c r="F50" s="187"/>
      <c r="G50" s="187"/>
      <c r="H50" s="187"/>
      <c r="I50" s="187"/>
      <c r="J50" s="187"/>
      <c r="K50" s="187"/>
      <c r="L50" s="187"/>
      <c r="M50" s="187">
        <v>181</v>
      </c>
      <c r="N50" s="187">
        <v>750</v>
      </c>
      <c r="O50" s="187">
        <v>-931</v>
      </c>
      <c r="P50" s="960"/>
      <c r="Q50" s="955">
        <f t="shared" si="0"/>
        <v>0</v>
      </c>
      <c r="R50" s="954"/>
      <c r="S50" s="954"/>
      <c r="T50" s="954"/>
      <c r="U50" s="954"/>
      <c r="V50" s="954"/>
      <c r="W50" s="954"/>
      <c r="X50" s="954"/>
      <c r="Y50" s="954"/>
      <c r="Z50" s="954"/>
      <c r="AA50" s="954"/>
      <c r="AB50" s="954"/>
      <c r="AC50" s="954"/>
      <c r="AD50" s="954"/>
      <c r="AE50" s="954"/>
      <c r="AF50" s="954"/>
      <c r="AG50" s="954"/>
      <c r="AH50" s="954"/>
      <c r="AI50" s="954"/>
      <c r="AJ50" s="954"/>
      <c r="AK50" s="954"/>
      <c r="AL50" s="954"/>
      <c r="AM50" s="954"/>
      <c r="AN50" s="954"/>
      <c r="AO50" s="954"/>
      <c r="AP50" s="954"/>
      <c r="AQ50" s="954"/>
      <c r="AR50" s="954"/>
      <c r="AS50" s="954"/>
      <c r="AT50" s="954"/>
      <c r="AU50" s="954"/>
      <c r="AV50" s="954"/>
      <c r="AW50" s="954"/>
      <c r="AX50" s="954"/>
      <c r="AY50" s="954"/>
      <c r="AZ50" s="954"/>
      <c r="BA50" s="954"/>
      <c r="BB50" s="954"/>
      <c r="BC50" s="954"/>
      <c r="BD50" s="954"/>
      <c r="BE50" s="954"/>
      <c r="BF50" s="954"/>
      <c r="BG50" s="954"/>
      <c r="BH50" s="954"/>
      <c r="BI50" s="954"/>
      <c r="BJ50" s="954"/>
      <c r="BK50" s="954"/>
      <c r="BL50" s="954"/>
      <c r="BM50" s="954"/>
      <c r="BN50" s="954"/>
      <c r="BO50" s="954"/>
      <c r="BP50" s="954"/>
      <c r="BQ50" s="954"/>
      <c r="BR50" s="954"/>
      <c r="BS50" s="954"/>
      <c r="BT50" s="954"/>
      <c r="BU50" s="954"/>
      <c r="BV50" s="954"/>
      <c r="BW50" s="954"/>
      <c r="BX50" s="954"/>
      <c r="BY50" s="954"/>
      <c r="BZ50" s="954"/>
      <c r="CA50" s="954"/>
      <c r="CB50" s="954"/>
      <c r="CC50" s="954"/>
      <c r="CD50" s="954"/>
      <c r="CE50" s="954"/>
      <c r="CF50" s="954"/>
      <c r="CG50" s="954"/>
      <c r="CH50" s="954"/>
      <c r="CI50" s="954"/>
      <c r="CJ50" s="954"/>
      <c r="CK50" s="954"/>
      <c r="CL50" s="954"/>
      <c r="CM50" s="954"/>
      <c r="CN50" s="954"/>
      <c r="CO50" s="954"/>
      <c r="CP50" s="954"/>
      <c r="CQ50" s="954"/>
      <c r="CR50" s="954"/>
      <c r="CS50" s="954"/>
      <c r="CT50" s="954"/>
      <c r="CU50" s="954"/>
      <c r="CV50" s="954"/>
      <c r="CW50" s="954"/>
      <c r="CX50" s="954"/>
      <c r="CY50" s="954"/>
      <c r="CZ50" s="954"/>
      <c r="DA50" s="954"/>
      <c r="DB50" s="954"/>
      <c r="DC50" s="954"/>
      <c r="DD50" s="954"/>
      <c r="DE50" s="954"/>
      <c r="DF50" s="954"/>
      <c r="DG50" s="954"/>
      <c r="DH50" s="954"/>
      <c r="DI50" s="954"/>
      <c r="DJ50" s="954"/>
      <c r="DK50" s="954"/>
      <c r="DL50" s="954"/>
      <c r="DM50" s="954"/>
      <c r="DN50" s="954"/>
      <c r="DO50" s="954"/>
      <c r="DP50" s="954"/>
      <c r="DQ50" s="954"/>
      <c r="DR50" s="954"/>
      <c r="DS50" s="954"/>
      <c r="DT50" s="954"/>
      <c r="DU50" s="954"/>
      <c r="DV50" s="954"/>
      <c r="DW50" s="954"/>
      <c r="DX50" s="954"/>
      <c r="DY50" s="954"/>
      <c r="DZ50" s="954"/>
      <c r="EA50" s="954"/>
      <c r="EB50" s="954"/>
      <c r="EC50" s="954"/>
      <c r="ED50" s="954"/>
      <c r="EE50" s="954"/>
      <c r="EF50" s="954"/>
      <c r="EG50" s="954"/>
      <c r="EH50" s="954"/>
      <c r="EI50" s="954"/>
      <c r="EJ50" s="954"/>
      <c r="EK50" s="954"/>
      <c r="EL50" s="954"/>
      <c r="EM50" s="954"/>
      <c r="EN50" s="954"/>
      <c r="EO50" s="954"/>
      <c r="EP50" s="954"/>
      <c r="EQ50" s="954"/>
      <c r="ER50" s="954"/>
      <c r="ES50" s="954"/>
      <c r="ET50" s="954"/>
      <c r="EU50" s="954"/>
      <c r="EV50" s="954"/>
      <c r="EW50" s="954"/>
      <c r="EX50" s="954"/>
      <c r="EY50" s="954"/>
      <c r="EZ50" s="954"/>
      <c r="FA50" s="954"/>
      <c r="FB50" s="954"/>
      <c r="FC50" s="954"/>
      <c r="FD50" s="954"/>
      <c r="FE50" s="954"/>
      <c r="FF50" s="954"/>
      <c r="FG50" s="954"/>
      <c r="FH50" s="954"/>
      <c r="FI50" s="954"/>
      <c r="FJ50" s="954"/>
      <c r="FK50" s="954"/>
      <c r="FL50" s="954"/>
      <c r="FM50" s="954"/>
      <c r="FN50" s="954"/>
      <c r="FO50" s="954"/>
      <c r="FP50" s="954"/>
      <c r="FQ50" s="954"/>
      <c r="FR50" s="954"/>
      <c r="FS50" s="954"/>
      <c r="FT50" s="954"/>
      <c r="FU50" s="954"/>
      <c r="FV50" s="954"/>
      <c r="FW50" s="954"/>
      <c r="FX50" s="954"/>
      <c r="FY50" s="954"/>
      <c r="FZ50" s="954"/>
      <c r="GA50" s="954"/>
      <c r="GB50" s="954"/>
      <c r="GC50" s="954"/>
      <c r="GD50" s="954"/>
      <c r="GE50" s="954"/>
      <c r="GF50" s="954"/>
      <c r="GG50" s="954"/>
      <c r="GH50" s="954"/>
      <c r="GI50" s="954"/>
      <c r="GJ50" s="954"/>
      <c r="GK50" s="954"/>
      <c r="GL50" s="954"/>
      <c r="GM50" s="954"/>
      <c r="GN50" s="954"/>
      <c r="GO50" s="954"/>
      <c r="GP50" s="954"/>
      <c r="GQ50" s="954"/>
      <c r="GR50" s="954"/>
      <c r="GS50" s="954"/>
      <c r="GT50" s="954"/>
      <c r="GU50" s="954"/>
      <c r="GV50" s="954"/>
      <c r="GW50" s="954"/>
      <c r="GX50" s="954"/>
      <c r="GY50" s="954"/>
      <c r="GZ50" s="954"/>
      <c r="HA50" s="954"/>
      <c r="HB50" s="954"/>
      <c r="HC50" s="954"/>
      <c r="HD50" s="954"/>
      <c r="HE50" s="954"/>
      <c r="HF50" s="954"/>
      <c r="HG50" s="954"/>
      <c r="HH50" s="954"/>
      <c r="HI50" s="954"/>
      <c r="HJ50" s="954"/>
      <c r="HK50" s="954"/>
      <c r="HL50" s="954"/>
      <c r="HM50" s="954"/>
      <c r="HN50" s="954"/>
      <c r="HO50" s="954"/>
      <c r="HP50" s="954"/>
      <c r="HQ50" s="954"/>
      <c r="HR50" s="954"/>
      <c r="HS50" s="954"/>
      <c r="HT50" s="954"/>
      <c r="HU50" s="954"/>
      <c r="HV50" s="954"/>
      <c r="HW50" s="954"/>
      <c r="HX50" s="954"/>
      <c r="HY50" s="954"/>
      <c r="HZ50" s="954"/>
      <c r="IA50" s="954"/>
      <c r="IB50" s="954"/>
      <c r="IC50" s="954"/>
      <c r="ID50" s="954"/>
      <c r="IE50" s="954"/>
      <c r="IF50" s="954"/>
      <c r="IG50" s="954"/>
      <c r="IH50" s="954"/>
      <c r="II50" s="954"/>
      <c r="IJ50" s="954"/>
      <c r="IK50" s="954"/>
      <c r="IL50" s="954"/>
      <c r="IM50" s="954"/>
      <c r="IN50" s="954"/>
      <c r="IO50" s="954"/>
      <c r="IP50" s="954"/>
      <c r="IQ50" s="954"/>
      <c r="IR50" s="954"/>
      <c r="IS50" s="954"/>
      <c r="IT50" s="954"/>
      <c r="IU50" s="954"/>
      <c r="IV50" s="954"/>
    </row>
    <row r="51" spans="1:256" x14ac:dyDescent="0.35">
      <c r="A51" s="947">
        <v>33</v>
      </c>
      <c r="B51" s="956"/>
      <c r="C51" s="957" t="s">
        <v>1307</v>
      </c>
      <c r="D51" s="962">
        <f>SUM(D49:D50)</f>
        <v>0</v>
      </c>
      <c r="E51" s="962">
        <f t="shared" ref="E51:Q51" si="13">SUM(E49:E50)</f>
        <v>272</v>
      </c>
      <c r="F51" s="962">
        <f t="shared" si="13"/>
        <v>600</v>
      </c>
      <c r="G51" s="962">
        <f t="shared" si="13"/>
        <v>150</v>
      </c>
      <c r="H51" s="962">
        <f t="shared" si="13"/>
        <v>25</v>
      </c>
      <c r="I51" s="962">
        <f t="shared" si="13"/>
        <v>100</v>
      </c>
      <c r="J51" s="962">
        <f t="shared" si="13"/>
        <v>0</v>
      </c>
      <c r="K51" s="962">
        <f t="shared" si="13"/>
        <v>0</v>
      </c>
      <c r="L51" s="962">
        <f t="shared" si="13"/>
        <v>0</v>
      </c>
      <c r="M51" s="962">
        <f t="shared" si="13"/>
        <v>1301</v>
      </c>
      <c r="N51" s="962">
        <f t="shared" si="13"/>
        <v>1075</v>
      </c>
      <c r="O51" s="962">
        <f t="shared" si="13"/>
        <v>3</v>
      </c>
      <c r="P51" s="962">
        <f t="shared" si="13"/>
        <v>0</v>
      </c>
      <c r="Q51" s="1641">
        <f t="shared" si="13"/>
        <v>3526</v>
      </c>
      <c r="R51" s="940"/>
      <c r="S51" s="940"/>
      <c r="T51" s="940"/>
      <c r="U51" s="940"/>
      <c r="V51" s="940"/>
      <c r="W51" s="940"/>
      <c r="X51" s="940"/>
      <c r="Y51" s="940"/>
      <c r="Z51" s="940"/>
      <c r="AA51" s="940"/>
      <c r="AB51" s="940"/>
      <c r="AC51" s="940"/>
      <c r="AD51" s="940"/>
      <c r="AE51" s="940"/>
      <c r="AF51" s="940"/>
      <c r="AG51" s="940"/>
      <c r="AH51" s="940"/>
      <c r="AI51" s="940"/>
      <c r="AJ51" s="940"/>
      <c r="AK51" s="940"/>
      <c r="AL51" s="940"/>
      <c r="AM51" s="940"/>
      <c r="AN51" s="940"/>
      <c r="AO51" s="940"/>
      <c r="AP51" s="940"/>
      <c r="AQ51" s="940"/>
      <c r="AR51" s="940"/>
      <c r="AS51" s="940"/>
      <c r="AT51" s="940"/>
      <c r="AU51" s="940"/>
      <c r="AV51" s="940"/>
      <c r="AW51" s="940"/>
      <c r="AX51" s="940"/>
      <c r="AY51" s="940"/>
      <c r="AZ51" s="940"/>
      <c r="BA51" s="940"/>
      <c r="BB51" s="940"/>
      <c r="BC51" s="940"/>
      <c r="BD51" s="940"/>
      <c r="BE51" s="940"/>
      <c r="BF51" s="940"/>
      <c r="BG51" s="940"/>
      <c r="BH51" s="940"/>
      <c r="BI51" s="940"/>
      <c r="BJ51" s="940"/>
      <c r="BK51" s="940"/>
      <c r="BL51" s="940"/>
      <c r="BM51" s="940"/>
      <c r="BN51" s="940"/>
      <c r="BO51" s="940"/>
      <c r="BP51" s="940"/>
      <c r="BQ51" s="940"/>
      <c r="BR51" s="940"/>
      <c r="BS51" s="940"/>
      <c r="BT51" s="940"/>
      <c r="BU51" s="940"/>
      <c r="BV51" s="940"/>
      <c r="BW51" s="940"/>
      <c r="BX51" s="940"/>
      <c r="BY51" s="940"/>
      <c r="BZ51" s="940"/>
      <c r="CA51" s="940"/>
      <c r="CB51" s="940"/>
      <c r="CC51" s="940"/>
      <c r="CD51" s="940"/>
      <c r="CE51" s="940"/>
      <c r="CF51" s="940"/>
      <c r="CG51" s="940"/>
      <c r="CH51" s="940"/>
      <c r="CI51" s="940"/>
      <c r="CJ51" s="940"/>
      <c r="CK51" s="940"/>
      <c r="CL51" s="940"/>
      <c r="CM51" s="940"/>
      <c r="CN51" s="940"/>
      <c r="CO51" s="940"/>
      <c r="CP51" s="940"/>
      <c r="CQ51" s="940"/>
      <c r="CR51" s="940"/>
      <c r="CS51" s="940"/>
      <c r="CT51" s="940"/>
      <c r="CU51" s="940"/>
      <c r="CV51" s="940"/>
      <c r="CW51" s="940"/>
      <c r="CX51" s="940"/>
      <c r="CY51" s="940"/>
      <c r="CZ51" s="940"/>
      <c r="DA51" s="940"/>
      <c r="DB51" s="940"/>
      <c r="DC51" s="940"/>
      <c r="DD51" s="940"/>
      <c r="DE51" s="940"/>
      <c r="DF51" s="940"/>
      <c r="DG51" s="940"/>
      <c r="DH51" s="940"/>
      <c r="DI51" s="940"/>
      <c r="DJ51" s="940"/>
      <c r="DK51" s="940"/>
      <c r="DL51" s="940"/>
      <c r="DM51" s="940"/>
      <c r="DN51" s="940"/>
      <c r="DO51" s="940"/>
      <c r="DP51" s="940"/>
      <c r="DQ51" s="940"/>
      <c r="DR51" s="940"/>
      <c r="DS51" s="940"/>
      <c r="DT51" s="940"/>
      <c r="DU51" s="940"/>
      <c r="DV51" s="940"/>
      <c r="DW51" s="940"/>
      <c r="DX51" s="940"/>
      <c r="DY51" s="940"/>
      <c r="DZ51" s="940"/>
      <c r="EA51" s="940"/>
      <c r="EB51" s="940"/>
      <c r="EC51" s="940"/>
      <c r="ED51" s="940"/>
      <c r="EE51" s="940"/>
      <c r="EF51" s="940"/>
      <c r="EG51" s="940"/>
      <c r="EH51" s="940"/>
      <c r="EI51" s="940"/>
      <c r="EJ51" s="940"/>
      <c r="EK51" s="940"/>
      <c r="EL51" s="940"/>
      <c r="EM51" s="940"/>
      <c r="EN51" s="940"/>
      <c r="EO51" s="940"/>
      <c r="EP51" s="940"/>
      <c r="EQ51" s="940"/>
      <c r="ER51" s="940"/>
      <c r="ES51" s="940"/>
      <c r="ET51" s="940"/>
      <c r="EU51" s="940"/>
      <c r="EV51" s="940"/>
      <c r="EW51" s="940"/>
      <c r="EX51" s="940"/>
      <c r="EY51" s="940"/>
      <c r="EZ51" s="940"/>
      <c r="FA51" s="940"/>
      <c r="FB51" s="940"/>
      <c r="FC51" s="940"/>
      <c r="FD51" s="940"/>
      <c r="FE51" s="940"/>
      <c r="FF51" s="940"/>
      <c r="FG51" s="940"/>
      <c r="FH51" s="940"/>
      <c r="FI51" s="940"/>
      <c r="FJ51" s="940"/>
      <c r="FK51" s="940"/>
      <c r="FL51" s="940"/>
      <c r="FM51" s="940"/>
      <c r="FN51" s="940"/>
      <c r="FO51" s="940"/>
      <c r="FP51" s="940"/>
      <c r="FQ51" s="940"/>
      <c r="FR51" s="940"/>
      <c r="FS51" s="940"/>
      <c r="FT51" s="940"/>
      <c r="FU51" s="940"/>
      <c r="FV51" s="940"/>
      <c r="FW51" s="940"/>
      <c r="FX51" s="940"/>
      <c r="FY51" s="940"/>
      <c r="FZ51" s="940"/>
      <c r="GA51" s="940"/>
      <c r="GB51" s="940"/>
      <c r="GC51" s="940"/>
      <c r="GD51" s="940"/>
      <c r="GE51" s="940"/>
      <c r="GF51" s="940"/>
      <c r="GG51" s="940"/>
      <c r="GH51" s="940"/>
      <c r="GI51" s="940"/>
      <c r="GJ51" s="940"/>
      <c r="GK51" s="940"/>
      <c r="GL51" s="940"/>
      <c r="GM51" s="940"/>
      <c r="GN51" s="940"/>
      <c r="GO51" s="940"/>
      <c r="GP51" s="940"/>
      <c r="GQ51" s="940"/>
      <c r="GR51" s="940"/>
      <c r="GS51" s="940"/>
      <c r="GT51" s="940"/>
      <c r="GU51" s="940"/>
      <c r="GV51" s="940"/>
      <c r="GW51" s="940"/>
      <c r="GX51" s="940"/>
      <c r="GY51" s="940"/>
      <c r="GZ51" s="940"/>
      <c r="HA51" s="940"/>
      <c r="HB51" s="940"/>
      <c r="HC51" s="940"/>
      <c r="HD51" s="940"/>
      <c r="HE51" s="940"/>
      <c r="HF51" s="940"/>
      <c r="HG51" s="940"/>
      <c r="HH51" s="940"/>
      <c r="HI51" s="940"/>
      <c r="HJ51" s="940"/>
      <c r="HK51" s="940"/>
      <c r="HL51" s="940"/>
      <c r="HM51" s="940"/>
      <c r="HN51" s="940"/>
      <c r="HO51" s="940"/>
      <c r="HP51" s="940"/>
      <c r="HQ51" s="940"/>
      <c r="HR51" s="940"/>
      <c r="HS51" s="940"/>
      <c r="HT51" s="940"/>
      <c r="HU51" s="940"/>
      <c r="HV51" s="940"/>
      <c r="HW51" s="940"/>
      <c r="HX51" s="940"/>
      <c r="HY51" s="940"/>
      <c r="HZ51" s="940"/>
      <c r="IA51" s="940"/>
      <c r="IB51" s="940"/>
      <c r="IC51" s="940"/>
      <c r="ID51" s="940"/>
      <c r="IE51" s="940"/>
      <c r="IF51" s="940"/>
      <c r="IG51" s="940"/>
      <c r="IH51" s="940"/>
      <c r="II51" s="940"/>
      <c r="IJ51" s="940"/>
      <c r="IK51" s="940"/>
      <c r="IL51" s="940"/>
      <c r="IM51" s="940"/>
      <c r="IN51" s="940"/>
      <c r="IO51" s="940"/>
      <c r="IP51" s="940"/>
      <c r="IQ51" s="940"/>
      <c r="IR51" s="940"/>
      <c r="IS51" s="940"/>
      <c r="IT51" s="940"/>
      <c r="IU51" s="940"/>
      <c r="IV51" s="940"/>
    </row>
    <row r="52" spans="1:256" s="952" customFormat="1" ht="30" customHeight="1" x14ac:dyDescent="0.35">
      <c r="A52" s="947">
        <v>34</v>
      </c>
      <c r="B52" s="948" t="s">
        <v>770</v>
      </c>
      <c r="C52" s="949" t="s">
        <v>760</v>
      </c>
      <c r="D52" s="950">
        <v>500</v>
      </c>
      <c r="E52" s="950">
        <v>272</v>
      </c>
      <c r="F52" s="950"/>
      <c r="G52" s="950"/>
      <c r="H52" s="950"/>
      <c r="I52" s="950"/>
      <c r="J52" s="950"/>
      <c r="K52" s="950"/>
      <c r="L52" s="950"/>
      <c r="M52" s="950"/>
      <c r="N52" s="950"/>
      <c r="O52" s="950">
        <v>2000</v>
      </c>
      <c r="P52" s="950">
        <v>409</v>
      </c>
      <c r="Q52" s="951">
        <f>SUM(D52:P52)</f>
        <v>3181</v>
      </c>
      <c r="R52" s="949"/>
      <c r="S52" s="949"/>
      <c r="T52" s="949"/>
      <c r="U52" s="949"/>
      <c r="V52" s="949"/>
      <c r="W52" s="949"/>
      <c r="X52" s="949"/>
      <c r="Y52" s="949"/>
      <c r="Z52" s="949"/>
      <c r="AA52" s="949"/>
      <c r="AB52" s="949"/>
      <c r="AC52" s="949"/>
      <c r="AD52" s="949"/>
      <c r="AE52" s="949"/>
      <c r="AF52" s="949"/>
      <c r="AG52" s="949"/>
      <c r="AH52" s="949"/>
      <c r="AI52" s="949"/>
      <c r="AJ52" s="949"/>
      <c r="AK52" s="949"/>
      <c r="AL52" s="949"/>
      <c r="AM52" s="949"/>
      <c r="AN52" s="949"/>
      <c r="AO52" s="949"/>
      <c r="AP52" s="949"/>
      <c r="AQ52" s="949"/>
      <c r="AR52" s="949"/>
      <c r="AS52" s="949"/>
      <c r="AT52" s="949"/>
      <c r="AU52" s="949"/>
      <c r="AV52" s="949"/>
      <c r="AW52" s="949"/>
      <c r="AX52" s="949"/>
      <c r="AY52" s="949"/>
      <c r="AZ52" s="949"/>
      <c r="BA52" s="949"/>
      <c r="BB52" s="949"/>
      <c r="BC52" s="949"/>
      <c r="BD52" s="949"/>
      <c r="BE52" s="949"/>
      <c r="BF52" s="949"/>
      <c r="BG52" s="949"/>
      <c r="BH52" s="949"/>
      <c r="BI52" s="949"/>
      <c r="BJ52" s="949"/>
      <c r="BK52" s="949"/>
      <c r="BL52" s="949"/>
      <c r="BM52" s="949"/>
      <c r="BN52" s="949"/>
      <c r="BO52" s="949"/>
      <c r="BP52" s="949"/>
      <c r="BQ52" s="949"/>
      <c r="BR52" s="949"/>
      <c r="BS52" s="949"/>
      <c r="BT52" s="949"/>
      <c r="BU52" s="949"/>
      <c r="BV52" s="949"/>
      <c r="BW52" s="949"/>
      <c r="BX52" s="949"/>
      <c r="BY52" s="949"/>
      <c r="BZ52" s="949"/>
      <c r="CA52" s="949"/>
      <c r="CB52" s="949"/>
      <c r="CC52" s="949"/>
      <c r="CD52" s="949"/>
      <c r="CE52" s="949"/>
      <c r="CF52" s="949"/>
      <c r="CG52" s="949"/>
      <c r="CH52" s="949"/>
      <c r="CI52" s="949"/>
      <c r="CJ52" s="949"/>
      <c r="CK52" s="949"/>
      <c r="CL52" s="949"/>
      <c r="CM52" s="949"/>
      <c r="CN52" s="949"/>
      <c r="CO52" s="949"/>
      <c r="CP52" s="949"/>
      <c r="CQ52" s="949"/>
      <c r="CR52" s="949"/>
      <c r="CS52" s="949"/>
      <c r="CT52" s="949"/>
      <c r="CU52" s="949"/>
      <c r="CV52" s="949"/>
      <c r="CW52" s="949"/>
      <c r="CX52" s="949"/>
      <c r="CY52" s="949"/>
      <c r="CZ52" s="949"/>
      <c r="DA52" s="949"/>
      <c r="DB52" s="949"/>
      <c r="DC52" s="949"/>
      <c r="DD52" s="949"/>
      <c r="DE52" s="949"/>
      <c r="DF52" s="949"/>
      <c r="DG52" s="949"/>
      <c r="DH52" s="949"/>
      <c r="DI52" s="949"/>
      <c r="DJ52" s="949"/>
      <c r="DK52" s="949"/>
      <c r="DL52" s="949"/>
      <c r="DM52" s="949"/>
      <c r="DN52" s="949"/>
      <c r="DO52" s="949"/>
      <c r="DP52" s="949"/>
      <c r="DQ52" s="949"/>
      <c r="DR52" s="949"/>
      <c r="DS52" s="949"/>
      <c r="DT52" s="949"/>
      <c r="DU52" s="949"/>
      <c r="DV52" s="949"/>
      <c r="DW52" s="949"/>
      <c r="DX52" s="949"/>
      <c r="DY52" s="949"/>
      <c r="DZ52" s="949"/>
      <c r="EA52" s="949"/>
      <c r="EB52" s="949"/>
      <c r="EC52" s="949"/>
      <c r="ED52" s="949"/>
      <c r="EE52" s="949"/>
      <c r="EF52" s="949"/>
      <c r="EG52" s="949"/>
      <c r="EH52" s="949"/>
      <c r="EI52" s="949"/>
      <c r="EJ52" s="949"/>
      <c r="EK52" s="949"/>
      <c r="EL52" s="949"/>
      <c r="EM52" s="949"/>
      <c r="EN52" s="949"/>
      <c r="EO52" s="949"/>
      <c r="EP52" s="949"/>
      <c r="EQ52" s="949"/>
      <c r="ER52" s="949"/>
      <c r="ES52" s="949"/>
      <c r="ET52" s="949"/>
      <c r="EU52" s="949"/>
      <c r="EV52" s="949"/>
      <c r="EW52" s="949"/>
      <c r="EX52" s="949"/>
      <c r="EY52" s="949"/>
      <c r="EZ52" s="949"/>
      <c r="FA52" s="949"/>
      <c r="FB52" s="949"/>
      <c r="FC52" s="949"/>
      <c r="FD52" s="949"/>
      <c r="FE52" s="949"/>
      <c r="FF52" s="949"/>
      <c r="FG52" s="949"/>
      <c r="FH52" s="949"/>
      <c r="FI52" s="949"/>
      <c r="FJ52" s="949"/>
      <c r="FK52" s="949"/>
      <c r="FL52" s="949"/>
      <c r="FM52" s="949"/>
      <c r="FN52" s="949"/>
      <c r="FO52" s="949"/>
      <c r="FP52" s="949"/>
      <c r="FQ52" s="949"/>
      <c r="FR52" s="949"/>
      <c r="FS52" s="949"/>
      <c r="FT52" s="949"/>
      <c r="FU52" s="949"/>
      <c r="FV52" s="949"/>
      <c r="FW52" s="949"/>
      <c r="FX52" s="949"/>
      <c r="FY52" s="949"/>
      <c r="FZ52" s="949"/>
      <c r="GA52" s="949"/>
      <c r="GB52" s="949"/>
      <c r="GC52" s="949"/>
      <c r="GD52" s="949"/>
      <c r="GE52" s="949"/>
      <c r="GF52" s="949"/>
      <c r="GG52" s="949"/>
      <c r="GH52" s="949"/>
      <c r="GI52" s="949"/>
      <c r="GJ52" s="949"/>
      <c r="GK52" s="949"/>
      <c r="GL52" s="949"/>
      <c r="GM52" s="949"/>
      <c r="GN52" s="949"/>
      <c r="GO52" s="949"/>
      <c r="GP52" s="949"/>
      <c r="GQ52" s="949"/>
      <c r="GR52" s="949"/>
      <c r="GS52" s="949"/>
      <c r="GT52" s="949"/>
      <c r="GU52" s="949"/>
      <c r="GV52" s="949"/>
      <c r="GW52" s="949"/>
      <c r="GX52" s="949"/>
      <c r="GY52" s="949"/>
      <c r="GZ52" s="949"/>
      <c r="HA52" s="949"/>
      <c r="HB52" s="949"/>
      <c r="HC52" s="949"/>
      <c r="HD52" s="949"/>
      <c r="HE52" s="949"/>
      <c r="HF52" s="949"/>
      <c r="HG52" s="949"/>
      <c r="HH52" s="949"/>
      <c r="HI52" s="949"/>
      <c r="HJ52" s="949"/>
      <c r="HK52" s="949"/>
      <c r="HL52" s="949"/>
      <c r="HM52" s="949"/>
      <c r="HN52" s="949"/>
      <c r="HO52" s="949"/>
      <c r="HP52" s="949"/>
      <c r="HQ52" s="949"/>
      <c r="HR52" s="949"/>
      <c r="HS52" s="949"/>
      <c r="HT52" s="949"/>
      <c r="HU52" s="949"/>
      <c r="HV52" s="949"/>
      <c r="HW52" s="949"/>
      <c r="HX52" s="949"/>
      <c r="HY52" s="949"/>
      <c r="HZ52" s="949"/>
      <c r="IA52" s="949"/>
      <c r="IB52" s="949"/>
      <c r="IC52" s="949"/>
      <c r="ID52" s="949"/>
      <c r="IE52" s="949"/>
      <c r="IF52" s="949"/>
      <c r="IG52" s="949"/>
      <c r="IH52" s="949"/>
      <c r="II52" s="949"/>
      <c r="IJ52" s="949"/>
      <c r="IK52" s="949"/>
      <c r="IL52" s="949"/>
      <c r="IM52" s="949"/>
      <c r="IN52" s="949"/>
      <c r="IO52" s="949"/>
      <c r="IP52" s="949"/>
      <c r="IQ52" s="949"/>
      <c r="IR52" s="949"/>
      <c r="IS52" s="949"/>
      <c r="IT52" s="949"/>
      <c r="IU52" s="949"/>
      <c r="IV52" s="949"/>
    </row>
    <row r="53" spans="1:256" s="940" customFormat="1" ht="18" customHeight="1" x14ac:dyDescent="0.35">
      <c r="A53" s="1428"/>
      <c r="B53" s="956"/>
      <c r="C53" s="918" t="s">
        <v>1252</v>
      </c>
      <c r="D53" s="1453">
        <v>500</v>
      </c>
      <c r="E53" s="1453">
        <v>272</v>
      </c>
      <c r="F53" s="1453"/>
      <c r="G53" s="1453">
        <v>200</v>
      </c>
      <c r="H53" s="1453">
        <v>100</v>
      </c>
      <c r="I53" s="1453"/>
      <c r="J53" s="1453"/>
      <c r="K53" s="1453"/>
      <c r="L53" s="1453"/>
      <c r="M53" s="1453">
        <v>610</v>
      </c>
      <c r="N53" s="1453">
        <v>970</v>
      </c>
      <c r="O53" s="1453">
        <v>529</v>
      </c>
      <c r="P53" s="1453">
        <v>0</v>
      </c>
      <c r="Q53" s="827">
        <f>SUM(D53:P53)</f>
        <v>3181</v>
      </c>
      <c r="R53" s="918"/>
      <c r="S53" s="918"/>
      <c r="T53" s="918"/>
      <c r="U53" s="918"/>
      <c r="V53" s="918"/>
      <c r="W53" s="918"/>
      <c r="X53" s="918"/>
      <c r="Y53" s="918"/>
      <c r="Z53" s="918"/>
      <c r="AA53" s="918"/>
      <c r="AB53" s="918"/>
      <c r="AC53" s="918"/>
      <c r="AD53" s="918"/>
      <c r="AE53" s="918"/>
      <c r="AF53" s="918"/>
      <c r="AG53" s="918"/>
      <c r="AH53" s="918"/>
      <c r="AI53" s="918"/>
      <c r="AJ53" s="918"/>
      <c r="AK53" s="918"/>
      <c r="AL53" s="918"/>
      <c r="AM53" s="918"/>
      <c r="AN53" s="918"/>
      <c r="AO53" s="918"/>
      <c r="AP53" s="918"/>
      <c r="AQ53" s="918"/>
      <c r="AR53" s="918"/>
      <c r="AS53" s="918"/>
      <c r="AT53" s="918"/>
      <c r="AU53" s="918"/>
      <c r="AV53" s="918"/>
      <c r="AW53" s="918"/>
      <c r="AX53" s="918"/>
      <c r="AY53" s="918"/>
      <c r="AZ53" s="918"/>
      <c r="BA53" s="918"/>
      <c r="BB53" s="918"/>
      <c r="BC53" s="918"/>
      <c r="BD53" s="918"/>
      <c r="BE53" s="918"/>
      <c r="BF53" s="918"/>
      <c r="BG53" s="918"/>
      <c r="BH53" s="918"/>
      <c r="BI53" s="918"/>
      <c r="BJ53" s="918"/>
      <c r="BK53" s="918"/>
      <c r="BL53" s="918"/>
      <c r="BM53" s="918"/>
      <c r="BN53" s="918"/>
      <c r="BO53" s="918"/>
      <c r="BP53" s="918"/>
      <c r="BQ53" s="918"/>
      <c r="BR53" s="918"/>
      <c r="BS53" s="918"/>
      <c r="BT53" s="918"/>
      <c r="BU53" s="918"/>
      <c r="BV53" s="918"/>
      <c r="BW53" s="918"/>
      <c r="BX53" s="918"/>
      <c r="BY53" s="918"/>
      <c r="BZ53" s="918"/>
      <c r="CA53" s="918"/>
      <c r="CB53" s="918"/>
      <c r="CC53" s="918"/>
      <c r="CD53" s="918"/>
      <c r="CE53" s="918"/>
      <c r="CF53" s="918"/>
      <c r="CG53" s="918"/>
      <c r="CH53" s="918"/>
      <c r="CI53" s="918"/>
      <c r="CJ53" s="918"/>
      <c r="CK53" s="918"/>
      <c r="CL53" s="918"/>
      <c r="CM53" s="918"/>
      <c r="CN53" s="918"/>
      <c r="CO53" s="918"/>
      <c r="CP53" s="918"/>
      <c r="CQ53" s="918"/>
      <c r="CR53" s="918"/>
      <c r="CS53" s="918"/>
      <c r="CT53" s="918"/>
      <c r="CU53" s="918"/>
      <c r="CV53" s="918"/>
      <c r="CW53" s="918"/>
      <c r="CX53" s="918"/>
      <c r="CY53" s="918"/>
      <c r="CZ53" s="918"/>
      <c r="DA53" s="918"/>
      <c r="DB53" s="918"/>
      <c r="DC53" s="918"/>
      <c r="DD53" s="918"/>
      <c r="DE53" s="918"/>
      <c r="DF53" s="918"/>
      <c r="DG53" s="918"/>
      <c r="DH53" s="918"/>
      <c r="DI53" s="918"/>
      <c r="DJ53" s="918"/>
      <c r="DK53" s="918"/>
      <c r="DL53" s="918"/>
      <c r="DM53" s="918"/>
      <c r="DN53" s="918"/>
      <c r="DO53" s="918"/>
      <c r="DP53" s="918"/>
      <c r="DQ53" s="918"/>
      <c r="DR53" s="918"/>
      <c r="DS53" s="918"/>
      <c r="DT53" s="918"/>
      <c r="DU53" s="918"/>
      <c r="DV53" s="918"/>
      <c r="DW53" s="918"/>
      <c r="DX53" s="918"/>
      <c r="DY53" s="918"/>
      <c r="DZ53" s="918"/>
      <c r="EA53" s="918"/>
      <c r="EB53" s="918"/>
      <c r="EC53" s="918"/>
      <c r="ED53" s="918"/>
      <c r="EE53" s="918"/>
      <c r="EF53" s="918"/>
      <c r="EG53" s="918"/>
      <c r="EH53" s="918"/>
      <c r="EI53" s="918"/>
      <c r="EJ53" s="918"/>
      <c r="EK53" s="918"/>
      <c r="EL53" s="918"/>
      <c r="EM53" s="918"/>
      <c r="EN53" s="918"/>
      <c r="EO53" s="918"/>
      <c r="EP53" s="918"/>
      <c r="EQ53" s="918"/>
      <c r="ER53" s="918"/>
      <c r="ES53" s="918"/>
      <c r="ET53" s="918"/>
      <c r="EU53" s="918"/>
      <c r="EV53" s="918"/>
      <c r="EW53" s="918"/>
      <c r="EX53" s="918"/>
      <c r="EY53" s="918"/>
      <c r="EZ53" s="918"/>
      <c r="FA53" s="918"/>
      <c r="FB53" s="918"/>
      <c r="FC53" s="918"/>
      <c r="FD53" s="918"/>
      <c r="FE53" s="918"/>
      <c r="FF53" s="918"/>
      <c r="FG53" s="918"/>
      <c r="FH53" s="918"/>
      <c r="FI53" s="918"/>
      <c r="FJ53" s="918"/>
      <c r="FK53" s="918"/>
      <c r="FL53" s="918"/>
      <c r="FM53" s="918"/>
      <c r="FN53" s="918"/>
      <c r="FO53" s="918"/>
      <c r="FP53" s="918"/>
      <c r="FQ53" s="918"/>
      <c r="FR53" s="918"/>
      <c r="FS53" s="918"/>
      <c r="FT53" s="918"/>
      <c r="FU53" s="918"/>
      <c r="FV53" s="918"/>
      <c r="FW53" s="918"/>
      <c r="FX53" s="918"/>
      <c r="FY53" s="918"/>
      <c r="FZ53" s="918"/>
      <c r="GA53" s="918"/>
      <c r="GB53" s="918"/>
      <c r="GC53" s="918"/>
      <c r="GD53" s="918"/>
      <c r="GE53" s="918"/>
      <c r="GF53" s="918"/>
      <c r="GG53" s="918"/>
      <c r="GH53" s="918"/>
      <c r="GI53" s="918"/>
      <c r="GJ53" s="918"/>
      <c r="GK53" s="918"/>
      <c r="GL53" s="918"/>
      <c r="GM53" s="918"/>
      <c r="GN53" s="918"/>
      <c r="GO53" s="918"/>
      <c r="GP53" s="918"/>
      <c r="GQ53" s="918"/>
      <c r="GR53" s="918"/>
      <c r="GS53" s="918"/>
      <c r="GT53" s="918"/>
      <c r="GU53" s="918"/>
      <c r="GV53" s="918"/>
      <c r="GW53" s="918"/>
      <c r="GX53" s="918"/>
      <c r="GY53" s="918"/>
      <c r="GZ53" s="918"/>
      <c r="HA53" s="918"/>
      <c r="HB53" s="918"/>
      <c r="HC53" s="918"/>
      <c r="HD53" s="918"/>
      <c r="HE53" s="918"/>
      <c r="HF53" s="918"/>
      <c r="HG53" s="918"/>
      <c r="HH53" s="918"/>
      <c r="HI53" s="918"/>
      <c r="HJ53" s="918"/>
      <c r="HK53" s="918"/>
      <c r="HL53" s="918"/>
      <c r="HM53" s="918"/>
      <c r="HN53" s="918"/>
      <c r="HO53" s="918"/>
      <c r="HP53" s="918"/>
      <c r="HQ53" s="918"/>
      <c r="HR53" s="918"/>
      <c r="HS53" s="918"/>
      <c r="HT53" s="918"/>
      <c r="HU53" s="918"/>
      <c r="HV53" s="918"/>
      <c r="HW53" s="918"/>
      <c r="HX53" s="918"/>
      <c r="HY53" s="918"/>
      <c r="HZ53" s="918"/>
      <c r="IA53" s="918"/>
      <c r="IB53" s="918"/>
      <c r="IC53" s="918"/>
      <c r="ID53" s="918"/>
      <c r="IE53" s="918"/>
      <c r="IF53" s="918"/>
      <c r="IG53" s="918"/>
      <c r="IH53" s="918"/>
      <c r="II53" s="918"/>
      <c r="IJ53" s="918"/>
      <c r="IK53" s="918"/>
      <c r="IL53" s="918"/>
      <c r="IM53" s="918"/>
      <c r="IN53" s="918"/>
      <c r="IO53" s="918"/>
      <c r="IP53" s="918"/>
      <c r="IQ53" s="918"/>
      <c r="IR53" s="918"/>
      <c r="IS53" s="918"/>
      <c r="IT53" s="918"/>
      <c r="IU53" s="918"/>
      <c r="IV53" s="918"/>
    </row>
    <row r="54" spans="1:256" x14ac:dyDescent="0.35">
      <c r="A54" s="947">
        <v>35</v>
      </c>
      <c r="B54" s="953"/>
      <c r="C54" s="954" t="s">
        <v>733</v>
      </c>
      <c r="D54" s="187"/>
      <c r="E54" s="187"/>
      <c r="F54" s="187"/>
      <c r="G54" s="187"/>
      <c r="H54" s="187"/>
      <c r="I54" s="187"/>
      <c r="J54" s="187"/>
      <c r="K54" s="187"/>
      <c r="L54" s="187"/>
      <c r="M54" s="187">
        <v>240</v>
      </c>
      <c r="N54" s="187">
        <v>280</v>
      </c>
      <c r="O54" s="187">
        <v>-520</v>
      </c>
      <c r="P54" s="960"/>
      <c r="Q54" s="955">
        <f t="shared" si="0"/>
        <v>0</v>
      </c>
      <c r="R54" s="954"/>
      <c r="S54" s="954"/>
      <c r="T54" s="954"/>
      <c r="U54" s="954"/>
      <c r="V54" s="954"/>
      <c r="W54" s="954"/>
      <c r="X54" s="954"/>
      <c r="Y54" s="954"/>
      <c r="Z54" s="954"/>
      <c r="AA54" s="954"/>
      <c r="AB54" s="954"/>
      <c r="AC54" s="954"/>
      <c r="AD54" s="954"/>
      <c r="AE54" s="954"/>
      <c r="AF54" s="954"/>
      <c r="AG54" s="954"/>
      <c r="AH54" s="954"/>
      <c r="AI54" s="954"/>
      <c r="AJ54" s="954"/>
      <c r="AK54" s="954"/>
      <c r="AL54" s="954"/>
      <c r="AM54" s="954"/>
      <c r="AN54" s="954"/>
      <c r="AO54" s="954"/>
      <c r="AP54" s="954"/>
      <c r="AQ54" s="954"/>
      <c r="AR54" s="954"/>
      <c r="AS54" s="954"/>
      <c r="AT54" s="954"/>
      <c r="AU54" s="954"/>
      <c r="AV54" s="954"/>
      <c r="AW54" s="954"/>
      <c r="AX54" s="954"/>
      <c r="AY54" s="954"/>
      <c r="AZ54" s="954"/>
      <c r="BA54" s="954"/>
      <c r="BB54" s="954"/>
      <c r="BC54" s="954"/>
      <c r="BD54" s="954"/>
      <c r="BE54" s="954"/>
      <c r="BF54" s="954"/>
      <c r="BG54" s="954"/>
      <c r="BH54" s="954"/>
      <c r="BI54" s="954"/>
      <c r="BJ54" s="954"/>
      <c r="BK54" s="954"/>
      <c r="BL54" s="954"/>
      <c r="BM54" s="954"/>
      <c r="BN54" s="954"/>
      <c r="BO54" s="954"/>
      <c r="BP54" s="954"/>
      <c r="BQ54" s="954"/>
      <c r="BR54" s="954"/>
      <c r="BS54" s="954"/>
      <c r="BT54" s="954"/>
      <c r="BU54" s="954"/>
      <c r="BV54" s="954"/>
      <c r="BW54" s="954"/>
      <c r="BX54" s="954"/>
      <c r="BY54" s="954"/>
      <c r="BZ54" s="954"/>
      <c r="CA54" s="954"/>
      <c r="CB54" s="954"/>
      <c r="CC54" s="954"/>
      <c r="CD54" s="954"/>
      <c r="CE54" s="954"/>
      <c r="CF54" s="954"/>
      <c r="CG54" s="954"/>
      <c r="CH54" s="954"/>
      <c r="CI54" s="954"/>
      <c r="CJ54" s="954"/>
      <c r="CK54" s="954"/>
      <c r="CL54" s="954"/>
      <c r="CM54" s="954"/>
      <c r="CN54" s="954"/>
      <c r="CO54" s="954"/>
      <c r="CP54" s="954"/>
      <c r="CQ54" s="954"/>
      <c r="CR54" s="954"/>
      <c r="CS54" s="954"/>
      <c r="CT54" s="954"/>
      <c r="CU54" s="954"/>
      <c r="CV54" s="954"/>
      <c r="CW54" s="954"/>
      <c r="CX54" s="954"/>
      <c r="CY54" s="954"/>
      <c r="CZ54" s="954"/>
      <c r="DA54" s="954"/>
      <c r="DB54" s="954"/>
      <c r="DC54" s="954"/>
      <c r="DD54" s="954"/>
      <c r="DE54" s="954"/>
      <c r="DF54" s="954"/>
      <c r="DG54" s="954"/>
      <c r="DH54" s="954"/>
      <c r="DI54" s="954"/>
      <c r="DJ54" s="954"/>
      <c r="DK54" s="954"/>
      <c r="DL54" s="954"/>
      <c r="DM54" s="954"/>
      <c r="DN54" s="954"/>
      <c r="DO54" s="954"/>
      <c r="DP54" s="954"/>
      <c r="DQ54" s="954"/>
      <c r="DR54" s="954"/>
      <c r="DS54" s="954"/>
      <c r="DT54" s="954"/>
      <c r="DU54" s="954"/>
      <c r="DV54" s="954"/>
      <c r="DW54" s="954"/>
      <c r="DX54" s="954"/>
      <c r="DY54" s="954"/>
      <c r="DZ54" s="954"/>
      <c r="EA54" s="954"/>
      <c r="EB54" s="954"/>
      <c r="EC54" s="954"/>
      <c r="ED54" s="954"/>
      <c r="EE54" s="954"/>
      <c r="EF54" s="954"/>
      <c r="EG54" s="954"/>
      <c r="EH54" s="954"/>
      <c r="EI54" s="954"/>
      <c r="EJ54" s="954"/>
      <c r="EK54" s="954"/>
      <c r="EL54" s="954"/>
      <c r="EM54" s="954"/>
      <c r="EN54" s="954"/>
      <c r="EO54" s="954"/>
      <c r="EP54" s="954"/>
      <c r="EQ54" s="954"/>
      <c r="ER54" s="954"/>
      <c r="ES54" s="954"/>
      <c r="ET54" s="954"/>
      <c r="EU54" s="954"/>
      <c r="EV54" s="954"/>
      <c r="EW54" s="954"/>
      <c r="EX54" s="954"/>
      <c r="EY54" s="954"/>
      <c r="EZ54" s="954"/>
      <c r="FA54" s="954"/>
      <c r="FB54" s="954"/>
      <c r="FC54" s="954"/>
      <c r="FD54" s="954"/>
      <c r="FE54" s="954"/>
      <c r="FF54" s="954"/>
      <c r="FG54" s="954"/>
      <c r="FH54" s="954"/>
      <c r="FI54" s="954"/>
      <c r="FJ54" s="954"/>
      <c r="FK54" s="954"/>
      <c r="FL54" s="954"/>
      <c r="FM54" s="954"/>
      <c r="FN54" s="954"/>
      <c r="FO54" s="954"/>
      <c r="FP54" s="954"/>
      <c r="FQ54" s="954"/>
      <c r="FR54" s="954"/>
      <c r="FS54" s="954"/>
      <c r="FT54" s="954"/>
      <c r="FU54" s="954"/>
      <c r="FV54" s="954"/>
      <c r="FW54" s="954"/>
      <c r="FX54" s="954"/>
      <c r="FY54" s="954"/>
      <c r="FZ54" s="954"/>
      <c r="GA54" s="954"/>
      <c r="GB54" s="954"/>
      <c r="GC54" s="954"/>
      <c r="GD54" s="954"/>
      <c r="GE54" s="954"/>
      <c r="GF54" s="954"/>
      <c r="GG54" s="954"/>
      <c r="GH54" s="954"/>
      <c r="GI54" s="954"/>
      <c r="GJ54" s="954"/>
      <c r="GK54" s="954"/>
      <c r="GL54" s="954"/>
      <c r="GM54" s="954"/>
      <c r="GN54" s="954"/>
      <c r="GO54" s="954"/>
      <c r="GP54" s="954"/>
      <c r="GQ54" s="954"/>
      <c r="GR54" s="954"/>
      <c r="GS54" s="954"/>
      <c r="GT54" s="954"/>
      <c r="GU54" s="954"/>
      <c r="GV54" s="954"/>
      <c r="GW54" s="954"/>
      <c r="GX54" s="954"/>
      <c r="GY54" s="954"/>
      <c r="GZ54" s="954"/>
      <c r="HA54" s="954"/>
      <c r="HB54" s="954"/>
      <c r="HC54" s="954"/>
      <c r="HD54" s="954"/>
      <c r="HE54" s="954"/>
      <c r="HF54" s="954"/>
      <c r="HG54" s="954"/>
      <c r="HH54" s="954"/>
      <c r="HI54" s="954"/>
      <c r="HJ54" s="954"/>
      <c r="HK54" s="954"/>
      <c r="HL54" s="954"/>
      <c r="HM54" s="954"/>
      <c r="HN54" s="954"/>
      <c r="HO54" s="954"/>
      <c r="HP54" s="954"/>
      <c r="HQ54" s="954"/>
      <c r="HR54" s="954"/>
      <c r="HS54" s="954"/>
      <c r="HT54" s="954"/>
      <c r="HU54" s="954"/>
      <c r="HV54" s="954"/>
      <c r="HW54" s="954"/>
      <c r="HX54" s="954"/>
      <c r="HY54" s="954"/>
      <c r="HZ54" s="954"/>
      <c r="IA54" s="954"/>
      <c r="IB54" s="954"/>
      <c r="IC54" s="954"/>
      <c r="ID54" s="954"/>
      <c r="IE54" s="954"/>
      <c r="IF54" s="954"/>
      <c r="IG54" s="954"/>
      <c r="IH54" s="954"/>
      <c r="II54" s="954"/>
      <c r="IJ54" s="954"/>
      <c r="IK54" s="954"/>
      <c r="IL54" s="954"/>
      <c r="IM54" s="954"/>
      <c r="IN54" s="954"/>
      <c r="IO54" s="954"/>
      <c r="IP54" s="954"/>
      <c r="IQ54" s="954"/>
      <c r="IR54" s="954"/>
      <c r="IS54" s="954"/>
      <c r="IT54" s="954"/>
      <c r="IU54" s="954"/>
      <c r="IV54" s="954"/>
    </row>
    <row r="55" spans="1:256" ht="18" customHeight="1" thickBot="1" x14ac:dyDescent="0.35">
      <c r="A55" s="947">
        <v>36</v>
      </c>
      <c r="B55" s="963"/>
      <c r="C55" s="964" t="s">
        <v>1307</v>
      </c>
      <c r="D55" s="965">
        <f>SUM(D53:D54)</f>
        <v>500</v>
      </c>
      <c r="E55" s="965">
        <f t="shared" ref="E55:Q55" si="14">SUM(E53:E54)</f>
        <v>272</v>
      </c>
      <c r="F55" s="965">
        <f t="shared" si="14"/>
        <v>0</v>
      </c>
      <c r="G55" s="965">
        <f t="shared" si="14"/>
        <v>200</v>
      </c>
      <c r="H55" s="965">
        <f t="shared" si="14"/>
        <v>100</v>
      </c>
      <c r="I55" s="965">
        <f t="shared" si="14"/>
        <v>0</v>
      </c>
      <c r="J55" s="965">
        <f t="shared" si="14"/>
        <v>0</v>
      </c>
      <c r="K55" s="965">
        <f t="shared" si="14"/>
        <v>0</v>
      </c>
      <c r="L55" s="965">
        <f t="shared" si="14"/>
        <v>0</v>
      </c>
      <c r="M55" s="965">
        <f t="shared" si="14"/>
        <v>850</v>
      </c>
      <c r="N55" s="965">
        <f t="shared" si="14"/>
        <v>1250</v>
      </c>
      <c r="O55" s="965">
        <f t="shared" si="14"/>
        <v>9</v>
      </c>
      <c r="P55" s="965">
        <f t="shared" si="14"/>
        <v>0</v>
      </c>
      <c r="Q55" s="1642">
        <f t="shared" si="14"/>
        <v>3181</v>
      </c>
      <c r="R55" s="964"/>
      <c r="S55" s="964"/>
      <c r="T55" s="964"/>
      <c r="U55" s="964"/>
      <c r="V55" s="964"/>
      <c r="W55" s="964"/>
      <c r="X55" s="964"/>
      <c r="Y55" s="964"/>
      <c r="Z55" s="964"/>
      <c r="AA55" s="964"/>
      <c r="AB55" s="964"/>
      <c r="AC55" s="964"/>
      <c r="AD55" s="964"/>
      <c r="AE55" s="964"/>
      <c r="AF55" s="964"/>
      <c r="AG55" s="964"/>
      <c r="AH55" s="964"/>
      <c r="AI55" s="964"/>
      <c r="AJ55" s="964"/>
      <c r="AK55" s="964"/>
      <c r="AL55" s="964"/>
      <c r="AM55" s="964"/>
      <c r="AN55" s="964"/>
      <c r="AO55" s="964"/>
      <c r="AP55" s="964"/>
      <c r="AQ55" s="964"/>
      <c r="AR55" s="964"/>
      <c r="AS55" s="964"/>
      <c r="AT55" s="964"/>
      <c r="AU55" s="964"/>
      <c r="AV55" s="964"/>
      <c r="AW55" s="964"/>
      <c r="AX55" s="964"/>
      <c r="AY55" s="964"/>
      <c r="AZ55" s="964"/>
      <c r="BA55" s="964"/>
      <c r="BB55" s="964"/>
      <c r="BC55" s="964"/>
      <c r="BD55" s="964"/>
      <c r="BE55" s="964"/>
      <c r="BF55" s="964"/>
      <c r="BG55" s="964"/>
      <c r="BH55" s="964"/>
      <c r="BI55" s="964"/>
      <c r="BJ55" s="964"/>
      <c r="BK55" s="964"/>
      <c r="BL55" s="964"/>
      <c r="BM55" s="964"/>
      <c r="BN55" s="964"/>
      <c r="BO55" s="964"/>
      <c r="BP55" s="964"/>
      <c r="BQ55" s="964"/>
      <c r="BR55" s="964"/>
      <c r="BS55" s="964"/>
      <c r="BT55" s="964"/>
      <c r="BU55" s="964"/>
      <c r="BV55" s="964"/>
      <c r="BW55" s="964"/>
      <c r="BX55" s="964"/>
      <c r="BY55" s="964"/>
      <c r="BZ55" s="964"/>
      <c r="CA55" s="964"/>
      <c r="CB55" s="964"/>
      <c r="CC55" s="964"/>
      <c r="CD55" s="964"/>
      <c r="CE55" s="964"/>
      <c r="CF55" s="964"/>
      <c r="CG55" s="964"/>
      <c r="CH55" s="964"/>
      <c r="CI55" s="964"/>
      <c r="CJ55" s="964"/>
      <c r="CK55" s="964"/>
      <c r="CL55" s="964"/>
      <c r="CM55" s="964"/>
      <c r="CN55" s="964"/>
      <c r="CO55" s="964"/>
      <c r="CP55" s="964"/>
      <c r="CQ55" s="964"/>
      <c r="CR55" s="964"/>
      <c r="CS55" s="964"/>
      <c r="CT55" s="964"/>
      <c r="CU55" s="964"/>
      <c r="CV55" s="964"/>
      <c r="CW55" s="964"/>
      <c r="CX55" s="964"/>
      <c r="CY55" s="964"/>
      <c r="CZ55" s="964"/>
      <c r="DA55" s="964"/>
      <c r="DB55" s="964"/>
      <c r="DC55" s="964"/>
      <c r="DD55" s="964"/>
      <c r="DE55" s="964"/>
      <c r="DF55" s="964"/>
      <c r="DG55" s="964"/>
      <c r="DH55" s="964"/>
      <c r="DI55" s="964"/>
      <c r="DJ55" s="964"/>
      <c r="DK55" s="964"/>
      <c r="DL55" s="964"/>
      <c r="DM55" s="964"/>
      <c r="DN55" s="964"/>
      <c r="DO55" s="964"/>
      <c r="DP55" s="964"/>
      <c r="DQ55" s="964"/>
      <c r="DR55" s="964"/>
      <c r="DS55" s="964"/>
      <c r="DT55" s="964"/>
      <c r="DU55" s="964"/>
      <c r="DV55" s="964"/>
      <c r="DW55" s="964"/>
      <c r="DX55" s="964"/>
      <c r="DY55" s="964"/>
      <c r="DZ55" s="964"/>
      <c r="EA55" s="964"/>
      <c r="EB55" s="964"/>
      <c r="EC55" s="964"/>
      <c r="ED55" s="964"/>
      <c r="EE55" s="964"/>
      <c r="EF55" s="964"/>
      <c r="EG55" s="964"/>
      <c r="EH55" s="964"/>
      <c r="EI55" s="964"/>
      <c r="EJ55" s="964"/>
      <c r="EK55" s="964"/>
      <c r="EL55" s="964"/>
      <c r="EM55" s="964"/>
      <c r="EN55" s="964"/>
      <c r="EO55" s="964"/>
      <c r="EP55" s="964"/>
      <c r="EQ55" s="964"/>
      <c r="ER55" s="964"/>
      <c r="ES55" s="964"/>
      <c r="ET55" s="964"/>
      <c r="EU55" s="964"/>
      <c r="EV55" s="964"/>
      <c r="EW55" s="964"/>
      <c r="EX55" s="964"/>
      <c r="EY55" s="964"/>
      <c r="EZ55" s="964"/>
      <c r="FA55" s="964"/>
      <c r="FB55" s="964"/>
      <c r="FC55" s="964"/>
      <c r="FD55" s="964"/>
      <c r="FE55" s="964"/>
      <c r="FF55" s="964"/>
      <c r="FG55" s="964"/>
      <c r="FH55" s="964"/>
      <c r="FI55" s="964"/>
      <c r="FJ55" s="964"/>
      <c r="FK55" s="964"/>
      <c r="FL55" s="964"/>
      <c r="FM55" s="964"/>
      <c r="FN55" s="964"/>
      <c r="FO55" s="964"/>
      <c r="FP55" s="964"/>
      <c r="FQ55" s="964"/>
      <c r="FR55" s="964"/>
      <c r="FS55" s="964"/>
      <c r="FT55" s="964"/>
      <c r="FU55" s="964"/>
      <c r="FV55" s="964"/>
      <c r="FW55" s="964"/>
      <c r="FX55" s="964"/>
      <c r="FY55" s="964"/>
      <c r="FZ55" s="964"/>
      <c r="GA55" s="964"/>
      <c r="GB55" s="964"/>
      <c r="GC55" s="964"/>
      <c r="GD55" s="964"/>
      <c r="GE55" s="964"/>
      <c r="GF55" s="964"/>
      <c r="GG55" s="964"/>
      <c r="GH55" s="964"/>
      <c r="GI55" s="964"/>
      <c r="GJ55" s="964"/>
      <c r="GK55" s="964"/>
      <c r="GL55" s="964"/>
      <c r="GM55" s="964"/>
      <c r="GN55" s="964"/>
      <c r="GO55" s="964"/>
      <c r="GP55" s="964"/>
      <c r="GQ55" s="964"/>
      <c r="GR55" s="964"/>
      <c r="GS55" s="964"/>
      <c r="GT55" s="964"/>
      <c r="GU55" s="964"/>
      <c r="GV55" s="964"/>
      <c r="GW55" s="964"/>
      <c r="GX55" s="964"/>
      <c r="GY55" s="964"/>
      <c r="GZ55" s="964"/>
      <c r="HA55" s="964"/>
      <c r="HB55" s="964"/>
      <c r="HC55" s="964"/>
      <c r="HD55" s="964"/>
      <c r="HE55" s="964"/>
      <c r="HF55" s="964"/>
      <c r="HG55" s="964"/>
      <c r="HH55" s="964"/>
      <c r="HI55" s="964"/>
      <c r="HJ55" s="964"/>
      <c r="HK55" s="964"/>
      <c r="HL55" s="964"/>
      <c r="HM55" s="964"/>
      <c r="HN55" s="964"/>
      <c r="HO55" s="964"/>
      <c r="HP55" s="964"/>
      <c r="HQ55" s="964"/>
      <c r="HR55" s="964"/>
      <c r="HS55" s="964"/>
      <c r="HT55" s="964"/>
      <c r="HU55" s="964"/>
      <c r="HV55" s="964"/>
      <c r="HW55" s="964"/>
      <c r="HX55" s="964"/>
      <c r="HY55" s="964"/>
      <c r="HZ55" s="964"/>
      <c r="IA55" s="964"/>
      <c r="IB55" s="964"/>
      <c r="IC55" s="964"/>
      <c r="ID55" s="964"/>
      <c r="IE55" s="964"/>
      <c r="IF55" s="964"/>
      <c r="IG55" s="964"/>
      <c r="IH55" s="964"/>
      <c r="II55" s="964"/>
      <c r="IJ55" s="964"/>
      <c r="IK55" s="964"/>
      <c r="IL55" s="964"/>
      <c r="IM55" s="964"/>
      <c r="IN55" s="964"/>
      <c r="IO55" s="964"/>
      <c r="IP55" s="964"/>
      <c r="IQ55" s="964"/>
      <c r="IR55" s="964"/>
      <c r="IS55" s="964"/>
      <c r="IT55" s="964"/>
      <c r="IU55" s="964"/>
      <c r="IV55" s="964"/>
    </row>
    <row r="56" spans="1:256" s="952" customFormat="1" ht="24" customHeight="1" x14ac:dyDescent="0.35">
      <c r="A56" s="947">
        <v>37</v>
      </c>
      <c r="B56" s="966"/>
      <c r="C56" s="967" t="s">
        <v>760</v>
      </c>
      <c r="D56" s="968">
        <f t="shared" ref="D56:Q56" si="15">SUM(D52,D48,D44,D40,D36,D32,D28,D24,D20,D16,D12,D8)</f>
        <v>1400</v>
      </c>
      <c r="E56" s="968">
        <f t="shared" si="15"/>
        <v>544</v>
      </c>
      <c r="F56" s="968">
        <f t="shared" si="15"/>
        <v>0</v>
      </c>
      <c r="G56" s="968">
        <f t="shared" si="15"/>
        <v>0</v>
      </c>
      <c r="H56" s="968">
        <f t="shared" si="15"/>
        <v>0</v>
      </c>
      <c r="I56" s="968">
        <f t="shared" si="15"/>
        <v>0</v>
      </c>
      <c r="J56" s="968">
        <f t="shared" si="15"/>
        <v>0</v>
      </c>
      <c r="K56" s="968">
        <f t="shared" si="15"/>
        <v>0</v>
      </c>
      <c r="L56" s="968">
        <f t="shared" si="15"/>
        <v>0</v>
      </c>
      <c r="M56" s="968">
        <f t="shared" si="15"/>
        <v>300</v>
      </c>
      <c r="N56" s="968">
        <f t="shared" si="15"/>
        <v>0</v>
      </c>
      <c r="O56" s="968">
        <f t="shared" si="15"/>
        <v>24000</v>
      </c>
      <c r="P56" s="968">
        <f t="shared" si="15"/>
        <v>12142</v>
      </c>
      <c r="Q56" s="969">
        <f t="shared" si="15"/>
        <v>38386</v>
      </c>
      <c r="R56" s="970"/>
      <c r="S56" s="970"/>
      <c r="T56" s="970"/>
      <c r="U56" s="970"/>
      <c r="V56" s="970"/>
      <c r="W56" s="970"/>
      <c r="X56" s="970"/>
      <c r="Y56" s="970"/>
      <c r="Z56" s="970"/>
      <c r="AA56" s="970"/>
      <c r="AB56" s="970"/>
      <c r="AC56" s="970"/>
      <c r="AD56" s="970"/>
      <c r="AE56" s="970"/>
      <c r="AF56" s="970"/>
      <c r="AG56" s="970"/>
      <c r="AH56" s="970"/>
      <c r="AI56" s="970"/>
      <c r="AJ56" s="970"/>
      <c r="AK56" s="970"/>
      <c r="AL56" s="970"/>
      <c r="AM56" s="970"/>
      <c r="AN56" s="970"/>
      <c r="AO56" s="970"/>
      <c r="AP56" s="970"/>
      <c r="AQ56" s="970"/>
      <c r="AR56" s="970"/>
      <c r="AS56" s="970"/>
      <c r="AT56" s="970"/>
      <c r="AU56" s="970"/>
      <c r="AV56" s="970"/>
      <c r="AW56" s="970"/>
      <c r="AX56" s="970"/>
      <c r="AY56" s="970"/>
      <c r="AZ56" s="970"/>
      <c r="BA56" s="970"/>
      <c r="BB56" s="970"/>
      <c r="BC56" s="970"/>
      <c r="BD56" s="970"/>
      <c r="BE56" s="970"/>
      <c r="BF56" s="970"/>
      <c r="BG56" s="970"/>
      <c r="BH56" s="970"/>
      <c r="BI56" s="970"/>
      <c r="BJ56" s="970"/>
      <c r="BK56" s="970"/>
      <c r="BL56" s="970"/>
      <c r="BM56" s="970"/>
      <c r="BN56" s="970"/>
      <c r="BO56" s="970"/>
      <c r="BP56" s="970"/>
      <c r="BQ56" s="970"/>
      <c r="BR56" s="970"/>
      <c r="BS56" s="970"/>
      <c r="BT56" s="970"/>
      <c r="BU56" s="970"/>
      <c r="BV56" s="970"/>
      <c r="BW56" s="970"/>
      <c r="BX56" s="970"/>
      <c r="BY56" s="970"/>
      <c r="BZ56" s="970"/>
      <c r="CA56" s="970"/>
      <c r="CB56" s="970"/>
      <c r="CC56" s="970"/>
      <c r="CD56" s="970"/>
      <c r="CE56" s="970"/>
      <c r="CF56" s="970"/>
      <c r="CG56" s="970"/>
      <c r="CH56" s="970"/>
      <c r="CI56" s="970"/>
      <c r="CJ56" s="970"/>
      <c r="CK56" s="970"/>
      <c r="CL56" s="970"/>
      <c r="CM56" s="970"/>
      <c r="CN56" s="970"/>
      <c r="CO56" s="970"/>
      <c r="CP56" s="970"/>
      <c r="CQ56" s="970"/>
      <c r="CR56" s="970"/>
      <c r="CS56" s="970"/>
      <c r="CT56" s="970"/>
      <c r="CU56" s="970"/>
      <c r="CV56" s="970"/>
      <c r="CW56" s="970"/>
      <c r="CX56" s="970"/>
      <c r="CY56" s="970"/>
      <c r="CZ56" s="970"/>
      <c r="DA56" s="970"/>
      <c r="DB56" s="970"/>
      <c r="DC56" s="970"/>
      <c r="DD56" s="970"/>
      <c r="DE56" s="970"/>
      <c r="DF56" s="970"/>
      <c r="DG56" s="970"/>
      <c r="DH56" s="970"/>
      <c r="DI56" s="970"/>
      <c r="DJ56" s="970"/>
      <c r="DK56" s="970"/>
      <c r="DL56" s="970"/>
      <c r="DM56" s="970"/>
      <c r="DN56" s="970"/>
      <c r="DO56" s="970"/>
      <c r="DP56" s="970"/>
      <c r="DQ56" s="970"/>
      <c r="DR56" s="970"/>
      <c r="DS56" s="970"/>
      <c r="DT56" s="970"/>
      <c r="DU56" s="970"/>
      <c r="DV56" s="970"/>
      <c r="DW56" s="970"/>
      <c r="DX56" s="970"/>
      <c r="DY56" s="970"/>
      <c r="DZ56" s="970"/>
      <c r="EA56" s="970"/>
      <c r="EB56" s="970"/>
      <c r="EC56" s="970"/>
      <c r="ED56" s="970"/>
      <c r="EE56" s="970"/>
      <c r="EF56" s="970"/>
      <c r="EG56" s="970"/>
      <c r="EH56" s="970"/>
      <c r="EI56" s="970"/>
      <c r="EJ56" s="970"/>
      <c r="EK56" s="970"/>
      <c r="EL56" s="970"/>
      <c r="EM56" s="970"/>
      <c r="EN56" s="970"/>
      <c r="EO56" s="970"/>
      <c r="EP56" s="970"/>
      <c r="EQ56" s="970"/>
      <c r="ER56" s="970"/>
      <c r="ES56" s="970"/>
      <c r="ET56" s="970"/>
      <c r="EU56" s="970"/>
      <c r="EV56" s="970"/>
      <c r="EW56" s="970"/>
      <c r="EX56" s="970"/>
      <c r="EY56" s="970"/>
      <c r="EZ56" s="970"/>
      <c r="FA56" s="970"/>
      <c r="FB56" s="970"/>
      <c r="FC56" s="970"/>
      <c r="FD56" s="970"/>
      <c r="FE56" s="970"/>
      <c r="FF56" s="970"/>
      <c r="FG56" s="970"/>
      <c r="FH56" s="970"/>
      <c r="FI56" s="970"/>
      <c r="FJ56" s="970"/>
      <c r="FK56" s="970"/>
      <c r="FL56" s="970"/>
      <c r="FM56" s="970"/>
      <c r="FN56" s="970"/>
      <c r="FO56" s="970"/>
      <c r="FP56" s="970"/>
      <c r="FQ56" s="970"/>
      <c r="FR56" s="970"/>
      <c r="FS56" s="970"/>
      <c r="FT56" s="970"/>
      <c r="FU56" s="970"/>
      <c r="FV56" s="970"/>
      <c r="FW56" s="970"/>
      <c r="FX56" s="970"/>
      <c r="FY56" s="970"/>
      <c r="FZ56" s="970"/>
      <c r="GA56" s="970"/>
      <c r="GB56" s="970"/>
      <c r="GC56" s="970"/>
      <c r="GD56" s="970"/>
      <c r="GE56" s="970"/>
      <c r="GF56" s="970"/>
      <c r="GG56" s="970"/>
      <c r="GH56" s="970"/>
      <c r="GI56" s="970"/>
      <c r="GJ56" s="970"/>
      <c r="GK56" s="970"/>
      <c r="GL56" s="970"/>
      <c r="GM56" s="970"/>
      <c r="GN56" s="970"/>
      <c r="GO56" s="970"/>
      <c r="GP56" s="970"/>
      <c r="GQ56" s="970"/>
      <c r="GR56" s="970"/>
      <c r="GS56" s="970"/>
      <c r="GT56" s="970"/>
      <c r="GU56" s="970"/>
      <c r="GV56" s="970"/>
      <c r="GW56" s="970"/>
      <c r="GX56" s="970"/>
      <c r="GY56" s="970"/>
      <c r="GZ56" s="970"/>
      <c r="HA56" s="970"/>
      <c r="HB56" s="970"/>
      <c r="HC56" s="970"/>
      <c r="HD56" s="970"/>
      <c r="HE56" s="970"/>
      <c r="HF56" s="970"/>
      <c r="HG56" s="970"/>
      <c r="HH56" s="970"/>
      <c r="HI56" s="970"/>
      <c r="HJ56" s="970"/>
      <c r="HK56" s="970"/>
      <c r="HL56" s="970"/>
      <c r="HM56" s="970"/>
      <c r="HN56" s="970"/>
      <c r="HO56" s="970"/>
      <c r="HP56" s="970"/>
      <c r="HQ56" s="970"/>
      <c r="HR56" s="970"/>
      <c r="HS56" s="970"/>
      <c r="HT56" s="970"/>
      <c r="HU56" s="970"/>
      <c r="HV56" s="970"/>
      <c r="HW56" s="970"/>
      <c r="HX56" s="970"/>
      <c r="HY56" s="970"/>
      <c r="HZ56" s="970"/>
      <c r="IA56" s="970"/>
      <c r="IB56" s="970"/>
      <c r="IC56" s="970"/>
      <c r="ID56" s="970"/>
      <c r="IE56" s="970"/>
      <c r="IF56" s="970"/>
      <c r="IG56" s="970"/>
      <c r="IH56" s="970"/>
      <c r="II56" s="970"/>
      <c r="IJ56" s="970"/>
      <c r="IK56" s="970"/>
      <c r="IL56" s="970"/>
      <c r="IM56" s="970"/>
      <c r="IN56" s="970"/>
      <c r="IO56" s="970"/>
      <c r="IP56" s="970"/>
      <c r="IQ56" s="970"/>
      <c r="IR56" s="970"/>
      <c r="IS56" s="970"/>
      <c r="IT56" s="970"/>
      <c r="IU56" s="970"/>
      <c r="IV56" s="970"/>
    </row>
    <row r="57" spans="1:256" s="940" customFormat="1" ht="24" customHeight="1" x14ac:dyDescent="0.35">
      <c r="A57" s="1428"/>
      <c r="B57" s="1456"/>
      <c r="C57" s="918" t="s">
        <v>1252</v>
      </c>
      <c r="D57" s="1457">
        <f>D53+D49+D45+D41+D37+D33+D29+D25+D21+D17+D13+D9</f>
        <v>4488</v>
      </c>
      <c r="E57" s="1457">
        <f t="shared" ref="E57:P57" si="16">E53+E49+E45+E41+E37+E33+E29+E25+E21+E17+E13+E9</f>
        <v>3103</v>
      </c>
      <c r="F57" s="1457">
        <f t="shared" si="16"/>
        <v>600</v>
      </c>
      <c r="G57" s="1457">
        <f t="shared" si="16"/>
        <v>2635</v>
      </c>
      <c r="H57" s="1457">
        <f t="shared" si="16"/>
        <v>125</v>
      </c>
      <c r="I57" s="1457">
        <f t="shared" si="16"/>
        <v>2240</v>
      </c>
      <c r="J57" s="1457">
        <f t="shared" si="16"/>
        <v>0</v>
      </c>
      <c r="K57" s="1457">
        <f t="shared" si="16"/>
        <v>310</v>
      </c>
      <c r="L57" s="1457">
        <f t="shared" si="16"/>
        <v>0</v>
      </c>
      <c r="M57" s="1457">
        <f t="shared" si="16"/>
        <v>11837</v>
      </c>
      <c r="N57" s="1457">
        <f t="shared" si="16"/>
        <v>9046</v>
      </c>
      <c r="O57" s="1457">
        <f t="shared" si="16"/>
        <v>4002</v>
      </c>
      <c r="P57" s="1457">
        <f t="shared" si="16"/>
        <v>0</v>
      </c>
      <c r="Q57" s="838">
        <f>SUM(Q53,Q49,Q45,Q41,Q37,Q33,Q29,Q25,Q21,Q17,Q13,Q9)</f>
        <v>38386</v>
      </c>
      <c r="R57" s="203"/>
      <c r="S57" s="203"/>
      <c r="T57" s="203"/>
      <c r="U57" s="203"/>
      <c r="V57" s="203"/>
      <c r="W57" s="203"/>
      <c r="X57" s="203"/>
      <c r="Y57" s="203"/>
      <c r="Z57" s="203"/>
      <c r="AA57" s="203"/>
      <c r="AB57" s="203"/>
      <c r="AC57" s="203"/>
      <c r="AD57" s="203"/>
      <c r="AE57" s="203"/>
      <c r="AF57" s="203"/>
      <c r="AG57" s="203"/>
      <c r="AH57" s="203"/>
      <c r="AI57" s="203"/>
      <c r="AJ57" s="203"/>
      <c r="AK57" s="203"/>
      <c r="AL57" s="203"/>
      <c r="AM57" s="203"/>
      <c r="AN57" s="203"/>
      <c r="AO57" s="203"/>
      <c r="AP57" s="203"/>
      <c r="AQ57" s="203"/>
      <c r="AR57" s="203"/>
      <c r="AS57" s="203"/>
      <c r="AT57" s="203"/>
      <c r="AU57" s="203"/>
      <c r="AV57" s="203"/>
      <c r="AW57" s="203"/>
      <c r="AX57" s="203"/>
      <c r="AY57" s="203"/>
      <c r="AZ57" s="203"/>
      <c r="BA57" s="203"/>
      <c r="BB57" s="203"/>
      <c r="BC57" s="203"/>
      <c r="BD57" s="203"/>
      <c r="BE57" s="203"/>
      <c r="BF57" s="203"/>
      <c r="BG57" s="203"/>
      <c r="BH57" s="203"/>
      <c r="BI57" s="203"/>
      <c r="BJ57" s="203"/>
      <c r="BK57" s="203"/>
      <c r="BL57" s="203"/>
      <c r="BM57" s="203"/>
      <c r="BN57" s="203"/>
      <c r="BO57" s="203"/>
      <c r="BP57" s="203"/>
      <c r="BQ57" s="203"/>
      <c r="BR57" s="203"/>
      <c r="BS57" s="203"/>
      <c r="BT57" s="203"/>
      <c r="BU57" s="203"/>
      <c r="BV57" s="203"/>
      <c r="BW57" s="203"/>
      <c r="BX57" s="203"/>
      <c r="BY57" s="203"/>
      <c r="BZ57" s="203"/>
      <c r="CA57" s="203"/>
      <c r="CB57" s="203"/>
      <c r="CC57" s="203"/>
      <c r="CD57" s="203"/>
      <c r="CE57" s="203"/>
      <c r="CF57" s="203"/>
      <c r="CG57" s="203"/>
      <c r="CH57" s="203"/>
      <c r="CI57" s="203"/>
      <c r="CJ57" s="203"/>
      <c r="CK57" s="203"/>
      <c r="CL57" s="203"/>
      <c r="CM57" s="203"/>
      <c r="CN57" s="203"/>
      <c r="CO57" s="203"/>
      <c r="CP57" s="203"/>
      <c r="CQ57" s="203"/>
      <c r="CR57" s="203"/>
      <c r="CS57" s="203"/>
      <c r="CT57" s="203"/>
      <c r="CU57" s="203"/>
      <c r="CV57" s="203"/>
      <c r="CW57" s="203"/>
      <c r="CX57" s="203"/>
      <c r="CY57" s="203"/>
      <c r="CZ57" s="203"/>
      <c r="DA57" s="203"/>
      <c r="DB57" s="203"/>
      <c r="DC57" s="203"/>
      <c r="DD57" s="203"/>
      <c r="DE57" s="203"/>
      <c r="DF57" s="203"/>
      <c r="DG57" s="203"/>
      <c r="DH57" s="203"/>
      <c r="DI57" s="203"/>
      <c r="DJ57" s="203"/>
      <c r="DK57" s="203"/>
      <c r="DL57" s="203"/>
      <c r="DM57" s="203"/>
      <c r="DN57" s="203"/>
      <c r="DO57" s="203"/>
      <c r="DP57" s="203"/>
      <c r="DQ57" s="203"/>
      <c r="DR57" s="203"/>
      <c r="DS57" s="203"/>
      <c r="DT57" s="203"/>
      <c r="DU57" s="203"/>
      <c r="DV57" s="203"/>
      <c r="DW57" s="203"/>
      <c r="DX57" s="203"/>
      <c r="DY57" s="203"/>
      <c r="DZ57" s="203"/>
      <c r="EA57" s="203"/>
      <c r="EB57" s="203"/>
      <c r="EC57" s="203"/>
      <c r="ED57" s="203"/>
      <c r="EE57" s="203"/>
      <c r="EF57" s="203"/>
      <c r="EG57" s="203"/>
      <c r="EH57" s="203"/>
      <c r="EI57" s="203"/>
      <c r="EJ57" s="203"/>
      <c r="EK57" s="203"/>
      <c r="EL57" s="203"/>
      <c r="EM57" s="203"/>
      <c r="EN57" s="203"/>
      <c r="EO57" s="203"/>
      <c r="EP57" s="203"/>
      <c r="EQ57" s="203"/>
      <c r="ER57" s="203"/>
      <c r="ES57" s="203"/>
      <c r="ET57" s="203"/>
      <c r="EU57" s="203"/>
      <c r="EV57" s="203"/>
      <c r="EW57" s="203"/>
      <c r="EX57" s="203"/>
      <c r="EY57" s="203"/>
      <c r="EZ57" s="203"/>
      <c r="FA57" s="203"/>
      <c r="FB57" s="203"/>
      <c r="FC57" s="203"/>
      <c r="FD57" s="203"/>
      <c r="FE57" s="203"/>
      <c r="FF57" s="203"/>
      <c r="FG57" s="203"/>
      <c r="FH57" s="203"/>
      <c r="FI57" s="203"/>
      <c r="FJ57" s="203"/>
      <c r="FK57" s="203"/>
      <c r="FL57" s="203"/>
      <c r="FM57" s="203"/>
      <c r="FN57" s="203"/>
      <c r="FO57" s="203"/>
      <c r="FP57" s="203"/>
      <c r="FQ57" s="203"/>
      <c r="FR57" s="203"/>
      <c r="FS57" s="203"/>
      <c r="FT57" s="203"/>
      <c r="FU57" s="203"/>
      <c r="FV57" s="203"/>
      <c r="FW57" s="203"/>
      <c r="FX57" s="203"/>
      <c r="FY57" s="203"/>
      <c r="FZ57" s="203"/>
      <c r="GA57" s="203"/>
      <c r="GB57" s="203"/>
      <c r="GC57" s="203"/>
      <c r="GD57" s="203"/>
      <c r="GE57" s="203"/>
      <c r="GF57" s="203"/>
      <c r="GG57" s="203"/>
      <c r="GH57" s="203"/>
      <c r="GI57" s="203"/>
      <c r="GJ57" s="203"/>
      <c r="GK57" s="203"/>
      <c r="GL57" s="203"/>
      <c r="GM57" s="203"/>
      <c r="GN57" s="203"/>
      <c r="GO57" s="203"/>
      <c r="GP57" s="203"/>
      <c r="GQ57" s="203"/>
      <c r="GR57" s="203"/>
      <c r="GS57" s="203"/>
      <c r="GT57" s="203"/>
      <c r="GU57" s="203"/>
      <c r="GV57" s="203"/>
      <c r="GW57" s="203"/>
      <c r="GX57" s="203"/>
      <c r="GY57" s="203"/>
      <c r="GZ57" s="203"/>
      <c r="HA57" s="203"/>
      <c r="HB57" s="203"/>
      <c r="HC57" s="203"/>
      <c r="HD57" s="203"/>
      <c r="HE57" s="203"/>
      <c r="HF57" s="203"/>
      <c r="HG57" s="203"/>
      <c r="HH57" s="203"/>
      <c r="HI57" s="203"/>
      <c r="HJ57" s="203"/>
      <c r="HK57" s="203"/>
      <c r="HL57" s="203"/>
      <c r="HM57" s="203"/>
      <c r="HN57" s="203"/>
      <c r="HO57" s="203"/>
      <c r="HP57" s="203"/>
      <c r="HQ57" s="203"/>
      <c r="HR57" s="203"/>
      <c r="HS57" s="203"/>
      <c r="HT57" s="203"/>
      <c r="HU57" s="203"/>
      <c r="HV57" s="203"/>
      <c r="HW57" s="203"/>
      <c r="HX57" s="203"/>
      <c r="HY57" s="203"/>
      <c r="HZ57" s="203"/>
      <c r="IA57" s="203"/>
      <c r="IB57" s="203"/>
      <c r="IC57" s="203"/>
      <c r="ID57" s="203"/>
      <c r="IE57" s="203"/>
      <c r="IF57" s="203"/>
      <c r="IG57" s="203"/>
      <c r="IH57" s="203"/>
      <c r="II57" s="203"/>
      <c r="IJ57" s="203"/>
      <c r="IK57" s="203"/>
      <c r="IL57" s="203"/>
      <c r="IM57" s="203"/>
      <c r="IN57" s="203"/>
      <c r="IO57" s="203"/>
      <c r="IP57" s="203"/>
      <c r="IQ57" s="203"/>
      <c r="IR57" s="203"/>
      <c r="IS57" s="203"/>
      <c r="IT57" s="203"/>
      <c r="IU57" s="203"/>
      <c r="IV57" s="203"/>
    </row>
    <row r="58" spans="1:256" ht="24" customHeight="1" x14ac:dyDescent="0.3">
      <c r="A58" s="947">
        <v>38</v>
      </c>
      <c r="B58" s="971"/>
      <c r="C58" s="972" t="s">
        <v>733</v>
      </c>
      <c r="D58" s="188">
        <f>SUM(D54,D50,D46,D42,D38,D34,D30,D26,D22,D18,D14,D10)</f>
        <v>1101</v>
      </c>
      <c r="E58" s="188">
        <f t="shared" ref="E58:Q58" si="17">SUM(E54,E50,E46,E42,E38,E34,E30,E26,E22,E18,E14,E10)</f>
        <v>0</v>
      </c>
      <c r="F58" s="188">
        <f t="shared" si="17"/>
        <v>0</v>
      </c>
      <c r="G58" s="188">
        <f t="shared" si="17"/>
        <v>183</v>
      </c>
      <c r="H58" s="188">
        <f t="shared" si="17"/>
        <v>0</v>
      </c>
      <c r="I58" s="188">
        <f t="shared" si="17"/>
        <v>13</v>
      </c>
      <c r="J58" s="188">
        <f t="shared" si="17"/>
        <v>0</v>
      </c>
      <c r="K58" s="188">
        <f t="shared" si="17"/>
        <v>0</v>
      </c>
      <c r="L58" s="188">
        <f t="shared" si="17"/>
        <v>0</v>
      </c>
      <c r="M58" s="188">
        <f t="shared" si="17"/>
        <v>1020</v>
      </c>
      <c r="N58" s="188">
        <f t="shared" si="17"/>
        <v>1509</v>
      </c>
      <c r="O58" s="188">
        <f t="shared" si="17"/>
        <v>-3826</v>
      </c>
      <c r="P58" s="188">
        <f t="shared" si="17"/>
        <v>0</v>
      </c>
      <c r="Q58" s="973">
        <f t="shared" si="17"/>
        <v>0</v>
      </c>
      <c r="R58" s="972"/>
      <c r="S58" s="972"/>
      <c r="T58" s="972"/>
      <c r="U58" s="972"/>
      <c r="V58" s="972"/>
      <c r="W58" s="972"/>
      <c r="X58" s="972"/>
      <c r="Y58" s="972"/>
      <c r="Z58" s="972"/>
      <c r="AA58" s="972"/>
      <c r="AB58" s="972"/>
      <c r="AC58" s="972"/>
      <c r="AD58" s="972"/>
      <c r="AE58" s="972"/>
      <c r="AF58" s="972"/>
      <c r="AG58" s="972"/>
      <c r="AH58" s="972"/>
      <c r="AI58" s="972"/>
      <c r="AJ58" s="972"/>
      <c r="AK58" s="972"/>
      <c r="AL58" s="972"/>
      <c r="AM58" s="972"/>
      <c r="AN58" s="972"/>
      <c r="AO58" s="972"/>
      <c r="AP58" s="972"/>
      <c r="AQ58" s="972"/>
      <c r="AR58" s="972"/>
      <c r="AS58" s="972"/>
      <c r="AT58" s="972"/>
      <c r="AU58" s="972"/>
      <c r="AV58" s="972"/>
      <c r="AW58" s="972"/>
      <c r="AX58" s="972"/>
      <c r="AY58" s="972"/>
      <c r="AZ58" s="972"/>
      <c r="BA58" s="972"/>
      <c r="BB58" s="972"/>
      <c r="BC58" s="972"/>
      <c r="BD58" s="972"/>
      <c r="BE58" s="972"/>
      <c r="BF58" s="972"/>
      <c r="BG58" s="972"/>
      <c r="BH58" s="972"/>
      <c r="BI58" s="972"/>
      <c r="BJ58" s="972"/>
      <c r="BK58" s="972"/>
      <c r="BL58" s="972"/>
      <c r="BM58" s="972"/>
      <c r="BN58" s="972"/>
      <c r="BO58" s="972"/>
      <c r="BP58" s="972"/>
      <c r="BQ58" s="972"/>
      <c r="BR58" s="972"/>
      <c r="BS58" s="972"/>
      <c r="BT58" s="972"/>
      <c r="BU58" s="972"/>
      <c r="BV58" s="972"/>
      <c r="BW58" s="972"/>
      <c r="BX58" s="972"/>
      <c r="BY58" s="972"/>
      <c r="BZ58" s="972"/>
      <c r="CA58" s="972"/>
      <c r="CB58" s="972"/>
      <c r="CC58" s="972"/>
      <c r="CD58" s="972"/>
      <c r="CE58" s="972"/>
      <c r="CF58" s="972"/>
      <c r="CG58" s="972"/>
      <c r="CH58" s="972"/>
      <c r="CI58" s="972"/>
      <c r="CJ58" s="972"/>
      <c r="CK58" s="972"/>
      <c r="CL58" s="972"/>
      <c r="CM58" s="972"/>
      <c r="CN58" s="972"/>
      <c r="CO58" s="972"/>
      <c r="CP58" s="972"/>
      <c r="CQ58" s="972"/>
      <c r="CR58" s="972"/>
      <c r="CS58" s="972"/>
      <c r="CT58" s="972"/>
      <c r="CU58" s="972"/>
      <c r="CV58" s="972"/>
      <c r="CW58" s="972"/>
      <c r="CX58" s="972"/>
      <c r="CY58" s="972"/>
      <c r="CZ58" s="972"/>
      <c r="DA58" s="972"/>
      <c r="DB58" s="972"/>
      <c r="DC58" s="972"/>
      <c r="DD58" s="972"/>
      <c r="DE58" s="972"/>
      <c r="DF58" s="972"/>
      <c r="DG58" s="972"/>
      <c r="DH58" s="972"/>
      <c r="DI58" s="972"/>
      <c r="DJ58" s="972"/>
      <c r="DK58" s="972"/>
      <c r="DL58" s="972"/>
      <c r="DM58" s="972"/>
      <c r="DN58" s="972"/>
      <c r="DO58" s="972"/>
      <c r="DP58" s="972"/>
      <c r="DQ58" s="972"/>
      <c r="DR58" s="972"/>
      <c r="DS58" s="972"/>
      <c r="DT58" s="972"/>
      <c r="DU58" s="972"/>
      <c r="DV58" s="972"/>
      <c r="DW58" s="972"/>
      <c r="DX58" s="972"/>
      <c r="DY58" s="972"/>
      <c r="DZ58" s="972"/>
      <c r="EA58" s="972"/>
      <c r="EB58" s="972"/>
      <c r="EC58" s="972"/>
      <c r="ED58" s="972"/>
      <c r="EE58" s="972"/>
      <c r="EF58" s="972"/>
      <c r="EG58" s="972"/>
      <c r="EH58" s="972"/>
      <c r="EI58" s="972"/>
      <c r="EJ58" s="972"/>
      <c r="EK58" s="972"/>
      <c r="EL58" s="972"/>
      <c r="EM58" s="972"/>
      <c r="EN58" s="972"/>
      <c r="EO58" s="972"/>
      <c r="EP58" s="972"/>
      <c r="EQ58" s="972"/>
      <c r="ER58" s="972"/>
      <c r="ES58" s="972"/>
      <c r="ET58" s="972"/>
      <c r="EU58" s="972"/>
      <c r="EV58" s="972"/>
      <c r="EW58" s="972"/>
      <c r="EX58" s="972"/>
      <c r="EY58" s="972"/>
      <c r="EZ58" s="972"/>
      <c r="FA58" s="972"/>
      <c r="FB58" s="972"/>
      <c r="FC58" s="972"/>
      <c r="FD58" s="972"/>
      <c r="FE58" s="972"/>
      <c r="FF58" s="972"/>
      <c r="FG58" s="972"/>
      <c r="FH58" s="972"/>
      <c r="FI58" s="972"/>
      <c r="FJ58" s="972"/>
      <c r="FK58" s="972"/>
      <c r="FL58" s="972"/>
      <c r="FM58" s="972"/>
      <c r="FN58" s="972"/>
      <c r="FO58" s="972"/>
      <c r="FP58" s="972"/>
      <c r="FQ58" s="972"/>
      <c r="FR58" s="972"/>
      <c r="FS58" s="972"/>
      <c r="FT58" s="972"/>
      <c r="FU58" s="972"/>
      <c r="FV58" s="972"/>
      <c r="FW58" s="972"/>
      <c r="FX58" s="972"/>
      <c r="FY58" s="972"/>
      <c r="FZ58" s="972"/>
      <c r="GA58" s="972"/>
      <c r="GB58" s="972"/>
      <c r="GC58" s="972"/>
      <c r="GD58" s="972"/>
      <c r="GE58" s="972"/>
      <c r="GF58" s="972"/>
      <c r="GG58" s="972"/>
      <c r="GH58" s="972"/>
      <c r="GI58" s="972"/>
      <c r="GJ58" s="972"/>
      <c r="GK58" s="972"/>
      <c r="GL58" s="972"/>
      <c r="GM58" s="972"/>
      <c r="GN58" s="972"/>
      <c r="GO58" s="972"/>
      <c r="GP58" s="972"/>
      <c r="GQ58" s="972"/>
      <c r="GR58" s="972"/>
      <c r="GS58" s="972"/>
      <c r="GT58" s="972"/>
      <c r="GU58" s="972"/>
      <c r="GV58" s="972"/>
      <c r="GW58" s="972"/>
      <c r="GX58" s="972"/>
      <c r="GY58" s="972"/>
      <c r="GZ58" s="972"/>
      <c r="HA58" s="972"/>
      <c r="HB58" s="972"/>
      <c r="HC58" s="972"/>
      <c r="HD58" s="972"/>
      <c r="HE58" s="972"/>
      <c r="HF58" s="972"/>
      <c r="HG58" s="972"/>
      <c r="HH58" s="972"/>
      <c r="HI58" s="972"/>
      <c r="HJ58" s="972"/>
      <c r="HK58" s="972"/>
      <c r="HL58" s="972"/>
      <c r="HM58" s="972"/>
      <c r="HN58" s="972"/>
      <c r="HO58" s="972"/>
      <c r="HP58" s="972"/>
      <c r="HQ58" s="972"/>
      <c r="HR58" s="972"/>
      <c r="HS58" s="972"/>
      <c r="HT58" s="972"/>
      <c r="HU58" s="972"/>
      <c r="HV58" s="972"/>
      <c r="HW58" s="972"/>
      <c r="HX58" s="972"/>
      <c r="HY58" s="972"/>
      <c r="HZ58" s="972"/>
      <c r="IA58" s="972"/>
      <c r="IB58" s="972"/>
      <c r="IC58" s="972"/>
      <c r="ID58" s="972"/>
      <c r="IE58" s="972"/>
      <c r="IF58" s="972"/>
      <c r="IG58" s="972"/>
      <c r="IH58" s="972"/>
      <c r="II58" s="972"/>
      <c r="IJ58" s="972"/>
      <c r="IK58" s="972"/>
      <c r="IL58" s="972"/>
      <c r="IM58" s="972"/>
      <c r="IN58" s="972"/>
      <c r="IO58" s="972"/>
      <c r="IP58" s="972"/>
      <c r="IQ58" s="972"/>
      <c r="IR58" s="972"/>
      <c r="IS58" s="972"/>
      <c r="IT58" s="972"/>
      <c r="IU58" s="972"/>
      <c r="IV58" s="972"/>
    </row>
    <row r="59" spans="1:256" ht="24" customHeight="1" thickBot="1" x14ac:dyDescent="0.35">
      <c r="A59" s="947">
        <v>39</v>
      </c>
      <c r="B59" s="974"/>
      <c r="C59" s="975" t="s">
        <v>1308</v>
      </c>
      <c r="D59" s="976">
        <f>SUM(D57:D58)</f>
        <v>5589</v>
      </c>
      <c r="E59" s="976">
        <f t="shared" ref="E59:Q59" si="18">SUM(E57:E58)</f>
        <v>3103</v>
      </c>
      <c r="F59" s="976">
        <f t="shared" si="18"/>
        <v>600</v>
      </c>
      <c r="G59" s="976">
        <f t="shared" si="18"/>
        <v>2818</v>
      </c>
      <c r="H59" s="976">
        <f t="shared" si="18"/>
        <v>125</v>
      </c>
      <c r="I59" s="976">
        <f t="shared" si="18"/>
        <v>2253</v>
      </c>
      <c r="J59" s="976">
        <f t="shared" si="18"/>
        <v>0</v>
      </c>
      <c r="K59" s="976">
        <f t="shared" si="18"/>
        <v>310</v>
      </c>
      <c r="L59" s="976">
        <f t="shared" si="18"/>
        <v>0</v>
      </c>
      <c r="M59" s="976">
        <f t="shared" si="18"/>
        <v>12857</v>
      </c>
      <c r="N59" s="976">
        <f t="shared" si="18"/>
        <v>10555</v>
      </c>
      <c r="O59" s="976">
        <f t="shared" si="18"/>
        <v>176</v>
      </c>
      <c r="P59" s="976">
        <f t="shared" si="18"/>
        <v>0</v>
      </c>
      <c r="Q59" s="1643">
        <f t="shared" si="18"/>
        <v>38386</v>
      </c>
      <c r="R59" s="977"/>
      <c r="S59" s="977"/>
      <c r="T59" s="977"/>
      <c r="U59" s="977"/>
      <c r="V59" s="977"/>
      <c r="W59" s="977"/>
      <c r="X59" s="977"/>
      <c r="Y59" s="977"/>
      <c r="Z59" s="977"/>
      <c r="AA59" s="977"/>
      <c r="AB59" s="977"/>
      <c r="AC59" s="977"/>
      <c r="AD59" s="977"/>
      <c r="AE59" s="977"/>
      <c r="AF59" s="977"/>
      <c r="AG59" s="977"/>
      <c r="AH59" s="977"/>
      <c r="AI59" s="977"/>
      <c r="AJ59" s="977"/>
      <c r="AK59" s="977"/>
      <c r="AL59" s="977"/>
      <c r="AM59" s="977"/>
      <c r="AN59" s="977"/>
      <c r="AO59" s="977"/>
      <c r="AP59" s="977"/>
      <c r="AQ59" s="977"/>
      <c r="AR59" s="977"/>
      <c r="AS59" s="977"/>
      <c r="AT59" s="977"/>
      <c r="AU59" s="977"/>
      <c r="AV59" s="977"/>
      <c r="AW59" s="977"/>
      <c r="AX59" s="977"/>
      <c r="AY59" s="977"/>
      <c r="AZ59" s="977"/>
      <c r="BA59" s="977"/>
      <c r="BB59" s="977"/>
      <c r="BC59" s="977"/>
      <c r="BD59" s="977"/>
      <c r="BE59" s="977"/>
      <c r="BF59" s="977"/>
      <c r="BG59" s="977"/>
      <c r="BH59" s="977"/>
      <c r="BI59" s="977"/>
      <c r="BJ59" s="977"/>
      <c r="BK59" s="977"/>
      <c r="BL59" s="977"/>
      <c r="BM59" s="977"/>
      <c r="BN59" s="977"/>
      <c r="BO59" s="977"/>
      <c r="BP59" s="977"/>
      <c r="BQ59" s="977"/>
      <c r="BR59" s="977"/>
      <c r="BS59" s="977"/>
      <c r="BT59" s="977"/>
      <c r="BU59" s="977"/>
      <c r="BV59" s="977"/>
      <c r="BW59" s="977"/>
      <c r="BX59" s="977"/>
      <c r="BY59" s="977"/>
      <c r="BZ59" s="977"/>
      <c r="CA59" s="977"/>
      <c r="CB59" s="977"/>
      <c r="CC59" s="977"/>
      <c r="CD59" s="977"/>
      <c r="CE59" s="977"/>
      <c r="CF59" s="977"/>
      <c r="CG59" s="977"/>
      <c r="CH59" s="977"/>
      <c r="CI59" s="977"/>
      <c r="CJ59" s="977"/>
      <c r="CK59" s="977"/>
      <c r="CL59" s="977"/>
      <c r="CM59" s="977"/>
      <c r="CN59" s="977"/>
      <c r="CO59" s="977"/>
      <c r="CP59" s="977"/>
      <c r="CQ59" s="977"/>
      <c r="CR59" s="977"/>
      <c r="CS59" s="977"/>
      <c r="CT59" s="977"/>
      <c r="CU59" s="977"/>
      <c r="CV59" s="977"/>
      <c r="CW59" s="977"/>
      <c r="CX59" s="977"/>
      <c r="CY59" s="977"/>
      <c r="CZ59" s="977"/>
      <c r="DA59" s="977"/>
      <c r="DB59" s="977"/>
      <c r="DC59" s="977"/>
      <c r="DD59" s="977"/>
      <c r="DE59" s="977"/>
      <c r="DF59" s="977"/>
      <c r="DG59" s="977"/>
      <c r="DH59" s="977"/>
      <c r="DI59" s="977"/>
      <c r="DJ59" s="977"/>
      <c r="DK59" s="977"/>
      <c r="DL59" s="977"/>
      <c r="DM59" s="977"/>
      <c r="DN59" s="977"/>
      <c r="DO59" s="977"/>
      <c r="DP59" s="977"/>
      <c r="DQ59" s="977"/>
      <c r="DR59" s="977"/>
      <c r="DS59" s="977"/>
      <c r="DT59" s="977"/>
      <c r="DU59" s="977"/>
      <c r="DV59" s="977"/>
      <c r="DW59" s="977"/>
      <c r="DX59" s="977"/>
      <c r="DY59" s="977"/>
      <c r="DZ59" s="977"/>
      <c r="EA59" s="977"/>
      <c r="EB59" s="977"/>
      <c r="EC59" s="977"/>
      <c r="ED59" s="977"/>
      <c r="EE59" s="977"/>
      <c r="EF59" s="977"/>
      <c r="EG59" s="977"/>
      <c r="EH59" s="977"/>
      <c r="EI59" s="977"/>
      <c r="EJ59" s="977"/>
      <c r="EK59" s="977"/>
      <c r="EL59" s="977"/>
      <c r="EM59" s="977"/>
      <c r="EN59" s="977"/>
      <c r="EO59" s="977"/>
      <c r="EP59" s="977"/>
      <c r="EQ59" s="977"/>
      <c r="ER59" s="977"/>
      <c r="ES59" s="977"/>
      <c r="ET59" s="977"/>
      <c r="EU59" s="977"/>
      <c r="EV59" s="977"/>
      <c r="EW59" s="977"/>
      <c r="EX59" s="977"/>
      <c r="EY59" s="977"/>
      <c r="EZ59" s="977"/>
      <c r="FA59" s="977"/>
      <c r="FB59" s="977"/>
      <c r="FC59" s="977"/>
      <c r="FD59" s="977"/>
      <c r="FE59" s="977"/>
      <c r="FF59" s="977"/>
      <c r="FG59" s="977"/>
      <c r="FH59" s="977"/>
      <c r="FI59" s="977"/>
      <c r="FJ59" s="977"/>
      <c r="FK59" s="977"/>
      <c r="FL59" s="977"/>
      <c r="FM59" s="977"/>
      <c r="FN59" s="977"/>
      <c r="FO59" s="977"/>
      <c r="FP59" s="977"/>
      <c r="FQ59" s="977"/>
      <c r="FR59" s="977"/>
      <c r="FS59" s="977"/>
      <c r="FT59" s="977"/>
      <c r="FU59" s="977"/>
      <c r="FV59" s="977"/>
      <c r="FW59" s="977"/>
      <c r="FX59" s="977"/>
      <c r="FY59" s="977"/>
      <c r="FZ59" s="977"/>
      <c r="GA59" s="977"/>
      <c r="GB59" s="977"/>
      <c r="GC59" s="977"/>
      <c r="GD59" s="977"/>
      <c r="GE59" s="977"/>
      <c r="GF59" s="977"/>
      <c r="GG59" s="977"/>
      <c r="GH59" s="977"/>
      <c r="GI59" s="977"/>
      <c r="GJ59" s="977"/>
      <c r="GK59" s="977"/>
      <c r="GL59" s="977"/>
      <c r="GM59" s="977"/>
      <c r="GN59" s="977"/>
      <c r="GO59" s="977"/>
      <c r="GP59" s="977"/>
      <c r="GQ59" s="977"/>
      <c r="GR59" s="977"/>
      <c r="GS59" s="977"/>
      <c r="GT59" s="977"/>
      <c r="GU59" s="977"/>
      <c r="GV59" s="977"/>
      <c r="GW59" s="977"/>
      <c r="GX59" s="977"/>
      <c r="GY59" s="977"/>
      <c r="GZ59" s="977"/>
      <c r="HA59" s="977"/>
      <c r="HB59" s="977"/>
      <c r="HC59" s="977"/>
      <c r="HD59" s="977"/>
      <c r="HE59" s="977"/>
      <c r="HF59" s="977"/>
      <c r="HG59" s="977"/>
      <c r="HH59" s="977"/>
      <c r="HI59" s="977"/>
      <c r="HJ59" s="977"/>
      <c r="HK59" s="977"/>
      <c r="HL59" s="977"/>
      <c r="HM59" s="977"/>
      <c r="HN59" s="977"/>
      <c r="HO59" s="977"/>
      <c r="HP59" s="977"/>
      <c r="HQ59" s="977"/>
      <c r="HR59" s="977"/>
      <c r="HS59" s="977"/>
      <c r="HT59" s="977"/>
      <c r="HU59" s="977"/>
      <c r="HV59" s="977"/>
      <c r="HW59" s="977"/>
      <c r="HX59" s="977"/>
      <c r="HY59" s="977"/>
      <c r="HZ59" s="977"/>
      <c r="IA59" s="977"/>
      <c r="IB59" s="977"/>
      <c r="IC59" s="977"/>
      <c r="ID59" s="977"/>
      <c r="IE59" s="977"/>
      <c r="IF59" s="977"/>
      <c r="IG59" s="977"/>
      <c r="IH59" s="977"/>
      <c r="II59" s="977"/>
      <c r="IJ59" s="977"/>
      <c r="IK59" s="977"/>
      <c r="IL59" s="977"/>
      <c r="IM59" s="977"/>
      <c r="IN59" s="977"/>
      <c r="IO59" s="977"/>
      <c r="IP59" s="977"/>
      <c r="IQ59" s="977"/>
      <c r="IR59" s="977"/>
      <c r="IS59" s="977"/>
      <c r="IT59" s="977"/>
      <c r="IU59" s="977"/>
      <c r="IV59" s="977"/>
    </row>
    <row r="60" spans="1:256" x14ac:dyDescent="0.35">
      <c r="D60" s="978"/>
      <c r="E60" s="978"/>
      <c r="F60" s="978"/>
      <c r="G60" s="978"/>
      <c r="H60" s="978"/>
      <c r="I60" s="978"/>
      <c r="J60" s="978"/>
      <c r="K60" s="978"/>
      <c r="L60" s="978"/>
      <c r="M60" s="978"/>
      <c r="N60" s="978"/>
      <c r="O60" s="978"/>
      <c r="P60" s="978"/>
      <c r="Q60" s="978"/>
    </row>
    <row r="61" spans="1:256" x14ac:dyDescent="0.35">
      <c r="D61" s="978"/>
      <c r="E61" s="978"/>
      <c r="F61" s="978"/>
      <c r="G61" s="978"/>
      <c r="H61" s="978"/>
      <c r="I61" s="978"/>
      <c r="J61" s="978"/>
      <c r="K61" s="978"/>
      <c r="L61" s="978"/>
      <c r="M61" s="978"/>
      <c r="N61" s="978"/>
      <c r="O61" s="978"/>
      <c r="P61" s="978"/>
      <c r="Q61" s="978"/>
    </row>
    <row r="62" spans="1:256" x14ac:dyDescent="0.35">
      <c r="D62" s="978"/>
      <c r="E62" s="978"/>
      <c r="F62" s="978"/>
      <c r="G62" s="978"/>
      <c r="H62" s="978"/>
      <c r="I62" s="978"/>
      <c r="J62" s="978"/>
      <c r="K62" s="978"/>
      <c r="L62" s="978"/>
      <c r="M62" s="978"/>
      <c r="N62" s="978"/>
      <c r="O62" s="978"/>
      <c r="P62" s="978"/>
      <c r="Q62" s="978"/>
    </row>
    <row r="63" spans="1:256" x14ac:dyDescent="0.35">
      <c r="D63" s="978"/>
      <c r="E63" s="978"/>
      <c r="F63" s="978"/>
      <c r="G63" s="978"/>
      <c r="H63" s="978"/>
      <c r="I63" s="978"/>
      <c r="J63" s="978"/>
      <c r="K63" s="978"/>
      <c r="L63" s="978"/>
      <c r="M63" s="978"/>
      <c r="N63" s="978"/>
      <c r="O63" s="978"/>
      <c r="P63" s="978"/>
      <c r="Q63" s="978"/>
    </row>
    <row r="64" spans="1:256" x14ac:dyDescent="0.35">
      <c r="D64" s="978"/>
      <c r="E64" s="978"/>
      <c r="F64" s="978"/>
      <c r="G64" s="978"/>
      <c r="H64" s="978"/>
      <c r="I64" s="978"/>
      <c r="J64" s="978"/>
      <c r="K64" s="978"/>
      <c r="L64" s="978"/>
      <c r="M64" s="978"/>
      <c r="N64" s="978"/>
      <c r="O64" s="978"/>
      <c r="P64" s="978"/>
      <c r="Q64" s="978"/>
    </row>
    <row r="65" spans="3:17" x14ac:dyDescent="0.35">
      <c r="D65" s="978"/>
      <c r="E65" s="978"/>
      <c r="F65" s="978"/>
      <c r="G65" s="978"/>
      <c r="H65" s="978"/>
      <c r="I65" s="978"/>
      <c r="J65" s="978"/>
      <c r="K65" s="978"/>
      <c r="L65" s="978"/>
      <c r="M65" s="978"/>
      <c r="N65" s="978"/>
      <c r="O65" s="978"/>
      <c r="P65" s="978"/>
      <c r="Q65" s="978"/>
    </row>
    <row r="66" spans="3:17" x14ac:dyDescent="0.35">
      <c r="C66" s="940"/>
      <c r="D66" s="978"/>
      <c r="E66" s="978"/>
      <c r="F66" s="978"/>
      <c r="G66" s="978"/>
      <c r="H66" s="978"/>
      <c r="I66" s="978"/>
      <c r="J66" s="978"/>
      <c r="K66" s="978"/>
      <c r="L66" s="978"/>
      <c r="M66" s="978"/>
      <c r="N66" s="978"/>
      <c r="O66" s="978"/>
      <c r="P66" s="978"/>
      <c r="Q66" s="978"/>
    </row>
    <row r="67" spans="3:17" x14ac:dyDescent="0.35">
      <c r="D67" s="979"/>
      <c r="E67" s="979"/>
      <c r="F67" s="979"/>
      <c r="G67" s="979"/>
      <c r="H67" s="979"/>
      <c r="I67" s="979"/>
      <c r="J67" s="979"/>
      <c r="K67" s="979"/>
      <c r="L67" s="979"/>
      <c r="M67" s="979"/>
      <c r="N67" s="979"/>
      <c r="O67" s="980"/>
      <c r="P67" s="980"/>
      <c r="Q67" s="979"/>
    </row>
    <row r="68" spans="3:17" x14ac:dyDescent="0.35">
      <c r="D68" s="978"/>
      <c r="E68" s="978"/>
      <c r="F68" s="978"/>
      <c r="G68" s="978"/>
      <c r="H68" s="978"/>
      <c r="I68" s="978"/>
      <c r="J68" s="978"/>
      <c r="K68" s="978"/>
      <c r="L68" s="978"/>
      <c r="M68" s="978"/>
      <c r="N68" s="981"/>
      <c r="O68" s="981"/>
      <c r="P68" s="981"/>
      <c r="Q68" s="981"/>
    </row>
    <row r="69" spans="3:17" x14ac:dyDescent="0.35">
      <c r="C69" s="978"/>
      <c r="D69" s="978"/>
      <c r="E69" s="978"/>
      <c r="F69" s="978"/>
      <c r="G69" s="978"/>
      <c r="H69" s="978"/>
      <c r="I69" s="978"/>
      <c r="J69" s="978"/>
      <c r="K69" s="978"/>
      <c r="L69" s="978"/>
      <c r="M69" s="981"/>
      <c r="N69" s="981"/>
      <c r="O69" s="981"/>
      <c r="P69" s="981"/>
      <c r="Q69" s="978"/>
    </row>
    <row r="70" spans="3:17" x14ac:dyDescent="0.35">
      <c r="D70" s="978"/>
      <c r="E70" s="978"/>
      <c r="F70" s="978"/>
      <c r="G70" s="978"/>
      <c r="H70" s="978"/>
      <c r="I70" s="978"/>
      <c r="J70" s="978"/>
      <c r="K70" s="978"/>
      <c r="L70" s="978"/>
      <c r="M70" s="981"/>
      <c r="N70" s="981"/>
      <c r="O70" s="981"/>
      <c r="P70" s="981"/>
      <c r="Q70" s="978"/>
    </row>
    <row r="71" spans="3:17" x14ac:dyDescent="0.35">
      <c r="D71" s="978"/>
      <c r="E71" s="978"/>
      <c r="F71" s="978"/>
      <c r="G71" s="978"/>
      <c r="H71" s="978"/>
      <c r="I71" s="978"/>
      <c r="J71" s="978"/>
      <c r="K71" s="978"/>
      <c r="L71" s="978"/>
      <c r="M71" s="978"/>
      <c r="N71" s="978"/>
      <c r="O71" s="978"/>
      <c r="P71" s="978"/>
      <c r="Q71" s="978"/>
    </row>
  </sheetData>
  <mergeCells count="13">
    <mergeCell ref="L6:L7"/>
    <mergeCell ref="O6:P6"/>
    <mergeCell ref="Q6:Q7"/>
    <mergeCell ref="B1:Q1"/>
    <mergeCell ref="B2:Q2"/>
    <mergeCell ref="B3:Q3"/>
    <mergeCell ref="O4:Q4"/>
    <mergeCell ref="B5:C5"/>
    <mergeCell ref="A6:A7"/>
    <mergeCell ref="B6:C7"/>
    <mergeCell ref="D6:D7"/>
    <mergeCell ref="E6:E7"/>
    <mergeCell ref="G6:G7"/>
  </mergeCells>
  <printOptions horizontalCentered="1"/>
  <pageMargins left="0.19685039370078741" right="0.19685039370078741" top="0.59055118110236227" bottom="0.59055118110236227" header="0.51181102362204722" footer="0.51181102362204722"/>
  <pageSetup paperSize="9" scale="75" fitToHeight="0" orientation="landscape" r:id="rId1"/>
  <headerFooter>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15</vt:i4>
      </vt:variant>
      <vt:variant>
        <vt:lpstr>Névvel ellátott tartományok</vt:lpstr>
      </vt:variant>
      <vt:variant>
        <vt:i4>25</vt:i4>
      </vt:variant>
    </vt:vector>
  </HeadingPairs>
  <TitlesOfParts>
    <vt:vector size="40" baseType="lpstr">
      <vt:lpstr>Összefoglaló </vt:lpstr>
      <vt:lpstr>1.Onbe</vt:lpstr>
      <vt:lpstr>2.Onki</vt:lpstr>
      <vt:lpstr>3.Inbe</vt:lpstr>
      <vt:lpstr>4.Inbe</vt:lpstr>
      <vt:lpstr>5.Inki</vt:lpstr>
      <vt:lpstr>6.Önk.műk.</vt:lpstr>
      <vt:lpstr>6.A Alapítv</vt:lpstr>
      <vt:lpstr>7.Beruh.</vt:lpstr>
      <vt:lpstr>8.Felúj.</vt:lpstr>
      <vt:lpstr>9.Mérleg</vt:lpstr>
      <vt:lpstr>10.Létszám</vt:lpstr>
      <vt:lpstr>11.Beruh. hitel</vt:lpstr>
      <vt:lpstr>11.Projekt</vt:lpstr>
      <vt:lpstr>12.Képvis.</vt:lpstr>
      <vt:lpstr>'1.Onbe'!Nyomtatási_cím</vt:lpstr>
      <vt:lpstr>'10.Létszám'!Nyomtatási_cím</vt:lpstr>
      <vt:lpstr>'11.Projekt'!Nyomtatási_cím</vt:lpstr>
      <vt:lpstr>'12.Képvis.'!Nyomtatási_cím</vt:lpstr>
      <vt:lpstr>'2.Onki'!Nyomtatási_cím</vt:lpstr>
      <vt:lpstr>'3.Inbe'!Nyomtatási_cím</vt:lpstr>
      <vt:lpstr>'4.Inbe'!Nyomtatási_cím</vt:lpstr>
      <vt:lpstr>'5.Inki'!Nyomtatási_cím</vt:lpstr>
      <vt:lpstr>'6.A Alapítv'!Nyomtatási_cím</vt:lpstr>
      <vt:lpstr>'6.Önk.műk.'!Nyomtatási_cím</vt:lpstr>
      <vt:lpstr>'7.Beruh.'!Nyomtatási_cím</vt:lpstr>
      <vt:lpstr>'8.Felúj.'!Nyomtatási_cím</vt:lpstr>
      <vt:lpstr>'1.Onbe'!Nyomtatási_terület</vt:lpstr>
      <vt:lpstr>'10.Létszám'!Nyomtatási_terület</vt:lpstr>
      <vt:lpstr>'11.Beruh. hitel'!Nyomtatási_terület</vt:lpstr>
      <vt:lpstr>'2.Onki'!Nyomtatási_terület</vt:lpstr>
      <vt:lpstr>'3.Inbe'!Nyomtatási_terület</vt:lpstr>
      <vt:lpstr>'4.Inbe'!Nyomtatási_terület</vt:lpstr>
      <vt:lpstr>'5.Inki'!Nyomtatási_terület</vt:lpstr>
      <vt:lpstr>'6.A Alapítv'!Nyomtatási_terület</vt:lpstr>
      <vt:lpstr>'6.Önk.műk.'!Nyomtatási_terület</vt:lpstr>
      <vt:lpstr>'7.Beruh.'!Nyomtatási_terület</vt:lpstr>
      <vt:lpstr>'8.Felúj.'!Nyomtatási_terület</vt:lpstr>
      <vt:lpstr>'9.Mérleg'!Nyomtatási_terület</vt:lpstr>
      <vt:lpstr>'Összefoglaló '!Nyomtatási_terület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Schumacher Judit</dc:creator>
  <cp:lastModifiedBy>Kicska Andrea</cp:lastModifiedBy>
  <cp:lastPrinted>2019-11-28T06:24:01Z</cp:lastPrinted>
  <dcterms:created xsi:type="dcterms:W3CDTF">2015-02-11T07:38:58Z</dcterms:created>
  <dcterms:modified xsi:type="dcterms:W3CDTF">2019-12-10T08:57:14Z</dcterms:modified>
</cp:coreProperties>
</file>