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14190" windowHeight="7485"/>
  </bookViews>
  <sheets>
    <sheet name="16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7" i="1" l="1"/>
  <c r="K47" i="1"/>
  <c r="I47" i="1"/>
  <c r="G47" i="1"/>
  <c r="F47" i="1"/>
  <c r="E47" i="1"/>
  <c r="D47" i="1"/>
  <c r="C46" i="1"/>
  <c r="B46" i="1" s="1"/>
  <c r="B45" i="1"/>
  <c r="B44" i="1"/>
  <c r="B43" i="1"/>
  <c r="B42" i="1"/>
  <c r="B41" i="1"/>
  <c r="B40" i="1"/>
  <c r="N39" i="1"/>
  <c r="M39" i="1"/>
  <c r="J39" i="1"/>
  <c r="H39" i="1"/>
  <c r="B39" i="1" s="1"/>
  <c r="N38" i="1"/>
  <c r="M38" i="1"/>
  <c r="J38" i="1"/>
  <c r="H38" i="1"/>
  <c r="B38" i="1" s="1"/>
  <c r="N37" i="1"/>
  <c r="J37" i="1"/>
  <c r="H37" i="1"/>
  <c r="B37" i="1" s="1"/>
  <c r="B36" i="1"/>
  <c r="H35" i="1"/>
  <c r="B35" i="1"/>
  <c r="B34" i="1"/>
  <c r="M33" i="1"/>
  <c r="J33" i="1"/>
  <c r="B33" i="1" s="1"/>
  <c r="N32" i="1"/>
  <c r="J32" i="1"/>
  <c r="B32" i="1" s="1"/>
  <c r="N31" i="1"/>
  <c r="M31" i="1"/>
  <c r="J31" i="1"/>
  <c r="H31" i="1"/>
  <c r="C31" i="1"/>
  <c r="B31" i="1" s="1"/>
  <c r="N30" i="1"/>
  <c r="M30" i="1"/>
  <c r="J30" i="1"/>
  <c r="H30" i="1"/>
  <c r="C30" i="1"/>
  <c r="B30" i="1" s="1"/>
  <c r="N29" i="1"/>
  <c r="N47" i="1" s="1"/>
  <c r="M29" i="1"/>
  <c r="M47" i="1" s="1"/>
  <c r="J29" i="1"/>
  <c r="J47" i="1" s="1"/>
  <c r="H29" i="1"/>
  <c r="H47" i="1" s="1"/>
  <c r="C29" i="1"/>
  <c r="J26" i="1"/>
  <c r="G26" i="1"/>
  <c r="F26" i="1"/>
  <c r="E26" i="1"/>
  <c r="D26" i="1"/>
  <c r="B25" i="1"/>
  <c r="B24" i="1"/>
  <c r="B23" i="1"/>
  <c r="H22" i="1"/>
  <c r="B22" i="1" s="1"/>
  <c r="H21" i="1"/>
  <c r="B21" i="1" s="1"/>
  <c r="H20" i="1"/>
  <c r="B20" i="1" s="1"/>
  <c r="B19" i="1"/>
  <c r="B18" i="1"/>
  <c r="B17" i="1"/>
  <c r="B16" i="1"/>
  <c r="B15" i="1"/>
  <c r="B14" i="1"/>
  <c r="B13" i="1"/>
  <c r="J12" i="1"/>
  <c r="B12" i="1"/>
  <c r="B11" i="1"/>
  <c r="M10" i="1"/>
  <c r="K10" i="1"/>
  <c r="K26" i="1" s="1"/>
  <c r="J10" i="1"/>
  <c r="I10" i="1"/>
  <c r="I26" i="1" s="1"/>
  <c r="H10" i="1"/>
  <c r="B10" i="1" s="1"/>
  <c r="C10" i="1"/>
  <c r="C26" i="1" s="1"/>
  <c r="B9" i="1"/>
  <c r="N8" i="1"/>
  <c r="N26" i="1" s="1"/>
  <c r="M8" i="1"/>
  <c r="M26" i="1" s="1"/>
  <c r="L8" i="1"/>
  <c r="L26" i="1" s="1"/>
  <c r="J8" i="1"/>
  <c r="H8" i="1"/>
  <c r="B8" i="1" s="1"/>
  <c r="B26" i="1" l="1"/>
  <c r="B29" i="1"/>
  <c r="B47" i="1" s="1"/>
  <c r="C47" i="1"/>
  <c r="C48" i="1" s="1"/>
  <c r="D7" i="1" s="1"/>
  <c r="D48" i="1" s="1"/>
  <c r="E7" i="1" s="1"/>
  <c r="E48" i="1" s="1"/>
  <c r="F7" i="1" s="1"/>
  <c r="F48" i="1" s="1"/>
  <c r="G7" i="1" s="1"/>
  <c r="G48" i="1" s="1"/>
  <c r="H7" i="1" s="1"/>
  <c r="H48" i="1" s="1"/>
  <c r="I7" i="1" s="1"/>
  <c r="I48" i="1" s="1"/>
  <c r="J7" i="1" s="1"/>
  <c r="J48" i="1" s="1"/>
  <c r="K7" i="1" s="1"/>
  <c r="K48" i="1" s="1"/>
  <c r="L7" i="1" s="1"/>
  <c r="L48" i="1" s="1"/>
  <c r="M7" i="1" s="1"/>
  <c r="M48" i="1" s="1"/>
  <c r="N7" i="1" s="1"/>
  <c r="N48" i="1" s="1"/>
  <c r="H26" i="1"/>
</calcChain>
</file>

<file path=xl/sharedStrings.xml><?xml version="1.0" encoding="utf-8"?>
<sst xmlns="http://schemas.openxmlformats.org/spreadsheetml/2006/main" count="72" uniqueCount="59">
  <si>
    <t>"16. melléklet az 5/2019.(II.28.)önkormányzati rendelethez"</t>
  </si>
  <si>
    <t>Felsőörs község Önkormányzata</t>
  </si>
  <si>
    <t>2019. évi előirányzat felhasználási ütemterve (Ft-ban)</t>
  </si>
  <si>
    <t>16. melléklet a 3/2020.(II.27.) önkormányzati rendelethez, hatályos 2020. február 28-tól</t>
  </si>
  <si>
    <t>Bevétel megnevezése</t>
  </si>
  <si>
    <t>Előirányzat</t>
  </si>
  <si>
    <t>2019.évi módosított előirányzat XI.31.</t>
  </si>
  <si>
    <t>Február</t>
  </si>
  <si>
    <t>Március</t>
  </si>
  <si>
    <t>Április</t>
  </si>
  <si>
    <t xml:space="preserve">Május </t>
  </si>
  <si>
    <t>Június</t>
  </si>
  <si>
    <t>Július</t>
  </si>
  <si>
    <t>Augusztus</t>
  </si>
  <si>
    <t>Szeptember</t>
  </si>
  <si>
    <t>Október</t>
  </si>
  <si>
    <t>November</t>
  </si>
  <si>
    <t xml:space="preserve">December </t>
  </si>
  <si>
    <t>Induló pénzkészlet</t>
  </si>
  <si>
    <t>Önkormányzatok működési támogatásai</t>
  </si>
  <si>
    <t>Elvonások és befizetések bevételei</t>
  </si>
  <si>
    <t xml:space="preserve">Egyéb műk.c.tám.bev. áh.n belülről </t>
  </si>
  <si>
    <t xml:space="preserve">Közhatalmi bevételek </t>
  </si>
  <si>
    <t>Működési bevételek</t>
  </si>
  <si>
    <t>Műk.c.visszat.tám.,kölcs.visszat.áh.n kívülről</t>
  </si>
  <si>
    <t>Egyéb működési célú átvett pénzeszk.</t>
  </si>
  <si>
    <t>Felhalmozási célú önkorm.i támogatások</t>
  </si>
  <si>
    <t xml:space="preserve">Egyéb felhalm.c.tám.bev. áh.n belülről </t>
  </si>
  <si>
    <t>Immat. jav.,ingatlanok., egyéb tárgyi e.érték.</t>
  </si>
  <si>
    <t>Felhalm.c.visszat.tám.,kölcs.visszat.áh.n kívülről</t>
  </si>
  <si>
    <t>Egyéb felhalmozási célú átvett pénzeszk.</t>
  </si>
  <si>
    <t>Maradvány igénybevétele felj.célra</t>
  </si>
  <si>
    <t>Maradvány igénybevétele műk.célra</t>
  </si>
  <si>
    <t>Maradvány igénybevétel finanszírozási célra</t>
  </si>
  <si>
    <t>Áh.-n belüli megelőlegezés</t>
  </si>
  <si>
    <t>Belföldi értékpapírok bevételei</t>
  </si>
  <si>
    <t>Egyéb finanszírozási bevételek</t>
  </si>
  <si>
    <t xml:space="preserve">Önkormányzat összesen: </t>
  </si>
  <si>
    <t xml:space="preserve">Kiadás megnevezése </t>
  </si>
  <si>
    <t>Január</t>
  </si>
  <si>
    <t>Személyi juttatások</t>
  </si>
  <si>
    <t>Munkáltatót terh.jár. és szoc.hozzáj. adó</t>
  </si>
  <si>
    <t>Dologi kiadás</t>
  </si>
  <si>
    <t>Ellátottak pénzbeli juttatásai</t>
  </si>
  <si>
    <t>Egyéb műk.c.támog.áh.n belülre</t>
  </si>
  <si>
    <t>Műk.c.visszat.támog., kölcs.nyújt.áh.n kívülre</t>
  </si>
  <si>
    <t>Egyéb műk.c.támog.áh.n kívülre</t>
  </si>
  <si>
    <t>Elvonások, befizetések</t>
  </si>
  <si>
    <t>Műk.célú tartalék</t>
  </si>
  <si>
    <t>Beruházások</t>
  </si>
  <si>
    <t>Felújítások</t>
  </si>
  <si>
    <t>Egyéb felhalm.c.támog.áh.n belülre</t>
  </si>
  <si>
    <t>Felhalm.c.visszat.támog.kölcs.,nyújt.áh.n kívülre</t>
  </si>
  <si>
    <t>Egyéb felhalm.c.támog.áh.n kívülre</t>
  </si>
  <si>
    <t>Felh.célú tartalék</t>
  </si>
  <si>
    <t>Hosszú lej.hitelek, kölcsönök törlesztése</t>
  </si>
  <si>
    <t>Belföldi értékpapírok kiadásai</t>
  </si>
  <si>
    <t>Államháztartáson belüli megelőlegezés</t>
  </si>
  <si>
    <t>Záró pénzeszköz  (ei.felhasználási ütemterv szerint)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</si>
</sst>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"/>
    <numFmt numFmtId="165" formatCode="#.00\ ##0"/>
    <numFmt numFmtId="166" formatCode="#\ ##0\ ##0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name val="Arial CE"/>
      <charset val="238"/>
    </font>
    <font>
      <sz val="8"/>
      <name val="Arial CE"/>
      <charset val="238"/>
    </font>
    <font>
      <b/>
      <sz val="8"/>
      <name val="Times New Roman CE"/>
      <charset val="238"/>
    </font>
    <font>
      <b/>
      <sz val="8"/>
      <name val="Arial Cyr"/>
      <family val="2"/>
      <charset val="204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/>
    <xf numFmtId="0" fontId="0" fillId="0" borderId="0" xfId="0" applyBorder="1"/>
    <xf numFmtId="0" fontId="2" fillId="0" borderId="0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2" xfId="0" applyFont="1" applyBorder="1" applyAlignme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/>
    <xf numFmtId="3" fontId="5" fillId="0" borderId="5" xfId="0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5" xfId="0" applyNumberFormat="1" applyFont="1" applyFill="1" applyBorder="1" applyAlignment="1">
      <alignment horizontal="center"/>
    </xf>
    <xf numFmtId="0" fontId="7" fillId="0" borderId="7" xfId="0" applyFont="1" applyBorder="1"/>
    <xf numFmtId="3" fontId="8" fillId="0" borderId="8" xfId="0" applyNumberFormat="1" applyFont="1" applyFill="1" applyBorder="1"/>
    <xf numFmtId="3" fontId="9" fillId="0" borderId="9" xfId="0" applyNumberFormat="1" applyFont="1" applyFill="1" applyBorder="1"/>
    <xf numFmtId="3" fontId="9" fillId="0" borderId="10" xfId="0" applyNumberFormat="1" applyFont="1" applyFill="1" applyBorder="1"/>
    <xf numFmtId="3" fontId="0" fillId="0" borderId="0" xfId="0" applyNumberFormat="1" applyBorder="1"/>
    <xf numFmtId="164" fontId="10" fillId="0" borderId="0" xfId="0" applyNumberFormat="1" applyFont="1" applyFill="1" applyBorder="1"/>
    <xf numFmtId="0" fontId="7" fillId="0" borderId="11" xfId="0" applyFont="1" applyBorder="1"/>
    <xf numFmtId="3" fontId="8" fillId="0" borderId="12" xfId="0" applyNumberFormat="1" applyFont="1" applyFill="1" applyBorder="1"/>
    <xf numFmtId="3" fontId="9" fillId="0" borderId="13" xfId="0" applyNumberFormat="1" applyFont="1" applyFill="1" applyBorder="1"/>
    <xf numFmtId="3" fontId="9" fillId="0" borderId="14" xfId="0" applyNumberFormat="1" applyFont="1" applyFill="1" applyBorder="1"/>
    <xf numFmtId="3" fontId="9" fillId="0" borderId="15" xfId="0" applyNumberFormat="1" applyFont="1" applyFill="1" applyBorder="1"/>
    <xf numFmtId="0" fontId="7" fillId="0" borderId="16" xfId="0" applyFont="1" applyBorder="1"/>
    <xf numFmtId="3" fontId="11" fillId="0" borderId="12" xfId="0" applyNumberFormat="1" applyFont="1" applyFill="1" applyBorder="1"/>
    <xf numFmtId="3" fontId="11" fillId="0" borderId="17" xfId="0" applyNumberFormat="1" applyFont="1" applyFill="1" applyBorder="1"/>
    <xf numFmtId="3" fontId="11" fillId="0" borderId="14" xfId="0" applyNumberFormat="1" applyFont="1" applyFill="1" applyBorder="1"/>
    <xf numFmtId="3" fontId="11" fillId="0" borderId="0" xfId="0" applyNumberFormat="1" applyFont="1" applyFill="1" applyBorder="1"/>
    <xf numFmtId="0" fontId="7" fillId="0" borderId="11" xfId="0" applyFont="1" applyFill="1" applyBorder="1"/>
    <xf numFmtId="3" fontId="11" fillId="0" borderId="13" xfId="0" applyNumberFormat="1" applyFont="1" applyFill="1" applyBorder="1"/>
    <xf numFmtId="3" fontId="11" fillId="0" borderId="16" xfId="0" applyNumberFormat="1" applyFont="1" applyFill="1" applyBorder="1"/>
    <xf numFmtId="3" fontId="12" fillId="0" borderId="0" xfId="0" applyNumberFormat="1" applyFont="1" applyBorder="1"/>
    <xf numFmtId="3" fontId="12" fillId="0" borderId="14" xfId="0" applyNumberFormat="1" applyFont="1" applyBorder="1"/>
    <xf numFmtId="3" fontId="11" fillId="0" borderId="15" xfId="0" applyNumberFormat="1" applyFont="1" applyFill="1" applyBorder="1"/>
    <xf numFmtId="3" fontId="0" fillId="0" borderId="0" xfId="0" applyNumberFormat="1"/>
    <xf numFmtId="3" fontId="0" fillId="0" borderId="0" xfId="0" applyNumberFormat="1" applyFill="1" applyBorder="1"/>
    <xf numFmtId="3" fontId="9" fillId="0" borderId="12" xfId="0" applyNumberFormat="1" applyFont="1" applyFill="1" applyBorder="1"/>
    <xf numFmtId="3" fontId="9" fillId="0" borderId="17" xfId="0" applyNumberFormat="1" applyFont="1" applyFill="1" applyBorder="1"/>
    <xf numFmtId="0" fontId="7" fillId="0" borderId="18" xfId="0" applyFont="1" applyFill="1" applyBorder="1"/>
    <xf numFmtId="0" fontId="7" fillId="0" borderId="12" xfId="0" applyFont="1" applyFill="1" applyBorder="1"/>
    <xf numFmtId="0" fontId="7" fillId="0" borderId="13" xfId="0" applyFont="1" applyBorder="1" applyAlignment="1">
      <alignment horizontal="left"/>
    </xf>
    <xf numFmtId="3" fontId="11" fillId="0" borderId="19" xfId="0" applyNumberFormat="1" applyFont="1" applyFill="1" applyBorder="1"/>
    <xf numFmtId="3" fontId="11" fillId="0" borderId="20" xfId="0" applyNumberFormat="1" applyFont="1" applyFill="1" applyBorder="1"/>
    <xf numFmtId="3" fontId="11" fillId="0" borderId="21" xfId="0" applyNumberFormat="1" applyFont="1" applyFill="1" applyBorder="1"/>
    <xf numFmtId="0" fontId="7" fillId="0" borderId="12" xfId="0" applyFont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3" fontId="11" fillId="0" borderId="22" xfId="0" applyNumberFormat="1" applyFont="1" applyFill="1" applyBorder="1"/>
    <xf numFmtId="3" fontId="11" fillId="0" borderId="23" xfId="0" applyNumberFormat="1" applyFont="1" applyFill="1" applyBorder="1"/>
    <xf numFmtId="3" fontId="9" fillId="0" borderId="23" xfId="0" applyNumberFormat="1" applyFont="1" applyFill="1" applyBorder="1"/>
    <xf numFmtId="3" fontId="9" fillId="0" borderId="24" xfId="0" applyNumberFormat="1" applyFont="1" applyFill="1" applyBorder="1"/>
    <xf numFmtId="0" fontId="5" fillId="0" borderId="4" xfId="0" applyFont="1" applyBorder="1"/>
    <xf numFmtId="3" fontId="8" fillId="0" borderId="2" xfId="0" applyNumberFormat="1" applyFont="1" applyBorder="1"/>
    <xf numFmtId="3" fontId="8" fillId="0" borderId="25" xfId="0" applyNumberFormat="1" applyFont="1" applyBorder="1"/>
    <xf numFmtId="3" fontId="8" fillId="0" borderId="26" xfId="0" applyNumberFormat="1" applyFont="1" applyBorder="1"/>
    <xf numFmtId="0" fontId="13" fillId="2" borderId="0" xfId="0" applyFont="1" applyFill="1"/>
    <xf numFmtId="0" fontId="12" fillId="2" borderId="0" xfId="0" applyFont="1" applyFill="1"/>
    <xf numFmtId="0" fontId="5" fillId="0" borderId="5" xfId="0" applyFont="1" applyBorder="1" applyAlignment="1">
      <alignment horizontal="center"/>
    </xf>
    <xf numFmtId="0" fontId="7" fillId="0" borderId="18" xfId="0" applyFont="1" applyBorder="1" applyAlignment="1">
      <alignment horizontal="left"/>
    </xf>
    <xf numFmtId="3" fontId="10" fillId="0" borderId="7" xfId="0" applyNumberFormat="1" applyFont="1" applyFill="1" applyBorder="1"/>
    <xf numFmtId="3" fontId="11" fillId="0" borderId="27" xfId="0" applyNumberFormat="1" applyFont="1" applyFill="1" applyBorder="1"/>
    <xf numFmtId="3" fontId="11" fillId="0" borderId="11" xfId="0" applyNumberFormat="1" applyFont="1" applyFill="1" applyBorder="1"/>
    <xf numFmtId="3" fontId="10" fillId="0" borderId="16" xfId="0" applyNumberFormat="1" applyFont="1" applyFill="1" applyBorder="1"/>
    <xf numFmtId="3" fontId="14" fillId="0" borderId="28" xfId="0" applyNumberFormat="1" applyFont="1" applyFill="1" applyBorder="1"/>
    <xf numFmtId="165" fontId="10" fillId="0" borderId="0" xfId="0" applyNumberFormat="1" applyFont="1" applyFill="1" applyBorder="1"/>
    <xf numFmtId="3" fontId="14" fillId="0" borderId="28" xfId="0" applyNumberFormat="1" applyFont="1" applyBorder="1"/>
    <xf numFmtId="3" fontId="0" fillId="0" borderId="28" xfId="0" applyNumberFormat="1" applyBorder="1"/>
    <xf numFmtId="0" fontId="7" fillId="0" borderId="12" xfId="0" applyFont="1" applyBorder="1"/>
    <xf numFmtId="0" fontId="13" fillId="0" borderId="12" xfId="0" applyFont="1" applyFill="1" applyBorder="1"/>
    <xf numFmtId="3" fontId="10" fillId="0" borderId="29" xfId="0" applyNumberFormat="1" applyFont="1" applyFill="1" applyBorder="1"/>
    <xf numFmtId="0" fontId="15" fillId="0" borderId="2" xfId="0" applyFont="1" applyBorder="1"/>
    <xf numFmtId="166" fontId="10" fillId="0" borderId="4" xfId="0" applyNumberFormat="1" applyFont="1" applyBorder="1"/>
    <xf numFmtId="166" fontId="10" fillId="0" borderId="2" xfId="0" applyNumberFormat="1" applyFont="1" applyBorder="1"/>
    <xf numFmtId="0" fontId="15" fillId="0" borderId="4" xfId="0" applyFont="1" applyBorder="1" applyAlignment="1">
      <alignment wrapText="1"/>
    </xf>
    <xf numFmtId="166" fontId="8" fillId="0" borderId="25" xfId="0" applyNumberFormat="1" applyFont="1" applyBorder="1"/>
    <xf numFmtId="3" fontId="1" fillId="0" borderId="0" xfId="0" applyNumberFormat="1" applyFont="1" applyBorder="1"/>
    <xf numFmtId="0" fontId="13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velin\Documents\Evelin\K&#246;lts&#233;gvet&#233;s%202019\K&#214;LTS&#201;GVET&#201;S%202019\2019%20&#233;vi%20k&#246;lts&#233;gvet&#233;si%20rendelet%20v&#233;gleg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 refreshError="1">
        <row r="31">
          <cell r="D31">
            <v>349078871</v>
          </cell>
        </row>
        <row r="32">
          <cell r="D32">
            <v>86049433</v>
          </cell>
        </row>
        <row r="33">
          <cell r="D33">
            <v>3871696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abSelected="1" workbookViewId="0">
      <selection activeCell="A15" sqref="A15"/>
    </sheetView>
  </sheetViews>
  <sheetFormatPr defaultRowHeight="15" x14ac:dyDescent="0.25"/>
  <cols>
    <col min="1" max="1" width="52.140625" bestFit="1" customWidth="1"/>
    <col min="2" max="2" width="14.7109375" customWidth="1"/>
    <col min="3" max="3" width="15" customWidth="1"/>
    <col min="4" max="7" width="12" customWidth="1"/>
    <col min="8" max="8" width="14.5703125" bestFit="1" customWidth="1"/>
    <col min="9" max="14" width="12" customWidth="1"/>
    <col min="15" max="15" width="11.85546875" bestFit="1" customWidth="1"/>
    <col min="16" max="16" width="13.42578125" customWidth="1"/>
    <col min="17" max="17" width="12" bestFit="1" customWidth="1"/>
    <col min="18" max="18" width="9.7109375" bestFit="1" customWidth="1"/>
  </cols>
  <sheetData>
    <row r="1" spans="1:1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</row>
    <row r="3" spans="1:19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4"/>
      <c r="P3" s="4"/>
    </row>
    <row r="4" spans="1:19" x14ac:dyDescent="0.25">
      <c r="K4" s="5"/>
      <c r="L4" s="5"/>
      <c r="M4" s="5"/>
      <c r="N4" s="5"/>
      <c r="O4" s="4"/>
      <c r="P4" s="4"/>
    </row>
    <row r="5" spans="1:19" ht="15.75" thickBot="1" x14ac:dyDescent="0.3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9" ht="15.75" thickBot="1" x14ac:dyDescent="0.3">
      <c r="A6" s="7" t="s">
        <v>4</v>
      </c>
      <c r="B6" s="8" t="s">
        <v>5</v>
      </c>
      <c r="C6" s="9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 t="s">
        <v>13</v>
      </c>
      <c r="K6" s="8" t="s">
        <v>14</v>
      </c>
      <c r="L6" s="8" t="s">
        <v>15</v>
      </c>
      <c r="M6" s="10" t="s">
        <v>16</v>
      </c>
      <c r="N6" s="11" t="s">
        <v>17</v>
      </c>
    </row>
    <row r="7" spans="1:19" ht="15.75" thickBot="1" x14ac:dyDescent="0.3">
      <c r="A7" s="12" t="s">
        <v>18</v>
      </c>
      <c r="B7" s="13"/>
      <c r="C7" s="14">
        <v>462651107</v>
      </c>
      <c r="D7" s="15">
        <f>C48</f>
        <v>491557484</v>
      </c>
      <c r="E7" s="15">
        <f t="shared" ref="E7:M7" si="0">D48</f>
        <v>480414642</v>
      </c>
      <c r="F7" s="15">
        <f t="shared" si="0"/>
        <v>467688192</v>
      </c>
      <c r="G7" s="15">
        <f t="shared" si="0"/>
        <v>406967330</v>
      </c>
      <c r="H7" s="15">
        <f t="shared" si="0"/>
        <v>341345448</v>
      </c>
      <c r="I7" s="15">
        <f t="shared" si="0"/>
        <v>664992754</v>
      </c>
      <c r="J7" s="15">
        <f t="shared" si="0"/>
        <v>617149881</v>
      </c>
      <c r="K7" s="15">
        <f t="shared" si="0"/>
        <v>516273006</v>
      </c>
      <c r="L7" s="15">
        <f t="shared" si="0"/>
        <v>514706534</v>
      </c>
      <c r="M7" s="16">
        <f t="shared" si="0"/>
        <v>482511091</v>
      </c>
      <c r="N7" s="15">
        <f>M48</f>
        <v>573821150</v>
      </c>
    </row>
    <row r="8" spans="1:19" x14ac:dyDescent="0.25">
      <c r="A8" s="17" t="s">
        <v>19</v>
      </c>
      <c r="B8" s="18">
        <f>SUM(C8:N8)</f>
        <v>129958942</v>
      </c>
      <c r="C8" s="19">
        <v>9414648</v>
      </c>
      <c r="D8" s="20">
        <v>9416000</v>
      </c>
      <c r="E8" s="20">
        <v>9416000</v>
      </c>
      <c r="F8" s="20">
        <v>9416000</v>
      </c>
      <c r="G8" s="20">
        <v>9416000</v>
      </c>
      <c r="H8" s="20">
        <f>9416000+452937</f>
        <v>9868937</v>
      </c>
      <c r="I8" s="20">
        <v>9416000</v>
      </c>
      <c r="J8" s="20">
        <f>9416000+6863748</f>
        <v>16279748</v>
      </c>
      <c r="K8" s="20">
        <v>9416000</v>
      </c>
      <c r="L8" s="20">
        <f>9416000+10104633</f>
        <v>19520633</v>
      </c>
      <c r="M8" s="20">
        <f>9416000</f>
        <v>9416000</v>
      </c>
      <c r="N8" s="20">
        <f>9416000-453024</f>
        <v>8962976</v>
      </c>
      <c r="P8" s="21"/>
      <c r="Q8" s="22"/>
      <c r="R8" s="21"/>
    </row>
    <row r="9" spans="1:19" x14ac:dyDescent="0.25">
      <c r="A9" s="23" t="s">
        <v>20</v>
      </c>
      <c r="B9" s="24">
        <f t="shared" ref="B9:B25" si="1">SUM(C9:N9)</f>
        <v>0</v>
      </c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7"/>
      <c r="P9" s="21"/>
      <c r="Q9" s="22"/>
      <c r="R9" s="21"/>
    </row>
    <row r="10" spans="1:19" x14ac:dyDescent="0.25">
      <c r="A10" s="28" t="s">
        <v>21</v>
      </c>
      <c r="B10" s="24">
        <f t="shared" si="1"/>
        <v>14583939</v>
      </c>
      <c r="C10" s="29">
        <f>6600+228193</f>
        <v>234793</v>
      </c>
      <c r="D10" s="30">
        <v>234770</v>
      </c>
      <c r="E10" s="30">
        <v>234770</v>
      </c>
      <c r="F10" s="30">
        <v>234770</v>
      </c>
      <c r="G10" s="30">
        <v>234770</v>
      </c>
      <c r="H10" s="30">
        <f>234770+850000</f>
        <v>1084770</v>
      </c>
      <c r="I10" s="31">
        <f>234770+7824996</f>
        <v>8059766</v>
      </c>
      <c r="J10" s="30">
        <f>234770+48000</f>
        <v>282770</v>
      </c>
      <c r="K10" s="31">
        <f>234770+3091680</f>
        <v>3326450</v>
      </c>
      <c r="L10" s="30">
        <v>234770</v>
      </c>
      <c r="M10" s="30">
        <f>234770-48000</f>
        <v>186770</v>
      </c>
      <c r="N10" s="30">
        <v>234770</v>
      </c>
      <c r="O10" s="32"/>
      <c r="P10" s="21"/>
      <c r="Q10" s="22"/>
      <c r="R10" s="21"/>
    </row>
    <row r="11" spans="1:19" x14ac:dyDescent="0.25">
      <c r="A11" s="33" t="s">
        <v>22</v>
      </c>
      <c r="B11" s="24">
        <f t="shared" si="1"/>
        <v>59650000</v>
      </c>
      <c r="C11" s="29">
        <v>810000</v>
      </c>
      <c r="D11" s="31">
        <v>720000</v>
      </c>
      <c r="E11" s="31">
        <v>25700000</v>
      </c>
      <c r="F11" s="31">
        <v>613000</v>
      </c>
      <c r="G11" s="31">
        <v>340000</v>
      </c>
      <c r="H11" s="31">
        <v>670000</v>
      </c>
      <c r="I11" s="31">
        <v>710000</v>
      </c>
      <c r="J11" s="31">
        <v>690000</v>
      </c>
      <c r="K11" s="31">
        <v>25237000</v>
      </c>
      <c r="L11" s="31">
        <v>540000</v>
      </c>
      <c r="M11" s="31">
        <v>670000</v>
      </c>
      <c r="N11" s="30">
        <v>2950000</v>
      </c>
      <c r="O11" s="32"/>
      <c r="P11" s="21"/>
      <c r="Q11" s="22"/>
      <c r="R11" s="21"/>
    </row>
    <row r="12" spans="1:19" x14ac:dyDescent="0.25">
      <c r="A12" s="33" t="s">
        <v>23</v>
      </c>
      <c r="B12" s="24">
        <f t="shared" si="1"/>
        <v>26348789</v>
      </c>
      <c r="C12" s="34">
        <v>1546000</v>
      </c>
      <c r="D12" s="31">
        <v>1546000</v>
      </c>
      <c r="E12" s="31">
        <v>7898928</v>
      </c>
      <c r="F12" s="31">
        <v>1046000</v>
      </c>
      <c r="G12" s="31">
        <v>1546000</v>
      </c>
      <c r="H12" s="31">
        <v>1546000</v>
      </c>
      <c r="I12" s="31">
        <v>1546000</v>
      </c>
      <c r="J12" s="31">
        <f>1546000+26923</f>
        <v>1572923</v>
      </c>
      <c r="K12" s="31">
        <v>3310390</v>
      </c>
      <c r="L12" s="31">
        <v>1546000</v>
      </c>
      <c r="M12" s="31">
        <v>1693580</v>
      </c>
      <c r="N12" s="35">
        <v>1550968</v>
      </c>
      <c r="O12" s="32"/>
      <c r="P12" s="36"/>
      <c r="Q12" s="22"/>
      <c r="R12" s="21"/>
    </row>
    <row r="13" spans="1:19" x14ac:dyDescent="0.25">
      <c r="A13" s="33" t="s">
        <v>24</v>
      </c>
      <c r="B13" s="24">
        <f t="shared" si="1"/>
        <v>0</v>
      </c>
      <c r="C13" s="34"/>
      <c r="D13" s="31"/>
      <c r="E13" s="31"/>
      <c r="F13" s="37"/>
      <c r="G13" s="31"/>
      <c r="H13" s="31"/>
      <c r="I13" s="31"/>
      <c r="J13" s="31"/>
      <c r="K13" s="31"/>
      <c r="L13" s="31"/>
      <c r="M13" s="31"/>
      <c r="N13" s="38"/>
      <c r="P13" s="21"/>
      <c r="Q13" s="22"/>
      <c r="R13" s="21"/>
    </row>
    <row r="14" spans="1:19" x14ac:dyDescent="0.25">
      <c r="A14" s="33" t="s">
        <v>25</v>
      </c>
      <c r="B14" s="24">
        <f t="shared" si="1"/>
        <v>846000</v>
      </c>
      <c r="C14" s="34"/>
      <c r="D14" s="31"/>
      <c r="E14" s="31"/>
      <c r="F14" s="37"/>
      <c r="G14" s="31"/>
      <c r="H14" s="31"/>
      <c r="I14" s="31"/>
      <c r="J14" s="31">
        <v>846000</v>
      </c>
      <c r="K14" s="31"/>
      <c r="L14" s="31"/>
      <c r="M14" s="31"/>
      <c r="N14" s="30"/>
      <c r="P14" s="21"/>
      <c r="Q14" s="22"/>
      <c r="R14" s="21"/>
    </row>
    <row r="15" spans="1:19" x14ac:dyDescent="0.25">
      <c r="A15" s="23" t="s">
        <v>26</v>
      </c>
      <c r="B15" s="24">
        <f t="shared" si="1"/>
        <v>111000</v>
      </c>
      <c r="C15" s="34"/>
      <c r="D15" s="31"/>
      <c r="E15" s="31"/>
      <c r="F15" s="37"/>
      <c r="G15" s="31"/>
      <c r="H15" s="31"/>
      <c r="I15" s="31"/>
      <c r="J15" s="31"/>
      <c r="K15" s="31"/>
      <c r="L15" s="31"/>
      <c r="M15" s="31">
        <v>111000</v>
      </c>
      <c r="N15" s="38"/>
      <c r="O15" s="39"/>
      <c r="P15" s="21"/>
      <c r="Q15" s="22"/>
      <c r="R15" s="21"/>
      <c r="S15" s="40"/>
    </row>
    <row r="16" spans="1:19" x14ac:dyDescent="0.25">
      <c r="A16" s="28" t="s">
        <v>27</v>
      </c>
      <c r="B16" s="24">
        <f t="shared" si="1"/>
        <v>99923677</v>
      </c>
      <c r="C16" s="34"/>
      <c r="D16" s="31"/>
      <c r="E16" s="31"/>
      <c r="F16" s="37"/>
      <c r="G16" s="31"/>
      <c r="H16" s="31"/>
      <c r="I16" s="31"/>
      <c r="J16" s="31"/>
      <c r="K16" s="31">
        <v>40923678</v>
      </c>
      <c r="L16" s="31">
        <v>25000000</v>
      </c>
      <c r="M16" s="31">
        <v>29999999</v>
      </c>
      <c r="N16" s="30">
        <v>4000000</v>
      </c>
      <c r="O16" s="39"/>
      <c r="P16" s="21"/>
      <c r="Q16" s="22"/>
      <c r="R16" s="21"/>
    </row>
    <row r="17" spans="1:27" x14ac:dyDescent="0.25">
      <c r="A17" s="23" t="s">
        <v>28</v>
      </c>
      <c r="B17" s="24">
        <f t="shared" si="1"/>
        <v>0</v>
      </c>
      <c r="C17" s="41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42"/>
      <c r="O17" s="39"/>
      <c r="P17" s="21"/>
      <c r="Q17" s="22"/>
      <c r="R17" s="21"/>
    </row>
    <row r="18" spans="1:27" x14ac:dyDescent="0.25">
      <c r="A18" s="33" t="s">
        <v>29</v>
      </c>
      <c r="B18" s="24">
        <f t="shared" si="1"/>
        <v>0</v>
      </c>
      <c r="C18" s="34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0"/>
      <c r="O18" s="39"/>
      <c r="P18" s="21"/>
      <c r="Q18" s="22"/>
      <c r="R18" s="21"/>
    </row>
    <row r="19" spans="1:27" x14ac:dyDescent="0.25">
      <c r="A19" s="33" t="s">
        <v>30</v>
      </c>
      <c r="B19" s="24">
        <f t="shared" si="1"/>
        <v>21840264</v>
      </c>
      <c r="C19" s="34"/>
      <c r="D19" s="31"/>
      <c r="E19" s="31"/>
      <c r="F19" s="31">
        <v>2290368</v>
      </c>
      <c r="G19" s="31">
        <v>2290368</v>
      </c>
      <c r="H19" s="31">
        <v>2290368</v>
      </c>
      <c r="I19" s="31">
        <v>2290368</v>
      </c>
      <c r="J19" s="31">
        <v>2290368</v>
      </c>
      <c r="K19" s="31">
        <v>3556000</v>
      </c>
      <c r="L19" s="31"/>
      <c r="M19" s="31">
        <v>6730256</v>
      </c>
      <c r="N19" s="30">
        <v>102168</v>
      </c>
      <c r="O19" s="39"/>
      <c r="P19" s="21"/>
      <c r="Q19" s="22"/>
      <c r="R19" s="21"/>
    </row>
    <row r="20" spans="1:27" x14ac:dyDescent="0.25">
      <c r="A20" s="43" t="s">
        <v>31</v>
      </c>
      <c r="B20" s="24">
        <f t="shared" si="1"/>
        <v>389147234</v>
      </c>
      <c r="C20" s="34">
        <v>40068363</v>
      </c>
      <c r="D20" s="31"/>
      <c r="E20" s="31"/>
      <c r="F20" s="31"/>
      <c r="G20" s="31"/>
      <c r="H20" s="31">
        <f>'[1]1.mell'!D31</f>
        <v>349078871</v>
      </c>
      <c r="I20" s="31"/>
      <c r="J20" s="31"/>
      <c r="K20" s="31"/>
      <c r="L20" s="31"/>
      <c r="M20" s="31"/>
      <c r="N20" s="30"/>
      <c r="O20" s="39"/>
      <c r="P20" s="21"/>
      <c r="Q20" s="22"/>
      <c r="R20" s="21"/>
    </row>
    <row r="21" spans="1:27" x14ac:dyDescent="0.25">
      <c r="A21" s="44" t="s">
        <v>32</v>
      </c>
      <c r="B21" s="24">
        <f t="shared" si="1"/>
        <v>88973637</v>
      </c>
      <c r="C21" s="34">
        <v>2924204</v>
      </c>
      <c r="D21" s="31"/>
      <c r="E21" s="31"/>
      <c r="F21" s="31"/>
      <c r="G21" s="31"/>
      <c r="H21" s="31">
        <f>'[1]1.mell'!D32</f>
        <v>86049433</v>
      </c>
      <c r="I21" s="31"/>
      <c r="J21" s="31"/>
      <c r="K21" s="31"/>
      <c r="L21" s="31"/>
      <c r="M21" s="31"/>
      <c r="N21" s="30"/>
      <c r="O21" s="39"/>
      <c r="P21" s="21"/>
      <c r="Q21" s="22"/>
      <c r="R21" s="21"/>
    </row>
    <row r="22" spans="1:27" x14ac:dyDescent="0.25">
      <c r="A22" s="45" t="s">
        <v>33</v>
      </c>
      <c r="B22" s="24">
        <f t="shared" si="1"/>
        <v>3871696</v>
      </c>
      <c r="C22" s="46"/>
      <c r="D22" s="47"/>
      <c r="E22" s="47"/>
      <c r="F22" s="47"/>
      <c r="G22" s="31"/>
      <c r="H22" s="31">
        <f>'[1]1.mell'!D33</f>
        <v>3871696</v>
      </c>
      <c r="I22" s="47"/>
      <c r="J22" s="47"/>
      <c r="K22" s="47"/>
      <c r="L22" s="47"/>
      <c r="M22" s="47"/>
      <c r="N22" s="48"/>
      <c r="O22" s="39"/>
      <c r="P22" s="21"/>
      <c r="Q22" s="22"/>
      <c r="R22" s="21"/>
    </row>
    <row r="23" spans="1:27" x14ac:dyDescent="0.25">
      <c r="A23" s="49" t="s">
        <v>34</v>
      </c>
      <c r="B23" s="24">
        <f t="shared" si="1"/>
        <v>6169456</v>
      </c>
      <c r="C23" s="46">
        <v>70524</v>
      </c>
      <c r="D23" s="47">
        <v>62287</v>
      </c>
      <c r="E23" s="47">
        <v>35262</v>
      </c>
      <c r="F23" s="47">
        <v>5435</v>
      </c>
      <c r="G23" s="47">
        <v>70524</v>
      </c>
      <c r="H23" s="47">
        <v>70524</v>
      </c>
      <c r="I23" s="47">
        <v>85154</v>
      </c>
      <c r="J23" s="47">
        <v>79466</v>
      </c>
      <c r="K23" s="47">
        <v>79466</v>
      </c>
      <c r="L23" s="47">
        <v>137384</v>
      </c>
      <c r="M23" s="47">
        <v>115069</v>
      </c>
      <c r="N23" s="48">
        <v>5358361</v>
      </c>
      <c r="O23" s="39"/>
      <c r="P23" s="21"/>
      <c r="Q23" s="22"/>
      <c r="R23" s="21"/>
    </row>
    <row r="24" spans="1:27" x14ac:dyDescent="0.25">
      <c r="A24" s="49" t="s">
        <v>35</v>
      </c>
      <c r="B24" s="24">
        <f t="shared" si="1"/>
        <v>160000000</v>
      </c>
      <c r="C24" s="46"/>
      <c r="D24" s="47"/>
      <c r="E24" s="47">
        <v>0</v>
      </c>
      <c r="F24" s="47"/>
      <c r="G24" s="47"/>
      <c r="H24" s="47"/>
      <c r="I24" s="47"/>
      <c r="J24" s="47"/>
      <c r="K24" s="47"/>
      <c r="L24" s="47"/>
      <c r="M24" s="47">
        <v>160000000</v>
      </c>
      <c r="N24" s="48"/>
      <c r="O24" s="39"/>
      <c r="P24" s="21"/>
      <c r="Q24" s="22"/>
      <c r="R24" s="21"/>
    </row>
    <row r="25" spans="1:27" ht="15.75" thickBot="1" x14ac:dyDescent="0.3">
      <c r="A25" s="50" t="s">
        <v>36</v>
      </c>
      <c r="B25" s="24">
        <f t="shared" si="1"/>
        <v>0</v>
      </c>
      <c r="C25" s="51"/>
      <c r="D25" s="52"/>
      <c r="E25" s="52"/>
      <c r="F25" s="52"/>
      <c r="G25" s="52"/>
      <c r="H25" s="53"/>
      <c r="I25" s="53"/>
      <c r="J25" s="53"/>
      <c r="K25" s="53"/>
      <c r="L25" s="53"/>
      <c r="M25" s="53"/>
      <c r="N25" s="54"/>
      <c r="O25" s="39"/>
      <c r="P25" s="21"/>
      <c r="Q25" s="22"/>
      <c r="R25" s="21"/>
    </row>
    <row r="26" spans="1:27" ht="15.75" thickBot="1" x14ac:dyDescent="0.3">
      <c r="A26" s="55" t="s">
        <v>37</v>
      </c>
      <c r="B26" s="56">
        <f>SUM(B8:B25)</f>
        <v>1001424634</v>
      </c>
      <c r="C26" s="57">
        <f>SUM(C8:C25)</f>
        <v>55068532</v>
      </c>
      <c r="D26" s="58">
        <f t="shared" ref="D26:N26" si="2">SUM(D8:D25)</f>
        <v>11979057</v>
      </c>
      <c r="E26" s="58">
        <f t="shared" si="2"/>
        <v>43284960</v>
      </c>
      <c r="F26" s="58">
        <f t="shared" si="2"/>
        <v>13605573</v>
      </c>
      <c r="G26" s="58">
        <f t="shared" si="2"/>
        <v>13897662</v>
      </c>
      <c r="H26" s="58">
        <f t="shared" si="2"/>
        <v>454530599</v>
      </c>
      <c r="I26" s="58">
        <f>SUM(I8:I25)</f>
        <v>22107288</v>
      </c>
      <c r="J26" s="58">
        <f t="shared" si="2"/>
        <v>22041275</v>
      </c>
      <c r="K26" s="58">
        <f t="shared" si="2"/>
        <v>85848984</v>
      </c>
      <c r="L26" s="58">
        <f t="shared" si="2"/>
        <v>46978787</v>
      </c>
      <c r="M26" s="58">
        <f t="shared" si="2"/>
        <v>208922674</v>
      </c>
      <c r="N26" s="58">
        <f t="shared" si="2"/>
        <v>23159243</v>
      </c>
      <c r="O26" s="39"/>
      <c r="P26" s="21"/>
      <c r="Q26" s="22"/>
      <c r="R26" s="21"/>
    </row>
    <row r="27" spans="1:27" ht="15.75" thickBot="1" x14ac:dyDescent="0.3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39"/>
      <c r="P27" s="39"/>
    </row>
    <row r="28" spans="1:27" ht="21.75" customHeight="1" thickBot="1" x14ac:dyDescent="0.3">
      <c r="A28" s="7" t="s">
        <v>38</v>
      </c>
      <c r="B28" s="61" t="s">
        <v>5</v>
      </c>
      <c r="C28" s="8" t="s">
        <v>39</v>
      </c>
      <c r="D28" s="8" t="s">
        <v>7</v>
      </c>
      <c r="E28" s="8" t="s">
        <v>8</v>
      </c>
      <c r="F28" s="8" t="s">
        <v>9</v>
      </c>
      <c r="G28" s="8" t="s">
        <v>10</v>
      </c>
      <c r="H28" s="8" t="s">
        <v>11</v>
      </c>
      <c r="I28" s="8" t="s">
        <v>12</v>
      </c>
      <c r="J28" s="8" t="s">
        <v>13</v>
      </c>
      <c r="K28" s="8" t="s">
        <v>14</v>
      </c>
      <c r="L28" s="8" t="s">
        <v>15</v>
      </c>
      <c r="M28" s="8" t="s">
        <v>16</v>
      </c>
      <c r="N28" s="8" t="s">
        <v>17</v>
      </c>
      <c r="O28" s="39"/>
    </row>
    <row r="29" spans="1:27" ht="17.25" customHeight="1" x14ac:dyDescent="0.25">
      <c r="A29" s="62" t="s">
        <v>40</v>
      </c>
      <c r="B29" s="63">
        <f>SUM(C29:N29)</f>
        <v>82126826</v>
      </c>
      <c r="C29" s="64">
        <f>6502050+65186</f>
        <v>6567236</v>
      </c>
      <c r="D29" s="64">
        <v>4314820</v>
      </c>
      <c r="E29" s="64">
        <v>5702080</v>
      </c>
      <c r="F29" s="64">
        <v>6402060</v>
      </c>
      <c r="G29" s="64">
        <v>6670020</v>
      </c>
      <c r="H29" s="64">
        <f>7252000+1534279</f>
        <v>8786279</v>
      </c>
      <c r="I29" s="64">
        <v>7342000</v>
      </c>
      <c r="J29" s="64">
        <f>6702150+219353</f>
        <v>6921503</v>
      </c>
      <c r="K29" s="64">
        <v>6472150</v>
      </c>
      <c r="L29" s="64">
        <v>6591247</v>
      </c>
      <c r="M29" s="64">
        <f>6922150-676818</f>
        <v>6245332</v>
      </c>
      <c r="N29" s="65">
        <f>9669662+442437</f>
        <v>10112099</v>
      </c>
      <c r="O29" s="39"/>
    </row>
    <row r="30" spans="1:27" x14ac:dyDescent="0.25">
      <c r="A30" s="49" t="s">
        <v>41</v>
      </c>
      <c r="B30" s="66">
        <f t="shared" ref="B30:B46" si="3">SUM(C30:N30)</f>
        <v>16512769</v>
      </c>
      <c r="C30" s="34">
        <f>1300450+64976</f>
        <v>1365426</v>
      </c>
      <c r="D30" s="34">
        <v>862800</v>
      </c>
      <c r="E30" s="34">
        <v>1140400</v>
      </c>
      <c r="F30" s="34">
        <v>1279940</v>
      </c>
      <c r="G30" s="34">
        <v>1334000</v>
      </c>
      <c r="H30" s="34">
        <f>1450400+346126</f>
        <v>1796526</v>
      </c>
      <c r="I30" s="34">
        <v>1487000</v>
      </c>
      <c r="J30" s="34">
        <f>1340000+40965</f>
        <v>1380965</v>
      </c>
      <c r="K30" s="34">
        <v>1283000</v>
      </c>
      <c r="L30" s="34">
        <v>1289000</v>
      </c>
      <c r="M30" s="34">
        <f>1384000-128198</f>
        <v>1255802</v>
      </c>
      <c r="N30" s="35">
        <f>1968236+69674</f>
        <v>2037910</v>
      </c>
      <c r="O30" s="67"/>
      <c r="P30" s="21"/>
      <c r="Q30" s="22"/>
      <c r="R30" s="21"/>
      <c r="S30" s="21"/>
      <c r="T30" s="39"/>
      <c r="U30" s="39"/>
      <c r="V30" s="39"/>
      <c r="W30" s="39"/>
      <c r="X30" s="39"/>
      <c r="Y30" s="39"/>
      <c r="Z30" s="39"/>
      <c r="AA30" s="39"/>
    </row>
    <row r="31" spans="1:27" x14ac:dyDescent="0.25">
      <c r="A31" s="49" t="s">
        <v>42</v>
      </c>
      <c r="B31" s="66">
        <f t="shared" si="3"/>
        <v>216350093</v>
      </c>
      <c r="C31" s="34">
        <f>11300000+1465273</f>
        <v>12765273</v>
      </c>
      <c r="D31" s="34">
        <v>12500000</v>
      </c>
      <c r="E31" s="34">
        <v>14805724</v>
      </c>
      <c r="F31" s="34">
        <v>15600000</v>
      </c>
      <c r="G31" s="34">
        <v>16500000</v>
      </c>
      <c r="H31" s="34">
        <f>16500000+500000</f>
        <v>17000000</v>
      </c>
      <c r="I31" s="34">
        <v>16643000</v>
      </c>
      <c r="J31" s="34">
        <f>16922863+6425585</f>
        <v>23348448</v>
      </c>
      <c r="K31" s="34">
        <v>15400000</v>
      </c>
      <c r="L31" s="34">
        <v>15660000</v>
      </c>
      <c r="M31" s="34">
        <f>16980000+5718678</f>
        <v>22698678</v>
      </c>
      <c r="N31" s="35">
        <f>18972207+14456763</f>
        <v>33428970</v>
      </c>
      <c r="O31" s="67"/>
      <c r="P31" s="21"/>
      <c r="Q31" s="68"/>
      <c r="R31" s="21"/>
      <c r="S31" s="4"/>
    </row>
    <row r="32" spans="1:27" x14ac:dyDescent="0.25">
      <c r="A32" s="50" t="s">
        <v>43</v>
      </c>
      <c r="B32" s="66">
        <f t="shared" si="3"/>
        <v>2722020</v>
      </c>
      <c r="C32" s="34">
        <v>125000</v>
      </c>
      <c r="D32" s="34">
        <v>133000</v>
      </c>
      <c r="E32" s="34">
        <v>162000</v>
      </c>
      <c r="F32" s="34">
        <v>184000</v>
      </c>
      <c r="G32" s="34">
        <v>183000</v>
      </c>
      <c r="H32" s="34">
        <v>198000</v>
      </c>
      <c r="I32" s="34">
        <v>308000</v>
      </c>
      <c r="J32" s="34">
        <f>306000-93980</f>
        <v>212020</v>
      </c>
      <c r="K32" s="34">
        <v>259000</v>
      </c>
      <c r="L32" s="34">
        <v>319000</v>
      </c>
      <c r="M32" s="34">
        <v>360000</v>
      </c>
      <c r="N32" s="35">
        <f>463000-184000</f>
        <v>279000</v>
      </c>
      <c r="O32" s="69"/>
      <c r="P32" s="21"/>
      <c r="Q32" s="22"/>
      <c r="R32" s="21"/>
      <c r="S32" s="4"/>
    </row>
    <row r="33" spans="1:19" x14ac:dyDescent="0.25">
      <c r="A33" s="50" t="s">
        <v>44</v>
      </c>
      <c r="B33" s="66">
        <f t="shared" si="3"/>
        <v>16130803</v>
      </c>
      <c r="C33" s="34"/>
      <c r="D33" s="34">
        <v>945816</v>
      </c>
      <c r="E33" s="34">
        <v>4449601</v>
      </c>
      <c r="F33" s="34">
        <v>1245000</v>
      </c>
      <c r="G33" s="34">
        <v>1240000</v>
      </c>
      <c r="H33" s="34">
        <v>1125003</v>
      </c>
      <c r="I33" s="34">
        <v>1161007</v>
      </c>
      <c r="J33" s="34">
        <f>1294000+48000</f>
        <v>1342000</v>
      </c>
      <c r="K33" s="34">
        <v>1264800</v>
      </c>
      <c r="L33" s="34">
        <v>1560000</v>
      </c>
      <c r="M33" s="34">
        <f>1270000-752424</f>
        <v>517576</v>
      </c>
      <c r="N33" s="35">
        <v>1280000</v>
      </c>
      <c r="O33" s="70"/>
      <c r="P33" s="21"/>
      <c r="Q33" s="22"/>
      <c r="R33" s="21"/>
      <c r="S33" s="4"/>
    </row>
    <row r="34" spans="1:19" x14ac:dyDescent="0.25">
      <c r="A34" s="71" t="s">
        <v>45</v>
      </c>
      <c r="B34" s="66">
        <f t="shared" si="3"/>
        <v>0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5"/>
      <c r="O34" s="67"/>
      <c r="P34" s="21"/>
      <c r="Q34" s="22"/>
      <c r="R34" s="21"/>
      <c r="S34" s="4"/>
    </row>
    <row r="35" spans="1:19" x14ac:dyDescent="0.25">
      <c r="A35" s="50" t="s">
        <v>46</v>
      </c>
      <c r="B35" s="66">
        <f t="shared" si="3"/>
        <v>14231140</v>
      </c>
      <c r="C35" s="34"/>
      <c r="D35" s="34"/>
      <c r="E35" s="34">
        <v>2491343</v>
      </c>
      <c r="F35" s="34">
        <v>500000</v>
      </c>
      <c r="G35" s="34">
        <v>100000</v>
      </c>
      <c r="H35" s="34">
        <f>130297+20000</f>
        <v>150297</v>
      </c>
      <c r="I35" s="34"/>
      <c r="J35" s="34"/>
      <c r="K35" s="34"/>
      <c r="L35" s="34"/>
      <c r="M35" s="34">
        <v>10989500</v>
      </c>
      <c r="N35" s="35"/>
      <c r="O35" s="69"/>
      <c r="P35" s="21"/>
      <c r="Q35" s="22"/>
      <c r="R35" s="21"/>
      <c r="S35" s="4"/>
    </row>
    <row r="36" spans="1:19" x14ac:dyDescent="0.25">
      <c r="A36" s="50" t="s">
        <v>47</v>
      </c>
      <c r="B36" s="66">
        <f t="shared" si="3"/>
        <v>852923</v>
      </c>
      <c r="C36" s="34"/>
      <c r="D36" s="34"/>
      <c r="E36" s="34"/>
      <c r="F36" s="34"/>
      <c r="G36" s="34"/>
      <c r="H36" s="34"/>
      <c r="I36" s="34"/>
      <c r="J36" s="34">
        <v>852923</v>
      </c>
      <c r="K36" s="34"/>
      <c r="L36" s="34"/>
      <c r="M36" s="34">
        <v>0</v>
      </c>
      <c r="N36" s="35"/>
      <c r="O36" s="69"/>
      <c r="P36" s="21"/>
      <c r="Q36" s="22"/>
      <c r="R36" s="21"/>
      <c r="S36" s="4"/>
    </row>
    <row r="37" spans="1:19" x14ac:dyDescent="0.25">
      <c r="A37" s="72" t="s">
        <v>48</v>
      </c>
      <c r="B37" s="66">
        <f t="shared" si="3"/>
        <v>9253599</v>
      </c>
      <c r="C37" s="34"/>
      <c r="D37" s="34"/>
      <c r="E37" s="34">
        <v>0</v>
      </c>
      <c r="F37" s="34">
        <v>0</v>
      </c>
      <c r="G37" s="34"/>
      <c r="H37" s="34">
        <f>3500000-1317043+219575+1328769</f>
        <v>3731301</v>
      </c>
      <c r="I37" s="34">
        <v>0</v>
      </c>
      <c r="J37" s="34">
        <f>123873+5397000</f>
        <v>5520873</v>
      </c>
      <c r="K37" s="34">
        <v>1000000</v>
      </c>
      <c r="L37" s="34">
        <v>0</v>
      </c>
      <c r="M37" s="34">
        <v>-2062342</v>
      </c>
      <c r="N37" s="35">
        <f>1516129-452362</f>
        <v>1063767</v>
      </c>
      <c r="O37" s="69"/>
      <c r="P37" s="21"/>
      <c r="Q37" s="22"/>
      <c r="R37" s="21"/>
      <c r="S37" s="4"/>
    </row>
    <row r="38" spans="1:19" x14ac:dyDescent="0.25">
      <c r="A38" s="50" t="s">
        <v>49</v>
      </c>
      <c r="B38" s="66">
        <f t="shared" si="3"/>
        <v>464720183</v>
      </c>
      <c r="C38" s="34">
        <v>1397000</v>
      </c>
      <c r="D38" s="34">
        <v>3500000</v>
      </c>
      <c r="E38" s="34">
        <v>23500000</v>
      </c>
      <c r="F38" s="34">
        <v>43250000</v>
      </c>
      <c r="G38" s="34">
        <v>46000000</v>
      </c>
      <c r="H38" s="34">
        <f>35500000+32094409-1397000+2595736</f>
        <v>68793145</v>
      </c>
      <c r="I38" s="34">
        <v>31270000</v>
      </c>
      <c r="J38" s="34">
        <f>51270000+2714895</f>
        <v>53984895</v>
      </c>
      <c r="K38" s="34">
        <v>40000000</v>
      </c>
      <c r="L38" s="34">
        <v>33929928</v>
      </c>
      <c r="M38" s="34">
        <f>65500000</f>
        <v>65500000</v>
      </c>
      <c r="N38" s="35">
        <f>19040055+34444492+110668</f>
        <v>53595215</v>
      </c>
      <c r="O38" s="70"/>
      <c r="P38" s="21"/>
      <c r="Q38" s="22"/>
      <c r="R38" s="21"/>
      <c r="S38" s="4"/>
    </row>
    <row r="39" spans="1:19" x14ac:dyDescent="0.25">
      <c r="A39" s="44" t="s">
        <v>50</v>
      </c>
      <c r="B39" s="66">
        <f t="shared" si="3"/>
        <v>167933126</v>
      </c>
      <c r="C39" s="34"/>
      <c r="D39" s="34">
        <v>803176</v>
      </c>
      <c r="E39" s="34">
        <v>3725000</v>
      </c>
      <c r="F39" s="34">
        <v>5860000</v>
      </c>
      <c r="G39" s="34">
        <v>6872000</v>
      </c>
      <c r="H39" s="34">
        <f>23854000+7973954-2595736</f>
        <v>29232218</v>
      </c>
      <c r="I39" s="34">
        <v>11654000</v>
      </c>
      <c r="J39" s="34">
        <f>37219000-7943943</f>
        <v>29275057</v>
      </c>
      <c r="K39" s="34">
        <v>21657040</v>
      </c>
      <c r="L39" s="34">
        <v>19687671</v>
      </c>
      <c r="M39" s="34">
        <f>12628000-635000</f>
        <v>11993000</v>
      </c>
      <c r="N39" s="35">
        <f>41968000-14794036</f>
        <v>27173964</v>
      </c>
      <c r="O39" s="67"/>
      <c r="P39" s="21"/>
      <c r="Q39" s="22"/>
      <c r="R39" s="21"/>
      <c r="S39" s="4"/>
    </row>
    <row r="40" spans="1:19" x14ac:dyDescent="0.25">
      <c r="A40" s="50" t="s">
        <v>51</v>
      </c>
      <c r="B40" s="66">
        <f t="shared" si="3"/>
        <v>0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5"/>
      <c r="O40" s="67"/>
      <c r="P40" s="21"/>
      <c r="Q40" s="22"/>
      <c r="R40" s="21"/>
      <c r="S40" s="4"/>
    </row>
    <row r="41" spans="1:19" x14ac:dyDescent="0.25">
      <c r="A41" s="50" t="s">
        <v>52</v>
      </c>
      <c r="B41" s="66">
        <f t="shared" si="3"/>
        <v>0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5"/>
      <c r="O41" s="70"/>
      <c r="P41" s="21"/>
      <c r="Q41" s="22"/>
      <c r="R41" s="21"/>
      <c r="S41" s="4"/>
    </row>
    <row r="42" spans="1:19" x14ac:dyDescent="0.25">
      <c r="A42" s="50" t="s">
        <v>53</v>
      </c>
      <c r="B42" s="66">
        <f t="shared" si="3"/>
        <v>550000</v>
      </c>
      <c r="C42" s="34"/>
      <c r="D42" s="34"/>
      <c r="E42" s="34"/>
      <c r="F42" s="34"/>
      <c r="G42" s="34">
        <v>550000</v>
      </c>
      <c r="H42" s="34"/>
      <c r="I42" s="34"/>
      <c r="J42" s="34"/>
      <c r="K42" s="34"/>
      <c r="L42" s="34"/>
      <c r="M42" s="34"/>
      <c r="N42" s="35"/>
      <c r="O42" s="67"/>
      <c r="P42" s="21"/>
      <c r="Q42" s="22"/>
      <c r="R42" s="21"/>
      <c r="S42" s="4"/>
    </row>
    <row r="43" spans="1:19" x14ac:dyDescent="0.25">
      <c r="A43" s="72" t="s">
        <v>54</v>
      </c>
      <c r="B43" s="66">
        <f t="shared" si="3"/>
        <v>0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5"/>
      <c r="O43" s="67"/>
      <c r="P43" s="21"/>
      <c r="Q43" s="22"/>
      <c r="R43" s="21"/>
      <c r="S43" s="4"/>
    </row>
    <row r="44" spans="1:19" x14ac:dyDescent="0.25">
      <c r="A44" s="50" t="s">
        <v>55</v>
      </c>
      <c r="B44" s="66">
        <f t="shared" si="3"/>
        <v>0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5"/>
      <c r="O44" s="21"/>
      <c r="P44" s="21"/>
      <c r="Q44" s="22"/>
      <c r="R44" s="21"/>
      <c r="S44" s="4"/>
    </row>
    <row r="45" spans="1:19" x14ac:dyDescent="0.25">
      <c r="A45" s="49" t="s">
        <v>56</v>
      </c>
      <c r="B45" s="66">
        <f t="shared" si="3"/>
        <v>0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5"/>
      <c r="O45" s="39"/>
      <c r="P45" s="21"/>
      <c r="Q45" s="22"/>
      <c r="R45" s="21"/>
      <c r="S45" s="4"/>
    </row>
    <row r="46" spans="1:19" ht="15.75" thickBot="1" x14ac:dyDescent="0.3">
      <c r="A46" s="49" t="s">
        <v>57</v>
      </c>
      <c r="B46" s="73">
        <f t="shared" si="3"/>
        <v>10041152</v>
      </c>
      <c r="C46" s="34">
        <f>3871696+70524</f>
        <v>3942220</v>
      </c>
      <c r="D46" s="34">
        <v>62287</v>
      </c>
      <c r="E46" s="34">
        <v>35262</v>
      </c>
      <c r="F46" s="34">
        <v>5435</v>
      </c>
      <c r="G46" s="34">
        <v>70524</v>
      </c>
      <c r="H46" s="34">
        <v>70524</v>
      </c>
      <c r="I46" s="34">
        <v>85154</v>
      </c>
      <c r="J46" s="34">
        <v>79466</v>
      </c>
      <c r="K46" s="34">
        <v>79466</v>
      </c>
      <c r="L46" s="34">
        <v>137384</v>
      </c>
      <c r="M46" s="34">
        <v>115069</v>
      </c>
      <c r="N46" s="35">
        <v>5358361</v>
      </c>
      <c r="O46" s="39"/>
      <c r="P46" s="21"/>
      <c r="Q46" s="22"/>
      <c r="R46" s="21"/>
      <c r="S46" s="4"/>
    </row>
    <row r="47" spans="1:19" ht="15.75" thickBot="1" x14ac:dyDescent="0.3">
      <c r="A47" s="74" t="s">
        <v>37</v>
      </c>
      <c r="B47" s="56">
        <f>SUM(B29:B46)</f>
        <v>1001424634</v>
      </c>
      <c r="C47" s="75">
        <f t="shared" ref="C47:N47" si="4">SUM(C29:C46)</f>
        <v>26162155</v>
      </c>
      <c r="D47" s="75">
        <f t="shared" si="4"/>
        <v>23121899</v>
      </c>
      <c r="E47" s="75">
        <f t="shared" si="4"/>
        <v>56011410</v>
      </c>
      <c r="F47" s="75">
        <f t="shared" si="4"/>
        <v>74326435</v>
      </c>
      <c r="G47" s="75">
        <f t="shared" si="4"/>
        <v>79519544</v>
      </c>
      <c r="H47" s="75">
        <f t="shared" si="4"/>
        <v>130883293</v>
      </c>
      <c r="I47" s="75">
        <f t="shared" si="4"/>
        <v>69950161</v>
      </c>
      <c r="J47" s="75">
        <f t="shared" si="4"/>
        <v>122918150</v>
      </c>
      <c r="K47" s="75">
        <f t="shared" si="4"/>
        <v>87415456</v>
      </c>
      <c r="L47" s="75">
        <f t="shared" si="4"/>
        <v>79174230</v>
      </c>
      <c r="M47" s="75">
        <f t="shared" si="4"/>
        <v>117612615</v>
      </c>
      <c r="N47" s="76">
        <f t="shared" si="4"/>
        <v>134329286</v>
      </c>
      <c r="O47" s="39"/>
      <c r="P47" s="21"/>
      <c r="Q47" s="22"/>
      <c r="R47" s="21"/>
      <c r="S47" s="4"/>
    </row>
    <row r="48" spans="1:19" ht="15.75" thickBot="1" x14ac:dyDescent="0.3">
      <c r="A48" s="77" t="s">
        <v>58</v>
      </c>
      <c r="B48" s="78"/>
      <c r="C48" s="78">
        <f>C7+C26-C47</f>
        <v>491557484</v>
      </c>
      <c r="D48" s="78">
        <f t="shared" ref="D48:N48" si="5">D7+D26-D47</f>
        <v>480414642</v>
      </c>
      <c r="E48" s="78">
        <f t="shared" si="5"/>
        <v>467688192</v>
      </c>
      <c r="F48" s="78">
        <f t="shared" si="5"/>
        <v>406967330</v>
      </c>
      <c r="G48" s="78">
        <f t="shared" si="5"/>
        <v>341345448</v>
      </c>
      <c r="H48" s="78">
        <f t="shared" si="5"/>
        <v>664992754</v>
      </c>
      <c r="I48" s="78">
        <f t="shared" si="5"/>
        <v>617149881</v>
      </c>
      <c r="J48" s="78">
        <f t="shared" si="5"/>
        <v>516273006</v>
      </c>
      <c r="K48" s="78">
        <f t="shared" si="5"/>
        <v>514706534</v>
      </c>
      <c r="L48" s="78">
        <f t="shared" si="5"/>
        <v>482511091</v>
      </c>
      <c r="M48" s="78">
        <f t="shared" si="5"/>
        <v>573821150</v>
      </c>
      <c r="N48" s="78">
        <f t="shared" si="5"/>
        <v>462651107</v>
      </c>
      <c r="P48" s="79"/>
    </row>
    <row r="49" spans="1:2" x14ac:dyDescent="0.25">
      <c r="A49" s="80"/>
    </row>
    <row r="50" spans="1:2" x14ac:dyDescent="0.25">
      <c r="B50" s="39"/>
    </row>
  </sheetData>
  <mergeCells count="5">
    <mergeCell ref="A1:N1"/>
    <mergeCell ref="A2:N2"/>
    <mergeCell ref="A3:N3"/>
    <mergeCell ref="K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2020-02-27T09:16:50Z</dcterms:created>
  <dcterms:modified xsi:type="dcterms:W3CDTF">2020-02-27T09:18:47Z</dcterms:modified>
</cp:coreProperties>
</file>